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tabRatio="850" activeTab="0"/>
  </bookViews>
  <sheets>
    <sheet name="WIN STATS" sheetId="1" r:id="rId1"/>
    <sheet name="OTHER CCC101 STATS" sheetId="2" r:id="rId2"/>
    <sheet name="INCOME STMT STATS" sheetId="3" r:id="rId3"/>
    <sheet name="COMPLIMENTARIES" sheetId="4" r:id="rId4"/>
    <sheet name="CAPITAL EXPENDITURES" sheetId="5" r:id="rId5"/>
  </sheets>
  <externalReferences>
    <externalReference r:id="rId8"/>
  </externalReferences>
  <definedNames>
    <definedName name="\c">#REF!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ALL" localSheetId="3">'COMPLIMENTARIES'!#REF!</definedName>
    <definedName name="ALL" localSheetId="2">'INCOME STMT STATS'!#REF!</definedName>
    <definedName name="ALL">#REF!</definedName>
    <definedName name="CASREV">#REF!</definedName>
    <definedName name="PAGE1" localSheetId="4">'CAPITAL EXPENDITURES'!$A$1:$M$38</definedName>
    <definedName name="PAGE1" localSheetId="3">'COMPLIMENTARIES'!#REF!</definedName>
    <definedName name="PAGE1" localSheetId="2">'INCOME STMT STATS'!#REF!</definedName>
    <definedName name="PAGE1">'WIN STATS'!$A$1:$M$41</definedName>
    <definedName name="PAGE10" localSheetId="3">'COMPLIMENTARIES'!#REF!</definedName>
    <definedName name="PAGE10" localSheetId="2">'INCOME STMT STATS'!#REF!</definedName>
    <definedName name="PAGE10">'OTHER CCC101 STATS'!#REF!</definedName>
    <definedName name="PAGE11" localSheetId="3">'COMPLIMENTARIES'!#REF!</definedName>
    <definedName name="PAGE11" localSheetId="2">'INCOME STMT STATS'!#REF!</definedName>
    <definedName name="PAGE11">'OTHER CCC101 STATS'!#REF!</definedName>
    <definedName name="PAGE12">'OTHER CCC101 STATS'!#REF!</definedName>
    <definedName name="PAGE13">'OTHER CCC101 STATS'!#REF!</definedName>
    <definedName name="PAGE14">'OTHER CCC101 STATS'!#REF!</definedName>
    <definedName name="PAGE15">'OTHER CCC101 STATS'!#REF!</definedName>
    <definedName name="PAGE16">'OTHER CCC101 STATS'!#REF!</definedName>
    <definedName name="PAGE17">#REF!</definedName>
    <definedName name="PAGE2" localSheetId="4">'CAPITAL EXPENDITURES'!$A$42:$M$42</definedName>
    <definedName name="PAGE2" localSheetId="3">'COMPLIMENTARIES'!#REF!</definedName>
    <definedName name="PAGE2" localSheetId="2">'INCOME STMT STATS'!#REF!</definedName>
    <definedName name="PAGE2">'WIN STATS'!$A$44:$M$85</definedName>
    <definedName name="PAGE3" localSheetId="4">'CAPITAL EXPENDITURES'!$A$43:$M$83</definedName>
    <definedName name="PAGE3" localSheetId="3">'COMPLIMENTARIES'!#REF!</definedName>
    <definedName name="PAGE3" localSheetId="2">'INCOME STMT STATS'!#REF!</definedName>
    <definedName name="PAGE3">'WIN STATS'!$A$87:$M$128</definedName>
    <definedName name="PAGE4" localSheetId="4">'CAPITAL EXPENDITURES'!#REF!</definedName>
    <definedName name="PAGE4" localSheetId="3">'COMPLIMENTARIES'!#REF!</definedName>
    <definedName name="PAGE4" localSheetId="2">'INCOME STMT STATS'!#REF!</definedName>
    <definedName name="PAGE4">'WIN STATS'!#REF!</definedName>
    <definedName name="PAGE5" localSheetId="4">'CAPITAL EXPENDITURES'!#REF!</definedName>
    <definedName name="PAGE5" localSheetId="3">'COMPLIMENTARIES'!#REF!</definedName>
    <definedName name="PAGE5" localSheetId="2">'INCOME STMT STATS'!#REF!</definedName>
    <definedName name="PAGE5">'WIN STATS'!#REF!</definedName>
    <definedName name="PAGE6" localSheetId="4">'CAPITAL EXPENDITURES'!#REF!</definedName>
    <definedName name="PAGE6" localSheetId="3">'COMPLIMENTARIES'!#REF!</definedName>
    <definedName name="PAGE6" localSheetId="2">'INCOME STMT STATS'!#REF!</definedName>
    <definedName name="PAGE6">'WIN STATS'!#REF!</definedName>
    <definedName name="PAGE7" localSheetId="4">'CAPITAL EXPENDITURES'!#REF!</definedName>
    <definedName name="PAGE7" localSheetId="3">'COMPLIMENTARIES'!#REF!</definedName>
    <definedName name="PAGE7" localSheetId="2">'INCOME STMT STATS'!#REF!</definedName>
    <definedName name="PAGE7">'WIN STATS'!#REF!</definedName>
    <definedName name="PAGE8" localSheetId="4">'CAPITAL EXPENDITURES'!#REF!</definedName>
    <definedName name="PAGE8" localSheetId="3">'COMPLIMENTARIES'!#REF!</definedName>
    <definedName name="PAGE8" localSheetId="2">'INCOME STMT STATS'!#REF!</definedName>
    <definedName name="PAGE8">'WIN STATS'!#REF!</definedName>
    <definedName name="PAGE9" localSheetId="3">'COMPLIMENTARIES'!#REF!</definedName>
    <definedName name="PAGE9" localSheetId="2">'INCOME STMT STATS'!#REF!</definedName>
    <definedName name="PAGE9">'OTHER CCC101 STATS'!#REF!</definedName>
    <definedName name="_xlnm.Print_Area" localSheetId="4">'CAPITAL EXPENDITURES'!$A$1:$U$85</definedName>
    <definedName name="_xlnm.Print_Area" localSheetId="2">'INCOME STMT STATS'!$A$1:$U$635</definedName>
    <definedName name="_xlnm.Print_Area" localSheetId="0">'WIN STATS'!$A$1:$U$340</definedName>
    <definedName name="Print_Area_MI" localSheetId="3">'COMPLIMENTARIES'!#REF!</definedName>
    <definedName name="Print_Area_MI" localSheetId="2">'INCOME STMT STATS'!#REF!</definedName>
    <definedName name="Print_Area_MI" localSheetId="1">'OTHER CCC101 STATS'!#REF!</definedName>
    <definedName name="TOTALREV">'INCOME STMT STATS'!#REF!</definedName>
  </definedNames>
  <calcPr fullCalcOnLoad="1" fullPrecision="0"/>
</workbook>
</file>

<file path=xl/sharedStrings.xml><?xml version="1.0" encoding="utf-8"?>
<sst xmlns="http://schemas.openxmlformats.org/spreadsheetml/2006/main" count="1763" uniqueCount="122">
  <si>
    <t>ATLANTIC CITY CASINO INDUSTRY</t>
  </si>
  <si>
    <t>($ in Thousands)</t>
  </si>
  <si>
    <t>Caesars</t>
  </si>
  <si>
    <t>Harrah's</t>
  </si>
  <si>
    <t>Resorts</t>
  </si>
  <si>
    <t>Showboat</t>
  </si>
  <si>
    <t>Tropicana</t>
  </si>
  <si>
    <t>Trump Plaza</t>
  </si>
  <si>
    <t>Trump Taj Mahal</t>
  </si>
  <si>
    <t>CASINO WIN GROWTH RATES</t>
  </si>
  <si>
    <t xml:space="preserve"> </t>
  </si>
  <si>
    <t xml:space="preserve">TABLE GAME WIN </t>
  </si>
  <si>
    <t>TABLE GAME WIN GROWTH RATES</t>
  </si>
  <si>
    <t xml:space="preserve">SLOT MACHINE WIN </t>
  </si>
  <si>
    <t>SLOT MACHINE WIN GROWTH RATES</t>
  </si>
  <si>
    <t>TABLE GAME WIN AS A PERCENTAGE OF CASINO WIN</t>
  </si>
  <si>
    <t>SLOT MACHINE  WIN AS A PERCENTAGE OF CASINO WIN</t>
  </si>
  <si>
    <t>Industry</t>
  </si>
  <si>
    <t>SLOT MACHINE WIN PERCENTAGE</t>
  </si>
  <si>
    <t>TABLE GAME WIN PERCENTAGE (EXCLUDING POKER REVENUE)</t>
  </si>
  <si>
    <t>SLOT MACHINE HANDLE</t>
  </si>
  <si>
    <t xml:space="preserve">TABLE GAME DROP </t>
  </si>
  <si>
    <t>SLOT MACHINE HANDLE GROWTH RATES</t>
  </si>
  <si>
    <t>TABLE GAME DROP GROWTH RATES</t>
  </si>
  <si>
    <t>Trump Marina</t>
  </si>
  <si>
    <t xml:space="preserve">NET REVENUE </t>
  </si>
  <si>
    <t>NET REVENUE GROWTH RATES</t>
  </si>
  <si>
    <t>GROSS OPERATING PROFIT GROWTH RATES</t>
  </si>
  <si>
    <t>GOP MARGIN PERCENTAGE POINT INCREASE (DECREASE)</t>
  </si>
  <si>
    <t>COSTS AND EXPENSES GROWTH RATES</t>
  </si>
  <si>
    <t>CASINO REVENUE</t>
  </si>
  <si>
    <t>CASINO REVENUE GROWTH RATES</t>
  </si>
  <si>
    <t>TOTAL REVENUE</t>
  </si>
  <si>
    <t>TOTAL REVENUE GROWTH RATES</t>
  </si>
  <si>
    <t>PROMOTIONAL ALLOWANCES</t>
  </si>
  <si>
    <t>PROMOTIONAL ALLOWANCES AS A PERCENTAGE OF NET REVENUE</t>
  </si>
  <si>
    <t>PROMOTIONAL ALLOWANCES AS A PERCENTAGE OF TOTAL REVENUE</t>
  </si>
  <si>
    <t>PROMOTIONAL EXPENSES</t>
  </si>
  <si>
    <t>PROMOTIONAL EXPENSES AS A PERCENTAGE OF NET REVENUE</t>
  </si>
  <si>
    <t>PROMOTIONAL EXPENSES AS A PERCENTAGE OF TOTAL REVENUE</t>
  </si>
  <si>
    <t>TOTAL PROMOTIONAL ALLOWANCES AND PROMOTIONAL EXPENSES</t>
  </si>
  <si>
    <t>TOTAL PROMOTIONAL ALLOWANCES AND PROMOTIONAL EXPENSES AS A PERCENTAGE OF NET REVENUE</t>
  </si>
  <si>
    <t>TOTAL PROMOTIONAL ALLOWANCES AND PROMOTIONAL EXPENSES AS A PERCENTAGE OF TOTAL REVENUE</t>
  </si>
  <si>
    <t>POKER REVENUE</t>
  </si>
  <si>
    <t>SIMULCASTING REVENUE</t>
  </si>
  <si>
    <t xml:space="preserve">(a)  Claridge 2001 results reflect the operations under its former owner through May 31, 2001, and </t>
  </si>
  <si>
    <t xml:space="preserve">      from June 1, 2001 through December 31, 2001.</t>
  </si>
  <si>
    <t xml:space="preserve">  2002 ( c)</t>
  </si>
  <si>
    <t>CASINO WIN</t>
  </si>
  <si>
    <t>TOTAL CAPITAL EXPENDITURES (INCLUDES CAPITAL LEASES)</t>
  </si>
  <si>
    <t>CASH CAPITAL EXPENDITURES (EXCLUDES CAPITAL LEASES)</t>
  </si>
  <si>
    <t xml:space="preserve">   2002 (c)</t>
  </si>
  <si>
    <t>(b)  Claridge merged with Bally's AC effective January 1, 2003.</t>
  </si>
  <si>
    <t>Bally's AC (b)</t>
  </si>
  <si>
    <t>Claridge (a),(b)</t>
  </si>
  <si>
    <t xml:space="preserve">        from June 1, 2001 through December 31, 2001.</t>
  </si>
  <si>
    <t xml:space="preserve">       from June 1, 2001 through December 31, 2001.</t>
  </si>
  <si>
    <t xml:space="preserve">      coupons and rebates.  Accordingly, beginning with year 2002, certain cash complimentaries previously classified as promotional expenses are</t>
  </si>
  <si>
    <t xml:space="preserve">      now classified as promotional allowances.  Thus, net revenue, promotional allowances, and promotional expenses for 2002 and beyond are not</t>
  </si>
  <si>
    <t xml:space="preserve">      comparable to historical years.</t>
  </si>
  <si>
    <t>(c)  During 2001, the Emerging Issues Task Force reached a consensus on certain issues related to accounting for sales incentives, discounts,</t>
  </si>
  <si>
    <t>2002 (c)</t>
  </si>
  <si>
    <t>GROSS OPERATING PROFIT (c)</t>
  </si>
  <si>
    <t>(c)  GOP is Net Revenue - (Cost of Goods Sold, Selling General and Administrative and Allowance for Doubtful Accounts).</t>
  </si>
  <si>
    <t xml:space="preserve">       coupons and rebates.  Accordingly, beginning with year 2002, certain cash complimentaries previously classified as promotional expenses are</t>
  </si>
  <si>
    <t>(d)  GOP Margin is a measure of cost efficiency which is calculated by dividing GOP by Net Revenue.</t>
  </si>
  <si>
    <t xml:space="preserve">       comparable to historical years.</t>
  </si>
  <si>
    <t xml:space="preserve">       now classified as promotional allowances.  Thus, net revenue, promotional allowances, and promotional expenses for 2002 and beyond are not</t>
  </si>
  <si>
    <t>GOP MARGIN (d)</t>
  </si>
  <si>
    <t>COSTS AND EXPENSES (d)</t>
  </si>
  <si>
    <t>(d)  Costs and Expenses was calculated by taking Net Revenue less GOP.  Costs and Expenses consist of Costs of Goods &amp; Services;</t>
  </si>
  <si>
    <t xml:space="preserve">       Selling, General, &amp; Administrative; and Provision for Doubtful Accounts.</t>
  </si>
  <si>
    <t xml:space="preserve">N/A   </t>
  </si>
  <si>
    <t xml:space="preserve">       under its new owner (Park Place Entertainment) from June 1, 2001 through December 31, 2001.</t>
  </si>
  <si>
    <t xml:space="preserve">N/A  </t>
  </si>
  <si>
    <t>(a)  Claridge 2001 results reflect the operations under its former owner through May 31, 2001, and under its new owner (Park Place Entertainment)</t>
  </si>
  <si>
    <t>(a) Claridge 2001 results reflect the operations under its former owner through May 31, 2001, and under its new owner (Park Place Entertainment)</t>
  </si>
  <si>
    <t xml:space="preserve">  2002 (c)</t>
  </si>
  <si>
    <t>CASINO REVENUE AS A PERCENTAGE OF TOTAL REVENUE</t>
  </si>
  <si>
    <t>AC Hilton (c)</t>
  </si>
  <si>
    <t>(c)  AC Hilton was under Caesars Entertainment Inc. ownership until April 25, 2005 and under Colony</t>
  </si>
  <si>
    <t>AC Hilton (d)</t>
  </si>
  <si>
    <t>(d)  AC Hilton was under Caesars Entertainment Inc. ownership until April 25, 2005 and under Colony</t>
  </si>
  <si>
    <t>AC Hilton (e)</t>
  </si>
  <si>
    <t>(e)  AC Hilton was under Caesars Entertainment Inc. ownership until April 25, 2005 and under Colony</t>
  </si>
  <si>
    <t>n/a</t>
  </si>
  <si>
    <t>Borgata</t>
  </si>
  <si>
    <t xml:space="preserve">      Capital ownership since April 26, 2005.</t>
  </si>
  <si>
    <t xml:space="preserve">Borgata </t>
  </si>
  <si>
    <t>(d) Sands ceased operations on November 10, 2006.</t>
  </si>
  <si>
    <t>Sands (d)</t>
  </si>
  <si>
    <t>Sands (e)</t>
  </si>
  <si>
    <t>(e) Sands ceased operations on November 10, 2006</t>
  </si>
  <si>
    <t>(d) Sands ceased operations on November 10, 2006</t>
  </si>
  <si>
    <t>Sands (f)</t>
  </si>
  <si>
    <t>(f) Sands ceased operations on November 10, 2006</t>
  </si>
  <si>
    <t>N/A</t>
  </si>
  <si>
    <t>NET NON-GAMING REVENUE AS A PERCENTAGE OF NET REVENUE (a)</t>
  </si>
  <si>
    <t>(a) Net non-gaming revenue represents room, food and beverage, and other revenue less the applicable promotional allowance.</t>
  </si>
  <si>
    <t xml:space="preserve">(b)  Claridge 2001 results reflect the operations under its former owner through May 31, 2001, and </t>
  </si>
  <si>
    <t>(c)  Claridge merged with Bally's AC effective January 1, 2003.</t>
  </si>
  <si>
    <t>Bally's AC (c)</t>
  </si>
  <si>
    <t>Claridge (b),(c)</t>
  </si>
  <si>
    <t>(e) Sands ceased operations on November 10, 2006.</t>
  </si>
  <si>
    <t>(f)  During 2001, the Emerging Issues Task Force reached a consensus on certain issues related to accounting for sales incentives, discounts,</t>
  </si>
  <si>
    <t>2002 (f)</t>
  </si>
  <si>
    <t>PROMOTIONAL GAMING CREDITS (a)</t>
  </si>
  <si>
    <t>CASH PROMOTIONALS (e)</t>
  </si>
  <si>
    <t>CASH PROMOTIONALS AS A PERCENTAGE OF NET REVENUE (f)</t>
  </si>
  <si>
    <t>2008 (f)</t>
  </si>
  <si>
    <t>2008 (e)</t>
  </si>
  <si>
    <t xml:space="preserve">AC Hilton </t>
  </si>
  <si>
    <t xml:space="preserve">Bally's AC </t>
  </si>
  <si>
    <t>Borgata (b)</t>
  </si>
  <si>
    <t>(b) Borgata restated prior reporting periods to reflect current PGC presentation.</t>
  </si>
  <si>
    <t>(e) On August 14, 2008, the legislation allowing eligible promotional gaming credits ("PGC'S") to be deducted for gross revenue tax purposes became operative.  Beginning with  2008,</t>
  </si>
  <si>
    <t xml:space="preserve">    PGC's are now listed separately on the Promotional Gaming Credits spreadsheet. Consequently, cash promotionals for 2008 are not comparable to historical years.</t>
  </si>
  <si>
    <t>(f) On August 14, 2008, the legislation allowing eligible promotional gaming credits ("PGC'S") to be deducted for gross revenue tax purposes became operative.  Beginning with  2008,</t>
  </si>
  <si>
    <t>(a) On August 14, 2008, the legislation allowing eligible promotional gaming credits ("PGC'S") to be deducted for gross revenue tax purposes became operative. Prior to  2008,</t>
  </si>
  <si>
    <t xml:space="preserve">    promotional items which would be considered PGC's were included in the cash promotionals spreadsheet.</t>
  </si>
  <si>
    <t>2000 - 2009</t>
  </si>
  <si>
    <t>2008-2009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</si>
</sst>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#,##0.000_);\(#,##0.0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"/>
    <numFmt numFmtId="175" formatCode="0.0%_);\(0.0%\)"/>
    <numFmt numFmtId="176" formatCode="[$-409]dddd\,\ mmmm\ dd\,\ yyyy"/>
    <numFmt numFmtId="177" formatCode="[$-409]h:mm:ss\ AM/P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\(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37" fontId="5" fillId="0" borderId="0" xfId="22" applyFont="1">
      <alignment/>
      <protection/>
    </xf>
    <xf numFmtId="37" fontId="5" fillId="0" borderId="0" xfId="22" applyFont="1" applyAlignment="1" applyProtection="1">
      <alignment horizontal="fill"/>
      <protection/>
    </xf>
    <xf numFmtId="37" fontId="5" fillId="0" borderId="0" xfId="22" applyFont="1" applyAlignment="1" applyProtection="1">
      <alignment horizontal="center"/>
      <protection/>
    </xf>
    <xf numFmtId="37" fontId="5" fillId="0" borderId="0" xfId="22" applyNumberFormat="1" applyFont="1" applyProtection="1">
      <alignment/>
      <protection/>
    </xf>
    <xf numFmtId="37" fontId="5" fillId="0" borderId="0" xfId="22" applyFont="1" applyProtection="1">
      <alignment/>
      <protection/>
    </xf>
    <xf numFmtId="37" fontId="5" fillId="0" borderId="0" xfId="22" applyNumberFormat="1" applyFont="1" applyAlignment="1" applyProtection="1">
      <alignment horizontal="fill"/>
      <protection/>
    </xf>
    <xf numFmtId="166" fontId="5" fillId="0" borderId="0" xfId="22" applyNumberFormat="1" applyFont="1" applyProtection="1">
      <alignment/>
      <protection/>
    </xf>
    <xf numFmtId="165" fontId="5" fillId="0" borderId="0" xfId="22" applyNumberFormat="1" applyFont="1" applyProtection="1">
      <alignment/>
      <protection/>
    </xf>
    <xf numFmtId="37" fontId="5" fillId="0" borderId="0" xfId="23" applyNumberFormat="1" applyFont="1" applyProtection="1">
      <alignment/>
      <protection/>
    </xf>
    <xf numFmtId="164" fontId="5" fillId="0" borderId="0" xfId="24" applyFont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horizontal="fill"/>
      <protection/>
    </xf>
    <xf numFmtId="0" fontId="5" fillId="0" borderId="0" xfId="0" applyFont="1" applyBorder="1" applyAlignment="1" applyProtection="1">
      <alignment horizontal="fill"/>
      <protection/>
    </xf>
    <xf numFmtId="37" fontId="5" fillId="0" borderId="0" xfId="22" applyFont="1" applyAlignment="1" applyProtection="1" quotePrefix="1">
      <alignment horizontal="center"/>
      <protection/>
    </xf>
    <xf numFmtId="37" fontId="5" fillId="0" borderId="0" xfId="24" applyNumberFormat="1" applyFont="1">
      <alignment/>
      <protection/>
    </xf>
    <xf numFmtId="37" fontId="5" fillId="0" borderId="0" xfId="22" applyFont="1" applyBorder="1">
      <alignment/>
      <protection/>
    </xf>
    <xf numFmtId="37" fontId="5" fillId="0" borderId="0" xfId="23" applyNumberFormat="1" applyFont="1" applyAlignment="1" applyProtection="1">
      <alignment horizontal="right"/>
      <protection/>
    </xf>
    <xf numFmtId="164" fontId="5" fillId="0" borderId="0" xfId="24" applyFont="1" applyBorder="1">
      <alignment/>
      <protection/>
    </xf>
    <xf numFmtId="37" fontId="5" fillId="0" borderId="0" xfId="23" applyNumberFormat="1" applyFont="1" applyBorder="1" applyProtection="1">
      <alignment/>
      <protection/>
    </xf>
    <xf numFmtId="37" fontId="5" fillId="0" borderId="0" xfId="23" applyFont="1">
      <alignment/>
      <protection/>
    </xf>
    <xf numFmtId="5" fontId="5" fillId="0" borderId="0" xfId="23" applyNumberFormat="1" applyFont="1" applyAlignment="1">
      <alignment horizontal="right"/>
      <protection/>
    </xf>
    <xf numFmtId="37" fontId="5" fillId="0" borderId="0" xfId="23" applyFont="1" applyAlignment="1">
      <alignment horizontal="right"/>
      <protection/>
    </xf>
    <xf numFmtId="37" fontId="5" fillId="0" borderId="0" xfId="23" applyNumberFormat="1" applyFont="1" applyBorder="1" applyAlignment="1" applyProtection="1">
      <alignment horizontal="right"/>
      <protection/>
    </xf>
    <xf numFmtId="37" fontId="5" fillId="0" borderId="0" xfId="23" applyFont="1" applyBorder="1" applyAlignment="1" applyProtection="1">
      <alignment horizontal="left"/>
      <protection/>
    </xf>
    <xf numFmtId="37" fontId="5" fillId="0" borderId="0" xfId="23" applyFont="1" applyBorder="1" applyAlignment="1">
      <alignment horizontal="right"/>
      <protection/>
    </xf>
    <xf numFmtId="5" fontId="5" fillId="0" borderId="0" xfId="23" applyNumberFormat="1" applyFont="1" applyProtection="1">
      <alignment/>
      <protection/>
    </xf>
    <xf numFmtId="37" fontId="5" fillId="0" borderId="0" xfId="23" applyFont="1" applyBorder="1" applyAlignment="1" applyProtection="1" quotePrefix="1">
      <alignment horizontal="left"/>
      <protection/>
    </xf>
    <xf numFmtId="37" fontId="5" fillId="0" borderId="0" xfId="23" applyFont="1" applyBorder="1">
      <alignment/>
      <protection/>
    </xf>
    <xf numFmtId="166" fontId="5" fillId="0" borderId="0" xfId="23" applyNumberFormat="1" applyFont="1" applyAlignment="1" applyProtection="1">
      <alignment horizontal="right"/>
      <protection/>
    </xf>
    <xf numFmtId="5" fontId="5" fillId="0" borderId="0" xfId="23" applyNumberFormat="1" applyFont="1" applyBorder="1" applyProtection="1">
      <alignment/>
      <protection/>
    </xf>
    <xf numFmtId="5" fontId="5" fillId="0" borderId="0" xfId="23" applyNumberFormat="1" applyFont="1" applyBorder="1">
      <alignment/>
      <protection/>
    </xf>
    <xf numFmtId="165" fontId="5" fillId="0" borderId="0" xfId="23" applyNumberFormat="1" applyFont="1" applyProtection="1">
      <alignment/>
      <protection/>
    </xf>
    <xf numFmtId="165" fontId="5" fillId="0" borderId="0" xfId="23" applyNumberFormat="1" applyFont="1" applyBorder="1" applyProtection="1">
      <alignment/>
      <protection/>
    </xf>
    <xf numFmtId="37" fontId="5" fillId="0" borderId="0" xfId="21" applyFont="1">
      <alignment/>
      <protection/>
    </xf>
    <xf numFmtId="37" fontId="5" fillId="0" borderId="0" xfId="21" applyFont="1" applyBorder="1">
      <alignment/>
      <protection/>
    </xf>
    <xf numFmtId="5" fontId="5" fillId="0" borderId="0" xfId="21" applyNumberFormat="1" applyFont="1" applyBorder="1">
      <alignment/>
      <protection/>
    </xf>
    <xf numFmtId="174" fontId="5" fillId="0" borderId="0" xfId="23" applyNumberFormat="1" applyFont="1">
      <alignment/>
      <protection/>
    </xf>
    <xf numFmtId="174" fontId="5" fillId="0" borderId="0" xfId="23" applyNumberFormat="1" applyFont="1" applyBorder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applyProtection="1" quotePrefix="1">
      <alignment horizontal="left"/>
      <protection/>
    </xf>
    <xf numFmtId="0" fontId="8" fillId="0" borderId="1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fill"/>
      <protection/>
    </xf>
    <xf numFmtId="0" fontId="8" fillId="0" borderId="1" xfId="0" applyFont="1" applyBorder="1" applyAlignment="1" applyProtection="1">
      <alignment horizontal="center"/>
      <protection/>
    </xf>
    <xf numFmtId="5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1" xfId="0" applyNumberFormat="1" applyFont="1" applyBorder="1" applyAlignment="1" applyProtection="1">
      <alignment/>
      <protection/>
    </xf>
    <xf numFmtId="5" fontId="8" fillId="0" borderId="2" xfId="0" applyNumberFormat="1" applyFont="1" applyBorder="1" applyAlignment="1" applyProtection="1">
      <alignment/>
      <protection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/>
    </xf>
    <xf numFmtId="37" fontId="8" fillId="0" borderId="0" xfId="22" applyFont="1">
      <alignment/>
      <protection/>
    </xf>
    <xf numFmtId="37" fontId="8" fillId="0" borderId="0" xfId="22" applyFont="1" applyAlignment="1" applyProtection="1">
      <alignment horizontal="left"/>
      <protection/>
    </xf>
    <xf numFmtId="37" fontId="8" fillId="0" borderId="0" xfId="22" applyFont="1" applyAlignment="1" applyProtection="1" quotePrefix="1">
      <alignment horizontal="left"/>
      <protection/>
    </xf>
    <xf numFmtId="37" fontId="8" fillId="0" borderId="1" xfId="22" applyFont="1" applyBorder="1" applyAlignment="1" applyProtection="1">
      <alignment horizontal="left"/>
      <protection/>
    </xf>
    <xf numFmtId="37" fontId="8" fillId="0" borderId="1" xfId="22" applyFont="1" applyBorder="1">
      <alignment/>
      <protection/>
    </xf>
    <xf numFmtId="37" fontId="8" fillId="0" borderId="0" xfId="22" applyFont="1" applyAlignment="1" applyProtection="1">
      <alignment horizontal="fill"/>
      <protection/>
    </xf>
    <xf numFmtId="37" fontId="8" fillId="0" borderId="0" xfId="22" applyFont="1" applyAlignment="1" quotePrefix="1">
      <alignment horizontal="left"/>
      <protection/>
    </xf>
    <xf numFmtId="0" fontId="8" fillId="0" borderId="1" xfId="22" applyNumberFormat="1" applyFont="1" applyBorder="1" applyAlignment="1" applyProtection="1">
      <alignment horizontal="center"/>
      <protection/>
    </xf>
    <xf numFmtId="6" fontId="8" fillId="0" borderId="0" xfId="0" applyNumberFormat="1" applyFont="1" applyAlignment="1">
      <alignment/>
    </xf>
    <xf numFmtId="37" fontId="8" fillId="0" borderId="0" xfId="22" applyNumberFormat="1" applyFont="1" applyProtection="1">
      <alignment/>
      <protection/>
    </xf>
    <xf numFmtId="5" fontId="8" fillId="0" borderId="0" xfId="22" applyNumberFormat="1" applyFont="1" applyProtection="1">
      <alignment/>
      <protection/>
    </xf>
    <xf numFmtId="38" fontId="8" fillId="0" borderId="0" xfId="0" applyNumberFormat="1" applyFont="1" applyAlignment="1">
      <alignment/>
    </xf>
    <xf numFmtId="37" fontId="8" fillId="0" borderId="0" xfId="22" applyNumberFormat="1" applyFont="1" applyAlignment="1" applyProtection="1">
      <alignment horizontal="left"/>
      <protection/>
    </xf>
    <xf numFmtId="37" fontId="8" fillId="0" borderId="0" xfId="22" applyNumberFormat="1" applyFont="1" applyBorder="1" applyProtection="1">
      <alignment/>
      <protection/>
    </xf>
    <xf numFmtId="38" fontId="8" fillId="0" borderId="1" xfId="0" applyNumberFormat="1" applyFont="1" applyBorder="1" applyAlignment="1">
      <alignment/>
    </xf>
    <xf numFmtId="37" fontId="8" fillId="0" borderId="1" xfId="22" applyNumberFormat="1" applyFont="1" applyBorder="1" applyProtection="1">
      <alignment/>
      <protection/>
    </xf>
    <xf numFmtId="5" fontId="8" fillId="0" borderId="2" xfId="22" applyNumberFormat="1" applyFont="1" applyBorder="1">
      <alignment/>
      <protection/>
    </xf>
    <xf numFmtId="37" fontId="8" fillId="0" borderId="1" xfId="22" applyFont="1" applyBorder="1" applyAlignment="1" applyProtection="1" quotePrefix="1">
      <alignment horizontal="left"/>
      <protection/>
    </xf>
    <xf numFmtId="166" fontId="8" fillId="0" borderId="0" xfId="22" applyNumberFormat="1" applyFont="1" applyProtection="1">
      <alignment/>
      <protection/>
    </xf>
    <xf numFmtId="166" fontId="8" fillId="0" borderId="0" xfId="22" applyNumberFormat="1" applyFont="1" applyBorder="1" applyProtection="1">
      <alignment/>
      <protection/>
    </xf>
    <xf numFmtId="37" fontId="8" fillId="0" borderId="0" xfId="22" applyFont="1" applyBorder="1">
      <alignment/>
      <protection/>
    </xf>
    <xf numFmtId="37" fontId="8" fillId="0" borderId="0" xfId="22" applyFont="1" applyBorder="1" applyAlignment="1" applyProtection="1">
      <alignment horizontal="fill"/>
      <protection/>
    </xf>
    <xf numFmtId="0" fontId="8" fillId="0" borderId="1" xfId="0" applyFont="1" applyBorder="1" applyAlignment="1" applyProtection="1" quotePrefix="1">
      <alignment horizontal="left"/>
      <protection/>
    </xf>
    <xf numFmtId="37" fontId="8" fillId="0" borderId="0" xfId="0" applyNumberFormat="1" applyFont="1" applyAlignment="1" applyProtection="1">
      <alignment horizontal="left"/>
      <protection/>
    </xf>
    <xf numFmtId="5" fontId="8" fillId="0" borderId="0" xfId="0" applyNumberFormat="1" applyFont="1" applyAlignment="1">
      <alignment/>
    </xf>
    <xf numFmtId="0" fontId="8" fillId="0" borderId="0" xfId="22" applyNumberFormat="1" applyFont="1">
      <alignment/>
      <protection/>
    </xf>
    <xf numFmtId="0" fontId="8" fillId="0" borderId="0" xfId="22" applyNumberFormat="1" applyFont="1" applyBorder="1">
      <alignment/>
      <protection/>
    </xf>
    <xf numFmtId="37" fontId="8" fillId="0" borderId="0" xfId="22" applyFont="1" applyBorder="1" applyAlignment="1" applyProtection="1">
      <alignment horizontal="left"/>
      <protection/>
    </xf>
    <xf numFmtId="164" fontId="8" fillId="0" borderId="0" xfId="24" applyFont="1" applyAlignment="1" applyProtection="1">
      <alignment horizontal="left"/>
      <protection/>
    </xf>
    <xf numFmtId="164" fontId="8" fillId="0" borderId="0" xfId="24" applyFont="1">
      <alignment/>
      <protection/>
    </xf>
    <xf numFmtId="164" fontId="8" fillId="0" borderId="1" xfId="24" applyFont="1" applyBorder="1" applyAlignment="1" applyProtection="1">
      <alignment horizontal="left"/>
      <protection/>
    </xf>
    <xf numFmtId="164" fontId="8" fillId="0" borderId="1" xfId="24" applyFont="1" applyBorder="1" applyAlignment="1" applyProtection="1">
      <alignment horizontal="center"/>
      <protection/>
    </xf>
    <xf numFmtId="166" fontId="8" fillId="0" borderId="0" xfId="24" applyNumberFormat="1" applyFont="1" applyAlignment="1">
      <alignment horizontal="right"/>
      <protection/>
    </xf>
    <xf numFmtId="164" fontId="8" fillId="0" borderId="0" xfId="24" applyFont="1" applyAlignment="1">
      <alignment horizontal="right"/>
      <protection/>
    </xf>
    <xf numFmtId="164" fontId="8" fillId="0" borderId="0" xfId="24" applyFont="1" applyAlignment="1" applyProtection="1" quotePrefix="1">
      <alignment horizontal="left"/>
      <protection/>
    </xf>
    <xf numFmtId="164" fontId="8" fillId="0" borderId="0" xfId="24" applyFont="1" applyBorder="1" applyAlignment="1">
      <alignment horizontal="right"/>
      <protection/>
    </xf>
    <xf numFmtId="164" fontId="8" fillId="0" borderId="0" xfId="24" applyFont="1" applyBorder="1" applyAlignment="1" applyProtection="1">
      <alignment horizontal="right"/>
      <protection/>
    </xf>
    <xf numFmtId="164" fontId="8" fillId="0" borderId="0" xfId="24" applyFont="1" applyAlignment="1" applyProtection="1">
      <alignment horizontal="fill"/>
      <protection/>
    </xf>
    <xf numFmtId="164" fontId="8" fillId="0" borderId="1" xfId="24" applyFont="1" applyBorder="1" applyAlignment="1" applyProtection="1" quotePrefix="1">
      <alignment horizontal="left"/>
      <protection/>
    </xf>
    <xf numFmtId="166" fontId="8" fillId="0" borderId="0" xfId="24" applyNumberFormat="1" applyFont="1" applyAlignment="1" applyProtection="1">
      <alignment horizontal="right"/>
      <protection/>
    </xf>
    <xf numFmtId="166" fontId="8" fillId="0" borderId="0" xfId="24" applyNumberFormat="1" applyFont="1" applyBorder="1" applyAlignment="1" applyProtection="1">
      <alignment horizontal="right"/>
      <protection/>
    </xf>
    <xf numFmtId="164" fontId="8" fillId="0" borderId="0" xfId="24" applyFont="1" applyBorder="1" applyAlignment="1" applyProtection="1">
      <alignment horizontal="fill"/>
      <protection/>
    </xf>
    <xf numFmtId="164" fontId="8" fillId="0" borderId="0" xfId="24" applyFont="1" applyBorder="1">
      <alignment/>
      <protection/>
    </xf>
    <xf numFmtId="38" fontId="8" fillId="0" borderId="0" xfId="24" applyNumberFormat="1" applyFont="1">
      <alignment/>
      <protection/>
    </xf>
    <xf numFmtId="5" fontId="8" fillId="0" borderId="2" xfId="24" applyNumberFormat="1" applyFont="1" applyBorder="1" applyAlignment="1">
      <alignment/>
      <protection/>
    </xf>
    <xf numFmtId="5" fontId="8" fillId="0" borderId="0" xfId="24" applyNumberFormat="1" applyFont="1" applyAlignment="1">
      <alignment horizontal="center"/>
      <protection/>
    </xf>
    <xf numFmtId="37" fontId="8" fillId="0" borderId="0" xfId="22" applyFont="1" applyAlignment="1" applyProtection="1">
      <alignment/>
      <protection/>
    </xf>
    <xf numFmtId="5" fontId="8" fillId="0" borderId="0" xfId="22" applyNumberFormat="1" applyFont="1">
      <alignment/>
      <protection/>
    </xf>
    <xf numFmtId="5" fontId="8" fillId="0" borderId="2" xfId="22" applyNumberFormat="1" applyFont="1" applyBorder="1" applyProtection="1">
      <alignment/>
      <protection/>
    </xf>
    <xf numFmtId="37" fontId="8" fillId="0" borderId="0" xfId="22" applyNumberFormat="1" applyFont="1" applyAlignment="1" applyProtection="1">
      <alignment horizontal="fill"/>
      <protection/>
    </xf>
    <xf numFmtId="37" fontId="8" fillId="0" borderId="0" xfId="24" applyNumberFormat="1" applyFont="1" applyAlignment="1" applyProtection="1">
      <alignment horizontal="left"/>
      <protection/>
    </xf>
    <xf numFmtId="37" fontId="8" fillId="0" borderId="0" xfId="24" applyNumberFormat="1" applyFont="1">
      <alignment/>
      <protection/>
    </xf>
    <xf numFmtId="37" fontId="8" fillId="0" borderId="1" xfId="24" applyNumberFormat="1" applyFont="1" applyBorder="1" applyAlignment="1" applyProtection="1" quotePrefix="1">
      <alignment horizontal="left"/>
      <protection/>
    </xf>
    <xf numFmtId="37" fontId="8" fillId="0" borderId="1" xfId="24" applyNumberFormat="1" applyFont="1" applyBorder="1">
      <alignment/>
      <protection/>
    </xf>
    <xf numFmtId="37" fontId="8" fillId="0" borderId="0" xfId="24" applyNumberFormat="1" applyFont="1" applyAlignment="1" applyProtection="1">
      <alignment/>
      <protection/>
    </xf>
    <xf numFmtId="37" fontId="8" fillId="0" borderId="0" xfId="24" applyNumberFormat="1" applyFont="1" applyAlignment="1" applyProtection="1">
      <alignment horizontal="fill"/>
      <protection/>
    </xf>
    <xf numFmtId="0" fontId="8" fillId="0" borderId="1" xfId="24" applyNumberFormat="1" applyFont="1" applyBorder="1" applyAlignment="1" applyProtection="1">
      <alignment horizontal="center"/>
      <protection/>
    </xf>
    <xf numFmtId="0" fontId="8" fillId="0" borderId="0" xfId="24" applyNumberFormat="1" applyFont="1">
      <alignment/>
      <protection/>
    </xf>
    <xf numFmtId="5" fontId="8" fillId="0" borderId="0" xfId="24" applyNumberFormat="1" applyFont="1">
      <alignment/>
      <protection/>
    </xf>
    <xf numFmtId="5" fontId="8" fillId="0" borderId="2" xfId="24" applyNumberFormat="1" applyFont="1" applyBorder="1" applyProtection="1">
      <alignment/>
      <protection/>
    </xf>
    <xf numFmtId="37" fontId="8" fillId="0" borderId="0" xfId="24" applyNumberFormat="1" applyFont="1" applyProtection="1">
      <alignment/>
      <protection/>
    </xf>
    <xf numFmtId="37" fontId="8" fillId="0" borderId="0" xfId="24" applyNumberFormat="1" applyFont="1" applyAlignment="1" applyProtection="1" quotePrefix="1">
      <alignment horizontal="left"/>
      <protection/>
    </xf>
    <xf numFmtId="37" fontId="8" fillId="0" borderId="0" xfId="22" applyFont="1" applyBorder="1" applyAlignment="1" applyProtection="1" quotePrefix="1">
      <alignment horizontal="left"/>
      <protection/>
    </xf>
    <xf numFmtId="37" fontId="8" fillId="0" borderId="0" xfId="23" applyFont="1" applyAlignment="1" applyProtection="1">
      <alignment horizontal="left"/>
      <protection/>
    </xf>
    <xf numFmtId="37" fontId="9" fillId="0" borderId="0" xfId="23" applyFont="1">
      <alignment/>
      <protection/>
    </xf>
    <xf numFmtId="37" fontId="8" fillId="0" borderId="0" xfId="23" applyFont="1">
      <alignment/>
      <protection/>
    </xf>
    <xf numFmtId="37" fontId="8" fillId="0" borderId="1" xfId="23" applyFont="1" applyBorder="1" applyAlignment="1" applyProtection="1" quotePrefix="1">
      <alignment horizontal="left"/>
      <protection/>
    </xf>
    <xf numFmtId="37" fontId="9" fillId="0" borderId="0" xfId="23" applyFont="1" applyAlignment="1" applyProtection="1">
      <alignment horizontal="fill"/>
      <protection/>
    </xf>
    <xf numFmtId="37" fontId="8" fillId="0" borderId="0" xfId="23" applyFont="1" applyAlignment="1" quotePrefix="1">
      <alignment horizontal="left"/>
      <protection/>
    </xf>
    <xf numFmtId="0" fontId="8" fillId="0" borderId="1" xfId="23" applyNumberFormat="1" applyFont="1" applyBorder="1" applyAlignment="1" applyProtection="1">
      <alignment horizontal="center"/>
      <protection/>
    </xf>
    <xf numFmtId="0" fontId="8" fillId="0" borderId="0" xfId="23" applyNumberFormat="1" applyFont="1">
      <alignment/>
      <protection/>
    </xf>
    <xf numFmtId="37" fontId="8" fillId="0" borderId="0" xfId="23" applyFont="1" applyAlignment="1" applyProtection="1">
      <alignment horizontal="fill"/>
      <protection/>
    </xf>
    <xf numFmtId="3" fontId="8" fillId="0" borderId="0" xfId="0" applyNumberFormat="1" applyFont="1" applyAlignment="1">
      <alignment/>
    </xf>
    <xf numFmtId="37" fontId="8" fillId="0" borderId="0" xfId="23" applyNumberFormat="1" applyFont="1" applyAlignment="1" applyProtection="1">
      <alignment horizontal="right"/>
      <protection/>
    </xf>
    <xf numFmtId="37" fontId="8" fillId="0" borderId="0" xfId="23" applyFont="1" applyAlignment="1" applyProtection="1" quotePrefix="1">
      <alignment horizontal="left"/>
      <protection/>
    </xf>
    <xf numFmtId="37" fontId="8" fillId="0" borderId="0" xfId="23" applyFont="1" applyBorder="1" applyAlignment="1" applyProtection="1">
      <alignment horizontal="left"/>
      <protection/>
    </xf>
    <xf numFmtId="3" fontId="8" fillId="0" borderId="1" xfId="0" applyNumberFormat="1" applyFont="1" applyBorder="1" applyAlignment="1">
      <alignment/>
    </xf>
    <xf numFmtId="37" fontId="8" fillId="0" borderId="1" xfId="23" applyNumberFormat="1" applyFont="1" applyBorder="1" applyAlignment="1" applyProtection="1">
      <alignment horizontal="right"/>
      <protection/>
    </xf>
    <xf numFmtId="37" fontId="8" fillId="0" borderId="0" xfId="23" applyFont="1" applyBorder="1" applyAlignment="1" applyProtection="1">
      <alignment horizontal="right"/>
      <protection/>
    </xf>
    <xf numFmtId="37" fontId="8" fillId="0" borderId="0" xfId="23" applyFont="1" applyAlignment="1">
      <alignment horizontal="right"/>
      <protection/>
    </xf>
    <xf numFmtId="5" fontId="8" fillId="0" borderId="2" xfId="23" applyNumberFormat="1" applyFont="1" applyBorder="1" applyAlignment="1" applyProtection="1">
      <alignment horizontal="right"/>
      <protection/>
    </xf>
    <xf numFmtId="5" fontId="8" fillId="0" borderId="0" xfId="23" applyNumberFormat="1" applyFont="1" applyAlignment="1" applyProtection="1">
      <alignment horizontal="right"/>
      <protection/>
    </xf>
    <xf numFmtId="5" fontId="8" fillId="0" borderId="0" xfId="23" applyNumberFormat="1" applyFont="1" applyBorder="1" applyAlignment="1" applyProtection="1">
      <alignment horizontal="right"/>
      <protection/>
    </xf>
    <xf numFmtId="37" fontId="8" fillId="0" borderId="0" xfId="23" applyFont="1" applyAlignment="1">
      <alignment horizontal="left"/>
      <protection/>
    </xf>
    <xf numFmtId="37" fontId="8" fillId="0" borderId="0" xfId="23" applyFont="1" applyBorder="1" applyAlignment="1" applyProtection="1" quotePrefix="1">
      <alignment horizontal="left"/>
      <protection/>
    </xf>
    <xf numFmtId="37" fontId="8" fillId="0" borderId="0" xfId="23" applyFont="1" applyBorder="1">
      <alignment/>
      <protection/>
    </xf>
    <xf numFmtId="166" fontId="8" fillId="0" borderId="0" xfId="23" applyNumberFormat="1" applyFont="1" applyAlignment="1" applyProtection="1">
      <alignment horizontal="right"/>
      <protection/>
    </xf>
    <xf numFmtId="37" fontId="8" fillId="0" borderId="0" xfId="23" applyFont="1" applyBorder="1" applyAlignment="1">
      <alignment horizontal="right"/>
      <protection/>
    </xf>
    <xf numFmtId="37" fontId="8" fillId="0" borderId="0" xfId="23" applyFont="1" applyBorder="1" applyAlignment="1" applyProtection="1">
      <alignment horizontal="fill"/>
      <protection/>
    </xf>
    <xf numFmtId="3" fontId="8" fillId="0" borderId="0" xfId="0" applyNumberFormat="1" applyFont="1" applyAlignment="1">
      <alignment/>
    </xf>
    <xf numFmtId="37" fontId="8" fillId="0" borderId="0" xfId="23" applyNumberFormat="1" applyFont="1" applyProtection="1">
      <alignment/>
      <protection/>
    </xf>
    <xf numFmtId="3" fontId="8" fillId="0" borderId="1" xfId="0" applyNumberFormat="1" applyFont="1" applyBorder="1" applyAlignment="1">
      <alignment/>
    </xf>
    <xf numFmtId="37" fontId="8" fillId="0" borderId="0" xfId="23" applyNumberFormat="1" applyFont="1" applyBorder="1" applyProtection="1">
      <alignment/>
      <protection/>
    </xf>
    <xf numFmtId="37" fontId="8" fillId="0" borderId="1" xfId="23" applyNumberFormat="1" applyFont="1" applyBorder="1" applyProtection="1">
      <alignment/>
      <protection/>
    </xf>
    <xf numFmtId="37" fontId="8" fillId="0" borderId="0" xfId="23" applyNumberFormat="1" applyFont="1" applyAlignment="1" applyProtection="1">
      <alignment horizontal="fill"/>
      <protection/>
    </xf>
    <xf numFmtId="5" fontId="8" fillId="0" borderId="2" xfId="23" applyNumberFormat="1" applyFont="1" applyBorder="1" applyProtection="1">
      <alignment/>
      <protection/>
    </xf>
    <xf numFmtId="5" fontId="8" fillId="0" borderId="0" xfId="23" applyNumberFormat="1" applyFont="1" applyBorder="1" applyProtection="1">
      <alignment/>
      <protection/>
    </xf>
    <xf numFmtId="37" fontId="8" fillId="0" borderId="0" xfId="23" applyFont="1" applyAlignment="1" applyProtection="1">
      <alignment horizontal="right"/>
      <protection/>
    </xf>
    <xf numFmtId="166" fontId="8" fillId="0" borderId="0" xfId="23" applyNumberFormat="1" applyFont="1" applyProtection="1">
      <alignment/>
      <protection/>
    </xf>
    <xf numFmtId="166" fontId="8" fillId="0" borderId="0" xfId="23" applyNumberFormat="1" applyFont="1" applyBorder="1" applyProtection="1">
      <alignment/>
      <protection/>
    </xf>
    <xf numFmtId="37" fontId="8" fillId="0" borderId="0" xfId="23" applyFont="1" applyBorder="1" applyAlignment="1" applyProtection="1" quotePrefix="1">
      <alignment horizontal="fill"/>
      <protection/>
    </xf>
    <xf numFmtId="165" fontId="8" fillId="0" borderId="0" xfId="23" applyNumberFormat="1" applyFont="1" applyBorder="1" applyProtection="1">
      <alignment/>
      <protection/>
    </xf>
    <xf numFmtId="37" fontId="8" fillId="0" borderId="0" xfId="23" applyNumberFormat="1" applyFont="1" applyBorder="1" applyAlignment="1" applyProtection="1">
      <alignment horizontal="fill"/>
      <protection/>
    </xf>
    <xf numFmtId="37" fontId="8" fillId="0" borderId="0" xfId="21" applyFont="1" applyAlignment="1" applyProtection="1">
      <alignment horizontal="left"/>
      <protection/>
    </xf>
    <xf numFmtId="37" fontId="8" fillId="0" borderId="0" xfId="21" applyFont="1">
      <alignment/>
      <protection/>
    </xf>
    <xf numFmtId="37" fontId="8" fillId="0" borderId="0" xfId="21" applyFont="1" applyAlignment="1" applyProtection="1" quotePrefix="1">
      <alignment horizontal="left"/>
      <protection/>
    </xf>
    <xf numFmtId="37" fontId="8" fillId="0" borderId="1" xfId="21" applyFont="1" applyBorder="1" applyAlignment="1" applyProtection="1" quotePrefix="1">
      <alignment horizontal="left"/>
      <protection/>
    </xf>
    <xf numFmtId="37" fontId="8" fillId="0" borderId="0" xfId="21" applyNumberFormat="1" applyFont="1" applyProtection="1">
      <alignment/>
      <protection/>
    </xf>
    <xf numFmtId="37" fontId="8" fillId="0" borderId="0" xfId="21" applyFont="1" applyBorder="1">
      <alignment/>
      <protection/>
    </xf>
    <xf numFmtId="37" fontId="8" fillId="0" borderId="3" xfId="22" applyFont="1" applyBorder="1" applyAlignment="1" applyProtection="1">
      <alignment horizontal="fill"/>
      <protection/>
    </xf>
    <xf numFmtId="5" fontId="8" fillId="0" borderId="2" xfId="21" applyNumberFormat="1" applyFont="1" applyBorder="1" applyProtection="1">
      <alignment/>
      <protection/>
    </xf>
    <xf numFmtId="5" fontId="8" fillId="0" borderId="0" xfId="21" applyNumberFormat="1" applyFont="1" applyBorder="1">
      <alignment/>
      <protection/>
    </xf>
    <xf numFmtId="37" fontId="8" fillId="0" borderId="0" xfId="21" applyFont="1" applyAlignment="1" applyProtection="1">
      <alignment horizontal="fill"/>
      <protection/>
    </xf>
    <xf numFmtId="37" fontId="8" fillId="0" borderId="3" xfId="23" applyFont="1" applyBorder="1">
      <alignment/>
      <protection/>
    </xf>
    <xf numFmtId="5" fontId="8" fillId="0" borderId="2" xfId="23" applyNumberFormat="1" applyFont="1" applyBorder="1">
      <alignment/>
      <protection/>
    </xf>
    <xf numFmtId="5" fontId="8" fillId="0" borderId="0" xfId="23" applyNumberFormat="1" applyFont="1" applyBorder="1">
      <alignment/>
      <protection/>
    </xf>
    <xf numFmtId="164" fontId="8" fillId="0" borderId="0" xfId="24" applyFont="1" applyAlignment="1">
      <alignment horizontal="center"/>
      <protection/>
    </xf>
    <xf numFmtId="37" fontId="8" fillId="0" borderId="1" xfId="23" applyFont="1" applyBorder="1" applyAlignment="1" applyProtection="1">
      <alignment horizontal="left"/>
      <protection/>
    </xf>
    <xf numFmtId="0" fontId="8" fillId="0" borderId="0" xfId="23" applyNumberFormat="1" applyFont="1" applyBorder="1">
      <alignment/>
      <protection/>
    </xf>
    <xf numFmtId="37" fontId="8" fillId="0" borderId="0" xfId="23" applyNumberFormat="1" applyFont="1" applyBorder="1" applyAlignment="1" applyProtection="1">
      <alignment horizontal="right"/>
      <protection/>
    </xf>
    <xf numFmtId="166" fontId="8" fillId="0" borderId="0" xfId="23" applyNumberFormat="1" applyFont="1" applyBorder="1" applyAlignment="1" applyProtection="1">
      <alignment horizontal="fill"/>
      <protection/>
    </xf>
    <xf numFmtId="5" fontId="8" fillId="0" borderId="2" xfId="23" applyNumberFormat="1" applyFont="1" applyBorder="1" applyAlignment="1" applyProtection="1">
      <alignment/>
      <protection/>
    </xf>
    <xf numFmtId="37" fontId="8" fillId="0" borderId="0" xfId="23" applyNumberFormat="1" applyFont="1" applyAlignment="1" applyProtection="1" quotePrefix="1">
      <alignment horizontal="left"/>
      <protection/>
    </xf>
    <xf numFmtId="174" fontId="8" fillId="0" borderId="0" xfId="23" applyNumberFormat="1" applyFont="1">
      <alignment/>
      <protection/>
    </xf>
    <xf numFmtId="174" fontId="8" fillId="0" borderId="2" xfId="23" applyNumberFormat="1" applyFont="1" applyBorder="1" applyAlignment="1">
      <alignment horizontal="right"/>
      <protection/>
    </xf>
    <xf numFmtId="174" fontId="8" fillId="0" borderId="0" xfId="23" applyNumberFormat="1" applyFont="1" applyBorder="1" applyProtection="1">
      <alignment/>
      <protection/>
    </xf>
    <xf numFmtId="37" fontId="8" fillId="0" borderId="0" xfId="23" applyFont="1" applyBorder="1" applyAlignment="1" applyProtection="1">
      <alignment horizontal="center"/>
      <protection/>
    </xf>
    <xf numFmtId="0" fontId="8" fillId="0" borderId="0" xfId="23" applyNumberFormat="1" applyFont="1" applyBorder="1" applyAlignment="1" applyProtection="1">
      <alignment horizontal="center"/>
      <protection/>
    </xf>
    <xf numFmtId="0" fontId="8" fillId="0" borderId="0" xfId="23" applyNumberFormat="1" applyFont="1" applyAlignment="1">
      <alignment horizontal="center"/>
      <protection/>
    </xf>
    <xf numFmtId="37" fontId="5" fillId="0" borderId="0" xfId="23" applyFont="1" applyAlignment="1">
      <alignment horizontal="center"/>
      <protection/>
    </xf>
    <xf numFmtId="37" fontId="8" fillId="0" borderId="0" xfId="23" applyFont="1" applyAlignment="1">
      <alignment horizontal="center"/>
      <protection/>
    </xf>
    <xf numFmtId="165" fontId="8" fillId="0" borderId="0" xfId="23" applyNumberFormat="1" applyFont="1" applyAlignment="1" applyProtection="1">
      <alignment horizontal="center"/>
      <protection/>
    </xf>
    <xf numFmtId="5" fontId="8" fillId="0" borderId="0" xfId="0" applyNumberFormat="1" applyFont="1" applyAlignment="1">
      <alignment/>
    </xf>
    <xf numFmtId="5" fontId="8" fillId="0" borderId="0" xfId="23" applyNumberFormat="1" applyFont="1" applyProtection="1">
      <alignment/>
      <protection/>
    </xf>
    <xf numFmtId="5" fontId="5" fillId="0" borderId="0" xfId="23" applyNumberFormat="1" applyFont="1">
      <alignment/>
      <protection/>
    </xf>
    <xf numFmtId="5" fontId="8" fillId="0" borderId="0" xfId="21" applyNumberFormat="1" applyFont="1">
      <alignment/>
      <protection/>
    </xf>
    <xf numFmtId="5" fontId="8" fillId="0" borderId="0" xfId="21" applyNumberFormat="1" applyFont="1" applyProtection="1">
      <alignment/>
      <protection/>
    </xf>
    <xf numFmtId="5" fontId="5" fillId="0" borderId="0" xfId="21" applyNumberFormat="1" applyFont="1">
      <alignment/>
      <protection/>
    </xf>
    <xf numFmtId="5" fontId="8" fillId="0" borderId="0" xfId="23" applyNumberFormat="1" applyFont="1">
      <alignment/>
      <protection/>
    </xf>
    <xf numFmtId="5" fontId="5" fillId="0" borderId="0" xfId="23" applyNumberFormat="1" applyFont="1" applyBorder="1" applyAlignment="1">
      <alignment horizontal="right"/>
      <protection/>
    </xf>
    <xf numFmtId="5" fontId="5" fillId="0" borderId="0" xfId="23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right"/>
      <protection/>
    </xf>
    <xf numFmtId="175" fontId="8" fillId="0" borderId="0" xfId="0" applyNumberFormat="1" applyFont="1" applyAlignment="1" applyProtection="1">
      <alignment/>
      <protection/>
    </xf>
    <xf numFmtId="175" fontId="8" fillId="0" borderId="0" xfId="0" applyNumberFormat="1" applyFont="1" applyAlignment="1">
      <alignment/>
    </xf>
    <xf numFmtId="175" fontId="5" fillId="0" borderId="0" xfId="22" applyNumberFormat="1" applyFont="1">
      <alignment/>
      <protection/>
    </xf>
    <xf numFmtId="175" fontId="8" fillId="0" borderId="0" xfId="0" applyNumberFormat="1" applyFont="1" applyBorder="1" applyAlignment="1" applyProtection="1">
      <alignment/>
      <protection/>
    </xf>
    <xf numFmtId="175" fontId="8" fillId="0" borderId="0" xfId="0" applyNumberFormat="1" applyFont="1" applyBorder="1" applyAlignment="1">
      <alignment/>
    </xf>
    <xf numFmtId="175" fontId="5" fillId="0" borderId="0" xfId="22" applyNumberFormat="1" applyFont="1" applyBorder="1">
      <alignment/>
      <protection/>
    </xf>
    <xf numFmtId="175" fontId="8" fillId="0" borderId="0" xfId="0" applyNumberFormat="1" applyFont="1" applyAlignment="1" applyProtection="1">
      <alignment horizontal="fill"/>
      <protection/>
    </xf>
    <xf numFmtId="175" fontId="5" fillId="0" borderId="0" xfId="0" applyNumberFormat="1" applyFont="1" applyAlignment="1" applyProtection="1">
      <alignment horizontal="fill"/>
      <protection/>
    </xf>
    <xf numFmtId="175" fontId="8" fillId="0" borderId="0" xfId="22" applyNumberFormat="1" applyFont="1" applyProtection="1">
      <alignment/>
      <protection/>
    </xf>
    <xf numFmtId="175" fontId="8" fillId="0" borderId="0" xfId="22" applyNumberFormat="1" applyFont="1">
      <alignment/>
      <protection/>
    </xf>
    <xf numFmtId="175" fontId="8" fillId="0" borderId="0" xfId="22" applyNumberFormat="1" applyFont="1" applyBorder="1" applyProtection="1">
      <alignment/>
      <protection/>
    </xf>
    <xf numFmtId="175" fontId="8" fillId="0" borderId="0" xfId="22" applyNumberFormat="1" applyFont="1" applyBorder="1">
      <alignment/>
      <protection/>
    </xf>
    <xf numFmtId="175" fontId="8" fillId="0" borderId="0" xfId="22" applyNumberFormat="1" applyFont="1" applyAlignment="1" applyProtection="1">
      <alignment horizontal="right"/>
      <protection/>
    </xf>
    <xf numFmtId="175" fontId="5" fillId="0" borderId="0" xfId="0" applyNumberFormat="1" applyFont="1" applyAlignment="1">
      <alignment/>
    </xf>
    <xf numFmtId="175" fontId="5" fillId="0" borderId="0" xfId="0" applyNumberFormat="1" applyFont="1" applyAlignment="1" applyProtection="1">
      <alignment/>
      <protection/>
    </xf>
    <xf numFmtId="175" fontId="5" fillId="0" borderId="0" xfId="0" applyNumberFormat="1" applyFont="1" applyBorder="1" applyAlignment="1">
      <alignment/>
    </xf>
    <xf numFmtId="37" fontId="5" fillId="0" borderId="0" xfId="22" applyFont="1" applyAlignment="1" applyProtection="1">
      <alignment horizontal="left"/>
      <protection/>
    </xf>
    <xf numFmtId="5" fontId="5" fillId="0" borderId="0" xfId="22" applyNumberFormat="1" applyFo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5" fontId="5" fillId="0" borderId="0" xfId="0" applyNumberFormat="1" applyFont="1" applyAlignment="1">
      <alignment/>
    </xf>
    <xf numFmtId="37" fontId="5" fillId="0" borderId="0" xfId="22" applyNumberFormat="1" applyFont="1" applyBorder="1" applyProtection="1">
      <alignment/>
      <protection/>
    </xf>
    <xf numFmtId="166" fontId="5" fillId="0" borderId="0" xfId="22" applyNumberFormat="1" applyFont="1" applyBorder="1" applyProtection="1">
      <alignment/>
      <protection/>
    </xf>
    <xf numFmtId="0" fontId="5" fillId="0" borderId="0" xfId="0" applyFont="1" applyAlignment="1">
      <alignment horizontal="left"/>
    </xf>
    <xf numFmtId="37" fontId="5" fillId="0" borderId="0" xfId="22" applyFont="1" applyAlignment="1">
      <alignment horizontal="left"/>
      <protection/>
    </xf>
    <xf numFmtId="175" fontId="5" fillId="0" borderId="0" xfId="22" applyNumberFormat="1" applyFont="1" applyAlignment="1">
      <alignment horizontal="right"/>
      <protection/>
    </xf>
    <xf numFmtId="175" fontId="5" fillId="0" borderId="0" xfId="22" applyNumberFormat="1" applyFont="1" applyAlignment="1" applyProtection="1">
      <alignment horizontal="right"/>
      <protection/>
    </xf>
    <xf numFmtId="175" fontId="8" fillId="0" borderId="0" xfId="22" applyNumberFormat="1" applyFont="1" applyBorder="1" applyAlignment="1" applyProtection="1">
      <alignment horizontal="right"/>
      <protection/>
    </xf>
    <xf numFmtId="175" fontId="5" fillId="0" borderId="0" xfId="22" applyNumberFormat="1" applyFont="1" applyBorder="1" applyAlignment="1" applyProtection="1">
      <alignment horizontal="right"/>
      <protection/>
    </xf>
    <xf numFmtId="175" fontId="8" fillId="0" borderId="0" xfId="22" applyNumberFormat="1" applyFont="1" applyBorder="1" applyAlignment="1">
      <alignment horizontal="right"/>
      <protection/>
    </xf>
    <xf numFmtId="175" fontId="5" fillId="0" borderId="0" xfId="24" applyNumberFormat="1" applyFont="1">
      <alignment/>
      <protection/>
    </xf>
    <xf numFmtId="175" fontId="8" fillId="0" borderId="0" xfId="24" applyNumberFormat="1" applyFont="1" applyAlignment="1">
      <alignment horizontal="center"/>
      <protection/>
    </xf>
    <xf numFmtId="175" fontId="8" fillId="0" borderId="0" xfId="24" applyNumberFormat="1" applyFont="1">
      <alignment/>
      <protection/>
    </xf>
    <xf numFmtId="175" fontId="8" fillId="0" borderId="0" xfId="24" applyNumberFormat="1" applyFont="1" applyBorder="1">
      <alignment/>
      <protection/>
    </xf>
    <xf numFmtId="38" fontId="8" fillId="0" borderId="0" xfId="0" applyNumberFormat="1" applyFont="1" applyAlignment="1">
      <alignment horizontal="right"/>
    </xf>
    <xf numFmtId="175" fontId="8" fillId="0" borderId="0" xfId="23" applyNumberFormat="1" applyFont="1" applyAlignment="1">
      <alignment horizontal="right"/>
      <protection/>
    </xf>
    <xf numFmtId="175" fontId="8" fillId="0" borderId="0" xfId="23" applyNumberFormat="1" applyFont="1" applyAlignment="1" applyProtection="1">
      <alignment horizontal="right"/>
      <protection/>
    </xf>
    <xf numFmtId="175" fontId="5" fillId="0" borderId="0" xfId="23" applyNumberFormat="1" applyFont="1" applyAlignment="1">
      <alignment horizontal="right"/>
      <protection/>
    </xf>
    <xf numFmtId="175" fontId="5" fillId="0" borderId="0" xfId="23" applyNumberFormat="1" applyFont="1">
      <alignment/>
      <protection/>
    </xf>
    <xf numFmtId="175" fontId="5" fillId="0" borderId="0" xfId="23" applyNumberFormat="1" applyFont="1" applyAlignment="1">
      <alignment horizontal="left"/>
      <protection/>
    </xf>
    <xf numFmtId="175" fontId="8" fillId="0" borderId="0" xfId="23" applyNumberFormat="1" applyFont="1" applyBorder="1" applyAlignment="1" applyProtection="1">
      <alignment horizontal="right"/>
      <protection/>
    </xf>
    <xf numFmtId="175" fontId="5" fillId="0" borderId="0" xfId="23" applyNumberFormat="1" applyFont="1" applyBorder="1" applyAlignment="1">
      <alignment horizontal="right"/>
      <protection/>
    </xf>
    <xf numFmtId="175" fontId="8" fillId="0" borderId="0" xfId="23" applyNumberFormat="1" applyFont="1" applyBorder="1" applyAlignment="1">
      <alignment horizontal="right"/>
      <protection/>
    </xf>
    <xf numFmtId="175" fontId="5" fillId="0" borderId="0" xfId="23" applyNumberFormat="1" applyFont="1" applyBorder="1" applyAlignment="1" applyProtection="1">
      <alignment horizontal="right"/>
      <protection/>
    </xf>
    <xf numFmtId="175" fontId="8" fillId="0" borderId="0" xfId="23" applyNumberFormat="1" applyFont="1" applyProtection="1">
      <alignment/>
      <protection/>
    </xf>
    <xf numFmtId="175" fontId="8" fillId="0" borderId="0" xfId="23" applyNumberFormat="1" applyFont="1" applyBorder="1" applyProtection="1">
      <alignment/>
      <protection/>
    </xf>
    <xf numFmtId="175" fontId="5" fillId="0" borderId="0" xfId="23" applyNumberFormat="1" applyFont="1" applyBorder="1">
      <alignment/>
      <protection/>
    </xf>
    <xf numFmtId="175" fontId="5" fillId="0" borderId="0" xfId="23" applyNumberFormat="1" applyFont="1" applyBorder="1" applyAlignment="1" applyProtection="1">
      <alignment horizontal="left"/>
      <protection/>
    </xf>
    <xf numFmtId="175" fontId="8" fillId="0" borderId="0" xfId="23" applyNumberFormat="1" applyFont="1" applyBorder="1">
      <alignment/>
      <protection/>
    </xf>
    <xf numFmtId="175" fontId="5" fillId="0" borderId="0" xfId="23" applyNumberFormat="1" applyFont="1" applyBorder="1" applyProtection="1">
      <alignment/>
      <protection/>
    </xf>
    <xf numFmtId="165" fontId="8" fillId="0" borderId="0" xfId="23" applyNumberFormat="1" applyFont="1" applyBorder="1" applyAlignment="1" applyProtection="1">
      <alignment horizontal="center"/>
      <protection/>
    </xf>
    <xf numFmtId="37" fontId="8" fillId="0" borderId="0" xfId="21" applyNumberFormat="1" applyFont="1" applyAlignment="1" applyProtection="1">
      <alignment horizontal="right"/>
      <protection/>
    </xf>
    <xf numFmtId="37" fontId="8" fillId="0" borderId="0" xfId="24" applyNumberFormat="1" applyFont="1" applyBorder="1">
      <alignment/>
      <protection/>
    </xf>
    <xf numFmtId="37" fontId="9" fillId="0" borderId="0" xfId="23" applyFont="1" applyBorder="1">
      <alignment/>
      <protection/>
    </xf>
    <xf numFmtId="37" fontId="10" fillId="0" borderId="0" xfId="22" applyFont="1" applyBorder="1">
      <alignment/>
      <protection/>
    </xf>
    <xf numFmtId="37" fontId="8" fillId="0" borderId="0" xfId="0" applyNumberFormat="1" applyFont="1" applyAlignment="1" applyProtection="1">
      <alignment horizontal="center"/>
      <protection/>
    </xf>
    <xf numFmtId="37" fontId="8" fillId="0" borderId="0" xfId="23" applyNumberFormat="1" applyFont="1" applyAlignment="1" applyProtection="1">
      <alignment horizontal="center"/>
      <protection/>
    </xf>
    <xf numFmtId="37" fontId="8" fillId="0" borderId="1" xfId="21" applyNumberFormat="1" applyFont="1" applyBorder="1" applyProtection="1">
      <alignment/>
      <protection/>
    </xf>
    <xf numFmtId="37" fontId="8" fillId="0" borderId="1" xfId="23" applyFont="1" applyBorder="1">
      <alignment/>
      <protection/>
    </xf>
    <xf numFmtId="0" fontId="8" fillId="0" borderId="0" xfId="0" applyFont="1" applyBorder="1" applyAlignment="1" applyProtection="1">
      <alignment horizontal="center"/>
      <protection/>
    </xf>
    <xf numFmtId="37" fontId="8" fillId="0" borderId="0" xfId="23" applyFont="1" applyFill="1" applyAlignment="1" applyProtection="1">
      <alignment horizontal="left"/>
      <protection/>
    </xf>
    <xf numFmtId="37" fontId="8" fillId="0" borderId="0" xfId="23" applyFont="1" applyFill="1">
      <alignment/>
      <protection/>
    </xf>
    <xf numFmtId="37" fontId="8" fillId="0" borderId="0" xfId="21" applyNumberFormat="1" applyFont="1" applyBorder="1" applyProtection="1">
      <alignment/>
      <protection/>
    </xf>
    <xf numFmtId="5" fontId="8" fillId="0" borderId="0" xfId="21" applyNumberFormat="1" applyFont="1" applyBorder="1" applyProtection="1">
      <alignment/>
      <protection/>
    </xf>
    <xf numFmtId="5" fontId="8" fillId="0" borderId="0" xfId="23" applyNumberFormat="1" applyFont="1" applyFill="1" applyProtection="1">
      <alignment/>
      <protection/>
    </xf>
    <xf numFmtId="37" fontId="5" fillId="0" borderId="0" xfId="23" applyFont="1" applyFill="1">
      <alignment/>
      <protection/>
    </xf>
    <xf numFmtId="37" fontId="8" fillId="0" borderId="0" xfId="23" applyNumberFormat="1" applyFont="1" applyFill="1" applyProtection="1">
      <alignment/>
      <protection/>
    </xf>
    <xf numFmtId="166" fontId="8" fillId="0" borderId="0" xfId="23" applyNumberFormat="1" applyFont="1" applyFill="1" applyAlignment="1" applyProtection="1">
      <alignment horizontal="right"/>
      <protection/>
    </xf>
    <xf numFmtId="37" fontId="8" fillId="0" borderId="1" xfId="23" applyNumberFormat="1" applyFont="1" applyFill="1" applyBorder="1" applyProtection="1">
      <alignment/>
      <protection/>
    </xf>
    <xf numFmtId="5" fontId="8" fillId="0" borderId="2" xfId="23" applyNumberFormat="1" applyFont="1" applyFill="1" applyBorder="1" applyProtection="1">
      <alignment/>
      <protection/>
    </xf>
    <xf numFmtId="166" fontId="8" fillId="0" borderId="0" xfId="24" applyNumberFormat="1" applyFont="1" applyFill="1" applyAlignment="1">
      <alignment horizontal="right"/>
      <protection/>
    </xf>
    <xf numFmtId="175" fontId="8" fillId="0" borderId="0" xfId="22" applyNumberFormat="1" applyFont="1" applyFill="1" applyAlignment="1" applyProtection="1">
      <alignment horizontal="right"/>
      <protection/>
    </xf>
    <xf numFmtId="5" fontId="8" fillId="0" borderId="0" xfId="23" applyNumberFormat="1" applyFont="1" applyBorder="1" applyAlignment="1" applyProtection="1">
      <alignment/>
      <protection/>
    </xf>
    <xf numFmtId="174" fontId="8" fillId="0" borderId="0" xfId="23" applyNumberFormat="1" applyFont="1" applyBorder="1" applyAlignment="1">
      <alignment horizontal="right"/>
      <protection/>
    </xf>
    <xf numFmtId="3" fontId="8" fillId="0" borderId="0" xfId="23" applyNumberFormat="1" applyFont="1" applyAlignment="1" applyProtection="1">
      <alignment horizontal="right"/>
      <protection/>
    </xf>
    <xf numFmtId="182" fontId="8" fillId="0" borderId="1" xfId="23" applyNumberFormat="1" applyFont="1" applyBorder="1" applyAlignment="1" applyProtection="1">
      <alignment horizontal="lef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%93" xfId="21"/>
    <cellStyle name="Normal_CASCT2" xfId="22"/>
    <cellStyle name="Normal_STATS93" xfId="23"/>
    <cellStyle name="Normal_WIN%9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\Annual%20Stats\Annual%20Stats%202000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N STATS"/>
      <sheetName val="OTHER CCC101 STATS"/>
      <sheetName val="INCOME STMT STATS"/>
      <sheetName val="Net Non-Gaming Rev w Claridge"/>
      <sheetName val="COMPLIMENTARIES"/>
      <sheetName val="CAPITAL EXPENDITU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J471"/>
  <sheetViews>
    <sheetView showGridLines="0" tabSelected="1" workbookViewId="0" topLeftCell="A1">
      <selection activeCell="A1" sqref="A1"/>
    </sheetView>
  </sheetViews>
  <sheetFormatPr defaultColWidth="12.57421875" defaultRowHeight="12.75"/>
  <cols>
    <col min="1" max="1" width="19.140625" style="1" customWidth="1"/>
    <col min="2" max="2" width="2.7109375" style="1" customWidth="1"/>
    <col min="3" max="3" width="11.7109375" style="1" customWidth="1"/>
    <col min="4" max="4" width="2.7109375" style="1" customWidth="1"/>
    <col min="5" max="5" width="11.7109375" style="1" customWidth="1"/>
    <col min="6" max="6" width="2.7109375" style="1" customWidth="1"/>
    <col min="7" max="7" width="11.7109375" style="1" customWidth="1"/>
    <col min="8" max="8" width="2.7109375" style="1" customWidth="1"/>
    <col min="9" max="9" width="11.7109375" style="1" customWidth="1"/>
    <col min="10" max="10" width="2.421875" style="1" customWidth="1"/>
    <col min="11" max="11" width="10.421875" style="1" customWidth="1"/>
    <col min="12" max="12" width="2.421875" style="1" customWidth="1"/>
    <col min="13" max="13" width="10.7109375" style="1" customWidth="1"/>
    <col min="14" max="14" width="2.421875" style="1" customWidth="1"/>
    <col min="15" max="15" width="10.7109375" style="1" customWidth="1"/>
    <col min="16" max="16" width="2.8515625" style="1" customWidth="1"/>
    <col min="17" max="17" width="12.57421875" style="1" customWidth="1"/>
    <col min="18" max="18" width="1.7109375" style="1" customWidth="1"/>
    <col min="19" max="19" width="12.57421875" style="1" customWidth="1"/>
    <col min="20" max="20" width="2.140625" style="1" customWidth="1"/>
    <col min="21" max="16384" width="12.57421875" style="1" customWidth="1"/>
  </cols>
  <sheetData>
    <row r="1" spans="1:19" ht="12">
      <c r="A1" s="40" t="s">
        <v>0</v>
      </c>
      <c r="B1" s="41"/>
      <c r="C1" s="41"/>
      <c r="D1" s="41"/>
      <c r="E1" s="4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">
      <c r="A2" s="42" t="s">
        <v>48</v>
      </c>
      <c r="B2" s="41"/>
      <c r="C2" s="41"/>
      <c r="D2" s="41"/>
      <c r="E2" s="4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2">
      <c r="A3" s="43" t="s">
        <v>120</v>
      </c>
      <c r="B3" s="44"/>
      <c r="C3" s="44"/>
      <c r="D3" s="44"/>
      <c r="E3" s="44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2">
      <c r="A4" s="40" t="s">
        <v>1</v>
      </c>
      <c r="B4" s="45"/>
      <c r="C4" s="45"/>
      <c r="D4" s="44"/>
      <c r="E4" s="44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2">
      <c r="A5" s="41"/>
      <c r="B5" s="41"/>
      <c r="C5" s="41"/>
      <c r="D5" s="41"/>
      <c r="E5" s="4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1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1" ht="12">
      <c r="A7" s="41"/>
      <c r="B7" s="41"/>
      <c r="C7" s="46">
        <v>2000</v>
      </c>
      <c r="D7" s="41"/>
      <c r="E7" s="46">
        <v>2001</v>
      </c>
      <c r="F7" s="41"/>
      <c r="G7" s="46">
        <v>2002</v>
      </c>
      <c r="I7" s="46">
        <v>2003</v>
      </c>
      <c r="K7" s="46">
        <v>2004</v>
      </c>
      <c r="M7" s="46">
        <v>2005</v>
      </c>
      <c r="O7" s="46">
        <v>2006</v>
      </c>
      <c r="Q7" s="46">
        <v>2007</v>
      </c>
      <c r="S7" s="46">
        <v>2008</v>
      </c>
      <c r="U7" s="46">
        <v>2009</v>
      </c>
    </row>
    <row r="8" spans="1:15" ht="12">
      <c r="A8" s="41"/>
      <c r="B8" s="41"/>
      <c r="C8" s="45"/>
      <c r="D8" s="41"/>
      <c r="E8" s="45"/>
      <c r="F8" s="41"/>
      <c r="G8" s="45"/>
      <c r="I8" s="45"/>
      <c r="K8" s="45"/>
      <c r="O8" s="55"/>
    </row>
    <row r="9" spans="1:21" ht="12">
      <c r="A9" s="40" t="s">
        <v>79</v>
      </c>
      <c r="B9" s="41"/>
      <c r="C9" s="47">
        <f>C95+C180</f>
        <v>324143</v>
      </c>
      <c r="D9" s="41"/>
      <c r="E9" s="47">
        <f>E95+E180</f>
        <v>326705</v>
      </c>
      <c r="F9" s="41"/>
      <c r="G9" s="47">
        <f>G95+G180</f>
        <v>308054</v>
      </c>
      <c r="I9" s="47">
        <f>I95+I180</f>
        <v>309359</v>
      </c>
      <c r="K9" s="47">
        <f>K95+K180</f>
        <v>295433</v>
      </c>
      <c r="M9" s="47">
        <f>M95+M180</f>
        <v>289416</v>
      </c>
      <c r="O9" s="47">
        <v>330083</v>
      </c>
      <c r="Q9" s="47">
        <v>304898</v>
      </c>
      <c r="S9" s="47">
        <v>249123</v>
      </c>
      <c r="U9" s="47">
        <v>192012</v>
      </c>
    </row>
    <row r="10" spans="1:15" ht="12">
      <c r="A10" s="41"/>
      <c r="B10" s="41"/>
      <c r="C10" s="48"/>
      <c r="D10" s="41"/>
      <c r="E10" s="48"/>
      <c r="F10" s="41"/>
      <c r="G10" s="48"/>
      <c r="I10" s="48"/>
      <c r="K10" s="48"/>
      <c r="M10" s="48"/>
      <c r="O10" s="55"/>
    </row>
    <row r="11" spans="1:21" ht="12">
      <c r="A11" s="40" t="s">
        <v>53</v>
      </c>
      <c r="B11" s="41"/>
      <c r="C11" s="48">
        <f>C97+C182</f>
        <v>521464</v>
      </c>
      <c r="D11" s="41"/>
      <c r="E11" s="48">
        <f>E97+E182</f>
        <v>520799</v>
      </c>
      <c r="F11" s="41"/>
      <c r="G11" s="48">
        <f>G97+G182</f>
        <v>526674</v>
      </c>
      <c r="I11" s="48">
        <f>I97+I182</f>
        <v>678078</v>
      </c>
      <c r="J11" s="220"/>
      <c r="K11" s="48">
        <f>K97+K182</f>
        <v>644728</v>
      </c>
      <c r="M11" s="48">
        <f>M97+M182</f>
        <v>645634</v>
      </c>
      <c r="O11" s="55">
        <v>677290</v>
      </c>
      <c r="Q11" s="55">
        <v>641418</v>
      </c>
      <c r="S11" s="55">
        <v>568070</v>
      </c>
      <c r="U11" s="55">
        <v>474346</v>
      </c>
    </row>
    <row r="12" spans="1:21" ht="12">
      <c r="A12" s="40"/>
      <c r="B12" s="41"/>
      <c r="C12" s="48"/>
      <c r="D12" s="41"/>
      <c r="E12" s="48"/>
      <c r="F12" s="41"/>
      <c r="G12" s="48"/>
      <c r="I12" s="48"/>
      <c r="K12" s="48"/>
      <c r="M12" s="48"/>
      <c r="O12" s="55"/>
      <c r="S12" s="55"/>
      <c r="U12" s="55"/>
    </row>
    <row r="13" spans="1:21" ht="12">
      <c r="A13" s="40" t="s">
        <v>86</v>
      </c>
      <c r="B13" s="41"/>
      <c r="C13" s="196" t="s">
        <v>85</v>
      </c>
      <c r="D13" s="41"/>
      <c r="E13" s="196" t="s">
        <v>85</v>
      </c>
      <c r="F13" s="41"/>
      <c r="G13" s="196" t="s">
        <v>85</v>
      </c>
      <c r="I13" s="48">
        <f>I99+I184</f>
        <v>266857</v>
      </c>
      <c r="K13" s="48">
        <f>K99+K184</f>
        <v>636541</v>
      </c>
      <c r="M13" s="48">
        <f>M99+M184</f>
        <v>704358</v>
      </c>
      <c r="O13" s="55">
        <v>739289</v>
      </c>
      <c r="Q13" s="55">
        <v>750967</v>
      </c>
      <c r="S13" s="55">
        <v>738779</v>
      </c>
      <c r="U13" s="55">
        <v>695331</v>
      </c>
    </row>
    <row r="14" spans="1:21" ht="12">
      <c r="A14" s="41"/>
      <c r="B14" s="41"/>
      <c r="C14" s="48"/>
      <c r="D14" s="41"/>
      <c r="E14" s="48"/>
      <c r="F14" s="41"/>
      <c r="G14" s="48"/>
      <c r="I14" s="48"/>
      <c r="K14" s="48"/>
      <c r="M14" s="48"/>
      <c r="O14" s="55"/>
      <c r="Q14" s="55"/>
      <c r="S14" s="55"/>
      <c r="U14" s="55"/>
    </row>
    <row r="15" spans="1:21" ht="12">
      <c r="A15" s="40" t="s">
        <v>2</v>
      </c>
      <c r="B15" s="41"/>
      <c r="C15" s="48">
        <f>C101+C186</f>
        <v>481125</v>
      </c>
      <c r="D15" s="41"/>
      <c r="E15" s="48">
        <f>E101+E186</f>
        <v>489520</v>
      </c>
      <c r="F15" s="41"/>
      <c r="G15" s="48">
        <f>G101+G186</f>
        <v>527401</v>
      </c>
      <c r="I15" s="48">
        <f>I101+I186</f>
        <v>519087</v>
      </c>
      <c r="K15" s="48">
        <f>K101+K186</f>
        <v>495965</v>
      </c>
      <c r="M15" s="48">
        <f>M101+M186</f>
        <v>523544</v>
      </c>
      <c r="O15" s="55">
        <v>555243</v>
      </c>
      <c r="Q15" s="55">
        <v>583338</v>
      </c>
      <c r="S15" s="55">
        <v>543769</v>
      </c>
      <c r="U15" s="55">
        <v>460209</v>
      </c>
    </row>
    <row r="16" spans="1:21" ht="12">
      <c r="A16" s="41"/>
      <c r="B16" s="41"/>
      <c r="C16" s="48"/>
      <c r="D16" s="41"/>
      <c r="E16" s="48"/>
      <c r="F16" s="41"/>
      <c r="G16" s="48"/>
      <c r="I16" s="48"/>
      <c r="K16" s="48"/>
      <c r="M16" s="48"/>
      <c r="O16" s="55"/>
      <c r="Q16" s="55"/>
      <c r="S16" s="55"/>
      <c r="U16" s="55"/>
    </row>
    <row r="17" spans="1:21" ht="12">
      <c r="A17" s="42" t="s">
        <v>54</v>
      </c>
      <c r="B17" s="41"/>
      <c r="C17" s="48">
        <f>C103+C188</f>
        <v>163979</v>
      </c>
      <c r="D17" s="41"/>
      <c r="E17" s="48">
        <f>E103+E188</f>
        <v>160049</v>
      </c>
      <c r="F17" s="219"/>
      <c r="G17" s="48">
        <f>G103+G188</f>
        <v>159467</v>
      </c>
      <c r="I17" s="196" t="s">
        <v>85</v>
      </c>
      <c r="J17" s="220"/>
      <c r="K17" s="196" t="s">
        <v>85</v>
      </c>
      <c r="M17" s="196" t="s">
        <v>85</v>
      </c>
      <c r="O17" s="196" t="s">
        <v>85</v>
      </c>
      <c r="Q17" s="196" t="s">
        <v>85</v>
      </c>
      <c r="S17" s="196" t="s">
        <v>85</v>
      </c>
      <c r="U17" s="196" t="s">
        <v>85</v>
      </c>
    </row>
    <row r="18" spans="1:21" ht="12">
      <c r="A18" s="41"/>
      <c r="B18" s="41"/>
      <c r="C18" s="48"/>
      <c r="D18" s="41"/>
      <c r="E18" s="48"/>
      <c r="F18" s="11"/>
      <c r="G18" s="48"/>
      <c r="I18" s="48"/>
      <c r="K18" s="48"/>
      <c r="M18" s="48"/>
      <c r="O18" s="55"/>
      <c r="Q18" s="55"/>
      <c r="S18" s="55"/>
      <c r="U18" s="55"/>
    </row>
    <row r="19" spans="1:21" ht="12">
      <c r="A19" s="40" t="s">
        <v>3</v>
      </c>
      <c r="B19" s="41"/>
      <c r="C19" s="48">
        <f>C105+C190</f>
        <v>410715</v>
      </c>
      <c r="D19" s="41"/>
      <c r="E19" s="48">
        <f>E105+E190</f>
        <v>413067</v>
      </c>
      <c r="F19" s="11"/>
      <c r="G19" s="48">
        <f>G105+G190</f>
        <v>451046</v>
      </c>
      <c r="I19" s="48">
        <f>I105+I190</f>
        <v>451013</v>
      </c>
      <c r="K19" s="48">
        <f>K105+K190</f>
        <v>449862</v>
      </c>
      <c r="M19" s="48">
        <v>476239</v>
      </c>
      <c r="O19" s="55">
        <v>508980</v>
      </c>
      <c r="Q19" s="55">
        <v>519497</v>
      </c>
      <c r="S19" s="55">
        <v>544725</v>
      </c>
      <c r="U19" s="55">
        <v>488479</v>
      </c>
    </row>
    <row r="20" spans="1:21" ht="12">
      <c r="A20" s="41"/>
      <c r="B20" s="41"/>
      <c r="C20" s="48"/>
      <c r="D20" s="41"/>
      <c r="E20" s="48"/>
      <c r="F20" s="11"/>
      <c r="G20" s="48"/>
      <c r="I20" s="48"/>
      <c r="K20" s="48"/>
      <c r="M20" s="48"/>
      <c r="O20" s="55"/>
      <c r="Q20" s="55"/>
      <c r="S20" s="55"/>
      <c r="U20" s="55"/>
    </row>
    <row r="21" spans="1:21" ht="12">
      <c r="A21" s="40" t="s">
        <v>4</v>
      </c>
      <c r="B21" s="41"/>
      <c r="C21" s="48">
        <f>C107+C192</f>
        <v>237507</v>
      </c>
      <c r="D21" s="41"/>
      <c r="E21" s="48">
        <f>E107+E192</f>
        <v>243750</v>
      </c>
      <c r="F21" s="11"/>
      <c r="G21" s="48">
        <f>G107+G192</f>
        <v>262775</v>
      </c>
      <c r="I21" s="48">
        <f>I107+I192</f>
        <v>233055</v>
      </c>
      <c r="K21" s="48">
        <f>K107+K192</f>
        <v>252785</v>
      </c>
      <c r="M21" s="48">
        <v>271984</v>
      </c>
      <c r="O21" s="55">
        <v>282896</v>
      </c>
      <c r="Q21" s="55">
        <v>278731</v>
      </c>
      <c r="S21" s="55">
        <v>233216</v>
      </c>
      <c r="U21" s="55">
        <v>191676</v>
      </c>
    </row>
    <row r="22" spans="1:21" ht="12">
      <c r="A22" s="41"/>
      <c r="B22" s="41"/>
      <c r="C22" s="48"/>
      <c r="D22" s="41"/>
      <c r="E22" s="48"/>
      <c r="F22" s="11"/>
      <c r="G22" s="48"/>
      <c r="I22" s="48"/>
      <c r="K22" s="48"/>
      <c r="M22" s="48"/>
      <c r="O22" s="55"/>
      <c r="Q22" s="55"/>
      <c r="S22" s="55"/>
      <c r="U22" s="55"/>
    </row>
    <row r="23" spans="1:21" ht="12">
      <c r="A23" s="40" t="s">
        <v>90</v>
      </c>
      <c r="B23" s="41"/>
      <c r="C23" s="48">
        <f>C109+C194</f>
        <v>233590</v>
      </c>
      <c r="D23" s="41"/>
      <c r="E23" s="48">
        <f>E109+E194</f>
        <v>236833</v>
      </c>
      <c r="F23" s="11"/>
      <c r="G23" s="48">
        <f>G109+G194</f>
        <v>209826</v>
      </c>
      <c r="I23" s="48">
        <f>I109+I194</f>
        <v>185764</v>
      </c>
      <c r="K23" s="48">
        <f>K109+K194</f>
        <v>190209</v>
      </c>
      <c r="M23" s="48">
        <f>M109+M194</f>
        <v>176647</v>
      </c>
      <c r="O23" s="55">
        <v>147976</v>
      </c>
      <c r="Q23" s="196" t="s">
        <v>85</v>
      </c>
      <c r="S23" s="196" t="s">
        <v>85</v>
      </c>
      <c r="U23" s="196" t="s">
        <v>85</v>
      </c>
    </row>
    <row r="24" spans="1:21" ht="12">
      <c r="A24" s="41"/>
      <c r="B24" s="41"/>
      <c r="C24" s="48"/>
      <c r="D24" s="41"/>
      <c r="E24" s="48"/>
      <c r="F24" s="11"/>
      <c r="G24" s="48"/>
      <c r="I24" s="48"/>
      <c r="K24" s="48"/>
      <c r="M24" s="48"/>
      <c r="O24" s="55"/>
      <c r="Q24" s="55"/>
      <c r="S24" s="55"/>
      <c r="U24" s="55"/>
    </row>
    <row r="25" spans="1:21" ht="12">
      <c r="A25" s="40" t="s">
        <v>5</v>
      </c>
      <c r="B25" s="41"/>
      <c r="C25" s="48">
        <f>C111+C196</f>
        <v>353791</v>
      </c>
      <c r="D25" s="41"/>
      <c r="E25" s="48">
        <f>E111+E196</f>
        <v>354373</v>
      </c>
      <c r="F25" s="11"/>
      <c r="G25" s="48">
        <f>G111+G196</f>
        <v>369114</v>
      </c>
      <c r="I25" s="48">
        <v>377755</v>
      </c>
      <c r="K25" s="48">
        <f>K111+K196</f>
        <v>392580</v>
      </c>
      <c r="M25" s="48">
        <f>M111+M196</f>
        <v>414379</v>
      </c>
      <c r="O25" s="55">
        <v>429514</v>
      </c>
      <c r="Q25" s="55">
        <v>407421</v>
      </c>
      <c r="S25" s="55">
        <v>362230</v>
      </c>
      <c r="U25" s="55">
        <v>316675</v>
      </c>
    </row>
    <row r="26" spans="1:21" ht="12">
      <c r="A26" s="41"/>
      <c r="B26" s="41"/>
      <c r="C26" s="48"/>
      <c r="D26" s="41"/>
      <c r="E26" s="48"/>
      <c r="F26" s="11"/>
      <c r="G26" s="48"/>
      <c r="I26" s="48"/>
      <c r="K26" s="48"/>
      <c r="M26" s="48"/>
      <c r="O26" s="55"/>
      <c r="Q26" s="55"/>
      <c r="S26" s="55"/>
      <c r="U26" s="55"/>
    </row>
    <row r="27" spans="1:21" ht="12">
      <c r="A27" s="42" t="s">
        <v>6</v>
      </c>
      <c r="B27" s="41"/>
      <c r="C27" s="48">
        <v>426822</v>
      </c>
      <c r="D27" s="41"/>
      <c r="E27" s="48">
        <f>E113+E198</f>
        <v>417405</v>
      </c>
      <c r="F27" s="11"/>
      <c r="G27" s="48">
        <f>G113+G198</f>
        <v>406918</v>
      </c>
      <c r="I27" s="48">
        <f>I113+I198</f>
        <v>372369</v>
      </c>
      <c r="K27" s="48">
        <f>K113+K198</f>
        <v>363949</v>
      </c>
      <c r="M27" s="48">
        <f>M113+M198</f>
        <v>441934</v>
      </c>
      <c r="O27" s="55">
        <v>459150</v>
      </c>
      <c r="Q27" s="55">
        <v>403667</v>
      </c>
      <c r="S27" s="55">
        <v>356712</v>
      </c>
      <c r="U27" s="55">
        <v>313598</v>
      </c>
    </row>
    <row r="28" spans="1:21" ht="12">
      <c r="A28" s="41"/>
      <c r="B28" s="41"/>
      <c r="C28" s="48"/>
      <c r="D28" s="41"/>
      <c r="E28" s="48"/>
      <c r="F28" s="11"/>
      <c r="G28" s="48"/>
      <c r="I28" s="48"/>
      <c r="K28" s="48"/>
      <c r="M28" s="48"/>
      <c r="O28" s="55"/>
      <c r="Q28" s="55"/>
      <c r="S28" s="55"/>
      <c r="U28" s="55"/>
    </row>
    <row r="29" spans="1:21" ht="12">
      <c r="A29" s="40" t="s">
        <v>24</v>
      </c>
      <c r="B29" s="41"/>
      <c r="C29" s="48">
        <f>C115+C200</f>
        <v>271642</v>
      </c>
      <c r="D29" s="41"/>
      <c r="E29" s="48">
        <f>E115+E200</f>
        <v>272289</v>
      </c>
      <c r="F29" s="11"/>
      <c r="G29" s="48">
        <f>G115+G200</f>
        <v>283004</v>
      </c>
      <c r="I29" s="48">
        <f>I115+I200</f>
        <v>259663</v>
      </c>
      <c r="K29" s="48">
        <f>K115+K200</f>
        <v>263030</v>
      </c>
      <c r="M29" s="48">
        <f>M115+M200</f>
        <v>250660</v>
      </c>
      <c r="O29" s="55">
        <v>257166</v>
      </c>
      <c r="Q29" s="55">
        <v>241939</v>
      </c>
      <c r="S29" s="55">
        <v>203643</v>
      </c>
      <c r="U29" s="55">
        <v>162600</v>
      </c>
    </row>
    <row r="30" spans="1:21" ht="12">
      <c r="A30" s="41"/>
      <c r="B30" s="41"/>
      <c r="C30" s="48"/>
      <c r="D30" s="41"/>
      <c r="E30" s="48"/>
      <c r="F30" s="11"/>
      <c r="G30" s="48"/>
      <c r="I30" s="48"/>
      <c r="K30" s="48"/>
      <c r="M30" s="48"/>
      <c r="O30" s="55"/>
      <c r="Q30" s="55"/>
      <c r="S30" s="55"/>
      <c r="U30" s="55"/>
    </row>
    <row r="31" spans="1:21" ht="12">
      <c r="A31" s="40" t="s">
        <v>7</v>
      </c>
      <c r="B31" s="41"/>
      <c r="C31" s="48">
        <f>C117+C202</f>
        <v>325367</v>
      </c>
      <c r="D31" s="41"/>
      <c r="E31" s="48">
        <f>E117+E202</f>
        <v>332975</v>
      </c>
      <c r="F31" s="11"/>
      <c r="G31" s="48">
        <f>G117+G202</f>
        <v>341069</v>
      </c>
      <c r="I31" s="48">
        <f>I117+I202</f>
        <v>318250</v>
      </c>
      <c r="K31" s="48">
        <f>K117+K202</f>
        <v>318435</v>
      </c>
      <c r="M31" s="48">
        <f>M117+M202</f>
        <v>303548</v>
      </c>
      <c r="O31" s="55">
        <v>300894</v>
      </c>
      <c r="Q31" s="55">
        <v>280343</v>
      </c>
      <c r="S31" s="55">
        <v>262286</v>
      </c>
      <c r="U31" s="55">
        <v>202271</v>
      </c>
    </row>
    <row r="32" spans="1:17" ht="12">
      <c r="A32" s="41"/>
      <c r="B32" s="41"/>
      <c r="C32" s="48"/>
      <c r="D32" s="41"/>
      <c r="E32" s="48"/>
      <c r="F32" s="11"/>
      <c r="G32" s="48"/>
      <c r="I32" s="48"/>
      <c r="K32" s="48"/>
      <c r="M32" s="48"/>
      <c r="O32" s="55"/>
      <c r="Q32" s="55"/>
    </row>
    <row r="33" spans="1:21" ht="12">
      <c r="A33" s="40" t="s">
        <v>8</v>
      </c>
      <c r="B33" s="41"/>
      <c r="C33" s="49">
        <f>C119+C204</f>
        <v>550803</v>
      </c>
      <c r="D33" s="41"/>
      <c r="E33" s="49">
        <f>E119+E204</f>
        <v>535313</v>
      </c>
      <c r="F33" s="11"/>
      <c r="G33" s="49">
        <f>G119+G204</f>
        <v>536231</v>
      </c>
      <c r="I33" s="49">
        <f>I119+I204</f>
        <v>517085</v>
      </c>
      <c r="K33" s="49">
        <f>K119+K204</f>
        <v>503282</v>
      </c>
      <c r="M33" s="49">
        <f>M119+M204</f>
        <v>519932</v>
      </c>
      <c r="O33" s="49">
        <v>529233</v>
      </c>
      <c r="Q33" s="49">
        <v>508568</v>
      </c>
      <c r="S33" s="49">
        <v>482408</v>
      </c>
      <c r="U33" s="49">
        <v>445974</v>
      </c>
    </row>
    <row r="34" spans="1:15" ht="12">
      <c r="A34" s="41"/>
      <c r="B34" s="41"/>
      <c r="C34" s="45"/>
      <c r="D34" s="41"/>
      <c r="E34" s="45"/>
      <c r="F34" s="11"/>
      <c r="G34" s="45"/>
      <c r="I34" s="45"/>
      <c r="K34" s="45"/>
      <c r="O34" s="55"/>
    </row>
    <row r="35" spans="1:21" ht="12.75" thickBot="1">
      <c r="A35" s="40" t="s">
        <v>17</v>
      </c>
      <c r="B35" s="41"/>
      <c r="C35" s="50">
        <f>SUM(C9:C33)</f>
        <v>4300948</v>
      </c>
      <c r="D35" s="41"/>
      <c r="E35" s="50">
        <f>SUM(E9:E33)</f>
        <v>4303078</v>
      </c>
      <c r="F35" s="11"/>
      <c r="G35" s="50">
        <f>SUM(G9:G33)</f>
        <v>4381579</v>
      </c>
      <c r="I35" s="50">
        <f>SUM(I9:I33)</f>
        <v>4488335</v>
      </c>
      <c r="K35" s="50">
        <f>SUM(K9:K33)</f>
        <v>4806799</v>
      </c>
      <c r="M35" s="50">
        <f>SUM(M9:M33)</f>
        <v>5018275</v>
      </c>
      <c r="O35" s="50">
        <f>SUM(O9:O33)</f>
        <v>5217714</v>
      </c>
      <c r="Q35" s="50">
        <f>SUM(Q9:Q33)</f>
        <v>4920787</v>
      </c>
      <c r="S35" s="50">
        <f>SUM(S9:S33)</f>
        <v>4544961</v>
      </c>
      <c r="U35" s="50">
        <f>SUM(U9:U33)</f>
        <v>3943171</v>
      </c>
    </row>
    <row r="36" spans="1:19" ht="12.75" thickTop="1">
      <c r="A36" s="41"/>
      <c r="B36" s="41"/>
      <c r="C36" s="45"/>
      <c r="D36" s="41"/>
      <c r="E36" s="45"/>
      <c r="F36" s="12"/>
      <c r="G36" s="13"/>
      <c r="H36" s="13"/>
      <c r="I36" s="13"/>
      <c r="J36" s="11"/>
      <c r="K36" s="13"/>
      <c r="L36" s="11"/>
      <c r="M36" s="13"/>
      <c r="N36" s="11"/>
      <c r="O36" s="11"/>
      <c r="P36" s="11"/>
      <c r="Q36" s="11"/>
      <c r="R36" s="11"/>
      <c r="S36" s="11"/>
    </row>
    <row r="37" spans="1:19" ht="18.75" customHeight="1">
      <c r="A37" s="52" t="s">
        <v>45</v>
      </c>
      <c r="B37" s="41"/>
      <c r="C37" s="45"/>
      <c r="D37" s="41"/>
      <c r="E37" s="45"/>
      <c r="F37" s="12"/>
      <c r="G37" s="13"/>
      <c r="H37" s="13"/>
      <c r="I37" s="13"/>
      <c r="J37" s="11"/>
      <c r="K37" s="13"/>
      <c r="L37"/>
      <c r="M37"/>
      <c r="N37" s="11"/>
      <c r="O37" s="11"/>
      <c r="P37" s="11"/>
      <c r="Q37" s="11"/>
      <c r="R37" s="11"/>
      <c r="S37" s="11"/>
    </row>
    <row r="38" spans="1:19" ht="12">
      <c r="A38" s="52" t="s">
        <v>73</v>
      </c>
      <c r="B38" s="41"/>
      <c r="C38" s="45"/>
      <c r="D38" s="41"/>
      <c r="E38" s="45"/>
      <c r="F38" s="12"/>
      <c r="G38" s="13"/>
      <c r="H38" s="13"/>
      <c r="I38" s="13"/>
      <c r="J38" s="11"/>
      <c r="K38" s="13"/>
      <c r="L38" s="11"/>
      <c r="M38" s="13"/>
      <c r="N38" s="11"/>
      <c r="O38" s="11"/>
      <c r="P38" s="11"/>
      <c r="Q38" s="11"/>
      <c r="R38" s="11"/>
      <c r="S38" s="11"/>
    </row>
    <row r="39" spans="1:19" ht="12">
      <c r="A39" s="55" t="s">
        <v>52</v>
      </c>
      <c r="B39" s="41"/>
      <c r="C39" s="45"/>
      <c r="D39" s="41"/>
      <c r="E39" s="45"/>
      <c r="F39" s="12"/>
      <c r="G39" s="13"/>
      <c r="H39" s="13"/>
      <c r="I39" s="13"/>
      <c r="J39" s="11"/>
      <c r="K39" s="13"/>
      <c r="L39" s="11"/>
      <c r="M39" s="13"/>
      <c r="N39" s="11"/>
      <c r="O39" s="11"/>
      <c r="P39" s="11"/>
      <c r="Q39" s="11"/>
      <c r="R39" s="11"/>
      <c r="S39" s="11"/>
    </row>
    <row r="40" spans="1:19" ht="12">
      <c r="A40" s="55" t="s">
        <v>80</v>
      </c>
      <c r="B40" s="41"/>
      <c r="C40" s="53"/>
      <c r="D40" s="41"/>
      <c r="E40" s="45"/>
      <c r="F40" s="11"/>
      <c r="G40" s="13"/>
      <c r="H40" s="13"/>
      <c r="I40" s="13"/>
      <c r="J40" s="11"/>
      <c r="K40" s="13"/>
      <c r="L40" s="11"/>
      <c r="M40" s="13"/>
      <c r="N40" s="11"/>
      <c r="O40" s="11"/>
      <c r="P40" s="11"/>
      <c r="Q40" s="11"/>
      <c r="R40" s="11"/>
      <c r="S40" s="11"/>
    </row>
    <row r="41" spans="1:19" ht="12">
      <c r="A41" s="56" t="s">
        <v>87</v>
      </c>
      <c r="B41" s="41"/>
      <c r="C41" s="41"/>
      <c r="D41" s="41"/>
      <c r="E41" s="4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2">
      <c r="A42" s="56" t="s">
        <v>89</v>
      </c>
      <c r="B42" s="41"/>
      <c r="C42" s="41"/>
      <c r="D42" s="41"/>
      <c r="E42" s="4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2">
      <c r="A43" s="56"/>
      <c r="B43" s="41"/>
      <c r="C43" s="41"/>
      <c r="D43" s="41"/>
      <c r="E43" s="4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2">
      <c r="A44" s="40" t="s">
        <v>0</v>
      </c>
      <c r="B44" s="41"/>
      <c r="C44" s="41"/>
      <c r="D44" s="41"/>
      <c r="E44" s="54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2">
      <c r="A45" s="42" t="s">
        <v>9</v>
      </c>
      <c r="B45" s="41"/>
      <c r="C45" s="41"/>
      <c r="D45" s="41"/>
      <c r="E45" s="4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">
      <c r="A46" s="43" t="str">
        <f>A3</f>
        <v>2000 - 2009</v>
      </c>
      <c r="B46" s="44"/>
      <c r="C46" s="44"/>
      <c r="D46" s="44"/>
      <c r="E46" s="44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2">
      <c r="A47" s="45"/>
      <c r="B47" s="45"/>
      <c r="C47" s="45"/>
      <c r="D47" s="44"/>
      <c r="E47" s="44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">
      <c r="A48" s="40"/>
      <c r="B48" s="41"/>
      <c r="C48" s="41"/>
      <c r="D48" s="41"/>
      <c r="E48" s="4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2">
      <c r="A49" s="41"/>
      <c r="B49" s="41"/>
      <c r="C49" s="41"/>
      <c r="D49" s="41"/>
      <c r="E49" s="41"/>
      <c r="F49" s="11"/>
      <c r="G49" s="11"/>
      <c r="H49" s="11"/>
      <c r="I49" s="11"/>
      <c r="J49" s="11"/>
      <c r="K49" s="11"/>
      <c r="L49" s="11"/>
      <c r="M49" s="12"/>
      <c r="N49" s="11"/>
      <c r="O49" s="11"/>
      <c r="P49" s="11"/>
      <c r="Q49" s="11"/>
      <c r="R49" s="11"/>
      <c r="S49" s="11"/>
    </row>
    <row r="50" spans="1:21" ht="12">
      <c r="A50" s="41"/>
      <c r="B50" s="41"/>
      <c r="C50" s="46">
        <v>2000</v>
      </c>
      <c r="D50" s="41"/>
      <c r="E50" s="46">
        <v>2001</v>
      </c>
      <c r="F50" s="11"/>
      <c r="G50" s="46">
        <v>2002</v>
      </c>
      <c r="I50" s="46">
        <v>2003</v>
      </c>
      <c r="K50" s="46">
        <v>2004</v>
      </c>
      <c r="M50" s="46">
        <v>2005</v>
      </c>
      <c r="O50" s="46">
        <v>2006</v>
      </c>
      <c r="Q50" s="46">
        <v>2007</v>
      </c>
      <c r="S50" s="46">
        <v>2008</v>
      </c>
      <c r="U50" s="46">
        <v>2009</v>
      </c>
    </row>
    <row r="51" spans="1:11" ht="12">
      <c r="A51" s="41" t="s">
        <v>10</v>
      </c>
      <c r="B51" s="41"/>
      <c r="C51" s="45"/>
      <c r="D51" s="41"/>
      <c r="E51" s="45"/>
      <c r="F51" s="11"/>
      <c r="G51" s="45"/>
      <c r="I51" s="45"/>
      <c r="K51" s="45"/>
    </row>
    <row r="52" spans="1:21" ht="12">
      <c r="A52" s="40" t="s">
        <v>79</v>
      </c>
      <c r="B52" s="41"/>
      <c r="C52" s="197">
        <v>0.11</v>
      </c>
      <c r="D52" s="197"/>
      <c r="E52" s="197">
        <f>(E9-C9)/C9</f>
        <v>0.008</v>
      </c>
      <c r="F52" s="210"/>
      <c r="G52" s="197">
        <f>(G9-E9)/E9</f>
        <v>-0.057</v>
      </c>
      <c r="H52" s="199"/>
      <c r="I52" s="197">
        <f>(I9-G9)/G9</f>
        <v>0.004</v>
      </c>
      <c r="K52" s="197">
        <f>(K9-I9)/I9</f>
        <v>-0.045</v>
      </c>
      <c r="M52" s="197">
        <f>(M9-K9)/K9</f>
        <v>-0.02</v>
      </c>
      <c r="O52" s="197">
        <f>(O9-M9)/M9</f>
        <v>0.141</v>
      </c>
      <c r="Q52" s="197">
        <f>(Q9-O9)/O9</f>
        <v>-0.076</v>
      </c>
      <c r="S52" s="197">
        <f>(S9-Q9)/Q9</f>
        <v>-0.183</v>
      </c>
      <c r="U52" s="197">
        <f>(U9-S9)/S9</f>
        <v>-0.229</v>
      </c>
    </row>
    <row r="53" spans="1:21" ht="12">
      <c r="A53" s="41"/>
      <c r="B53" s="41"/>
      <c r="C53" s="197"/>
      <c r="D53" s="197"/>
      <c r="E53" s="197"/>
      <c r="F53" s="210"/>
      <c r="G53" s="197"/>
      <c r="H53" s="199"/>
      <c r="I53" s="197"/>
      <c r="K53" s="197"/>
      <c r="M53" s="197"/>
      <c r="O53" s="197"/>
      <c r="Q53" s="197"/>
      <c r="S53" s="197"/>
      <c r="U53" s="197"/>
    </row>
    <row r="54" spans="1:21" ht="12">
      <c r="A54" s="40" t="s">
        <v>53</v>
      </c>
      <c r="B54" s="41"/>
      <c r="C54" s="197">
        <v>0.054</v>
      </c>
      <c r="D54" s="197"/>
      <c r="E54" s="197">
        <f>(E11-C11)/C11</f>
        <v>-0.001</v>
      </c>
      <c r="F54" s="210"/>
      <c r="G54" s="197">
        <f>(G11-E11)/E11</f>
        <v>0.011</v>
      </c>
      <c r="H54" s="199"/>
      <c r="I54" s="197">
        <f>(I11-G11)/G11</f>
        <v>0.287</v>
      </c>
      <c r="K54" s="197">
        <f>(K11-I11)/I11</f>
        <v>-0.049</v>
      </c>
      <c r="M54" s="197">
        <f>(M11-K11)/K11</f>
        <v>0.001</v>
      </c>
      <c r="O54" s="197">
        <f>(O11-M11)/M11</f>
        <v>0.049</v>
      </c>
      <c r="Q54" s="197">
        <f>(Q11-O11)/O11</f>
        <v>-0.053</v>
      </c>
      <c r="S54" s="197">
        <f>(S11-Q11)/Q11</f>
        <v>-0.114</v>
      </c>
      <c r="U54" s="197">
        <f>(U11-S11)/S11</f>
        <v>-0.165</v>
      </c>
    </row>
    <row r="55" spans="1:21" ht="12">
      <c r="A55" s="40"/>
      <c r="B55" s="41"/>
      <c r="C55" s="197"/>
      <c r="D55" s="197"/>
      <c r="E55" s="197"/>
      <c r="F55" s="210"/>
      <c r="G55" s="197"/>
      <c r="H55" s="199"/>
      <c r="I55" s="197"/>
      <c r="K55" s="197"/>
      <c r="M55" s="197"/>
      <c r="O55" s="197"/>
      <c r="Q55" s="197"/>
      <c r="S55" s="197"/>
      <c r="U55" s="197"/>
    </row>
    <row r="56" spans="1:21" ht="12">
      <c r="A56" s="40" t="s">
        <v>86</v>
      </c>
      <c r="B56" s="41"/>
      <c r="C56" s="196" t="s">
        <v>85</v>
      </c>
      <c r="D56" s="197"/>
      <c r="E56" s="196" t="s">
        <v>85</v>
      </c>
      <c r="F56" s="210"/>
      <c r="G56" s="196" t="s">
        <v>85</v>
      </c>
      <c r="H56" s="199"/>
      <c r="I56" s="196" t="s">
        <v>72</v>
      </c>
      <c r="K56" s="196" t="s">
        <v>72</v>
      </c>
      <c r="M56" s="197">
        <f>(M13-K13)/K13</f>
        <v>0.107</v>
      </c>
      <c r="O56" s="197">
        <f>(O13-M13)/M13</f>
        <v>0.05</v>
      </c>
      <c r="Q56" s="197">
        <f>(Q13-O13)/O13</f>
        <v>0.016</v>
      </c>
      <c r="S56" s="197">
        <f>(S13-Q13)/Q13</f>
        <v>-0.016</v>
      </c>
      <c r="U56" s="197">
        <f>(U13-S13)/S13</f>
        <v>-0.059</v>
      </c>
    </row>
    <row r="57" spans="1:21" ht="12">
      <c r="A57" s="41"/>
      <c r="B57" s="41"/>
      <c r="C57" s="197"/>
      <c r="D57" s="197"/>
      <c r="E57" s="197"/>
      <c r="F57" s="210"/>
      <c r="G57" s="197"/>
      <c r="H57" s="199"/>
      <c r="I57" s="197"/>
      <c r="K57" s="197"/>
      <c r="M57" s="197"/>
      <c r="O57" s="197"/>
      <c r="Q57" s="197"/>
      <c r="S57" s="197"/>
      <c r="U57" s="197"/>
    </row>
    <row r="58" spans="1:21" ht="12">
      <c r="A58" s="40" t="s">
        <v>2</v>
      </c>
      <c r="B58" s="41"/>
      <c r="C58" s="197">
        <v>0.043</v>
      </c>
      <c r="D58" s="197"/>
      <c r="E58" s="197">
        <f>(E15-C15)/C15</f>
        <v>0.017</v>
      </c>
      <c r="F58" s="210"/>
      <c r="G58" s="197">
        <f>(G15-E15)/E15</f>
        <v>0.077</v>
      </c>
      <c r="H58" s="199"/>
      <c r="I58" s="197">
        <f>(I15-G15)/G15</f>
        <v>-0.016</v>
      </c>
      <c r="K58" s="197">
        <f>(K15-I15)/I15</f>
        <v>-0.045</v>
      </c>
      <c r="M58" s="197">
        <f>(M15-K15)/K15</f>
        <v>0.056</v>
      </c>
      <c r="O58" s="197">
        <f>(O15-M15)/M15</f>
        <v>0.061</v>
      </c>
      <c r="Q58" s="197">
        <f>(Q15-O15)/O15</f>
        <v>0.051</v>
      </c>
      <c r="S58" s="197">
        <f>(S15-Q15)/Q15</f>
        <v>-0.068</v>
      </c>
      <c r="U58" s="197">
        <f>(U15-S15)/S15</f>
        <v>-0.154</v>
      </c>
    </row>
    <row r="59" spans="1:21" ht="12">
      <c r="A59" s="41"/>
      <c r="B59" s="41"/>
      <c r="C59" s="197"/>
      <c r="D59" s="197"/>
      <c r="E59" s="197"/>
      <c r="F59" s="210"/>
      <c r="G59" s="197"/>
      <c r="H59" s="199"/>
      <c r="I59" s="197"/>
      <c r="K59" s="197"/>
      <c r="M59" s="197"/>
      <c r="O59" s="197"/>
      <c r="Q59" s="197"/>
      <c r="S59" s="197"/>
      <c r="U59" s="197"/>
    </row>
    <row r="60" spans="1:21" ht="12">
      <c r="A60" s="42" t="s">
        <v>54</v>
      </c>
      <c r="B60" s="41"/>
      <c r="C60" s="197">
        <v>-0.012</v>
      </c>
      <c r="D60" s="197"/>
      <c r="E60" s="197">
        <f>(E17-C17)/C17</f>
        <v>-0.024</v>
      </c>
      <c r="F60" s="210"/>
      <c r="G60" s="197">
        <f>(G17-E17)/E17</f>
        <v>-0.004</v>
      </c>
      <c r="H60" s="199"/>
      <c r="I60" s="196" t="s">
        <v>85</v>
      </c>
      <c r="K60" s="196" t="s">
        <v>85</v>
      </c>
      <c r="M60" s="196" t="s">
        <v>85</v>
      </c>
      <c r="O60" s="196" t="s">
        <v>85</v>
      </c>
      <c r="Q60" s="196" t="s">
        <v>85</v>
      </c>
      <c r="S60" s="196" t="s">
        <v>85</v>
      </c>
      <c r="U60" s="196" t="s">
        <v>85</v>
      </c>
    </row>
    <row r="61" spans="1:21" ht="12">
      <c r="A61" s="41"/>
      <c r="B61" s="41"/>
      <c r="C61" s="197"/>
      <c r="D61" s="197"/>
      <c r="E61" s="197"/>
      <c r="F61" s="210"/>
      <c r="G61" s="197"/>
      <c r="H61" s="199"/>
      <c r="I61" s="197"/>
      <c r="K61" s="197"/>
      <c r="M61" s="197"/>
      <c r="O61" s="197"/>
      <c r="Q61" s="197"/>
      <c r="S61" s="197"/>
      <c r="U61" s="197"/>
    </row>
    <row r="62" spans="1:21" ht="12">
      <c r="A62" s="40" t="s">
        <v>3</v>
      </c>
      <c r="B62" s="41"/>
      <c r="C62" s="197">
        <v>0.073</v>
      </c>
      <c r="D62" s="197"/>
      <c r="E62" s="197">
        <f>(E19-C19)/C19</f>
        <v>0.006</v>
      </c>
      <c r="F62" s="210"/>
      <c r="G62" s="197">
        <f>(G19-E19)/E19</f>
        <v>0.092</v>
      </c>
      <c r="H62" s="199"/>
      <c r="I62" s="197">
        <f>(I19-G19)/G19</f>
        <v>0</v>
      </c>
      <c r="K62" s="197">
        <f>(K19-I19)/I19</f>
        <v>-0.003</v>
      </c>
      <c r="M62" s="197">
        <f>(M19-K19)/K19</f>
        <v>0.059</v>
      </c>
      <c r="O62" s="197">
        <f>(O19-M19)/M19</f>
        <v>0.069</v>
      </c>
      <c r="Q62" s="197">
        <f>(Q19-O19)/O19</f>
        <v>0.021</v>
      </c>
      <c r="S62" s="197">
        <f>(S19-Q19)/Q19</f>
        <v>0.049</v>
      </c>
      <c r="U62" s="197">
        <f>(U19-S19)/S19</f>
        <v>-0.103</v>
      </c>
    </row>
    <row r="63" spans="1:21" ht="12">
      <c r="A63" s="41"/>
      <c r="B63" s="41"/>
      <c r="C63" s="197"/>
      <c r="D63" s="197"/>
      <c r="E63" s="197"/>
      <c r="F63" s="210"/>
      <c r="G63" s="197"/>
      <c r="H63" s="199"/>
      <c r="I63" s="197"/>
      <c r="K63" s="197"/>
      <c r="M63" s="197"/>
      <c r="O63" s="197"/>
      <c r="Q63" s="197"/>
      <c r="S63" s="197"/>
      <c r="U63" s="197"/>
    </row>
    <row r="64" spans="1:21" ht="12">
      <c r="A64" s="40" t="s">
        <v>4</v>
      </c>
      <c r="B64" s="41"/>
      <c r="C64" s="197">
        <v>0.069</v>
      </c>
      <c r="D64" s="197"/>
      <c r="E64" s="197">
        <f>(E21-C21)/C21</f>
        <v>0.026</v>
      </c>
      <c r="F64" s="210"/>
      <c r="G64" s="197">
        <f>(G21-E21)/E21</f>
        <v>0.078</v>
      </c>
      <c r="H64" s="199"/>
      <c r="I64" s="197">
        <f>(I21-G21)/G21</f>
        <v>-0.113</v>
      </c>
      <c r="K64" s="197">
        <f>(K21-I21)/I21</f>
        <v>0.085</v>
      </c>
      <c r="M64" s="197">
        <f>(M21-K21)/K21</f>
        <v>0.076</v>
      </c>
      <c r="O64" s="197">
        <f>(O21-M21)/M21</f>
        <v>0.04</v>
      </c>
      <c r="Q64" s="197">
        <f>(Q21-O21)/O21</f>
        <v>-0.015</v>
      </c>
      <c r="S64" s="197">
        <f>(S21-Q21)/Q21</f>
        <v>-0.163</v>
      </c>
      <c r="U64" s="197">
        <f>(U21-S21)/S21</f>
        <v>-0.178</v>
      </c>
    </row>
    <row r="65" spans="1:21" ht="12">
      <c r="A65" s="41"/>
      <c r="B65" s="41"/>
      <c r="C65" s="197"/>
      <c r="D65" s="197"/>
      <c r="E65" s="197"/>
      <c r="F65" s="210"/>
      <c r="G65" s="197"/>
      <c r="H65" s="199"/>
      <c r="I65" s="197"/>
      <c r="K65" s="197"/>
      <c r="M65" s="197"/>
      <c r="O65" s="197"/>
      <c r="Q65" s="197"/>
      <c r="S65" s="197"/>
      <c r="U65" s="197"/>
    </row>
    <row r="66" spans="1:21" ht="12">
      <c r="A66" s="40" t="s">
        <v>90</v>
      </c>
      <c r="B66" s="41"/>
      <c r="C66" s="197">
        <v>0.015</v>
      </c>
      <c r="D66" s="197"/>
      <c r="E66" s="197">
        <f>(E23-C23)/C23</f>
        <v>0.014</v>
      </c>
      <c r="F66" s="210"/>
      <c r="G66" s="197">
        <f>(G23-E23)/E23</f>
        <v>-0.114</v>
      </c>
      <c r="H66" s="199"/>
      <c r="I66" s="197">
        <f>(I23-G23)/G23</f>
        <v>-0.115</v>
      </c>
      <c r="K66" s="197">
        <f>(K23-I23)/I23</f>
        <v>0.024</v>
      </c>
      <c r="M66" s="197">
        <f>(M23-K23)/K23</f>
        <v>-0.071</v>
      </c>
      <c r="O66" s="197">
        <f>(O23-M23)/M23</f>
        <v>-0.162</v>
      </c>
      <c r="Q66" s="196" t="s">
        <v>85</v>
      </c>
      <c r="S66" s="196" t="s">
        <v>85</v>
      </c>
      <c r="U66" s="196" t="s">
        <v>85</v>
      </c>
    </row>
    <row r="67" spans="1:21" ht="12">
      <c r="A67" s="41"/>
      <c r="B67" s="41"/>
      <c r="C67" s="197"/>
      <c r="D67" s="197"/>
      <c r="E67" s="197"/>
      <c r="F67" s="210"/>
      <c r="G67" s="197"/>
      <c r="H67" s="199"/>
      <c r="I67" s="197"/>
      <c r="K67" s="197"/>
      <c r="M67" s="197"/>
      <c r="O67" s="197"/>
      <c r="Q67" s="197"/>
      <c r="S67" s="197"/>
      <c r="U67" s="197"/>
    </row>
    <row r="68" spans="1:21" ht="12">
      <c r="A68" s="40" t="s">
        <v>5</v>
      </c>
      <c r="B68" s="41"/>
      <c r="C68" s="197">
        <v>-0.017</v>
      </c>
      <c r="D68" s="197"/>
      <c r="E68" s="197">
        <f>(E25-C25)/C25</f>
        <v>0.002</v>
      </c>
      <c r="F68" s="210"/>
      <c r="G68" s="197">
        <f>(G25-E25)/E25</f>
        <v>0.042</v>
      </c>
      <c r="H68" s="199"/>
      <c r="I68" s="197">
        <f>(I25-G25)/G25</f>
        <v>0.023</v>
      </c>
      <c r="K68" s="197">
        <f>(K25-I25)/I25</f>
        <v>0.039</v>
      </c>
      <c r="M68" s="197">
        <f>(M25-K25)/K25</f>
        <v>0.056</v>
      </c>
      <c r="O68" s="197">
        <f>(O25-M25)/M25</f>
        <v>0.037</v>
      </c>
      <c r="Q68" s="197">
        <f>(Q25-O25)/O25</f>
        <v>-0.051</v>
      </c>
      <c r="S68" s="197">
        <f>(S25-Q25)/Q25</f>
        <v>-0.111</v>
      </c>
      <c r="U68" s="197">
        <f>(U25-S25)/S25</f>
        <v>-0.126</v>
      </c>
    </row>
    <row r="69" spans="1:21" ht="12">
      <c r="A69" s="41"/>
      <c r="B69" s="41"/>
      <c r="C69" s="197"/>
      <c r="D69" s="197"/>
      <c r="E69" s="197"/>
      <c r="F69" s="210"/>
      <c r="G69" s="197"/>
      <c r="H69" s="199"/>
      <c r="I69" s="197"/>
      <c r="K69" s="197"/>
      <c r="M69" s="197"/>
      <c r="O69" s="197"/>
      <c r="Q69" s="197"/>
      <c r="S69" s="197"/>
      <c r="U69" s="197"/>
    </row>
    <row r="70" spans="1:21" ht="12">
      <c r="A70" s="42" t="s">
        <v>6</v>
      </c>
      <c r="B70" s="41"/>
      <c r="C70" s="197">
        <f>(426822-398487)/398487</f>
        <v>0.071</v>
      </c>
      <c r="D70" s="197"/>
      <c r="E70" s="197">
        <f>(E27-C27)/C27</f>
        <v>-0.022</v>
      </c>
      <c r="F70" s="210"/>
      <c r="G70" s="197">
        <f>(G27-E27)/E27</f>
        <v>-0.025</v>
      </c>
      <c r="H70" s="199"/>
      <c r="I70" s="197">
        <f>(I27-G27)/G27</f>
        <v>-0.085</v>
      </c>
      <c r="K70" s="197">
        <f>(K27-I27)/I27</f>
        <v>-0.023</v>
      </c>
      <c r="M70" s="197">
        <f>(M27-K27)/K27</f>
        <v>0.214</v>
      </c>
      <c r="O70" s="197">
        <f>(O27-M27)/M27</f>
        <v>0.039</v>
      </c>
      <c r="Q70" s="197">
        <f>(Q27-O27)/O27</f>
        <v>-0.121</v>
      </c>
      <c r="S70" s="197">
        <f>(S27-Q27)/Q27</f>
        <v>-0.116</v>
      </c>
      <c r="U70" s="197">
        <f>(U27-S27)/S27</f>
        <v>-0.121</v>
      </c>
    </row>
    <row r="71" spans="1:21" ht="12">
      <c r="A71" s="41"/>
      <c r="B71" s="41"/>
      <c r="C71" s="197"/>
      <c r="D71" s="197"/>
      <c r="E71" s="197"/>
      <c r="F71" s="211"/>
      <c r="G71" s="197"/>
      <c r="H71" s="199"/>
      <c r="I71" s="197"/>
      <c r="K71" s="197"/>
      <c r="M71" s="197"/>
      <c r="O71" s="197"/>
      <c r="Q71" s="197"/>
      <c r="S71" s="197"/>
      <c r="U71" s="197"/>
    </row>
    <row r="72" spans="1:21" ht="12">
      <c r="A72" s="40" t="s">
        <v>24</v>
      </c>
      <c r="B72" s="41"/>
      <c r="C72" s="197">
        <v>-0.004</v>
      </c>
      <c r="D72" s="197"/>
      <c r="E72" s="197">
        <f>(E29-C29)/C29</f>
        <v>0.002</v>
      </c>
      <c r="F72" s="211"/>
      <c r="G72" s="197">
        <f>(G29-E29)/E29</f>
        <v>0.039</v>
      </c>
      <c r="H72" s="199"/>
      <c r="I72" s="197">
        <f>(I29-G29)/G29</f>
        <v>-0.082</v>
      </c>
      <c r="K72" s="197">
        <f>(K29-I29)/I29</f>
        <v>0.013</v>
      </c>
      <c r="M72" s="197">
        <f>(M29-K29)/K29</f>
        <v>-0.047</v>
      </c>
      <c r="O72" s="197">
        <f>(O29-M29)/M29</f>
        <v>0.026</v>
      </c>
      <c r="Q72" s="197">
        <f>(Q29-O29)/O29</f>
        <v>-0.059</v>
      </c>
      <c r="S72" s="197">
        <f>(S29-Q29)/Q29</f>
        <v>-0.158</v>
      </c>
      <c r="U72" s="197">
        <f>(U29-S29)/S29</f>
        <v>-0.202</v>
      </c>
    </row>
    <row r="73" spans="1:21" ht="12">
      <c r="A73" s="41"/>
      <c r="B73" s="41"/>
      <c r="C73" s="197"/>
      <c r="D73" s="197"/>
      <c r="E73" s="197"/>
      <c r="F73" s="211"/>
      <c r="G73" s="197"/>
      <c r="H73" s="199"/>
      <c r="I73" s="197"/>
      <c r="K73" s="197"/>
      <c r="M73" s="197"/>
      <c r="O73" s="197"/>
      <c r="Q73" s="197"/>
      <c r="S73" s="197"/>
      <c r="U73" s="197"/>
    </row>
    <row r="74" spans="1:21" ht="12">
      <c r="A74" s="40" t="s">
        <v>7</v>
      </c>
      <c r="B74" s="41"/>
      <c r="C74" s="197">
        <v>-0.093</v>
      </c>
      <c r="D74" s="197"/>
      <c r="E74" s="197">
        <f>(E31-C31)/C31</f>
        <v>0.023</v>
      </c>
      <c r="F74" s="211"/>
      <c r="G74" s="197">
        <f>(G31-E31)/E31</f>
        <v>0.024</v>
      </c>
      <c r="H74" s="199"/>
      <c r="I74" s="197">
        <f>(I31-G31)/G31</f>
        <v>-0.067</v>
      </c>
      <c r="K74" s="197">
        <f>(K31-I31)/I31</f>
        <v>0.001</v>
      </c>
      <c r="M74" s="197">
        <f>(M31-K31)/K31</f>
        <v>-0.047</v>
      </c>
      <c r="O74" s="197">
        <f>(O31-M31)/M31</f>
        <v>-0.009</v>
      </c>
      <c r="Q74" s="197">
        <f>(Q31-O31)/O31</f>
        <v>-0.068</v>
      </c>
      <c r="S74" s="197">
        <f>(S31-Q31)/Q31</f>
        <v>-0.064</v>
      </c>
      <c r="U74" s="197">
        <f>(U31-S31)/S31</f>
        <v>-0.229</v>
      </c>
    </row>
    <row r="75" spans="1:21" ht="12">
      <c r="A75" s="41"/>
      <c r="B75" s="41"/>
      <c r="C75" s="197"/>
      <c r="D75" s="197"/>
      <c r="E75" s="197"/>
      <c r="F75" s="211"/>
      <c r="G75" s="197"/>
      <c r="H75" s="199"/>
      <c r="I75" s="197"/>
      <c r="K75" s="197"/>
      <c r="M75" s="197"/>
      <c r="O75" s="197"/>
      <c r="Q75" s="197"/>
      <c r="S75" s="197"/>
      <c r="U75" s="197"/>
    </row>
    <row r="76" spans="1:36" ht="12">
      <c r="A76" s="40" t="s">
        <v>8</v>
      </c>
      <c r="B76" s="41"/>
      <c r="C76" s="197">
        <v>0.049</v>
      </c>
      <c r="D76" s="200"/>
      <c r="E76" s="197">
        <f>(E33-C33)/C33</f>
        <v>-0.028</v>
      </c>
      <c r="F76" s="212"/>
      <c r="G76" s="197">
        <f>(G33-E33)/E33</f>
        <v>0.002</v>
      </c>
      <c r="H76" s="202"/>
      <c r="I76" s="197">
        <f>(I33-G33)/G33</f>
        <v>-0.036</v>
      </c>
      <c r="J76" s="17"/>
      <c r="K76" s="197">
        <f>(K33-I33)/I33</f>
        <v>-0.027</v>
      </c>
      <c r="L76" s="17"/>
      <c r="M76" s="197">
        <f>(M33-K33)/K33</f>
        <v>0.033</v>
      </c>
      <c r="N76" s="17"/>
      <c r="O76" s="197">
        <f>(O33-M33)/M33</f>
        <v>0.018</v>
      </c>
      <c r="P76" s="17"/>
      <c r="Q76" s="197">
        <f>(Q33-O33)/O33</f>
        <v>-0.039</v>
      </c>
      <c r="R76" s="17"/>
      <c r="S76" s="197">
        <f>(S33-Q33)/Q33</f>
        <v>-0.051</v>
      </c>
      <c r="T76" s="17"/>
      <c r="U76" s="197">
        <f>(U33-S33)/S33</f>
        <v>-0.076</v>
      </c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1:36" ht="12">
      <c r="A77" s="41"/>
      <c r="B77" s="41"/>
      <c r="C77" s="197"/>
      <c r="D77" s="201"/>
      <c r="E77" s="197"/>
      <c r="F77" s="212"/>
      <c r="G77" s="197"/>
      <c r="H77" s="202"/>
      <c r="I77" s="197"/>
      <c r="J77" s="17"/>
      <c r="K77" s="197"/>
      <c r="L77" s="17"/>
      <c r="M77" s="197"/>
      <c r="N77" s="17"/>
      <c r="O77" s="197"/>
      <c r="P77" s="17"/>
      <c r="Q77" s="197"/>
      <c r="R77" s="17"/>
      <c r="S77" s="197"/>
      <c r="T77" s="17"/>
      <c r="U77" s="19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 ht="12">
      <c r="A78" s="40" t="s">
        <v>17</v>
      </c>
      <c r="B78" s="41"/>
      <c r="C78" s="197">
        <v>0.033</v>
      </c>
      <c r="D78" s="200"/>
      <c r="E78" s="197">
        <f>(E35-C35)/C35</f>
        <v>0</v>
      </c>
      <c r="F78" s="212"/>
      <c r="G78" s="197">
        <f>(G35-E35)/E35</f>
        <v>0.018</v>
      </c>
      <c r="H78" s="202"/>
      <c r="I78" s="197">
        <f>(I35-G35)/G35</f>
        <v>0.024</v>
      </c>
      <c r="J78" s="17"/>
      <c r="K78" s="197">
        <f>(K35-I35)/I35</f>
        <v>0.071</v>
      </c>
      <c r="L78" s="17"/>
      <c r="M78" s="197">
        <f>(M35-K35)/K35</f>
        <v>0.044</v>
      </c>
      <c r="N78" s="17"/>
      <c r="O78" s="197">
        <f>(O35-M35)/M35</f>
        <v>0.04</v>
      </c>
      <c r="P78" s="17"/>
      <c r="Q78" s="197">
        <f>(Q35-O35)/O35</f>
        <v>-0.057</v>
      </c>
      <c r="R78" s="17"/>
      <c r="S78" s="197">
        <f>(S35-Q35)/Q35</f>
        <v>-0.076</v>
      </c>
      <c r="T78" s="17"/>
      <c r="U78" s="197">
        <f>(U35-S35)/S35</f>
        <v>-0.132</v>
      </c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19" ht="12">
      <c r="A79" s="41"/>
      <c r="B79" s="41"/>
      <c r="C79" s="203"/>
      <c r="D79" s="198"/>
      <c r="E79" s="203"/>
      <c r="F79" s="210"/>
      <c r="G79" s="204"/>
      <c r="H79" s="204"/>
      <c r="I79" s="204"/>
      <c r="J79" s="11"/>
      <c r="K79" s="204"/>
      <c r="L79" s="11"/>
      <c r="M79" s="14"/>
      <c r="N79" s="11"/>
      <c r="O79" s="11"/>
      <c r="P79" s="11"/>
      <c r="Q79" s="11"/>
      <c r="R79" s="11"/>
      <c r="S79" s="11"/>
    </row>
    <row r="80" spans="1:13" ht="21.75" customHeight="1">
      <c r="A80" s="52" t="s">
        <v>45</v>
      </c>
      <c r="B80" s="41"/>
      <c r="C80" s="53"/>
      <c r="D80" s="55"/>
      <c r="E80" s="55"/>
      <c r="J80" s="11"/>
      <c r="L80"/>
      <c r="M80"/>
    </row>
    <row r="81" spans="1:5" ht="12">
      <c r="A81" s="52" t="s">
        <v>73</v>
      </c>
      <c r="B81" s="55"/>
      <c r="C81" s="55"/>
      <c r="D81" s="55"/>
      <c r="E81" s="55"/>
    </row>
    <row r="82" spans="1:5" ht="12">
      <c r="A82" s="55" t="s">
        <v>52</v>
      </c>
      <c r="B82" s="55"/>
      <c r="C82" s="55"/>
      <c r="D82" s="55"/>
      <c r="E82" s="55"/>
    </row>
    <row r="83" spans="1:5" ht="12">
      <c r="A83" s="55" t="s">
        <v>80</v>
      </c>
      <c r="B83" s="55"/>
      <c r="C83" s="55"/>
      <c r="D83" s="55"/>
      <c r="E83" s="55"/>
    </row>
    <row r="84" spans="1:5" ht="12">
      <c r="A84" s="56" t="s">
        <v>87</v>
      </c>
      <c r="B84" s="41"/>
      <c r="C84" s="41"/>
      <c r="D84" s="55"/>
      <c r="E84" s="55"/>
    </row>
    <row r="85" spans="1:5" ht="12">
      <c r="A85" s="56" t="s">
        <v>89</v>
      </c>
      <c r="B85" s="55"/>
      <c r="C85" s="55"/>
      <c r="D85" s="55"/>
      <c r="E85" s="55"/>
    </row>
    <row r="86" spans="1:5" ht="12">
      <c r="A86" s="56"/>
      <c r="B86" s="55"/>
      <c r="C86" s="55"/>
      <c r="D86" s="55"/>
      <c r="E86" s="55"/>
    </row>
    <row r="87" spans="1:5" ht="12">
      <c r="A87" s="56" t="s">
        <v>0</v>
      </c>
      <c r="B87" s="55"/>
      <c r="C87" s="55"/>
      <c r="D87" s="55"/>
      <c r="E87" s="54"/>
    </row>
    <row r="88" spans="1:5" ht="12">
      <c r="A88" s="57" t="s">
        <v>11</v>
      </c>
      <c r="B88" s="55"/>
      <c r="C88" s="55"/>
      <c r="D88" s="55"/>
      <c r="E88" s="55"/>
    </row>
    <row r="89" spans="1:5" ht="12">
      <c r="A89" s="58" t="str">
        <f>A3</f>
        <v>2000 - 2009</v>
      </c>
      <c r="B89" s="75"/>
      <c r="C89" s="75"/>
      <c r="D89" s="75"/>
      <c r="E89" s="55"/>
    </row>
    <row r="90" spans="1:5" ht="12">
      <c r="A90" s="56" t="s">
        <v>1</v>
      </c>
      <c r="B90" s="60"/>
      <c r="C90" s="56"/>
      <c r="D90" s="55"/>
      <c r="E90" s="55"/>
    </row>
    <row r="91" spans="1:5" ht="12">
      <c r="A91" s="41"/>
      <c r="B91" s="55"/>
      <c r="C91" s="55"/>
      <c r="D91" s="55"/>
      <c r="E91" s="55"/>
    </row>
    <row r="92" spans="1:5" ht="12">
      <c r="A92" s="61"/>
      <c r="B92" s="55"/>
      <c r="C92" s="55"/>
      <c r="D92" s="55"/>
      <c r="E92" s="55"/>
    </row>
    <row r="93" spans="1:21" ht="12">
      <c r="A93" s="55"/>
      <c r="B93" s="55"/>
      <c r="C93" s="62">
        <v>2000</v>
      </c>
      <c r="D93" s="55"/>
      <c r="E93" s="62">
        <v>2001</v>
      </c>
      <c r="G93" s="62">
        <v>2002</v>
      </c>
      <c r="I93" s="62">
        <v>2003</v>
      </c>
      <c r="K93" s="62">
        <v>2004</v>
      </c>
      <c r="M93" s="62">
        <v>2005</v>
      </c>
      <c r="O93" s="46">
        <v>2006</v>
      </c>
      <c r="Q93" s="46">
        <v>2007</v>
      </c>
      <c r="S93" s="46">
        <v>2008</v>
      </c>
      <c r="U93" s="46">
        <v>2009</v>
      </c>
    </row>
    <row r="94" spans="1:11" ht="12">
      <c r="A94" s="55"/>
      <c r="B94" s="55"/>
      <c r="C94" s="60"/>
      <c r="D94" s="55"/>
      <c r="E94" s="60"/>
      <c r="G94" s="60"/>
      <c r="I94" s="60"/>
      <c r="K94" s="60"/>
    </row>
    <row r="95" spans="1:21" ht="12">
      <c r="A95" s="40" t="s">
        <v>79</v>
      </c>
      <c r="B95" s="55"/>
      <c r="C95" s="63">
        <v>108492</v>
      </c>
      <c r="D95" s="64"/>
      <c r="E95" s="65">
        <v>105442</v>
      </c>
      <c r="F95" s="213"/>
      <c r="G95" s="65">
        <v>91962</v>
      </c>
      <c r="I95" s="65">
        <v>100604</v>
      </c>
      <c r="K95" s="65">
        <v>95140</v>
      </c>
      <c r="M95" s="65">
        <v>84340</v>
      </c>
      <c r="O95" s="65">
        <v>102305</v>
      </c>
      <c r="Q95" s="65">
        <v>94747</v>
      </c>
      <c r="S95" s="65">
        <v>75327</v>
      </c>
      <c r="U95" s="65">
        <v>53995</v>
      </c>
    </row>
    <row r="96" spans="1:15" ht="12">
      <c r="A96" s="41"/>
      <c r="B96" s="55"/>
      <c r="C96" s="66"/>
      <c r="D96" s="64"/>
      <c r="E96" s="64"/>
      <c r="G96" s="64"/>
      <c r="I96" s="64"/>
      <c r="K96" s="64"/>
      <c r="M96" s="64"/>
      <c r="O96" s="64"/>
    </row>
    <row r="97" spans="1:21" ht="12">
      <c r="A97" s="40" t="s">
        <v>53</v>
      </c>
      <c r="B97" s="55"/>
      <c r="C97" s="66">
        <v>142908</v>
      </c>
      <c r="D97" s="64"/>
      <c r="E97" s="64">
        <v>139647</v>
      </c>
      <c r="G97" s="64">
        <v>146526</v>
      </c>
      <c r="I97" s="64">
        <v>181998</v>
      </c>
      <c r="K97" s="64">
        <v>172942</v>
      </c>
      <c r="M97" s="64">
        <v>167660</v>
      </c>
      <c r="O97" s="64">
        <v>170478</v>
      </c>
      <c r="Q97" s="64">
        <v>178478</v>
      </c>
      <c r="S97" s="64">
        <v>173440</v>
      </c>
      <c r="U97" s="64">
        <v>160007</v>
      </c>
    </row>
    <row r="98" spans="1:15" ht="12">
      <c r="A98" s="40"/>
      <c r="B98" s="55"/>
      <c r="C98" s="66"/>
      <c r="D98" s="64"/>
      <c r="E98" s="64"/>
      <c r="G98" s="64"/>
      <c r="I98" s="64"/>
      <c r="K98" s="64"/>
      <c r="M98" s="64"/>
      <c r="O98" s="64"/>
    </row>
    <row r="99" spans="1:21" ht="12">
      <c r="A99" s="40" t="s">
        <v>86</v>
      </c>
      <c r="B99" s="55"/>
      <c r="C99" s="196" t="s">
        <v>85</v>
      </c>
      <c r="D99" s="64"/>
      <c r="E99" s="196" t="s">
        <v>85</v>
      </c>
      <c r="G99" s="196" t="s">
        <v>85</v>
      </c>
      <c r="I99" s="64">
        <v>101101</v>
      </c>
      <c r="K99" s="64">
        <v>232702</v>
      </c>
      <c r="M99" s="64">
        <v>266487</v>
      </c>
      <c r="O99" s="64">
        <v>279830</v>
      </c>
      <c r="Q99" s="64">
        <v>311352</v>
      </c>
      <c r="S99" s="64">
        <v>297335</v>
      </c>
      <c r="U99" s="64">
        <v>263935</v>
      </c>
    </row>
    <row r="100" spans="1:21" ht="12">
      <c r="A100" s="41"/>
      <c r="B100" s="55"/>
      <c r="C100" s="66"/>
      <c r="D100" s="64"/>
      <c r="E100" s="64"/>
      <c r="G100" s="64"/>
      <c r="I100" s="64"/>
      <c r="K100" s="64"/>
      <c r="M100" s="64"/>
      <c r="O100" s="64"/>
      <c r="Q100" s="64"/>
      <c r="S100" s="64"/>
      <c r="U100" s="64"/>
    </row>
    <row r="101" spans="1:21" ht="12">
      <c r="A101" s="40" t="s">
        <v>2</v>
      </c>
      <c r="B101" s="55"/>
      <c r="C101" s="66">
        <v>168167</v>
      </c>
      <c r="D101" s="64"/>
      <c r="E101" s="64">
        <v>162973</v>
      </c>
      <c r="G101" s="64">
        <v>178654</v>
      </c>
      <c r="I101" s="64">
        <v>165987</v>
      </c>
      <c r="K101" s="64">
        <v>146543</v>
      </c>
      <c r="M101" s="64">
        <v>160580</v>
      </c>
      <c r="O101" s="64">
        <v>184891</v>
      </c>
      <c r="Q101" s="64">
        <v>208852</v>
      </c>
      <c r="S101" s="64">
        <v>216294</v>
      </c>
      <c r="U101" s="64">
        <v>175457</v>
      </c>
    </row>
    <row r="102" spans="1:21" ht="12">
      <c r="A102" s="41"/>
      <c r="B102" s="55"/>
      <c r="C102" s="66"/>
      <c r="D102" s="64"/>
      <c r="E102" s="64"/>
      <c r="G102" s="64"/>
      <c r="I102" s="64"/>
      <c r="K102" s="64"/>
      <c r="M102" s="64"/>
      <c r="O102" s="64"/>
      <c r="Q102" s="64"/>
      <c r="S102" s="64"/>
      <c r="U102" s="64"/>
    </row>
    <row r="103" spans="1:21" ht="12">
      <c r="A103" s="42" t="s">
        <v>54</v>
      </c>
      <c r="B103" s="55"/>
      <c r="C103" s="66">
        <v>37670</v>
      </c>
      <c r="D103" s="64"/>
      <c r="E103" s="64">
        <v>39475</v>
      </c>
      <c r="G103" s="64">
        <v>40396</v>
      </c>
      <c r="I103" s="196" t="s">
        <v>85</v>
      </c>
      <c r="K103" s="196" t="s">
        <v>85</v>
      </c>
      <c r="M103" s="196" t="s">
        <v>85</v>
      </c>
      <c r="O103" s="196" t="s">
        <v>85</v>
      </c>
      <c r="Q103" s="196" t="s">
        <v>85</v>
      </c>
      <c r="S103" s="196" t="s">
        <v>85</v>
      </c>
      <c r="U103" s="196" t="s">
        <v>85</v>
      </c>
    </row>
    <row r="104" spans="1:21" ht="12">
      <c r="A104" s="41"/>
      <c r="B104" s="55"/>
      <c r="C104" s="66"/>
      <c r="D104" s="64"/>
      <c r="E104" s="64"/>
      <c r="G104" s="64"/>
      <c r="I104" s="64"/>
      <c r="K104" s="64"/>
      <c r="M104" s="64"/>
      <c r="O104" s="64"/>
      <c r="Q104" s="64"/>
      <c r="S104" s="64"/>
      <c r="U104" s="64"/>
    </row>
    <row r="105" spans="1:21" ht="12">
      <c r="A105" s="40" t="s">
        <v>3</v>
      </c>
      <c r="B105" s="55"/>
      <c r="C105" s="66">
        <v>60032</v>
      </c>
      <c r="D105" s="64"/>
      <c r="E105" s="64">
        <v>51659</v>
      </c>
      <c r="F105" s="213"/>
      <c r="G105" s="64">
        <v>49648</v>
      </c>
      <c r="I105" s="64">
        <v>46375</v>
      </c>
      <c r="K105" s="64">
        <v>47470</v>
      </c>
      <c r="M105" s="64">
        <v>53299</v>
      </c>
      <c r="O105" s="64">
        <v>57484</v>
      </c>
      <c r="Q105" s="64">
        <v>69216</v>
      </c>
      <c r="S105" s="64">
        <v>98269</v>
      </c>
      <c r="U105" s="64">
        <v>100151</v>
      </c>
    </row>
    <row r="106" spans="1:21" ht="12">
      <c r="A106" s="41"/>
      <c r="B106" s="55"/>
      <c r="C106" s="66"/>
      <c r="D106" s="64"/>
      <c r="E106" s="64"/>
      <c r="G106" s="64"/>
      <c r="I106" s="64"/>
      <c r="K106" s="64"/>
      <c r="M106" s="64"/>
      <c r="O106" s="64"/>
      <c r="Q106" s="64"/>
      <c r="S106" s="64"/>
      <c r="U106" s="64"/>
    </row>
    <row r="107" spans="1:21" ht="12">
      <c r="A107" s="40" t="s">
        <v>4</v>
      </c>
      <c r="B107" s="55"/>
      <c r="C107" s="66">
        <v>72599</v>
      </c>
      <c r="D107" s="67"/>
      <c r="E107" s="64">
        <v>67411</v>
      </c>
      <c r="G107" s="64">
        <v>69878</v>
      </c>
      <c r="I107" s="64">
        <v>58212</v>
      </c>
      <c r="K107" s="64">
        <v>63904</v>
      </c>
      <c r="M107" s="64">
        <v>69193</v>
      </c>
      <c r="O107" s="64">
        <v>66889</v>
      </c>
      <c r="Q107" s="64">
        <v>70719</v>
      </c>
      <c r="S107" s="64">
        <v>58922</v>
      </c>
      <c r="U107" s="64">
        <v>49285</v>
      </c>
    </row>
    <row r="108" spans="1:21" ht="12">
      <c r="A108" s="41"/>
      <c r="B108" s="55"/>
      <c r="C108" s="66"/>
      <c r="D108" s="64"/>
      <c r="E108" s="64"/>
      <c r="G108" s="64"/>
      <c r="I108" s="64"/>
      <c r="K108" s="64"/>
      <c r="M108" s="64"/>
      <c r="O108" s="64" t="s">
        <v>10</v>
      </c>
      <c r="Q108" s="64"/>
      <c r="S108" s="64"/>
      <c r="U108" s="64"/>
    </row>
    <row r="109" spans="1:21" ht="12">
      <c r="A109" s="40" t="s">
        <v>90</v>
      </c>
      <c r="B109" s="55"/>
      <c r="C109" s="66">
        <v>68827</v>
      </c>
      <c r="D109" s="64"/>
      <c r="E109" s="64">
        <v>70176</v>
      </c>
      <c r="G109" s="64">
        <v>36993</v>
      </c>
      <c r="I109" s="64">
        <v>33202</v>
      </c>
      <c r="K109" s="64">
        <v>40369</v>
      </c>
      <c r="M109" s="64">
        <v>39638</v>
      </c>
      <c r="O109" s="64">
        <v>36180</v>
      </c>
      <c r="Q109" s="196" t="s">
        <v>85</v>
      </c>
      <c r="S109" s="196" t="s">
        <v>85</v>
      </c>
      <c r="U109" s="196" t="s">
        <v>85</v>
      </c>
    </row>
    <row r="110" spans="1:21" ht="12">
      <c r="A110" s="41"/>
      <c r="B110" s="55"/>
      <c r="C110" s="66"/>
      <c r="D110" s="64"/>
      <c r="E110" s="64"/>
      <c r="G110" s="64"/>
      <c r="I110" s="64"/>
      <c r="K110" s="64"/>
      <c r="M110" s="64"/>
      <c r="O110" s="64" t="s">
        <v>10</v>
      </c>
      <c r="Q110" s="64"/>
      <c r="S110" s="64"/>
      <c r="U110" s="64"/>
    </row>
    <row r="111" spans="1:21" ht="12">
      <c r="A111" s="40" t="s">
        <v>5</v>
      </c>
      <c r="B111" s="55"/>
      <c r="C111" s="66">
        <v>54690</v>
      </c>
      <c r="D111" s="64"/>
      <c r="E111" s="64">
        <v>53606</v>
      </c>
      <c r="G111" s="64">
        <v>47927</v>
      </c>
      <c r="I111" s="64">
        <v>43570</v>
      </c>
      <c r="K111" s="64">
        <v>43018</v>
      </c>
      <c r="M111" s="64">
        <v>47793</v>
      </c>
      <c r="O111" s="64">
        <v>66979</v>
      </c>
      <c r="Q111" s="64">
        <v>73741</v>
      </c>
      <c r="S111" s="64">
        <v>69409</v>
      </c>
      <c r="U111" s="64">
        <v>57397</v>
      </c>
    </row>
    <row r="112" spans="1:21" ht="12">
      <c r="A112" s="41"/>
      <c r="B112" s="55"/>
      <c r="C112" s="66"/>
      <c r="D112" s="64"/>
      <c r="E112" s="64"/>
      <c r="G112" s="64"/>
      <c r="I112" s="64"/>
      <c r="K112" s="64"/>
      <c r="M112" s="64"/>
      <c r="O112" s="64"/>
      <c r="Q112" s="64"/>
      <c r="S112" s="64"/>
      <c r="U112" s="64"/>
    </row>
    <row r="113" spans="1:21" ht="12">
      <c r="A113" s="42" t="s">
        <v>6</v>
      </c>
      <c r="B113" s="55"/>
      <c r="C113" s="66">
        <v>129843</v>
      </c>
      <c r="D113" s="64"/>
      <c r="E113" s="64">
        <v>126738</v>
      </c>
      <c r="G113" s="64">
        <v>120596</v>
      </c>
      <c r="I113" s="64">
        <v>107267</v>
      </c>
      <c r="K113" s="64">
        <v>108181</v>
      </c>
      <c r="M113" s="64">
        <v>135557</v>
      </c>
      <c r="O113" s="64">
        <v>120215</v>
      </c>
      <c r="Q113" s="64">
        <v>117792</v>
      </c>
      <c r="S113" s="64">
        <v>104808</v>
      </c>
      <c r="U113" s="64">
        <v>91822</v>
      </c>
    </row>
    <row r="114" spans="1:21" ht="12">
      <c r="A114" s="55"/>
      <c r="B114" s="55"/>
      <c r="C114" s="66"/>
      <c r="D114" s="64"/>
      <c r="E114" s="64"/>
      <c r="G114" s="64"/>
      <c r="I114" s="64"/>
      <c r="K114" s="64"/>
      <c r="M114" s="64"/>
      <c r="O114" s="64"/>
      <c r="Q114" s="64"/>
      <c r="S114" s="64"/>
      <c r="U114" s="64"/>
    </row>
    <row r="115" spans="1:21" ht="12">
      <c r="A115" s="56" t="s">
        <v>24</v>
      </c>
      <c r="B115" s="55"/>
      <c r="C115" s="66">
        <v>73193</v>
      </c>
      <c r="D115" s="64"/>
      <c r="E115" s="64">
        <v>63246</v>
      </c>
      <c r="G115" s="64">
        <v>64072</v>
      </c>
      <c r="I115" s="64">
        <v>60379</v>
      </c>
      <c r="K115" s="64">
        <v>52503</v>
      </c>
      <c r="M115" s="64">
        <v>52669</v>
      </c>
      <c r="O115" s="64">
        <v>55308</v>
      </c>
      <c r="Q115" s="64">
        <v>57374</v>
      </c>
      <c r="S115" s="64">
        <v>48568</v>
      </c>
      <c r="U115" s="64">
        <v>37330</v>
      </c>
    </row>
    <row r="116" spans="1:21" ht="12">
      <c r="A116" s="55"/>
      <c r="B116" s="55"/>
      <c r="C116" s="66"/>
      <c r="D116" s="64"/>
      <c r="E116" s="64"/>
      <c r="G116" s="64"/>
      <c r="I116" s="64"/>
      <c r="K116" s="64" t="s">
        <v>10</v>
      </c>
      <c r="M116" s="64"/>
      <c r="O116" s="64"/>
      <c r="Q116" s="64"/>
      <c r="S116" s="64"/>
      <c r="U116" s="64"/>
    </row>
    <row r="117" spans="1:21" ht="12">
      <c r="A117" s="56" t="s">
        <v>7</v>
      </c>
      <c r="B117" s="55"/>
      <c r="C117" s="66">
        <v>93111</v>
      </c>
      <c r="D117" s="64"/>
      <c r="E117" s="64">
        <v>95978</v>
      </c>
      <c r="F117" s="213"/>
      <c r="G117" s="64">
        <v>100389</v>
      </c>
      <c r="I117" s="64">
        <v>88307</v>
      </c>
      <c r="K117" s="64">
        <v>82921</v>
      </c>
      <c r="M117" s="64">
        <v>79872</v>
      </c>
      <c r="O117" s="64">
        <v>85469</v>
      </c>
      <c r="Q117" s="64">
        <v>83956</v>
      </c>
      <c r="S117" s="64">
        <v>83756</v>
      </c>
      <c r="U117" s="64">
        <v>59750</v>
      </c>
    </row>
    <row r="118" spans="1:21" ht="12">
      <c r="A118" s="55"/>
      <c r="B118" s="55"/>
      <c r="C118" s="66"/>
      <c r="D118" s="68"/>
      <c r="E118" s="64"/>
      <c r="G118" s="64"/>
      <c r="I118" s="64"/>
      <c r="K118" s="64"/>
      <c r="M118" s="64"/>
      <c r="O118" s="64"/>
      <c r="Q118" s="64"/>
      <c r="S118" s="64"/>
      <c r="U118" s="64"/>
    </row>
    <row r="119" spans="1:21" ht="12">
      <c r="A119" s="56" t="s">
        <v>8</v>
      </c>
      <c r="B119" s="55"/>
      <c r="C119" s="69">
        <v>203429</v>
      </c>
      <c r="D119" s="68"/>
      <c r="E119" s="70">
        <v>185455</v>
      </c>
      <c r="G119" s="70">
        <v>172849</v>
      </c>
      <c r="I119" s="70">
        <v>174056</v>
      </c>
      <c r="K119" s="70">
        <v>164593</v>
      </c>
      <c r="M119" s="70">
        <v>187228</v>
      </c>
      <c r="O119" s="70">
        <v>188030</v>
      </c>
      <c r="Q119" s="70">
        <v>190089</v>
      </c>
      <c r="S119" s="70">
        <v>186332</v>
      </c>
      <c r="U119" s="70">
        <v>172268</v>
      </c>
    </row>
    <row r="120" spans="1:11" ht="12">
      <c r="A120" s="55"/>
      <c r="B120" s="55"/>
      <c r="C120" s="60"/>
      <c r="D120" s="55"/>
      <c r="E120" s="60"/>
      <c r="G120" s="60"/>
      <c r="I120" s="60"/>
      <c r="K120" s="60"/>
    </row>
    <row r="121" spans="1:21" ht="12.75" thickBot="1">
      <c r="A121" s="40" t="s">
        <v>17</v>
      </c>
      <c r="B121" s="55"/>
      <c r="C121" s="71">
        <f>SUM(C95:C119)</f>
        <v>1212961</v>
      </c>
      <c r="D121" s="65"/>
      <c r="E121" s="71">
        <f>SUM(E95:E119)</f>
        <v>1161806</v>
      </c>
      <c r="F121" s="214"/>
      <c r="G121" s="71">
        <f>SUM(G95:G119)</f>
        <v>1119890</v>
      </c>
      <c r="I121" s="71">
        <f>SUM(I95:I119)</f>
        <v>1161058</v>
      </c>
      <c r="K121" s="71">
        <f>SUM(K95:K119)</f>
        <v>1250286</v>
      </c>
      <c r="M121" s="71">
        <f>SUM(M95:M119)</f>
        <v>1344316</v>
      </c>
      <c r="O121" s="71">
        <f>SUM(O95:O119)</f>
        <v>1414058</v>
      </c>
      <c r="Q121" s="71">
        <f>SUM(Q95:Q119)</f>
        <v>1456316</v>
      </c>
      <c r="S121" s="71">
        <f>SUM(S95:S119)</f>
        <v>1412460</v>
      </c>
      <c r="U121" s="71">
        <f>SUM(U95:U119)</f>
        <v>1221397</v>
      </c>
    </row>
    <row r="122" spans="1:5" ht="12.75" thickTop="1">
      <c r="A122" s="55"/>
      <c r="B122" s="55"/>
      <c r="C122" s="60"/>
      <c r="D122" s="55"/>
      <c r="E122" s="60"/>
    </row>
    <row r="123" spans="1:5" ht="12">
      <c r="A123" s="52" t="s">
        <v>45</v>
      </c>
      <c r="B123" s="41"/>
      <c r="C123" s="55"/>
      <c r="D123" s="55"/>
      <c r="E123" s="55"/>
    </row>
    <row r="124" spans="1:5" ht="12">
      <c r="A124" s="52" t="s">
        <v>73</v>
      </c>
      <c r="B124" s="41"/>
      <c r="C124" s="55"/>
      <c r="D124" s="55"/>
      <c r="E124" s="55"/>
    </row>
    <row r="125" spans="1:5" ht="12">
      <c r="A125" s="55" t="s">
        <v>52</v>
      </c>
      <c r="B125" s="41"/>
      <c r="C125" s="55"/>
      <c r="D125" s="55"/>
      <c r="E125" s="55"/>
    </row>
    <row r="126" spans="1:5" ht="12">
      <c r="A126" s="55" t="s">
        <v>80</v>
      </c>
      <c r="B126" s="41"/>
      <c r="C126" s="55"/>
      <c r="D126" s="55"/>
      <c r="E126" s="55"/>
    </row>
    <row r="127" spans="1:5" ht="12">
      <c r="A127" s="56" t="s">
        <v>87</v>
      </c>
      <c r="B127" s="41"/>
      <c r="C127" s="55"/>
      <c r="D127" s="55"/>
      <c r="E127" s="55"/>
    </row>
    <row r="128" spans="1:5" ht="12">
      <c r="A128" s="56" t="s">
        <v>89</v>
      </c>
      <c r="B128" s="55"/>
      <c r="C128" s="55"/>
      <c r="D128" s="55"/>
      <c r="E128" s="55"/>
    </row>
    <row r="129" spans="1:5" ht="12">
      <c r="A129" s="56"/>
      <c r="B129" s="55"/>
      <c r="C129" s="55"/>
      <c r="D129" s="55"/>
      <c r="E129" s="55"/>
    </row>
    <row r="130" spans="1:5" ht="12">
      <c r="A130" s="56" t="s">
        <v>0</v>
      </c>
      <c r="B130" s="55"/>
      <c r="C130" s="55"/>
      <c r="D130" s="55"/>
      <c r="E130" s="55"/>
    </row>
    <row r="131" spans="1:5" ht="12">
      <c r="A131" s="57" t="s">
        <v>12</v>
      </c>
      <c r="B131" s="55"/>
      <c r="C131" s="55"/>
      <c r="D131" s="55"/>
      <c r="E131" s="55"/>
    </row>
    <row r="132" spans="1:5" ht="12">
      <c r="A132" s="72" t="str">
        <f>A3</f>
        <v>2000 - 2009</v>
      </c>
      <c r="B132" s="75"/>
      <c r="C132" s="75"/>
      <c r="D132" s="55"/>
      <c r="E132" s="55"/>
    </row>
    <row r="133" spans="1:5" ht="12">
      <c r="A133" s="60"/>
      <c r="B133" s="60"/>
      <c r="C133" s="55"/>
      <c r="D133" s="55"/>
      <c r="E133" s="55"/>
    </row>
    <row r="134" spans="1:5" ht="12">
      <c r="A134" s="55"/>
      <c r="B134" s="55"/>
      <c r="C134" s="55"/>
      <c r="D134" s="55"/>
      <c r="E134" s="55"/>
    </row>
    <row r="135" spans="1:21" ht="12">
      <c r="A135" s="55"/>
      <c r="B135" s="55"/>
      <c r="C135" s="62">
        <v>2000</v>
      </c>
      <c r="D135" s="55"/>
      <c r="E135" s="62">
        <v>2001</v>
      </c>
      <c r="G135" s="62">
        <v>2002</v>
      </c>
      <c r="I135" s="62">
        <v>2003</v>
      </c>
      <c r="K135" s="62">
        <v>2004</v>
      </c>
      <c r="M135" s="62">
        <v>2005</v>
      </c>
      <c r="O135" s="46">
        <v>2006</v>
      </c>
      <c r="Q135" s="46">
        <v>2007</v>
      </c>
      <c r="S135" s="46">
        <v>2008</v>
      </c>
      <c r="U135" s="46">
        <v>2009</v>
      </c>
    </row>
    <row r="136" spans="1:13" ht="12">
      <c r="A136" s="55"/>
      <c r="B136" s="55"/>
      <c r="C136" s="60"/>
      <c r="D136" s="55"/>
      <c r="E136" s="60"/>
      <c r="G136" s="60"/>
      <c r="I136" s="60"/>
      <c r="K136" s="60"/>
      <c r="M136" s="60"/>
    </row>
    <row r="137" spans="1:21" ht="12">
      <c r="A137" s="40" t="s">
        <v>79</v>
      </c>
      <c r="B137" s="55"/>
      <c r="C137" s="205">
        <v>-0.094</v>
      </c>
      <c r="D137" s="205"/>
      <c r="E137" s="205">
        <f>(E95-C95)/C95</f>
        <v>-0.028</v>
      </c>
      <c r="F137" s="199"/>
      <c r="G137" s="205">
        <f>(G95-E95)/E95</f>
        <v>-0.128</v>
      </c>
      <c r="H137" s="199"/>
      <c r="I137" s="205">
        <f>(I95-G95)/G95</f>
        <v>0.094</v>
      </c>
      <c r="K137" s="205">
        <f>(K95-I95)/I95</f>
        <v>-0.054</v>
      </c>
      <c r="M137" s="205">
        <f>(M95-K95)/K95</f>
        <v>-0.114</v>
      </c>
      <c r="O137" s="205">
        <f>(O95-M95)/M95</f>
        <v>0.213</v>
      </c>
      <c r="Q137" s="205">
        <f>(Q95-O95)/O95</f>
        <v>-0.074</v>
      </c>
      <c r="S137" s="205">
        <f>(S95-Q95)/Q95</f>
        <v>-0.205</v>
      </c>
      <c r="U137" s="205">
        <f>(U95-S95)/S95</f>
        <v>-0.283</v>
      </c>
    </row>
    <row r="138" spans="1:21" ht="12">
      <c r="A138" s="41"/>
      <c r="B138" s="55"/>
      <c r="C138" s="205"/>
      <c r="D138" s="205"/>
      <c r="E138" s="205"/>
      <c r="F138" s="199"/>
      <c r="G138" s="205"/>
      <c r="H138" s="199"/>
      <c r="I138" s="205"/>
      <c r="K138" s="205"/>
      <c r="M138" s="205"/>
      <c r="O138" s="205"/>
      <c r="Q138" s="205"/>
      <c r="S138" s="205"/>
      <c r="U138" s="205"/>
    </row>
    <row r="139" spans="1:21" ht="12">
      <c r="A139" s="40" t="s">
        <v>53</v>
      </c>
      <c r="B139" s="55"/>
      <c r="C139" s="205">
        <v>0.032</v>
      </c>
      <c r="D139" s="205"/>
      <c r="E139" s="205">
        <f>(E97-C97)/C97</f>
        <v>-0.023</v>
      </c>
      <c r="F139" s="199"/>
      <c r="G139" s="205">
        <f>(G97-E97)/E97</f>
        <v>0.049</v>
      </c>
      <c r="H139" s="199"/>
      <c r="I139" s="205">
        <f>(I97-G97)/G97</f>
        <v>0.242</v>
      </c>
      <c r="K139" s="205">
        <f>(K97-I97)/I97</f>
        <v>-0.05</v>
      </c>
      <c r="M139" s="205">
        <f>(M97-K97)/K97</f>
        <v>-0.031</v>
      </c>
      <c r="O139" s="205">
        <f>(O97-M97)/M97</f>
        <v>0.017</v>
      </c>
      <c r="Q139" s="205">
        <f>(Q97-O97)/O97</f>
        <v>0.047</v>
      </c>
      <c r="S139" s="205">
        <f>(S97-Q97)/Q97</f>
        <v>-0.028</v>
      </c>
      <c r="U139" s="205">
        <f>(U97-S97)/S97</f>
        <v>-0.077</v>
      </c>
    </row>
    <row r="140" spans="1:21" ht="12">
      <c r="A140" s="40"/>
      <c r="B140" s="55"/>
      <c r="C140" s="205"/>
      <c r="D140" s="205"/>
      <c r="E140" s="205"/>
      <c r="F140" s="199"/>
      <c r="G140" s="205"/>
      <c r="H140" s="199"/>
      <c r="I140" s="205"/>
      <c r="K140" s="205"/>
      <c r="M140" s="205"/>
      <c r="O140" s="205"/>
      <c r="Q140" s="205"/>
      <c r="S140" s="205"/>
      <c r="U140" s="205"/>
    </row>
    <row r="141" spans="1:21" ht="12">
      <c r="A141" s="40" t="s">
        <v>86</v>
      </c>
      <c r="B141" s="55"/>
      <c r="C141" s="196" t="s">
        <v>85</v>
      </c>
      <c r="D141" s="205"/>
      <c r="E141" s="196" t="s">
        <v>85</v>
      </c>
      <c r="F141" s="199"/>
      <c r="G141" s="196" t="s">
        <v>85</v>
      </c>
      <c r="H141" s="199"/>
      <c r="I141" s="196" t="s">
        <v>85</v>
      </c>
      <c r="K141" s="196" t="s">
        <v>85</v>
      </c>
      <c r="M141" s="205">
        <f>(M99-K99)/K99</f>
        <v>0.145</v>
      </c>
      <c r="O141" s="205">
        <f>(O99-M99)/M99</f>
        <v>0.05</v>
      </c>
      <c r="Q141" s="205">
        <f>(Q99-O99)/O99</f>
        <v>0.113</v>
      </c>
      <c r="S141" s="205">
        <f>(S99-Q99)/Q99</f>
        <v>-0.045</v>
      </c>
      <c r="U141" s="205">
        <f>(U99-S99)/S99</f>
        <v>-0.112</v>
      </c>
    </row>
    <row r="142" spans="1:21" ht="12">
      <c r="A142" s="41"/>
      <c r="B142" s="55"/>
      <c r="C142" s="205"/>
      <c r="D142" s="205"/>
      <c r="E142" s="205"/>
      <c r="F142" s="199"/>
      <c r="G142" s="205"/>
      <c r="H142" s="199"/>
      <c r="I142" s="205"/>
      <c r="K142" s="205"/>
      <c r="M142" s="205"/>
      <c r="O142" s="205"/>
      <c r="Q142" s="205"/>
      <c r="S142" s="205"/>
      <c r="U142" s="205"/>
    </row>
    <row r="143" spans="1:21" ht="12">
      <c r="A143" s="40" t="s">
        <v>2</v>
      </c>
      <c r="B143" s="55"/>
      <c r="C143" s="205">
        <v>0.038</v>
      </c>
      <c r="D143" s="205"/>
      <c r="E143" s="205">
        <f>(E101-C101)/C101</f>
        <v>-0.031</v>
      </c>
      <c r="F143" s="199"/>
      <c r="G143" s="205">
        <f>(G101-E101)/E101</f>
        <v>0.096</v>
      </c>
      <c r="H143" s="199"/>
      <c r="I143" s="205">
        <f>(I101-G101)/G101</f>
        <v>-0.071</v>
      </c>
      <c r="K143" s="205">
        <f>(K101-I101)/I101</f>
        <v>-0.117</v>
      </c>
      <c r="M143" s="205">
        <f>(M101-K101)/K101</f>
        <v>0.096</v>
      </c>
      <c r="O143" s="205">
        <f>(O101-M101)/M101</f>
        <v>0.151</v>
      </c>
      <c r="Q143" s="205">
        <f>(Q101-O101)/O101</f>
        <v>0.13</v>
      </c>
      <c r="S143" s="205">
        <f>(S101-Q101)/Q101</f>
        <v>0.036</v>
      </c>
      <c r="U143" s="205">
        <f>(U101-S101)/S101</f>
        <v>-0.189</v>
      </c>
    </row>
    <row r="144" spans="1:21" ht="12">
      <c r="A144" s="41"/>
      <c r="B144" s="55"/>
      <c r="C144" s="205"/>
      <c r="D144" s="205"/>
      <c r="E144" s="205"/>
      <c r="F144" s="199"/>
      <c r="G144" s="205"/>
      <c r="H144" s="199"/>
      <c r="I144" s="205"/>
      <c r="K144" s="205"/>
      <c r="M144" s="205"/>
      <c r="O144" s="205"/>
      <c r="Q144" s="205"/>
      <c r="S144" s="205"/>
      <c r="U144" s="205"/>
    </row>
    <row r="145" spans="1:21" ht="12">
      <c r="A145" s="42" t="s">
        <v>54</v>
      </c>
      <c r="B145" s="55"/>
      <c r="C145" s="205">
        <v>-0.109</v>
      </c>
      <c r="D145" s="205"/>
      <c r="E145" s="205">
        <f>(E103-C103)/C103</f>
        <v>0.048</v>
      </c>
      <c r="F145" s="199"/>
      <c r="G145" s="205">
        <f>(G103-E103)/E103</f>
        <v>0.023</v>
      </c>
      <c r="H145" s="199"/>
      <c r="I145" s="196" t="s">
        <v>85</v>
      </c>
      <c r="K145" s="196" t="s">
        <v>85</v>
      </c>
      <c r="M145" s="196" t="s">
        <v>85</v>
      </c>
      <c r="O145" s="196" t="s">
        <v>85</v>
      </c>
      <c r="Q145" s="196" t="s">
        <v>85</v>
      </c>
      <c r="S145" s="196" t="s">
        <v>85</v>
      </c>
      <c r="U145" s="196" t="s">
        <v>85</v>
      </c>
    </row>
    <row r="146" spans="1:21" ht="12">
      <c r="A146" s="41"/>
      <c r="B146" s="55"/>
      <c r="C146" s="205"/>
      <c r="D146" s="205"/>
      <c r="E146" s="205"/>
      <c r="F146" s="199"/>
      <c r="G146" s="205"/>
      <c r="H146" s="199"/>
      <c r="I146" s="205"/>
      <c r="K146" s="205"/>
      <c r="M146" s="205"/>
      <c r="O146" s="205"/>
      <c r="Q146" s="205"/>
      <c r="S146" s="205"/>
      <c r="U146" s="205"/>
    </row>
    <row r="147" spans="1:21" ht="12">
      <c r="A147" s="40" t="s">
        <v>3</v>
      </c>
      <c r="B147" s="55"/>
      <c r="C147" s="205">
        <v>-0.069</v>
      </c>
      <c r="D147" s="205"/>
      <c r="E147" s="205">
        <f>(E105-C105)/C105</f>
        <v>-0.139</v>
      </c>
      <c r="F147" s="199"/>
      <c r="G147" s="205">
        <f>(G105-E105)/E105</f>
        <v>-0.039</v>
      </c>
      <c r="H147" s="199"/>
      <c r="I147" s="205">
        <f>(I105-G105)/G105</f>
        <v>-0.066</v>
      </c>
      <c r="K147" s="205">
        <f>(K105-I105)/I105</f>
        <v>0.024</v>
      </c>
      <c r="M147" s="205">
        <f>(M105-K105)/K105</f>
        <v>0.123</v>
      </c>
      <c r="O147" s="205">
        <f>(O105-M105)/M105</f>
        <v>0.079</v>
      </c>
      <c r="Q147" s="205">
        <f>(Q105-O105)/O105</f>
        <v>0.204</v>
      </c>
      <c r="S147" s="205">
        <f>(S105-Q105)/Q105</f>
        <v>0.42</v>
      </c>
      <c r="U147" s="205">
        <f>(U105-S105)/S105</f>
        <v>0.019</v>
      </c>
    </row>
    <row r="148" spans="1:21" ht="12">
      <c r="A148" s="41"/>
      <c r="B148" s="55"/>
      <c r="C148" s="205"/>
      <c r="D148" s="205"/>
      <c r="E148" s="205"/>
      <c r="F148" s="199"/>
      <c r="G148" s="205"/>
      <c r="H148" s="199"/>
      <c r="I148" s="205"/>
      <c r="K148" s="205"/>
      <c r="M148" s="205"/>
      <c r="O148" s="205"/>
      <c r="Q148" s="205"/>
      <c r="S148" s="205"/>
      <c r="U148" s="205"/>
    </row>
    <row r="149" spans="1:21" ht="12">
      <c r="A149" s="40" t="s">
        <v>4</v>
      </c>
      <c r="B149" s="55"/>
      <c r="C149" s="205">
        <v>0.129</v>
      </c>
      <c r="D149" s="205"/>
      <c r="E149" s="205">
        <f>(E107-C107)/C107</f>
        <v>-0.071</v>
      </c>
      <c r="F149" s="199"/>
      <c r="G149" s="205">
        <f>(G107-E107)/E107</f>
        <v>0.037</v>
      </c>
      <c r="H149" s="199"/>
      <c r="I149" s="205">
        <f>(I107-G107)/G107</f>
        <v>-0.167</v>
      </c>
      <c r="K149" s="205">
        <f>(K107-I107)/I107</f>
        <v>0.098</v>
      </c>
      <c r="M149" s="205">
        <f>(M107-K107)/K107</f>
        <v>0.083</v>
      </c>
      <c r="O149" s="205">
        <f>(O107-M107)/M107</f>
        <v>-0.033</v>
      </c>
      <c r="Q149" s="205">
        <f>(Q107-O107)/O107</f>
        <v>0.057</v>
      </c>
      <c r="S149" s="205">
        <f>(S107-Q107)/Q107</f>
        <v>-0.167</v>
      </c>
      <c r="U149" s="205">
        <f>(U107-S107)/S107</f>
        <v>-0.164</v>
      </c>
    </row>
    <row r="150" spans="1:21" ht="12">
      <c r="A150" s="41"/>
      <c r="B150" s="55"/>
      <c r="C150" s="205"/>
      <c r="D150" s="205"/>
      <c r="E150" s="205"/>
      <c r="F150" s="199"/>
      <c r="G150" s="205"/>
      <c r="H150" s="199"/>
      <c r="I150" s="205"/>
      <c r="K150" s="205"/>
      <c r="M150" s="205"/>
      <c r="O150" s="205"/>
      <c r="Q150" s="205"/>
      <c r="S150" s="205"/>
      <c r="U150" s="205"/>
    </row>
    <row r="151" spans="1:21" ht="12">
      <c r="A151" s="40" t="s">
        <v>90</v>
      </c>
      <c r="B151" s="55"/>
      <c r="C151" s="205">
        <v>-0.008</v>
      </c>
      <c r="D151" s="205"/>
      <c r="E151" s="205">
        <f>(E109-C109)/C109</f>
        <v>0.02</v>
      </c>
      <c r="F151" s="199"/>
      <c r="G151" s="205">
        <f>(G109-E109)/E109</f>
        <v>-0.473</v>
      </c>
      <c r="H151" s="199"/>
      <c r="I151" s="205">
        <f>(I109-G109)/G109</f>
        <v>-0.102</v>
      </c>
      <c r="K151" s="205">
        <f>(K109-I109)/I109</f>
        <v>0.216</v>
      </c>
      <c r="M151" s="205">
        <f>(M109-K109)/K109</f>
        <v>-0.018</v>
      </c>
      <c r="O151" s="205">
        <f>(O109-M109)/M109</f>
        <v>-0.087</v>
      </c>
      <c r="Q151" s="196" t="s">
        <v>85</v>
      </c>
      <c r="S151" s="196" t="s">
        <v>85</v>
      </c>
      <c r="U151" s="196" t="s">
        <v>85</v>
      </c>
    </row>
    <row r="152" spans="1:21" ht="12">
      <c r="A152" s="41"/>
      <c r="B152" s="55"/>
      <c r="C152" s="205"/>
      <c r="D152" s="205"/>
      <c r="E152" s="205"/>
      <c r="F152" s="199"/>
      <c r="G152" s="205"/>
      <c r="H152" s="199"/>
      <c r="I152" s="205"/>
      <c r="K152" s="205"/>
      <c r="M152" s="205"/>
      <c r="O152" s="205"/>
      <c r="Q152" s="205"/>
      <c r="S152" s="205"/>
      <c r="U152" s="205"/>
    </row>
    <row r="153" spans="1:21" ht="12">
      <c r="A153" s="40" t="s">
        <v>5</v>
      </c>
      <c r="B153" s="55"/>
      <c r="C153" s="205">
        <v>-0.097</v>
      </c>
      <c r="D153" s="205"/>
      <c r="E153" s="205">
        <f>(E111-C111)/C111</f>
        <v>-0.02</v>
      </c>
      <c r="F153" s="199"/>
      <c r="G153" s="205">
        <f>(G111-E111)/E111</f>
        <v>-0.106</v>
      </c>
      <c r="H153" s="199"/>
      <c r="I153" s="205">
        <f>(I111-G111)/G111</f>
        <v>-0.091</v>
      </c>
      <c r="K153" s="205">
        <f>(K111-I111)/I111</f>
        <v>-0.013</v>
      </c>
      <c r="M153" s="205">
        <f>(M111-K111)/K111</f>
        <v>0.111</v>
      </c>
      <c r="O153" s="205">
        <f>(O111-M111)/M111</f>
        <v>0.401</v>
      </c>
      <c r="Q153" s="205">
        <f>(Q111-O111)/O111</f>
        <v>0.101</v>
      </c>
      <c r="S153" s="205">
        <f>(S111-Q111)/Q111</f>
        <v>-0.059</v>
      </c>
      <c r="U153" s="205">
        <f>(U111-S111)/S111</f>
        <v>-0.173</v>
      </c>
    </row>
    <row r="154" spans="1:21" ht="12">
      <c r="A154" s="41"/>
      <c r="B154" s="55"/>
      <c r="C154" s="205"/>
      <c r="D154" s="205"/>
      <c r="E154" s="205"/>
      <c r="F154" s="199"/>
      <c r="G154" s="205"/>
      <c r="H154" s="199"/>
      <c r="I154" s="205"/>
      <c r="K154" s="205"/>
      <c r="M154" s="205"/>
      <c r="O154" s="205"/>
      <c r="Q154" s="205"/>
      <c r="S154" s="205"/>
      <c r="U154" s="205"/>
    </row>
    <row r="155" spans="1:21" ht="12">
      <c r="A155" s="42" t="s">
        <v>6</v>
      </c>
      <c r="B155" s="55"/>
      <c r="C155" s="205">
        <f>(129843-121698)/121698</f>
        <v>0.067</v>
      </c>
      <c r="D155" s="205"/>
      <c r="E155" s="205">
        <f>(E113-C113)/C113</f>
        <v>-0.024</v>
      </c>
      <c r="F155" s="199"/>
      <c r="G155" s="205">
        <f>(G113-E113)/E113</f>
        <v>-0.048</v>
      </c>
      <c r="H155" s="199"/>
      <c r="I155" s="205">
        <f>(I113-G113)/G113</f>
        <v>-0.111</v>
      </c>
      <c r="K155" s="205">
        <f>(K113-I113)/I113</f>
        <v>0.009</v>
      </c>
      <c r="M155" s="205">
        <f>(M113-K113)/K113</f>
        <v>0.253</v>
      </c>
      <c r="O155" s="205">
        <f>(O113-M113)/M113</f>
        <v>-0.113</v>
      </c>
      <c r="Q155" s="205">
        <f>(Q113-O113)/O113</f>
        <v>-0.02</v>
      </c>
      <c r="S155" s="205">
        <f>(S113-Q113)/Q113</f>
        <v>-0.11</v>
      </c>
      <c r="U155" s="205">
        <f>(U113-S113)/S113</f>
        <v>-0.124</v>
      </c>
    </row>
    <row r="156" spans="1:21" ht="12">
      <c r="A156" s="55"/>
      <c r="B156" s="55"/>
      <c r="C156" s="205"/>
      <c r="D156" s="205"/>
      <c r="E156" s="205"/>
      <c r="F156" s="199"/>
      <c r="G156" s="205"/>
      <c r="H156" s="199"/>
      <c r="I156" s="205"/>
      <c r="K156" s="205"/>
      <c r="M156" s="205"/>
      <c r="O156" s="205"/>
      <c r="Q156" s="205"/>
      <c r="S156" s="205"/>
      <c r="U156" s="205"/>
    </row>
    <row r="157" spans="1:21" ht="12">
      <c r="A157" s="56" t="s">
        <v>24</v>
      </c>
      <c r="B157" s="55"/>
      <c r="C157" s="205">
        <v>0.003</v>
      </c>
      <c r="D157" s="205"/>
      <c r="E157" s="205">
        <f>(E115-C115)/C115</f>
        <v>-0.136</v>
      </c>
      <c r="F157" s="199"/>
      <c r="G157" s="205">
        <f>(G115-E115)/E115</f>
        <v>0.013</v>
      </c>
      <c r="H157" s="199"/>
      <c r="I157" s="205">
        <f>(I115-G115)/G115</f>
        <v>-0.058</v>
      </c>
      <c r="K157" s="205">
        <f>(K115-I115)/I115</f>
        <v>-0.13</v>
      </c>
      <c r="M157" s="205">
        <f>(M115-K115)/K115</f>
        <v>0.003</v>
      </c>
      <c r="O157" s="205">
        <f>(O115-M115)/M115</f>
        <v>0.05</v>
      </c>
      <c r="Q157" s="205">
        <f>(Q115-O115)/O115</f>
        <v>0.037</v>
      </c>
      <c r="S157" s="205">
        <f>(S115-Q115)/Q115</f>
        <v>-0.153</v>
      </c>
      <c r="U157" s="205">
        <f>(U115-S115)/S115</f>
        <v>-0.231</v>
      </c>
    </row>
    <row r="158" spans="1:21" ht="12">
      <c r="A158" s="55"/>
      <c r="B158" s="55"/>
      <c r="C158" s="205"/>
      <c r="D158" s="205"/>
      <c r="E158" s="205"/>
      <c r="F158" s="199"/>
      <c r="G158" s="205"/>
      <c r="H158" s="199"/>
      <c r="I158" s="205"/>
      <c r="K158" s="205"/>
      <c r="M158" s="205"/>
      <c r="O158" s="205"/>
      <c r="Q158" s="205"/>
      <c r="S158" s="205"/>
      <c r="U158" s="205"/>
    </row>
    <row r="159" spans="1:21" ht="12">
      <c r="A159" s="56" t="s">
        <v>7</v>
      </c>
      <c r="B159" s="55"/>
      <c r="C159" s="205">
        <v>-0.046</v>
      </c>
      <c r="D159" s="205"/>
      <c r="E159" s="205">
        <f>(E117-C117)/C117</f>
        <v>0.031</v>
      </c>
      <c r="F159" s="199"/>
      <c r="G159" s="205">
        <f>(G117-E117)/E117</f>
        <v>0.046</v>
      </c>
      <c r="H159" s="199"/>
      <c r="I159" s="205">
        <f>(I117-G117)/G117</f>
        <v>-0.12</v>
      </c>
      <c r="K159" s="205">
        <f>(K117-I117)/I117</f>
        <v>-0.061</v>
      </c>
      <c r="M159" s="205">
        <f>(M117-K117)/K117</f>
        <v>-0.037</v>
      </c>
      <c r="O159" s="205">
        <f>(O117-M117)/M117</f>
        <v>0.07</v>
      </c>
      <c r="Q159" s="205">
        <f>(Q117-O117)/O117</f>
        <v>-0.018</v>
      </c>
      <c r="S159" s="205">
        <f>(S117-Q117)/Q117</f>
        <v>-0.002</v>
      </c>
      <c r="U159" s="205">
        <f>(U117-S117)/S117</f>
        <v>-0.287</v>
      </c>
    </row>
    <row r="160" spans="1:21" ht="12">
      <c r="A160" s="55"/>
      <c r="B160" s="55"/>
      <c r="C160" s="205"/>
      <c r="D160" s="205"/>
      <c r="E160" s="205"/>
      <c r="F160" s="199"/>
      <c r="G160" s="205"/>
      <c r="H160" s="199"/>
      <c r="I160" s="205"/>
      <c r="K160" s="205"/>
      <c r="M160" s="205"/>
      <c r="O160" s="205"/>
      <c r="Q160" s="205"/>
      <c r="S160" s="205"/>
      <c r="U160" s="205"/>
    </row>
    <row r="161" spans="1:21" ht="12">
      <c r="A161" s="56" t="s">
        <v>8</v>
      </c>
      <c r="B161" s="55"/>
      <c r="C161" s="205">
        <v>0.045</v>
      </c>
      <c r="D161" s="207"/>
      <c r="E161" s="205">
        <f>(E119-C119)/C119</f>
        <v>-0.088</v>
      </c>
      <c r="F161" s="202"/>
      <c r="G161" s="205">
        <f>(G119-E119)/E119</f>
        <v>-0.068</v>
      </c>
      <c r="H161" s="199"/>
      <c r="I161" s="205">
        <f>(I119-G119)/G119</f>
        <v>0.007</v>
      </c>
      <c r="K161" s="205">
        <f>(K119-I119)/I119</f>
        <v>-0.054</v>
      </c>
      <c r="M161" s="205">
        <f>(M119-K119)/K119</f>
        <v>0.138</v>
      </c>
      <c r="O161" s="205">
        <f>(O119-M119)/M119</f>
        <v>0.004</v>
      </c>
      <c r="Q161" s="205">
        <f>(Q119-O119)/O119</f>
        <v>0.011</v>
      </c>
      <c r="S161" s="205">
        <f>(S119-Q119)/Q119</f>
        <v>-0.02</v>
      </c>
      <c r="U161" s="205">
        <f>(U119-S119)/S119</f>
        <v>-0.075</v>
      </c>
    </row>
    <row r="162" spans="1:21" ht="12">
      <c r="A162" s="55"/>
      <c r="B162" s="55"/>
      <c r="C162" s="205"/>
      <c r="D162" s="208"/>
      <c r="E162" s="205"/>
      <c r="F162" s="202"/>
      <c r="G162" s="205"/>
      <c r="H162" s="199"/>
      <c r="I162" s="205"/>
      <c r="K162" s="205"/>
      <c r="M162" s="205"/>
      <c r="O162" s="205"/>
      <c r="Q162" s="205"/>
      <c r="S162" s="205"/>
      <c r="U162" s="205"/>
    </row>
    <row r="163" spans="1:21" ht="12">
      <c r="A163" s="40" t="s">
        <v>17</v>
      </c>
      <c r="B163" s="55"/>
      <c r="C163" s="205">
        <v>0.004</v>
      </c>
      <c r="D163" s="207"/>
      <c r="E163" s="205">
        <f>(E121-C121)/C121</f>
        <v>-0.042</v>
      </c>
      <c r="F163" s="202"/>
      <c r="G163" s="205">
        <f>(G121-E121)/E121</f>
        <v>-0.036</v>
      </c>
      <c r="H163" s="199"/>
      <c r="I163" s="205">
        <f>(I121-G121)/G121</f>
        <v>0.037</v>
      </c>
      <c r="K163" s="205">
        <f>(K121-I121)/I121</f>
        <v>0.077</v>
      </c>
      <c r="M163" s="205">
        <f>(M121-K121)/K121</f>
        <v>0.075</v>
      </c>
      <c r="O163" s="205">
        <f>(O121-M121)/M121</f>
        <v>0.052</v>
      </c>
      <c r="Q163" s="205">
        <f>(Q121-O121)/O121</f>
        <v>0.03</v>
      </c>
      <c r="S163" s="205">
        <f>(S121-Q121)/Q121</f>
        <v>-0.03</v>
      </c>
      <c r="U163" s="205">
        <f>(U121-S121)/S121</f>
        <v>-0.135</v>
      </c>
    </row>
    <row r="164" spans="1:6" ht="12">
      <c r="A164" s="55"/>
      <c r="B164" s="55"/>
      <c r="C164" s="76"/>
      <c r="D164" s="75"/>
      <c r="E164" s="76"/>
      <c r="F164" s="17"/>
    </row>
    <row r="165" spans="1:6" ht="12">
      <c r="A165" s="52" t="s">
        <v>45</v>
      </c>
      <c r="B165" s="55"/>
      <c r="C165" s="76"/>
      <c r="D165" s="75"/>
      <c r="E165" s="76"/>
      <c r="F165" s="17"/>
    </row>
    <row r="166" spans="1:5" ht="12">
      <c r="A166" s="52" t="s">
        <v>73</v>
      </c>
      <c r="B166" s="41"/>
      <c r="C166" s="60"/>
      <c r="D166" s="55"/>
      <c r="E166" s="60"/>
    </row>
    <row r="167" spans="1:5" ht="12">
      <c r="A167" s="55" t="s">
        <v>52</v>
      </c>
      <c r="B167" s="41"/>
      <c r="C167" s="60"/>
      <c r="D167" s="55"/>
      <c r="E167" s="60"/>
    </row>
    <row r="168" spans="1:5" ht="12">
      <c r="A168" s="55" t="s">
        <v>80</v>
      </c>
      <c r="B168" s="41"/>
      <c r="C168" s="60"/>
      <c r="D168" s="55"/>
      <c r="E168" s="60"/>
    </row>
    <row r="169" spans="1:5" ht="11.25" customHeight="1">
      <c r="A169" s="56" t="s">
        <v>87</v>
      </c>
      <c r="B169" s="55"/>
      <c r="C169" s="60"/>
      <c r="D169" s="55"/>
      <c r="E169" s="60"/>
    </row>
    <row r="170" spans="1:5" ht="12">
      <c r="A170" s="56" t="s">
        <v>89</v>
      </c>
      <c r="B170" s="55"/>
      <c r="C170" s="55"/>
      <c r="D170" s="55"/>
      <c r="E170" s="55"/>
    </row>
    <row r="171" spans="1:5" ht="12">
      <c r="A171" s="56"/>
      <c r="B171" s="55"/>
      <c r="C171" s="55"/>
      <c r="D171" s="55"/>
      <c r="E171" s="55"/>
    </row>
    <row r="172" spans="1:6" ht="12">
      <c r="A172" s="40" t="s">
        <v>0</v>
      </c>
      <c r="B172" s="41"/>
      <c r="C172" s="41"/>
      <c r="D172" s="41"/>
      <c r="E172" s="41"/>
      <c r="F172" s="11"/>
    </row>
    <row r="173" spans="1:6" ht="12">
      <c r="A173" s="42" t="s">
        <v>13</v>
      </c>
      <c r="B173" s="41"/>
      <c r="C173" s="41"/>
      <c r="D173" s="41"/>
      <c r="E173" s="41"/>
      <c r="F173" s="11"/>
    </row>
    <row r="174" spans="1:6" ht="12">
      <c r="A174" s="77" t="str">
        <f>A3</f>
        <v>2000 - 2009</v>
      </c>
      <c r="B174" s="44"/>
      <c r="C174" s="44"/>
      <c r="D174" s="41"/>
      <c r="E174" s="41"/>
      <c r="F174" s="11"/>
    </row>
    <row r="175" spans="1:6" ht="12">
      <c r="A175" s="40" t="s">
        <v>1</v>
      </c>
      <c r="B175" s="45"/>
      <c r="C175" s="41"/>
      <c r="D175" s="41"/>
      <c r="E175" s="41"/>
      <c r="F175" s="11"/>
    </row>
    <row r="176" spans="1:6" ht="12">
      <c r="A176" s="41"/>
      <c r="B176" s="41"/>
      <c r="C176" s="41"/>
      <c r="D176" s="41"/>
      <c r="E176" s="41"/>
      <c r="F176" s="11"/>
    </row>
    <row r="177" spans="1:6" ht="12">
      <c r="A177" s="41"/>
      <c r="B177" s="41"/>
      <c r="C177" s="41"/>
      <c r="D177" s="41"/>
      <c r="E177" s="41"/>
      <c r="F177" s="11"/>
    </row>
    <row r="178" spans="1:21" ht="12">
      <c r="A178" s="41"/>
      <c r="B178" s="41"/>
      <c r="C178" s="46">
        <v>2000</v>
      </c>
      <c r="D178" s="41"/>
      <c r="E178" s="46">
        <v>2001</v>
      </c>
      <c r="F178" s="11"/>
      <c r="G178" s="46">
        <v>2002</v>
      </c>
      <c r="I178" s="46">
        <v>2003</v>
      </c>
      <c r="K178" s="46">
        <v>2004</v>
      </c>
      <c r="M178" s="46">
        <v>2005</v>
      </c>
      <c r="O178" s="46">
        <v>2006</v>
      </c>
      <c r="Q178" s="46">
        <v>2007</v>
      </c>
      <c r="S178" s="46">
        <v>2008</v>
      </c>
      <c r="U178" s="46">
        <v>2009</v>
      </c>
    </row>
    <row r="179" spans="1:11" ht="12">
      <c r="A179" s="41"/>
      <c r="B179" s="41"/>
      <c r="C179" s="45"/>
      <c r="D179" s="41"/>
      <c r="E179" s="45"/>
      <c r="F179" s="11"/>
      <c r="G179" s="45"/>
      <c r="I179" s="45"/>
      <c r="K179" s="45"/>
    </row>
    <row r="180" spans="1:21" ht="12">
      <c r="A180" s="40" t="s">
        <v>79</v>
      </c>
      <c r="B180" s="41"/>
      <c r="C180" s="63">
        <v>215651</v>
      </c>
      <c r="D180" s="48"/>
      <c r="E180" s="47">
        <v>221263</v>
      </c>
      <c r="F180" s="215"/>
      <c r="G180" s="47">
        <v>216092</v>
      </c>
      <c r="I180" s="47">
        <v>208755</v>
      </c>
      <c r="K180" s="47">
        <v>200293</v>
      </c>
      <c r="M180" s="47">
        <v>205076</v>
      </c>
      <c r="O180" s="47">
        <v>227778</v>
      </c>
      <c r="Q180" s="47">
        <v>210151</v>
      </c>
      <c r="S180" s="47">
        <v>173795</v>
      </c>
      <c r="U180" s="47">
        <v>138018</v>
      </c>
    </row>
    <row r="181" spans="1:11" ht="12">
      <c r="A181" s="41"/>
      <c r="B181" s="41"/>
      <c r="C181" s="66"/>
      <c r="D181" s="48"/>
      <c r="E181" s="48"/>
      <c r="F181" s="11"/>
      <c r="G181" s="48"/>
      <c r="I181" s="48"/>
      <c r="K181" s="48"/>
    </row>
    <row r="182" spans="1:21" ht="12">
      <c r="A182" s="40" t="s">
        <v>53</v>
      </c>
      <c r="B182" s="41"/>
      <c r="C182" s="66">
        <v>378556</v>
      </c>
      <c r="D182" s="48"/>
      <c r="E182" s="48">
        <v>381152</v>
      </c>
      <c r="F182" s="11"/>
      <c r="G182" s="48">
        <v>380148</v>
      </c>
      <c r="I182" s="48">
        <v>496080</v>
      </c>
      <c r="K182" s="48">
        <v>471786</v>
      </c>
      <c r="M182" s="48">
        <v>477974</v>
      </c>
      <c r="O182" s="48">
        <v>506812</v>
      </c>
      <c r="Q182" s="48">
        <v>462940</v>
      </c>
      <c r="S182" s="48">
        <v>394630</v>
      </c>
      <c r="U182" s="48">
        <v>314339</v>
      </c>
    </row>
    <row r="183" spans="1:21" ht="12">
      <c r="A183" s="40"/>
      <c r="B183" s="41"/>
      <c r="C183" s="66"/>
      <c r="D183" s="48"/>
      <c r="E183" s="48"/>
      <c r="F183" s="11"/>
      <c r="G183" s="48"/>
      <c r="I183" s="48"/>
      <c r="K183" s="48"/>
      <c r="M183" s="48"/>
      <c r="O183" s="48"/>
      <c r="Q183" s="48"/>
      <c r="S183" s="48"/>
      <c r="U183" s="48"/>
    </row>
    <row r="184" spans="1:21" ht="12">
      <c r="A184" s="40" t="s">
        <v>86</v>
      </c>
      <c r="B184" s="41"/>
      <c r="C184" s="196" t="s">
        <v>85</v>
      </c>
      <c r="D184" s="48"/>
      <c r="E184" s="196" t="s">
        <v>85</v>
      </c>
      <c r="F184" s="11"/>
      <c r="G184" s="196" t="s">
        <v>85</v>
      </c>
      <c r="I184" s="48">
        <v>165756</v>
      </c>
      <c r="K184" s="48">
        <v>403839</v>
      </c>
      <c r="M184" s="48">
        <v>437871</v>
      </c>
      <c r="O184" s="48">
        <v>459459</v>
      </c>
      <c r="Q184" s="48">
        <v>439615</v>
      </c>
      <c r="S184" s="48">
        <v>441444</v>
      </c>
      <c r="U184" s="48">
        <v>431395</v>
      </c>
    </row>
    <row r="185" spans="1:21" ht="12">
      <c r="A185" s="41"/>
      <c r="B185" s="41"/>
      <c r="C185" s="66"/>
      <c r="D185" s="48"/>
      <c r="E185" s="48"/>
      <c r="F185" s="11"/>
      <c r="G185" s="48"/>
      <c r="I185" s="48"/>
      <c r="K185" s="48"/>
      <c r="M185" s="48"/>
      <c r="O185" s="48"/>
      <c r="Q185" s="48"/>
      <c r="S185" s="48"/>
      <c r="U185" s="48"/>
    </row>
    <row r="186" spans="1:21" ht="12">
      <c r="A186" s="40" t="s">
        <v>2</v>
      </c>
      <c r="B186" s="41"/>
      <c r="C186" s="66">
        <v>312958</v>
      </c>
      <c r="D186" s="48"/>
      <c r="E186" s="48">
        <v>326547</v>
      </c>
      <c r="F186" s="11"/>
      <c r="G186" s="48">
        <v>348747</v>
      </c>
      <c r="I186" s="48">
        <v>353100</v>
      </c>
      <c r="K186" s="48">
        <v>349422</v>
      </c>
      <c r="M186" s="48">
        <v>362964</v>
      </c>
      <c r="O186" s="48">
        <v>370352</v>
      </c>
      <c r="Q186" s="48">
        <v>374486</v>
      </c>
      <c r="S186" s="48">
        <v>327475</v>
      </c>
      <c r="U186" s="48">
        <v>284752</v>
      </c>
    </row>
    <row r="187" spans="1:21" ht="12">
      <c r="A187" s="41"/>
      <c r="B187" s="41"/>
      <c r="C187" s="66"/>
      <c r="D187" s="48"/>
      <c r="E187" s="48"/>
      <c r="F187" s="11"/>
      <c r="G187" s="48"/>
      <c r="I187" s="48"/>
      <c r="K187" s="48"/>
      <c r="M187" s="48"/>
      <c r="O187" s="48"/>
      <c r="Q187" s="48"/>
      <c r="S187" s="48"/>
      <c r="U187" s="48"/>
    </row>
    <row r="188" spans="1:21" ht="12">
      <c r="A188" s="42" t="s">
        <v>54</v>
      </c>
      <c r="B188" s="41"/>
      <c r="C188" s="66">
        <v>126309</v>
      </c>
      <c r="D188" s="48"/>
      <c r="E188" s="48">
        <v>120574</v>
      </c>
      <c r="F188" s="11"/>
      <c r="G188" s="48">
        <v>119071</v>
      </c>
      <c r="I188" s="196" t="s">
        <v>85</v>
      </c>
      <c r="K188" s="196" t="s">
        <v>85</v>
      </c>
      <c r="M188" s="196" t="s">
        <v>85</v>
      </c>
      <c r="O188" s="196" t="s">
        <v>85</v>
      </c>
      <c r="Q188" s="196" t="s">
        <v>85</v>
      </c>
      <c r="S188" s="196" t="s">
        <v>85</v>
      </c>
      <c r="U188" s="196" t="s">
        <v>85</v>
      </c>
    </row>
    <row r="189" spans="1:21" ht="12">
      <c r="A189" s="41"/>
      <c r="B189" s="41"/>
      <c r="C189" s="66"/>
      <c r="D189" s="48"/>
      <c r="E189" s="48"/>
      <c r="F189" s="11"/>
      <c r="G189" s="48"/>
      <c r="I189" s="48"/>
      <c r="K189" s="48"/>
      <c r="M189" s="48"/>
      <c r="O189" s="48"/>
      <c r="Q189" s="48"/>
      <c r="S189" s="48"/>
      <c r="U189" s="48"/>
    </row>
    <row r="190" spans="1:21" ht="12">
      <c r="A190" s="40" t="s">
        <v>3</v>
      </c>
      <c r="B190" s="41"/>
      <c r="C190" s="66">
        <v>350683</v>
      </c>
      <c r="D190" s="48"/>
      <c r="E190" s="48">
        <v>361408</v>
      </c>
      <c r="F190" s="215"/>
      <c r="G190" s="48">
        <v>401398</v>
      </c>
      <c r="I190" s="48">
        <v>404638</v>
      </c>
      <c r="K190" s="48">
        <v>402392</v>
      </c>
      <c r="M190" s="48">
        <v>422941</v>
      </c>
      <c r="O190" s="48">
        <v>451496</v>
      </c>
      <c r="Q190" s="48">
        <v>450281</v>
      </c>
      <c r="S190" s="48">
        <v>446456</v>
      </c>
      <c r="U190" s="48">
        <v>388328</v>
      </c>
    </row>
    <row r="191" spans="1:21" ht="12">
      <c r="A191" s="41"/>
      <c r="B191" s="41"/>
      <c r="C191" s="66"/>
      <c r="D191" s="48"/>
      <c r="E191" s="48"/>
      <c r="F191" s="11"/>
      <c r="G191" s="48"/>
      <c r="I191" s="48"/>
      <c r="K191" s="48"/>
      <c r="M191" s="48"/>
      <c r="O191" s="48"/>
      <c r="Q191" s="48"/>
      <c r="S191" s="48"/>
      <c r="U191" s="48"/>
    </row>
    <row r="192" spans="1:21" ht="12">
      <c r="A192" s="40" t="s">
        <v>4</v>
      </c>
      <c r="B192" s="41"/>
      <c r="C192" s="66">
        <v>164908</v>
      </c>
      <c r="D192" s="78"/>
      <c r="E192" s="48">
        <v>176339</v>
      </c>
      <c r="F192" s="11"/>
      <c r="G192" s="48">
        <v>192897</v>
      </c>
      <c r="I192" s="48">
        <v>174843</v>
      </c>
      <c r="K192" s="48">
        <v>188881</v>
      </c>
      <c r="M192" s="48">
        <v>202790</v>
      </c>
      <c r="O192" s="48">
        <v>216006</v>
      </c>
      <c r="Q192" s="48">
        <v>208011</v>
      </c>
      <c r="S192" s="48">
        <v>174295</v>
      </c>
      <c r="U192" s="48">
        <v>142391</v>
      </c>
    </row>
    <row r="193" spans="1:21" ht="12">
      <c r="A193" s="41"/>
      <c r="B193" s="41"/>
      <c r="C193" s="66"/>
      <c r="D193" s="48"/>
      <c r="E193" s="48"/>
      <c r="F193" s="11"/>
      <c r="G193" s="48"/>
      <c r="I193" s="48"/>
      <c r="K193" s="48"/>
      <c r="M193" s="48"/>
      <c r="O193" s="48"/>
      <c r="Q193" s="48"/>
      <c r="S193" s="48"/>
      <c r="U193" s="48"/>
    </row>
    <row r="194" spans="1:21" ht="12">
      <c r="A194" s="40" t="s">
        <v>90</v>
      </c>
      <c r="B194" s="41"/>
      <c r="C194" s="66">
        <v>164763</v>
      </c>
      <c r="D194" s="48"/>
      <c r="E194" s="48">
        <v>166657</v>
      </c>
      <c r="F194" s="11"/>
      <c r="G194" s="48">
        <v>172833</v>
      </c>
      <c r="I194" s="48">
        <v>152562</v>
      </c>
      <c r="K194" s="48">
        <v>149840</v>
      </c>
      <c r="M194" s="48">
        <v>137009</v>
      </c>
      <c r="O194" s="48">
        <v>111797</v>
      </c>
      <c r="Q194" s="196" t="s">
        <v>85</v>
      </c>
      <c r="S194" s="196" t="s">
        <v>85</v>
      </c>
      <c r="U194" s="196" t="s">
        <v>85</v>
      </c>
    </row>
    <row r="195" spans="1:21" ht="12">
      <c r="A195" s="41"/>
      <c r="B195" s="41"/>
      <c r="C195" s="66"/>
      <c r="D195" s="48"/>
      <c r="E195" s="48"/>
      <c r="F195" s="11"/>
      <c r="G195" s="48"/>
      <c r="I195" s="48"/>
      <c r="K195" s="48" t="s">
        <v>10</v>
      </c>
      <c r="M195" s="48"/>
      <c r="O195" s="48"/>
      <c r="Q195" s="48"/>
      <c r="S195" s="48"/>
      <c r="U195" s="48"/>
    </row>
    <row r="196" spans="1:21" ht="12">
      <c r="A196" s="40" t="s">
        <v>5</v>
      </c>
      <c r="B196" s="41"/>
      <c r="C196" s="66">
        <v>299101</v>
      </c>
      <c r="D196" s="48"/>
      <c r="E196" s="48">
        <v>300767</v>
      </c>
      <c r="F196" s="11"/>
      <c r="G196" s="48">
        <v>321187</v>
      </c>
      <c r="I196" s="48">
        <v>334186</v>
      </c>
      <c r="K196" s="48">
        <v>349562</v>
      </c>
      <c r="M196" s="48">
        <v>366586</v>
      </c>
      <c r="O196" s="48">
        <v>362535</v>
      </c>
      <c r="Q196" s="48">
        <v>333681</v>
      </c>
      <c r="S196" s="48">
        <v>292820</v>
      </c>
      <c r="U196" s="48">
        <v>259278</v>
      </c>
    </row>
    <row r="197" spans="1:21" ht="12">
      <c r="A197" s="41"/>
      <c r="B197" s="41"/>
      <c r="C197" s="66"/>
      <c r="D197" s="48"/>
      <c r="E197" s="48"/>
      <c r="F197" s="11"/>
      <c r="G197" s="48"/>
      <c r="I197" s="48"/>
      <c r="K197" s="48"/>
      <c r="M197" s="48"/>
      <c r="O197" s="48"/>
      <c r="Q197" s="48"/>
      <c r="S197" s="48"/>
      <c r="U197" s="48"/>
    </row>
    <row r="198" spans="1:21" ht="12">
      <c r="A198" s="42" t="s">
        <v>6</v>
      </c>
      <c r="B198" s="41"/>
      <c r="C198" s="66">
        <v>296979</v>
      </c>
      <c r="D198" s="48"/>
      <c r="E198" s="48">
        <v>290667</v>
      </c>
      <c r="F198" s="11"/>
      <c r="G198" s="48">
        <v>286322</v>
      </c>
      <c r="I198" s="48">
        <v>265102</v>
      </c>
      <c r="K198" s="48">
        <v>255768</v>
      </c>
      <c r="M198" s="48">
        <v>306377</v>
      </c>
      <c r="O198" s="48">
        <v>338935</v>
      </c>
      <c r="Q198" s="48">
        <v>285875</v>
      </c>
      <c r="S198" s="48">
        <v>251904</v>
      </c>
      <c r="U198" s="48">
        <v>221776</v>
      </c>
    </row>
    <row r="199" spans="1:21" ht="12">
      <c r="A199" s="41"/>
      <c r="B199" s="41"/>
      <c r="C199" s="66"/>
      <c r="D199" s="48"/>
      <c r="E199" s="48"/>
      <c r="F199" s="11"/>
      <c r="G199" s="48"/>
      <c r="I199" s="48"/>
      <c r="K199" s="48"/>
      <c r="M199" s="48"/>
      <c r="O199" s="48"/>
      <c r="Q199" s="48"/>
      <c r="S199" s="48" t="s">
        <v>10</v>
      </c>
      <c r="U199" s="48"/>
    </row>
    <row r="200" spans="1:21" ht="12">
      <c r="A200" s="40" t="s">
        <v>24</v>
      </c>
      <c r="B200" s="41"/>
      <c r="C200" s="66">
        <v>198449</v>
      </c>
      <c r="D200" s="48"/>
      <c r="E200" s="48">
        <v>209043</v>
      </c>
      <c r="F200" s="11"/>
      <c r="G200" s="48">
        <v>218932</v>
      </c>
      <c r="I200" s="48">
        <v>199284</v>
      </c>
      <c r="K200" s="48">
        <v>210527</v>
      </c>
      <c r="M200" s="48">
        <v>197991</v>
      </c>
      <c r="O200" s="48">
        <v>201858</v>
      </c>
      <c r="Q200" s="48">
        <v>184565</v>
      </c>
      <c r="S200" s="48">
        <v>155075</v>
      </c>
      <c r="U200" s="48">
        <v>125270</v>
      </c>
    </row>
    <row r="201" spans="1:21" ht="12">
      <c r="A201" s="41"/>
      <c r="B201" s="41"/>
      <c r="C201" s="66"/>
      <c r="D201" s="48"/>
      <c r="E201" s="48"/>
      <c r="F201" s="11"/>
      <c r="G201" s="48"/>
      <c r="I201" s="48"/>
      <c r="K201" s="48"/>
      <c r="M201" s="48"/>
      <c r="O201" s="48"/>
      <c r="Q201" s="48"/>
      <c r="S201" s="48"/>
      <c r="U201" s="48"/>
    </row>
    <row r="202" spans="1:21" ht="12">
      <c r="A202" s="40" t="s">
        <v>7</v>
      </c>
      <c r="B202" s="41"/>
      <c r="C202" s="66">
        <v>232256</v>
      </c>
      <c r="D202" s="48"/>
      <c r="E202" s="48">
        <v>236997</v>
      </c>
      <c r="F202" s="215"/>
      <c r="G202" s="48">
        <v>240680</v>
      </c>
      <c r="I202" s="48">
        <v>229943</v>
      </c>
      <c r="K202" s="48">
        <v>235514</v>
      </c>
      <c r="M202" s="48">
        <v>223676</v>
      </c>
      <c r="O202" s="48">
        <v>215426</v>
      </c>
      <c r="Q202" s="48">
        <v>196386</v>
      </c>
      <c r="S202" s="48">
        <v>178531</v>
      </c>
      <c r="U202" s="48">
        <v>142521</v>
      </c>
    </row>
    <row r="203" spans="1:21" ht="12">
      <c r="A203" s="41"/>
      <c r="B203" s="41"/>
      <c r="C203" s="66"/>
      <c r="D203" s="48"/>
      <c r="E203" s="48"/>
      <c r="F203" s="11"/>
      <c r="G203" s="48"/>
      <c r="I203" s="48"/>
      <c r="K203" s="48" t="s">
        <v>10</v>
      </c>
      <c r="Q203" s="48"/>
      <c r="S203" s="48"/>
      <c r="U203" s="48"/>
    </row>
    <row r="204" spans="1:21" ht="12">
      <c r="A204" s="40" t="s">
        <v>8</v>
      </c>
      <c r="B204" s="41"/>
      <c r="C204" s="69">
        <v>347374</v>
      </c>
      <c r="D204" s="48"/>
      <c r="E204" s="49">
        <v>349858</v>
      </c>
      <c r="F204" s="11"/>
      <c r="G204" s="49">
        <v>363382</v>
      </c>
      <c r="I204" s="49">
        <v>343029</v>
      </c>
      <c r="K204" s="49">
        <v>338689</v>
      </c>
      <c r="M204" s="49">
        <v>332704</v>
      </c>
      <c r="O204" s="49">
        <v>341203</v>
      </c>
      <c r="Q204" s="49">
        <v>318479</v>
      </c>
      <c r="S204" s="49">
        <v>296076</v>
      </c>
      <c r="U204" s="49">
        <v>273706</v>
      </c>
    </row>
    <row r="205" spans="1:11" ht="12">
      <c r="A205" s="41"/>
      <c r="B205" s="41"/>
      <c r="C205" s="45"/>
      <c r="D205" s="41"/>
      <c r="E205" s="45"/>
      <c r="F205" s="11"/>
      <c r="G205" s="45"/>
      <c r="I205" s="45"/>
      <c r="K205" s="45"/>
    </row>
    <row r="206" spans="1:21" ht="12.75" thickBot="1">
      <c r="A206" s="40" t="s">
        <v>17</v>
      </c>
      <c r="B206" s="41"/>
      <c r="C206" s="50">
        <f>SUM(C180:C204)</f>
        <v>3087987</v>
      </c>
      <c r="D206" s="47"/>
      <c r="E206" s="50">
        <f>SUM(E180:E204)</f>
        <v>3141272</v>
      </c>
      <c r="F206" s="216"/>
      <c r="G206" s="50">
        <f>SUM(G180:G204)</f>
        <v>3261689</v>
      </c>
      <c r="I206" s="50">
        <f>SUM(I180:I204)</f>
        <v>3327278</v>
      </c>
      <c r="K206" s="50">
        <f>SUM(K180:K204)</f>
        <v>3556513</v>
      </c>
      <c r="M206" s="50">
        <f>SUM(M180:M204)</f>
        <v>3673959</v>
      </c>
      <c r="O206" s="50">
        <f>SUM(O180:O204)</f>
        <v>3803657</v>
      </c>
      <c r="Q206" s="50">
        <f>SUM(Q180:Q204)</f>
        <v>3464470</v>
      </c>
      <c r="S206" s="50">
        <f>SUM(S180:S204)</f>
        <v>3132501</v>
      </c>
      <c r="U206" s="50">
        <f>SUM(U180:U204)</f>
        <v>2721774</v>
      </c>
    </row>
    <row r="207" spans="1:6" ht="12.75" thickTop="1">
      <c r="A207" s="41"/>
      <c r="B207" s="41"/>
      <c r="C207" s="45"/>
      <c r="D207" s="41"/>
      <c r="E207" s="45"/>
      <c r="F207" s="11"/>
    </row>
    <row r="208" spans="1:6" ht="12">
      <c r="A208" s="52" t="s">
        <v>45</v>
      </c>
      <c r="B208" s="41"/>
      <c r="C208" s="45"/>
      <c r="D208" s="41"/>
      <c r="E208" s="45"/>
      <c r="F208" s="11"/>
    </row>
    <row r="209" spans="1:6" ht="12">
      <c r="A209" s="52" t="s">
        <v>73</v>
      </c>
      <c r="B209" s="41"/>
      <c r="C209" s="45"/>
      <c r="D209" s="41"/>
      <c r="E209" s="45"/>
      <c r="F209" s="11"/>
    </row>
    <row r="210" spans="1:5" ht="12">
      <c r="A210" s="55" t="s">
        <v>52</v>
      </c>
      <c r="B210" s="55"/>
      <c r="C210" s="55"/>
      <c r="D210" s="55"/>
      <c r="E210" s="55"/>
    </row>
    <row r="211" spans="1:5" ht="12">
      <c r="A211" s="55" t="s">
        <v>80</v>
      </c>
      <c r="B211" s="55"/>
      <c r="C211" s="55"/>
      <c r="D211" s="55"/>
      <c r="E211" s="55"/>
    </row>
    <row r="212" spans="1:5" ht="12">
      <c r="A212" s="56" t="s">
        <v>87</v>
      </c>
      <c r="B212" s="55"/>
      <c r="C212" s="55"/>
      <c r="D212" s="55"/>
      <c r="E212" s="55"/>
    </row>
    <row r="213" spans="1:5" ht="12">
      <c r="A213" s="56" t="s">
        <v>89</v>
      </c>
      <c r="B213" s="55"/>
      <c r="C213" s="55"/>
      <c r="D213" s="55"/>
      <c r="E213" s="55"/>
    </row>
    <row r="214" spans="1:5" ht="12">
      <c r="A214" s="56"/>
      <c r="B214" s="55"/>
      <c r="C214" s="55"/>
      <c r="D214" s="55"/>
      <c r="E214" s="55"/>
    </row>
    <row r="215" spans="1:5" ht="12">
      <c r="A215" s="56" t="s">
        <v>0</v>
      </c>
      <c r="B215" s="55"/>
      <c r="C215" s="55"/>
      <c r="D215" s="55"/>
      <c r="E215" s="55"/>
    </row>
    <row r="216" spans="1:5" ht="12">
      <c r="A216" s="57" t="s">
        <v>14</v>
      </c>
      <c r="B216" s="55"/>
      <c r="C216" s="55"/>
      <c r="D216" s="55"/>
      <c r="E216" s="55"/>
    </row>
    <row r="217" spans="1:5" ht="12">
      <c r="A217" s="72" t="str">
        <f>A3</f>
        <v>2000 - 2009</v>
      </c>
      <c r="B217" s="75"/>
      <c r="C217" s="75"/>
      <c r="D217" s="55"/>
      <c r="E217" s="55"/>
    </row>
    <row r="218" spans="1:5" ht="12">
      <c r="A218" s="60"/>
      <c r="B218" s="60"/>
      <c r="C218" s="55"/>
      <c r="D218" s="55"/>
      <c r="E218" s="55"/>
    </row>
    <row r="219" spans="1:5" ht="12">
      <c r="A219" s="55"/>
      <c r="B219" s="55"/>
      <c r="C219" s="80"/>
      <c r="D219" s="80"/>
      <c r="E219" s="80"/>
    </row>
    <row r="220" spans="1:21" ht="12">
      <c r="A220" s="55"/>
      <c r="B220" s="55"/>
      <c r="C220" s="62">
        <v>2000</v>
      </c>
      <c r="D220" s="80"/>
      <c r="E220" s="62">
        <v>2001</v>
      </c>
      <c r="F220" s="17"/>
      <c r="G220" s="62">
        <v>2002</v>
      </c>
      <c r="I220" s="62">
        <v>2003</v>
      </c>
      <c r="K220" s="62">
        <v>2004</v>
      </c>
      <c r="M220" s="62">
        <v>2005</v>
      </c>
      <c r="O220" s="46">
        <v>2006</v>
      </c>
      <c r="Q220" s="46">
        <v>2007</v>
      </c>
      <c r="S220" s="46">
        <v>2008</v>
      </c>
      <c r="U220" s="46">
        <v>2009</v>
      </c>
    </row>
    <row r="221" spans="1:11" ht="12">
      <c r="A221" s="55"/>
      <c r="B221" s="55"/>
      <c r="C221" s="55"/>
      <c r="D221" s="55"/>
      <c r="E221" s="55"/>
      <c r="G221" s="55"/>
      <c r="I221" s="55"/>
      <c r="K221" s="55"/>
    </row>
    <row r="222" spans="1:21" ht="12">
      <c r="A222" s="40" t="s">
        <v>79</v>
      </c>
      <c r="B222" s="55"/>
      <c r="C222" s="209">
        <v>0.252</v>
      </c>
      <c r="D222" s="209"/>
      <c r="E222" s="209">
        <f>(E180-C180)/C180</f>
        <v>0.026</v>
      </c>
      <c r="F222" s="221"/>
      <c r="G222" s="209">
        <f>(G180-E180)/E180</f>
        <v>-0.023</v>
      </c>
      <c r="H222" s="199"/>
      <c r="I222" s="209">
        <f>(I180-G180)/G180</f>
        <v>-0.034</v>
      </c>
      <c r="K222" s="209">
        <f>(K180-I180)/I180</f>
        <v>-0.041</v>
      </c>
      <c r="M222" s="209">
        <f>(M180-K180)/K180</f>
        <v>0.024</v>
      </c>
      <c r="O222" s="209">
        <f>(O180-M180)/M180</f>
        <v>0.111</v>
      </c>
      <c r="Q222" s="209">
        <f>(Q180-O180)/O180</f>
        <v>-0.077</v>
      </c>
      <c r="S222" s="209">
        <f>(S180-Q180)/Q180</f>
        <v>-0.173</v>
      </c>
      <c r="U222" s="209">
        <f>(U180-S180)/S180</f>
        <v>-0.206</v>
      </c>
    </row>
    <row r="223" spans="1:21" ht="12">
      <c r="A223" s="41"/>
      <c r="B223" s="55"/>
      <c r="C223" s="209"/>
      <c r="D223" s="209"/>
      <c r="E223" s="209"/>
      <c r="F223" s="221"/>
      <c r="G223" s="209"/>
      <c r="H223" s="199"/>
      <c r="I223" s="209"/>
      <c r="K223" s="209"/>
      <c r="M223" s="209"/>
      <c r="O223" s="209"/>
      <c r="Q223" s="209"/>
      <c r="S223" s="209"/>
      <c r="U223" s="209"/>
    </row>
    <row r="224" spans="1:21" ht="12">
      <c r="A224" s="40" t="s">
        <v>53</v>
      </c>
      <c r="B224" s="55"/>
      <c r="C224" s="209">
        <v>0.063</v>
      </c>
      <c r="D224" s="209"/>
      <c r="E224" s="209">
        <f>(E182-C182)/C182</f>
        <v>0.007</v>
      </c>
      <c r="F224" s="221"/>
      <c r="G224" s="209">
        <f>(G182-E182)/E182</f>
        <v>-0.003</v>
      </c>
      <c r="H224" s="199"/>
      <c r="I224" s="209">
        <f>(I182-G182)/G182</f>
        <v>0.305</v>
      </c>
      <c r="K224" s="209">
        <f>(K182-I182)/I182</f>
        <v>-0.049</v>
      </c>
      <c r="M224" s="209">
        <f>(M182-K182)/K182</f>
        <v>0.013</v>
      </c>
      <c r="O224" s="209">
        <f>(O182-M182)/M182</f>
        <v>0.06</v>
      </c>
      <c r="Q224" s="209">
        <f>(Q182-O182)/O182</f>
        <v>-0.087</v>
      </c>
      <c r="S224" s="209">
        <f>(S182-Q182)/Q182</f>
        <v>-0.148</v>
      </c>
      <c r="U224" s="209">
        <f>(U182-S182)/S182</f>
        <v>-0.203</v>
      </c>
    </row>
    <row r="225" spans="1:21" ht="12">
      <c r="A225" s="40"/>
      <c r="B225" s="55"/>
      <c r="C225" s="209"/>
      <c r="D225" s="209"/>
      <c r="E225" s="209"/>
      <c r="F225" s="221"/>
      <c r="G225" s="209"/>
      <c r="H225" s="199"/>
      <c r="I225" s="209"/>
      <c r="K225" s="209"/>
      <c r="M225" s="209"/>
      <c r="O225" s="209"/>
      <c r="Q225" s="209"/>
      <c r="S225" s="209"/>
      <c r="U225" s="209"/>
    </row>
    <row r="226" spans="1:21" ht="12">
      <c r="A226" s="40" t="s">
        <v>86</v>
      </c>
      <c r="B226" s="55"/>
      <c r="C226" s="196" t="s">
        <v>85</v>
      </c>
      <c r="D226" s="209"/>
      <c r="E226" s="196" t="s">
        <v>85</v>
      </c>
      <c r="F226" s="221"/>
      <c r="G226" s="196" t="s">
        <v>85</v>
      </c>
      <c r="H226" s="199"/>
      <c r="I226" s="196" t="s">
        <v>85</v>
      </c>
      <c r="K226" s="196" t="s">
        <v>85</v>
      </c>
      <c r="M226" s="209">
        <f>(M184-K184)/K184</f>
        <v>0.084</v>
      </c>
      <c r="O226" s="209">
        <f>(O184-M184)/M184</f>
        <v>0.049</v>
      </c>
      <c r="Q226" s="209">
        <f>(Q184-O184)/O184</f>
        <v>-0.043</v>
      </c>
      <c r="S226" s="209">
        <f>(S184-Q184)/Q184</f>
        <v>0.004</v>
      </c>
      <c r="U226" s="209">
        <f>(U184-S184)/S184</f>
        <v>-0.023</v>
      </c>
    </row>
    <row r="227" spans="1:21" ht="12">
      <c r="A227" s="41"/>
      <c r="B227" s="55"/>
      <c r="C227" s="209"/>
      <c r="D227" s="209"/>
      <c r="E227" s="209"/>
      <c r="F227" s="221"/>
      <c r="G227" s="209"/>
      <c r="H227" s="199"/>
      <c r="I227" s="209"/>
      <c r="K227" s="209"/>
      <c r="M227" s="209"/>
      <c r="O227" s="209"/>
      <c r="Q227" s="209"/>
      <c r="S227" s="209"/>
      <c r="U227" s="209"/>
    </row>
    <row r="228" spans="1:21" ht="12">
      <c r="A228" s="40" t="s">
        <v>2</v>
      </c>
      <c r="B228" s="55"/>
      <c r="C228" s="209">
        <v>0.046</v>
      </c>
      <c r="D228" s="209"/>
      <c r="E228" s="209">
        <f>(E186-C186)/C186</f>
        <v>0.043</v>
      </c>
      <c r="F228" s="221"/>
      <c r="G228" s="209">
        <f>(G186-E186)/E186</f>
        <v>0.068</v>
      </c>
      <c r="H228" s="199"/>
      <c r="I228" s="209">
        <f>(I186-G186)/G186</f>
        <v>0.012</v>
      </c>
      <c r="K228" s="209">
        <f>(K186-I186)/I186</f>
        <v>-0.01</v>
      </c>
      <c r="M228" s="209">
        <f>(M186-K186)/K186</f>
        <v>0.039</v>
      </c>
      <c r="O228" s="209">
        <f>(O186-M186)/M186</f>
        <v>0.02</v>
      </c>
      <c r="Q228" s="209">
        <f>(Q186-O186)/O186</f>
        <v>0.011</v>
      </c>
      <c r="S228" s="209">
        <f>(S186-Q186)/Q186</f>
        <v>-0.126</v>
      </c>
      <c r="U228" s="209">
        <f>(U186-S186)/S186</f>
        <v>-0.13</v>
      </c>
    </row>
    <row r="229" spans="1:21" ht="12">
      <c r="A229" s="41"/>
      <c r="B229" s="55"/>
      <c r="C229" s="209"/>
      <c r="D229" s="209"/>
      <c r="E229" s="209"/>
      <c r="F229" s="221"/>
      <c r="G229" s="209"/>
      <c r="H229" s="199"/>
      <c r="I229" s="209"/>
      <c r="K229" s="209"/>
      <c r="M229" s="209"/>
      <c r="O229" s="209"/>
      <c r="Q229" s="209"/>
      <c r="S229" s="209"/>
      <c r="U229" s="209"/>
    </row>
    <row r="230" spans="1:21" ht="12">
      <c r="A230" s="42" t="s">
        <v>54</v>
      </c>
      <c r="B230" s="55"/>
      <c r="C230" s="209">
        <v>0.022</v>
      </c>
      <c r="D230" s="209"/>
      <c r="E230" s="209">
        <f>(E188-C188)/C188</f>
        <v>-0.045</v>
      </c>
      <c r="F230" s="221"/>
      <c r="G230" s="209">
        <f>(G188-E188)/E188</f>
        <v>-0.012</v>
      </c>
      <c r="H230" s="199"/>
      <c r="I230" s="196" t="s">
        <v>85</v>
      </c>
      <c r="K230" s="196" t="s">
        <v>85</v>
      </c>
      <c r="M230" s="196" t="s">
        <v>85</v>
      </c>
      <c r="O230" s="196" t="s">
        <v>85</v>
      </c>
      <c r="Q230" s="196" t="s">
        <v>85</v>
      </c>
      <c r="S230" s="196" t="s">
        <v>85</v>
      </c>
      <c r="U230" s="196" t="s">
        <v>85</v>
      </c>
    </row>
    <row r="231" spans="1:21" ht="12">
      <c r="A231" s="41"/>
      <c r="B231" s="55"/>
      <c r="C231" s="209"/>
      <c r="D231" s="209"/>
      <c r="E231" s="209"/>
      <c r="F231" s="221"/>
      <c r="G231" s="209"/>
      <c r="H231" s="199"/>
      <c r="I231" s="209"/>
      <c r="K231" s="209"/>
      <c r="M231" s="209"/>
      <c r="O231" s="209"/>
      <c r="Q231" s="209"/>
      <c r="S231" s="209"/>
      <c r="U231" s="209"/>
    </row>
    <row r="232" spans="1:21" ht="12">
      <c r="A232" s="40" t="s">
        <v>3</v>
      </c>
      <c r="B232" s="55"/>
      <c r="C232" s="209">
        <v>0.102</v>
      </c>
      <c r="D232" s="209"/>
      <c r="E232" s="209">
        <f>(E190-C190)/C190</f>
        <v>0.031</v>
      </c>
      <c r="F232" s="221"/>
      <c r="G232" s="209">
        <f>(G190-E190)/E190</f>
        <v>0.111</v>
      </c>
      <c r="H232" s="199"/>
      <c r="I232" s="209">
        <f>(I190-G190)/G190</f>
        <v>0.008</v>
      </c>
      <c r="K232" s="209">
        <f>(K190-I190)/I190</f>
        <v>-0.006</v>
      </c>
      <c r="M232" s="209">
        <f>(M190-K190)/K190</f>
        <v>0.051</v>
      </c>
      <c r="O232" s="209">
        <f>(O190-M190)/M190</f>
        <v>0.068</v>
      </c>
      <c r="Q232" s="209">
        <f>(Q190-O190)/O190</f>
        <v>-0.003</v>
      </c>
      <c r="S232" s="209">
        <f>(S190-Q190)/Q190</f>
        <v>-0.008</v>
      </c>
      <c r="U232" s="209">
        <f>(U190-S190)/S190</f>
        <v>-0.13</v>
      </c>
    </row>
    <row r="233" spans="1:21" ht="12">
      <c r="A233" s="41"/>
      <c r="B233" s="55"/>
      <c r="C233" s="209"/>
      <c r="D233" s="209"/>
      <c r="E233" s="209"/>
      <c r="F233" s="221"/>
      <c r="G233" s="209"/>
      <c r="H233" s="199"/>
      <c r="I233" s="209"/>
      <c r="K233" s="209"/>
      <c r="M233" s="209"/>
      <c r="O233" s="209"/>
      <c r="Q233" s="209"/>
      <c r="S233" s="209"/>
      <c r="U233" s="209"/>
    </row>
    <row r="234" spans="1:21" ht="12">
      <c r="A234" s="40" t="s">
        <v>4</v>
      </c>
      <c r="B234" s="55"/>
      <c r="C234" s="209">
        <v>0.045</v>
      </c>
      <c r="D234" s="209"/>
      <c r="E234" s="209">
        <f>(E192-C192)/C192</f>
        <v>0.069</v>
      </c>
      <c r="F234" s="221"/>
      <c r="G234" s="209">
        <f>(G192-E192)/E192</f>
        <v>0.094</v>
      </c>
      <c r="H234" s="199"/>
      <c r="I234" s="209">
        <f>(I192-G192)/G192</f>
        <v>-0.094</v>
      </c>
      <c r="K234" s="209">
        <f>(K192-I192)/I192</f>
        <v>0.08</v>
      </c>
      <c r="M234" s="209">
        <f>(M192-K192)/K192</f>
        <v>0.074</v>
      </c>
      <c r="O234" s="209">
        <f>(O192-M192)/M192</f>
        <v>0.065</v>
      </c>
      <c r="Q234" s="209">
        <f>(Q192-O192)/O192</f>
        <v>-0.037</v>
      </c>
      <c r="S234" s="209">
        <f>(S192-Q192)/Q192</f>
        <v>-0.162</v>
      </c>
      <c r="U234" s="209">
        <f>(U192-S192)/S192</f>
        <v>-0.183</v>
      </c>
    </row>
    <row r="235" spans="1:21" ht="12">
      <c r="A235" s="41"/>
      <c r="B235" s="55"/>
      <c r="C235" s="209"/>
      <c r="D235" s="209"/>
      <c r="E235" s="209"/>
      <c r="F235" s="221"/>
      <c r="G235" s="209"/>
      <c r="H235" s="199"/>
      <c r="I235" s="209"/>
      <c r="K235" s="209"/>
      <c r="M235" s="209"/>
      <c r="O235" s="209"/>
      <c r="Q235" s="209"/>
      <c r="S235" s="209"/>
      <c r="U235" s="209"/>
    </row>
    <row r="236" spans="1:21" ht="12">
      <c r="A236" s="40" t="s">
        <v>90</v>
      </c>
      <c r="B236" s="55"/>
      <c r="C236" s="209">
        <v>0.026</v>
      </c>
      <c r="D236" s="209"/>
      <c r="E236" s="209">
        <f>(E194-C194)/C194</f>
        <v>0.011</v>
      </c>
      <c r="F236" s="221"/>
      <c r="G236" s="209">
        <f>(G194-E194)/E194</f>
        <v>0.037</v>
      </c>
      <c r="H236" s="199"/>
      <c r="I236" s="209">
        <f>(I194-G194)/G194</f>
        <v>-0.117</v>
      </c>
      <c r="K236" s="209">
        <f>(K194-I194)/I194</f>
        <v>-0.018</v>
      </c>
      <c r="M236" s="209">
        <f>(M194-K194)/K194</f>
        <v>-0.086</v>
      </c>
      <c r="O236" s="209">
        <f>(O194-M194)/M194</f>
        <v>-0.184</v>
      </c>
      <c r="Q236" s="196" t="s">
        <v>85</v>
      </c>
      <c r="S236" s="196" t="s">
        <v>85</v>
      </c>
      <c r="U236" s="196" t="s">
        <v>85</v>
      </c>
    </row>
    <row r="237" spans="1:21" ht="12">
      <c r="A237" s="41"/>
      <c r="B237" s="55"/>
      <c r="C237" s="209"/>
      <c r="D237" s="209"/>
      <c r="E237" s="209"/>
      <c r="F237" s="221"/>
      <c r="G237" s="209"/>
      <c r="H237" s="199"/>
      <c r="I237" s="209"/>
      <c r="K237" s="209"/>
      <c r="M237" s="209"/>
      <c r="O237" s="209"/>
      <c r="Q237" s="209"/>
      <c r="S237" s="209"/>
      <c r="U237" s="209"/>
    </row>
    <row r="238" spans="1:21" ht="12">
      <c r="A238" s="40" t="s">
        <v>5</v>
      </c>
      <c r="B238" s="55"/>
      <c r="C238" s="209">
        <v>-0.001</v>
      </c>
      <c r="D238" s="209"/>
      <c r="E238" s="209">
        <f>(E196-C196)/C196</f>
        <v>0.006</v>
      </c>
      <c r="F238" s="221"/>
      <c r="G238" s="209">
        <f>(G196-E196)/E196</f>
        <v>0.068</v>
      </c>
      <c r="H238" s="199"/>
      <c r="I238" s="209">
        <f>(I196-G196)/G196</f>
        <v>0.04</v>
      </c>
      <c r="K238" s="209">
        <f>(K196-I196)/I196</f>
        <v>0.046</v>
      </c>
      <c r="M238" s="209">
        <f>(M196-K196)/K196</f>
        <v>0.049</v>
      </c>
      <c r="O238" s="209">
        <f>(O196-M196)/M196</f>
        <v>-0.011</v>
      </c>
      <c r="Q238" s="209">
        <f>(Q196-O196)/O196</f>
        <v>-0.08</v>
      </c>
      <c r="S238" s="209">
        <f>(S196-Q196)/Q196</f>
        <v>-0.122</v>
      </c>
      <c r="U238" s="209">
        <f>(U196-S196)/S196</f>
        <v>-0.115</v>
      </c>
    </row>
    <row r="239" spans="1:21" ht="12">
      <c r="A239" s="41"/>
      <c r="B239" s="55"/>
      <c r="C239" s="209"/>
      <c r="D239" s="209"/>
      <c r="E239" s="209"/>
      <c r="F239" s="221"/>
      <c r="G239" s="209"/>
      <c r="H239" s="199"/>
      <c r="I239" s="209"/>
      <c r="K239" s="209"/>
      <c r="M239" s="209"/>
      <c r="O239" s="209"/>
      <c r="Q239" s="209"/>
      <c r="S239" s="209"/>
      <c r="U239" s="209"/>
    </row>
    <row r="240" spans="1:21" ht="12">
      <c r="A240" s="42" t="s">
        <v>6</v>
      </c>
      <c r="B240" s="55"/>
      <c r="C240" s="209">
        <v>0.073</v>
      </c>
      <c r="D240" s="209"/>
      <c r="E240" s="209">
        <f>(E198-C198)/C198</f>
        <v>-0.021</v>
      </c>
      <c r="F240" s="222"/>
      <c r="G240" s="209">
        <f>(G198-E198)/E198</f>
        <v>-0.015</v>
      </c>
      <c r="H240" s="199"/>
      <c r="I240" s="209">
        <f>(I198-G198)/G198</f>
        <v>-0.074</v>
      </c>
      <c r="K240" s="209">
        <f>(K198-I198)/I198</f>
        <v>-0.035</v>
      </c>
      <c r="M240" s="209">
        <f>(M198-K198)/K198</f>
        <v>0.198</v>
      </c>
      <c r="O240" s="209">
        <f>(O198-M198)/M198</f>
        <v>0.106</v>
      </c>
      <c r="Q240" s="209">
        <f>(Q198-O198)/O198</f>
        <v>-0.157</v>
      </c>
      <c r="S240" s="209">
        <f>(S198-Q198)/Q198</f>
        <v>-0.119</v>
      </c>
      <c r="U240" s="209">
        <f>(U198-S198)/S198</f>
        <v>-0.12</v>
      </c>
    </row>
    <row r="241" spans="1:21" ht="12">
      <c r="A241" s="55"/>
      <c r="B241" s="55"/>
      <c r="C241" s="209"/>
      <c r="D241" s="209"/>
      <c r="E241" s="209"/>
      <c r="F241" s="222"/>
      <c r="G241" s="209"/>
      <c r="H241" s="199"/>
      <c r="I241" s="209"/>
      <c r="K241" s="209"/>
      <c r="M241" s="209"/>
      <c r="O241" s="209"/>
      <c r="Q241" s="209"/>
      <c r="S241" s="209"/>
      <c r="U241" s="209"/>
    </row>
    <row r="242" spans="1:21" ht="12">
      <c r="A242" s="56" t="s">
        <v>24</v>
      </c>
      <c r="B242" s="55"/>
      <c r="C242" s="209">
        <v>-0.007</v>
      </c>
      <c r="D242" s="209"/>
      <c r="E242" s="209">
        <f>(E200-C200)/C200</f>
        <v>0.053</v>
      </c>
      <c r="F242" s="222"/>
      <c r="G242" s="209">
        <f>(G200-E200)/E200</f>
        <v>0.047</v>
      </c>
      <c r="H242" s="199"/>
      <c r="I242" s="209">
        <f>(I200-G200)/G200</f>
        <v>-0.09</v>
      </c>
      <c r="K242" s="209">
        <f>(K200-I200)/I200</f>
        <v>0.056</v>
      </c>
      <c r="M242" s="209">
        <f>(M200-K200)/K200</f>
        <v>-0.06</v>
      </c>
      <c r="O242" s="209">
        <f>(O200-M200)/M200</f>
        <v>0.02</v>
      </c>
      <c r="Q242" s="209">
        <f>(Q200-O200)/O200</f>
        <v>-0.086</v>
      </c>
      <c r="S242" s="209">
        <f>(S200-Q200)/Q200</f>
        <v>-0.16</v>
      </c>
      <c r="U242" s="209">
        <f>(U200-S200)/S200</f>
        <v>-0.192</v>
      </c>
    </row>
    <row r="243" spans="1:21" ht="12">
      <c r="A243" s="55"/>
      <c r="B243" s="55"/>
      <c r="C243" s="209"/>
      <c r="D243" s="209"/>
      <c r="E243" s="209"/>
      <c r="F243" s="222"/>
      <c r="G243" s="209"/>
      <c r="H243" s="199"/>
      <c r="I243" s="209"/>
      <c r="K243" s="209"/>
      <c r="M243" s="209"/>
      <c r="O243" s="209"/>
      <c r="Q243" s="209"/>
      <c r="S243" s="209"/>
      <c r="U243" s="209"/>
    </row>
    <row r="244" spans="1:21" ht="12">
      <c r="A244" s="56" t="s">
        <v>7</v>
      </c>
      <c r="B244" s="55"/>
      <c r="C244" s="209">
        <v>-0.111</v>
      </c>
      <c r="D244" s="209"/>
      <c r="E244" s="209">
        <f>(E202-C202)/C202</f>
        <v>0.02</v>
      </c>
      <c r="F244" s="222"/>
      <c r="G244" s="209">
        <f>(G202-E202)/E202</f>
        <v>0.016</v>
      </c>
      <c r="H244" s="199"/>
      <c r="I244" s="209">
        <f>(I202-G202)/G202</f>
        <v>-0.045</v>
      </c>
      <c r="K244" s="209">
        <f>(K202-I202)/I202</f>
        <v>0.024</v>
      </c>
      <c r="M244" s="209">
        <f>(M202-K202)/K202</f>
        <v>-0.05</v>
      </c>
      <c r="O244" s="209">
        <f>(O202-M202)/M202</f>
        <v>-0.037</v>
      </c>
      <c r="Q244" s="209">
        <f>(Q202-O202)/O202</f>
        <v>-0.088</v>
      </c>
      <c r="S244" s="209">
        <f>(S202-Q202)/Q202</f>
        <v>-0.091</v>
      </c>
      <c r="U244" s="209">
        <f>(U202-S202)/S202</f>
        <v>-0.202</v>
      </c>
    </row>
    <row r="245" spans="1:21" ht="12">
      <c r="A245" s="55"/>
      <c r="B245" s="55"/>
      <c r="C245" s="209"/>
      <c r="D245" s="209"/>
      <c r="E245" s="209"/>
      <c r="F245" s="222"/>
      <c r="G245" s="209"/>
      <c r="H245" s="199"/>
      <c r="I245" s="209"/>
      <c r="K245" s="209"/>
      <c r="M245" s="209"/>
      <c r="O245" s="209"/>
      <c r="Q245" s="209"/>
      <c r="S245" s="209"/>
      <c r="U245" s="209"/>
    </row>
    <row r="246" spans="1:28" ht="12">
      <c r="A246" s="56" t="s">
        <v>8</v>
      </c>
      <c r="B246" s="55"/>
      <c r="C246" s="209">
        <v>0.051</v>
      </c>
      <c r="D246" s="223"/>
      <c r="E246" s="209">
        <f>(E204-C204)/C204</f>
        <v>0.007</v>
      </c>
      <c r="F246" s="224"/>
      <c r="G246" s="209">
        <f>(G204-E204)/E204</f>
        <v>0.039</v>
      </c>
      <c r="H246" s="202"/>
      <c r="I246" s="209">
        <f>(I204-G204)/G204</f>
        <v>-0.056</v>
      </c>
      <c r="J246" s="17"/>
      <c r="K246" s="209">
        <f>(K204-I204)/I204</f>
        <v>-0.013</v>
      </c>
      <c r="L246" s="17"/>
      <c r="M246" s="209">
        <f>(M204-K204)/K204</f>
        <v>-0.018</v>
      </c>
      <c r="N246" s="17"/>
      <c r="O246" s="209">
        <f>(O204-M204)/M204</f>
        <v>0.026</v>
      </c>
      <c r="P246" s="17"/>
      <c r="Q246" s="209">
        <f>(Q204-O204)/O204</f>
        <v>-0.067</v>
      </c>
      <c r="R246" s="17"/>
      <c r="S246" s="209">
        <f>(S204-Q204)/Q204</f>
        <v>-0.07</v>
      </c>
      <c r="T246" s="17"/>
      <c r="U246" s="209">
        <f>(U204-S204)/S204</f>
        <v>-0.076</v>
      </c>
      <c r="V246" s="17"/>
      <c r="W246" s="17"/>
      <c r="X246" s="17"/>
      <c r="Y246" s="17"/>
      <c r="Z246" s="17"/>
      <c r="AA246" s="17"/>
      <c r="AB246" s="17"/>
    </row>
    <row r="247" spans="1:28" ht="12">
      <c r="A247" s="55"/>
      <c r="B247" s="55"/>
      <c r="C247" s="209"/>
      <c r="D247" s="225"/>
      <c r="E247" s="209"/>
      <c r="F247" s="224"/>
      <c r="G247" s="209"/>
      <c r="H247" s="202"/>
      <c r="I247" s="209"/>
      <c r="J247" s="17"/>
      <c r="K247" s="209"/>
      <c r="L247" s="17"/>
      <c r="M247" s="209"/>
      <c r="N247" s="17"/>
      <c r="O247" s="209"/>
      <c r="P247" s="17"/>
      <c r="Q247" s="209"/>
      <c r="R247" s="17"/>
      <c r="S247" s="209"/>
      <c r="T247" s="17"/>
      <c r="U247" s="209"/>
      <c r="V247" s="17"/>
      <c r="W247" s="17"/>
      <c r="X247" s="17"/>
      <c r="Y247" s="17"/>
      <c r="Z247" s="17"/>
      <c r="AA247" s="17"/>
      <c r="AB247" s="17"/>
    </row>
    <row r="248" spans="1:28" ht="12">
      <c r="A248" s="56" t="s">
        <v>17</v>
      </c>
      <c r="B248" s="55"/>
      <c r="C248" s="209">
        <v>0.045</v>
      </c>
      <c r="D248" s="223"/>
      <c r="E248" s="209">
        <f>(E206-C206)/C206</f>
        <v>0.017</v>
      </c>
      <c r="F248" s="224"/>
      <c r="G248" s="209">
        <f>(G206-E206)/E206</f>
        <v>0.038</v>
      </c>
      <c r="H248" s="202"/>
      <c r="I248" s="209">
        <f>(I206-G206)/G206</f>
        <v>0.02</v>
      </c>
      <c r="J248" s="17"/>
      <c r="K248" s="209">
        <f>(K206-I206)/I206</f>
        <v>0.069</v>
      </c>
      <c r="L248" s="17"/>
      <c r="M248" s="209">
        <f>(M206-K206)/K206</f>
        <v>0.033</v>
      </c>
      <c r="N248" s="17"/>
      <c r="O248" s="209">
        <f>(O206-M206)/M206</f>
        <v>0.035</v>
      </c>
      <c r="P248" s="17"/>
      <c r="Q248" s="209">
        <f>(Q206-O206)/O206</f>
        <v>-0.089</v>
      </c>
      <c r="R248" s="17"/>
      <c r="S248" s="209">
        <f>(S206-Q206)/Q206</f>
        <v>-0.096</v>
      </c>
      <c r="T248" s="17"/>
      <c r="U248" s="209">
        <f>(U206-S206)/S206</f>
        <v>-0.131</v>
      </c>
      <c r="V248" s="17"/>
      <c r="W248" s="17"/>
      <c r="X248" s="17"/>
      <c r="Y248" s="17"/>
      <c r="Z248" s="17"/>
      <c r="AA248" s="17"/>
      <c r="AB248" s="17"/>
    </row>
    <row r="249" spans="1:28" ht="12">
      <c r="A249" s="55"/>
      <c r="B249" s="55"/>
      <c r="C249" s="76"/>
      <c r="D249" s="75"/>
      <c r="E249" s="76"/>
      <c r="F249" s="2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 spans="1:6" ht="12">
      <c r="A250" s="52" t="s">
        <v>45</v>
      </c>
      <c r="B250" s="41"/>
      <c r="C250" s="60"/>
      <c r="D250" s="55"/>
      <c r="E250" s="60"/>
      <c r="F250" s="4"/>
    </row>
    <row r="251" spans="1:6" ht="12">
      <c r="A251" s="52" t="s">
        <v>73</v>
      </c>
      <c r="B251" s="41"/>
      <c r="C251" s="60"/>
      <c r="D251" s="55"/>
      <c r="E251" s="60"/>
      <c r="F251" s="4"/>
    </row>
    <row r="252" spans="1:6" ht="12">
      <c r="A252" s="55" t="s">
        <v>52</v>
      </c>
      <c r="B252" s="41"/>
      <c r="C252" s="60"/>
      <c r="D252" s="55"/>
      <c r="E252" s="60"/>
      <c r="F252" s="4"/>
    </row>
    <row r="253" spans="1:6" ht="12">
      <c r="A253" s="55" t="s">
        <v>80</v>
      </c>
      <c r="B253" s="41"/>
      <c r="C253" s="60"/>
      <c r="D253" s="55"/>
      <c r="E253" s="60"/>
      <c r="F253" s="4"/>
    </row>
    <row r="254" spans="1:6" ht="12">
      <c r="A254" s="56" t="s">
        <v>87</v>
      </c>
      <c r="B254" s="41"/>
      <c r="C254" s="60"/>
      <c r="D254" s="55"/>
      <c r="E254" s="60"/>
      <c r="F254" s="4"/>
    </row>
    <row r="255" spans="1:5" ht="12">
      <c r="A255" s="56" t="s">
        <v>89</v>
      </c>
      <c r="B255" s="55"/>
      <c r="C255" s="55"/>
      <c r="D255" s="55"/>
      <c r="E255" s="55"/>
    </row>
    <row r="256" spans="1:5" ht="12">
      <c r="A256" s="56"/>
      <c r="B256" s="55"/>
      <c r="C256" s="55"/>
      <c r="D256" s="55"/>
      <c r="E256" s="55"/>
    </row>
    <row r="257" spans="1:5" ht="12">
      <c r="A257" s="56" t="s">
        <v>0</v>
      </c>
      <c r="B257" s="55"/>
      <c r="C257" s="55"/>
      <c r="D257" s="55"/>
      <c r="E257" s="55"/>
    </row>
    <row r="258" spans="1:5" ht="12">
      <c r="A258" s="56" t="s">
        <v>15</v>
      </c>
      <c r="B258" s="55"/>
      <c r="C258" s="55"/>
      <c r="D258" s="55"/>
      <c r="E258" s="55"/>
    </row>
    <row r="259" spans="1:5" ht="12">
      <c r="A259" s="72" t="str">
        <f>A3</f>
        <v>2000 - 2009</v>
      </c>
      <c r="B259" s="75"/>
      <c r="C259" s="75"/>
      <c r="D259" s="75"/>
      <c r="E259" s="75"/>
    </row>
    <row r="260" spans="1:5" ht="12">
      <c r="A260" s="60"/>
      <c r="B260" s="60"/>
      <c r="C260" s="55"/>
      <c r="D260" s="55"/>
      <c r="E260" s="55"/>
    </row>
    <row r="261" spans="1:5" ht="12">
      <c r="A261" s="61"/>
      <c r="B261" s="55"/>
      <c r="C261" s="55"/>
      <c r="D261" s="55"/>
      <c r="E261" s="55"/>
    </row>
    <row r="262" spans="1:21" ht="12">
      <c r="A262" s="55"/>
      <c r="B262" s="55"/>
      <c r="C262" s="62">
        <v>2000</v>
      </c>
      <c r="D262" s="80"/>
      <c r="E262" s="62">
        <v>2001</v>
      </c>
      <c r="G262" s="62">
        <v>2002</v>
      </c>
      <c r="I262" s="62">
        <v>2003</v>
      </c>
      <c r="K262" s="62">
        <v>2004</v>
      </c>
      <c r="M262" s="62">
        <v>2005</v>
      </c>
      <c r="O262" s="46">
        <v>2006</v>
      </c>
      <c r="Q262" s="46">
        <v>2007</v>
      </c>
      <c r="S262" s="46">
        <v>2008</v>
      </c>
      <c r="U262" s="46">
        <v>2009</v>
      </c>
    </row>
    <row r="263" spans="1:11" ht="12">
      <c r="A263" s="55"/>
      <c r="B263" s="55"/>
      <c r="C263" s="55"/>
      <c r="D263" s="55"/>
      <c r="E263" s="55"/>
      <c r="G263" s="55"/>
      <c r="I263" s="55"/>
      <c r="K263" s="55"/>
    </row>
    <row r="264" spans="1:21" ht="12">
      <c r="A264" s="40" t="s">
        <v>79</v>
      </c>
      <c r="B264" s="55"/>
      <c r="C264" s="73">
        <f>C95/C9</f>
        <v>0.335</v>
      </c>
      <c r="D264" s="73"/>
      <c r="E264" s="73">
        <f>E95/E9</f>
        <v>0.323</v>
      </c>
      <c r="F264" s="7"/>
      <c r="G264" s="73">
        <f>G95/G9</f>
        <v>0.299</v>
      </c>
      <c r="I264" s="73">
        <f>I95/I9</f>
        <v>0.325</v>
      </c>
      <c r="K264" s="73">
        <f>K95/K9</f>
        <v>0.322</v>
      </c>
      <c r="M264" s="73">
        <f>M95/M9</f>
        <v>0.291</v>
      </c>
      <c r="O264" s="73">
        <f>O95/O9</f>
        <v>0.31</v>
      </c>
      <c r="Q264" s="73">
        <f>Q95/Q9</f>
        <v>0.311</v>
      </c>
      <c r="S264" s="73">
        <f>S95/S9</f>
        <v>0.302</v>
      </c>
      <c r="U264" s="73">
        <f>U95/U9</f>
        <v>0.281</v>
      </c>
    </row>
    <row r="265" spans="1:21" ht="12">
      <c r="A265" s="41"/>
      <c r="B265" s="55"/>
      <c r="C265" s="73"/>
      <c r="D265" s="73"/>
      <c r="E265" s="73"/>
      <c r="F265" s="7"/>
      <c r="G265" s="73"/>
      <c r="I265" s="73"/>
      <c r="K265" s="73"/>
      <c r="M265" s="73"/>
      <c r="O265" s="73"/>
      <c r="Q265" s="73"/>
      <c r="S265" s="73"/>
      <c r="U265" s="73"/>
    </row>
    <row r="266" spans="1:21" ht="12">
      <c r="A266" s="40" t="s">
        <v>53</v>
      </c>
      <c r="B266" s="55"/>
      <c r="C266" s="73">
        <f>C97/C11</f>
        <v>0.274</v>
      </c>
      <c r="D266" s="73"/>
      <c r="E266" s="73">
        <f>E97/E11</f>
        <v>0.268</v>
      </c>
      <c r="F266" s="7"/>
      <c r="G266" s="73">
        <f>G97/G11</f>
        <v>0.278</v>
      </c>
      <c r="I266" s="73">
        <f>I97/I11</f>
        <v>0.268</v>
      </c>
      <c r="K266" s="73">
        <f>K97/K11</f>
        <v>0.268</v>
      </c>
      <c r="M266" s="73">
        <f>M97/M11</f>
        <v>0.26</v>
      </c>
      <c r="O266" s="73">
        <f>O97/O11</f>
        <v>0.252</v>
      </c>
      <c r="Q266" s="73">
        <f>Q97/Q11</f>
        <v>0.278</v>
      </c>
      <c r="S266" s="73">
        <f>S97/S11</f>
        <v>0.305</v>
      </c>
      <c r="U266" s="73">
        <f>U97/U11</f>
        <v>0.337</v>
      </c>
    </row>
    <row r="267" spans="1:21" ht="12">
      <c r="A267" s="40"/>
      <c r="B267" s="55"/>
      <c r="C267" s="73"/>
      <c r="D267" s="73"/>
      <c r="E267" s="73"/>
      <c r="F267" s="7"/>
      <c r="G267" s="73"/>
      <c r="I267" s="73"/>
      <c r="K267" s="73"/>
      <c r="M267" s="73"/>
      <c r="O267" s="73"/>
      <c r="Q267" s="73"/>
      <c r="S267" s="73"/>
      <c r="U267" s="73"/>
    </row>
    <row r="268" spans="1:21" ht="12">
      <c r="A268" s="40" t="s">
        <v>86</v>
      </c>
      <c r="B268" s="55"/>
      <c r="C268" s="196" t="s">
        <v>85</v>
      </c>
      <c r="D268" s="73"/>
      <c r="E268" s="196" t="s">
        <v>85</v>
      </c>
      <c r="F268" s="7"/>
      <c r="G268" s="196" t="s">
        <v>85</v>
      </c>
      <c r="I268" s="73">
        <f>I99/I13</f>
        <v>0.379</v>
      </c>
      <c r="K268" s="73">
        <f>K99/K13</f>
        <v>0.366</v>
      </c>
      <c r="M268" s="73">
        <f>M99/M13</f>
        <v>0.378</v>
      </c>
      <c r="O268" s="73">
        <f>O99/O13</f>
        <v>0.379</v>
      </c>
      <c r="Q268" s="73">
        <f>Q99/Q13</f>
        <v>0.415</v>
      </c>
      <c r="S268" s="73">
        <f>S99/S13</f>
        <v>0.402</v>
      </c>
      <c r="U268" s="73">
        <f>U99/U13</f>
        <v>0.38</v>
      </c>
    </row>
    <row r="269" spans="1:21" ht="12">
      <c r="A269" s="41"/>
      <c r="B269" s="55"/>
      <c r="C269" s="73"/>
      <c r="D269" s="73"/>
      <c r="E269" s="73"/>
      <c r="F269" s="7"/>
      <c r="G269" s="73"/>
      <c r="I269" s="73"/>
      <c r="K269" s="73"/>
      <c r="M269" s="73"/>
      <c r="O269" s="73"/>
      <c r="Q269" s="73"/>
      <c r="S269" s="73"/>
      <c r="U269" s="73"/>
    </row>
    <row r="270" spans="1:21" ht="12">
      <c r="A270" s="40" t="s">
        <v>2</v>
      </c>
      <c r="B270" s="55"/>
      <c r="C270" s="73">
        <f>C101/C15</f>
        <v>0.35</v>
      </c>
      <c r="D270" s="73"/>
      <c r="E270" s="73">
        <f>E101/E15</f>
        <v>0.333</v>
      </c>
      <c r="F270" s="7"/>
      <c r="G270" s="73">
        <f>G101/G15</f>
        <v>0.339</v>
      </c>
      <c r="I270" s="73">
        <f>I101/I15</f>
        <v>0.32</v>
      </c>
      <c r="K270" s="73">
        <f>K101/K15</f>
        <v>0.295</v>
      </c>
      <c r="M270" s="73">
        <f>M101/M15</f>
        <v>0.307</v>
      </c>
      <c r="O270" s="73">
        <f>O101/O15</f>
        <v>0.333</v>
      </c>
      <c r="Q270" s="73">
        <f>Q101/Q15</f>
        <v>0.358</v>
      </c>
      <c r="S270" s="73">
        <f>S101/S15</f>
        <v>0.398</v>
      </c>
      <c r="U270" s="73">
        <f>U101/U15</f>
        <v>0.381</v>
      </c>
    </row>
    <row r="271" spans="1:21" ht="12">
      <c r="A271" s="41"/>
      <c r="B271" s="55"/>
      <c r="C271" s="73"/>
      <c r="D271" s="73"/>
      <c r="E271" s="73"/>
      <c r="F271" s="7"/>
      <c r="G271" s="73"/>
      <c r="I271" s="73"/>
      <c r="K271" s="73"/>
      <c r="M271" s="73"/>
      <c r="O271" s="73"/>
      <c r="Q271" s="73"/>
      <c r="S271" s="73"/>
      <c r="U271" s="73"/>
    </row>
    <row r="272" spans="1:21" ht="12">
      <c r="A272" s="42" t="s">
        <v>54</v>
      </c>
      <c r="B272" s="55"/>
      <c r="C272" s="73">
        <f>C103/C17</f>
        <v>0.23</v>
      </c>
      <c r="D272" s="73"/>
      <c r="E272" s="73">
        <f>E103/E17</f>
        <v>0.247</v>
      </c>
      <c r="F272" s="7"/>
      <c r="G272" s="73">
        <f>G103/G17</f>
        <v>0.253</v>
      </c>
      <c r="I272" s="196" t="s">
        <v>85</v>
      </c>
      <c r="K272" s="196" t="s">
        <v>85</v>
      </c>
      <c r="M272" s="196" t="s">
        <v>85</v>
      </c>
      <c r="O272" s="196" t="s">
        <v>85</v>
      </c>
      <c r="Q272" s="196" t="s">
        <v>85</v>
      </c>
      <c r="S272" s="196" t="s">
        <v>85</v>
      </c>
      <c r="U272" s="196" t="s">
        <v>85</v>
      </c>
    </row>
    <row r="273" spans="1:21" ht="12">
      <c r="A273" s="41"/>
      <c r="B273" s="55"/>
      <c r="C273" s="73"/>
      <c r="D273" s="73"/>
      <c r="E273" s="73"/>
      <c r="F273" s="7"/>
      <c r="G273" s="73"/>
      <c r="I273" s="73"/>
      <c r="K273" s="73"/>
      <c r="M273" s="73"/>
      <c r="O273" s="73"/>
      <c r="Q273" s="73"/>
      <c r="S273" s="73"/>
      <c r="U273" s="73"/>
    </row>
    <row r="274" spans="1:21" ht="12">
      <c r="A274" s="40" t="s">
        <v>3</v>
      </c>
      <c r="B274" s="55"/>
      <c r="C274" s="73">
        <f>C105/C19</f>
        <v>0.146</v>
      </c>
      <c r="D274" s="73"/>
      <c r="E274" s="73">
        <f>E105/E19</f>
        <v>0.125</v>
      </c>
      <c r="F274" s="7"/>
      <c r="G274" s="73">
        <f>G105/G19</f>
        <v>0.11</v>
      </c>
      <c r="I274" s="73">
        <f>I105/I19</f>
        <v>0.103</v>
      </c>
      <c r="K274" s="73">
        <f>K105/K19</f>
        <v>0.106</v>
      </c>
      <c r="M274" s="73">
        <f>M105/M19</f>
        <v>0.112</v>
      </c>
      <c r="O274" s="73">
        <f>O105/O19</f>
        <v>0.113</v>
      </c>
      <c r="Q274" s="73">
        <f>Q105/Q19</f>
        <v>0.133</v>
      </c>
      <c r="S274" s="73">
        <f>S105/S19</f>
        <v>0.18</v>
      </c>
      <c r="U274" s="73">
        <f>U105/U19</f>
        <v>0.205</v>
      </c>
    </row>
    <row r="275" spans="1:21" ht="12">
      <c r="A275" s="41"/>
      <c r="B275" s="55"/>
      <c r="C275" s="73"/>
      <c r="D275" s="73"/>
      <c r="E275" s="73"/>
      <c r="F275" s="7"/>
      <c r="G275" s="73"/>
      <c r="I275" s="73"/>
      <c r="K275" s="73"/>
      <c r="M275" s="73"/>
      <c r="O275" s="73"/>
      <c r="Q275" s="73"/>
      <c r="S275" s="73"/>
      <c r="U275" s="73"/>
    </row>
    <row r="276" spans="1:21" ht="12">
      <c r="A276" s="40" t="s">
        <v>4</v>
      </c>
      <c r="B276" s="55"/>
      <c r="C276" s="73">
        <f>C107/C21</f>
        <v>0.306</v>
      </c>
      <c r="D276" s="73"/>
      <c r="E276" s="73">
        <f>E107/E21</f>
        <v>0.277</v>
      </c>
      <c r="F276" s="7"/>
      <c r="G276" s="73">
        <f>G107/G21</f>
        <v>0.266</v>
      </c>
      <c r="I276" s="73">
        <f>I107/I21</f>
        <v>0.25</v>
      </c>
      <c r="K276" s="73">
        <f>K107/K21</f>
        <v>0.253</v>
      </c>
      <c r="M276" s="73">
        <f>M107/M21</f>
        <v>0.254</v>
      </c>
      <c r="O276" s="73">
        <f>O107/O21</f>
        <v>0.236</v>
      </c>
      <c r="Q276" s="73">
        <f>Q107/Q21</f>
        <v>0.254</v>
      </c>
      <c r="S276" s="73">
        <f>S107/S21</f>
        <v>0.253</v>
      </c>
      <c r="U276" s="73">
        <f>U107/U21</f>
        <v>0.257</v>
      </c>
    </row>
    <row r="277" spans="1:21" ht="12">
      <c r="A277" s="41"/>
      <c r="B277" s="55"/>
      <c r="C277" s="73"/>
      <c r="D277" s="73"/>
      <c r="E277" s="73"/>
      <c r="F277" s="7"/>
      <c r="G277" s="73"/>
      <c r="I277" s="73"/>
      <c r="K277" s="73"/>
      <c r="M277" s="73"/>
      <c r="O277" s="73"/>
      <c r="Q277" s="73"/>
      <c r="S277" s="73"/>
      <c r="U277" s="73"/>
    </row>
    <row r="278" spans="1:21" ht="12">
      <c r="A278" s="40" t="s">
        <v>90</v>
      </c>
      <c r="B278" s="55"/>
      <c r="C278" s="73">
        <f>C109/C23</f>
        <v>0.295</v>
      </c>
      <c r="D278" s="73"/>
      <c r="E278" s="73">
        <f>E109/E23</f>
        <v>0.296</v>
      </c>
      <c r="F278" s="7"/>
      <c r="G278" s="73">
        <f>G109/G23</f>
        <v>0.176</v>
      </c>
      <c r="I278" s="73">
        <f>I109/I23</f>
        <v>0.179</v>
      </c>
      <c r="K278" s="73">
        <f>K109/K23</f>
        <v>0.212</v>
      </c>
      <c r="M278" s="73">
        <f>M109/M23</f>
        <v>0.224</v>
      </c>
      <c r="O278" s="73">
        <f>O109/O23</f>
        <v>0.244</v>
      </c>
      <c r="Q278" s="196" t="s">
        <v>85</v>
      </c>
      <c r="S278" s="196" t="s">
        <v>85</v>
      </c>
      <c r="U278" s="196" t="s">
        <v>85</v>
      </c>
    </row>
    <row r="279" spans="1:21" ht="12">
      <c r="A279" s="41"/>
      <c r="B279" s="55"/>
      <c r="C279" s="73"/>
      <c r="D279" s="73"/>
      <c r="E279" s="73"/>
      <c r="F279" s="7"/>
      <c r="G279" s="73"/>
      <c r="I279" s="73"/>
      <c r="K279" s="73"/>
      <c r="M279" s="73"/>
      <c r="O279" s="73"/>
      <c r="Q279" s="73"/>
      <c r="S279" s="73"/>
      <c r="U279" s="73"/>
    </row>
    <row r="280" spans="1:21" ht="12">
      <c r="A280" s="40" t="s">
        <v>5</v>
      </c>
      <c r="B280" s="55"/>
      <c r="C280" s="73">
        <f>C111/C25</f>
        <v>0.155</v>
      </c>
      <c r="D280" s="73"/>
      <c r="E280" s="73">
        <f>E111/E25</f>
        <v>0.151</v>
      </c>
      <c r="F280" s="7"/>
      <c r="G280" s="73">
        <f>G111/G25</f>
        <v>0.13</v>
      </c>
      <c r="I280" s="73">
        <f>I111/I25</f>
        <v>0.115</v>
      </c>
      <c r="K280" s="73">
        <f>K111/K25</f>
        <v>0.11</v>
      </c>
      <c r="M280" s="73">
        <f>M111/M25</f>
        <v>0.115</v>
      </c>
      <c r="O280" s="73">
        <f>O111/O25</f>
        <v>0.156</v>
      </c>
      <c r="Q280" s="73">
        <f>Q111/Q25</f>
        <v>0.181</v>
      </c>
      <c r="S280" s="73">
        <f>S111/S25</f>
        <v>0.192</v>
      </c>
      <c r="U280" s="73">
        <f>U111/U25</f>
        <v>0.181</v>
      </c>
    </row>
    <row r="281" spans="1:21" ht="12">
      <c r="A281" s="41"/>
      <c r="B281" s="55"/>
      <c r="C281" s="73"/>
      <c r="D281" s="73"/>
      <c r="E281" s="73"/>
      <c r="F281" s="7"/>
      <c r="G281" s="73"/>
      <c r="I281" s="73"/>
      <c r="K281" s="73"/>
      <c r="M281" s="73"/>
      <c r="O281" s="73"/>
      <c r="Q281" s="73"/>
      <c r="S281" s="73"/>
      <c r="U281" s="73"/>
    </row>
    <row r="282" spans="1:21" ht="12">
      <c r="A282" s="42" t="s">
        <v>6</v>
      </c>
      <c r="B282" s="55"/>
      <c r="C282" s="73">
        <f>C113/C27</f>
        <v>0.304</v>
      </c>
      <c r="D282" s="73"/>
      <c r="E282" s="73">
        <f>E113/E27</f>
        <v>0.304</v>
      </c>
      <c r="F282" s="7"/>
      <c r="G282" s="73">
        <f>G113/G27</f>
        <v>0.296</v>
      </c>
      <c r="I282" s="73">
        <f>I113/I27</f>
        <v>0.288</v>
      </c>
      <c r="K282" s="73">
        <f>K113/K27</f>
        <v>0.297</v>
      </c>
      <c r="M282" s="73">
        <f>M113/M27</f>
        <v>0.307</v>
      </c>
      <c r="O282" s="73">
        <f>O113/O27</f>
        <v>0.262</v>
      </c>
      <c r="Q282" s="73">
        <f>Q113/Q27</f>
        <v>0.292</v>
      </c>
      <c r="S282" s="73">
        <f>S113/S27</f>
        <v>0.294</v>
      </c>
      <c r="U282" s="73">
        <f>U113/U27</f>
        <v>0.293</v>
      </c>
    </row>
    <row r="283" spans="1:21" ht="12">
      <c r="A283" s="55"/>
      <c r="B283" s="55"/>
      <c r="C283" s="73"/>
      <c r="D283" s="73"/>
      <c r="E283" s="73"/>
      <c r="F283" s="7"/>
      <c r="G283" s="73"/>
      <c r="I283" s="73"/>
      <c r="K283" s="73"/>
      <c r="M283" s="73"/>
      <c r="O283" s="73"/>
      <c r="Q283" s="73"/>
      <c r="S283" s="73"/>
      <c r="U283" s="73"/>
    </row>
    <row r="284" spans="1:21" ht="12">
      <c r="A284" s="56" t="s">
        <v>24</v>
      </c>
      <c r="B284" s="55"/>
      <c r="C284" s="73">
        <f>C115/C29</f>
        <v>0.269</v>
      </c>
      <c r="D284" s="73"/>
      <c r="E284" s="73">
        <f>E115/E29</f>
        <v>0.232</v>
      </c>
      <c r="F284" s="7"/>
      <c r="G284" s="73">
        <f>G115/G29</f>
        <v>0.226</v>
      </c>
      <c r="I284" s="73">
        <f>I115/I29</f>
        <v>0.233</v>
      </c>
      <c r="K284" s="73">
        <f>K115/K29</f>
        <v>0.2</v>
      </c>
      <c r="M284" s="73">
        <f>M115/M29</f>
        <v>0.21</v>
      </c>
      <c r="O284" s="73">
        <f>O115/O29</f>
        <v>0.215</v>
      </c>
      <c r="Q284" s="73">
        <f>Q115/Q29</f>
        <v>0.237</v>
      </c>
      <c r="S284" s="73">
        <f>S115/S29</f>
        <v>0.238</v>
      </c>
      <c r="U284" s="73">
        <f>U115/U29</f>
        <v>0.23</v>
      </c>
    </row>
    <row r="285" spans="1:21" ht="12">
      <c r="A285" s="55"/>
      <c r="B285" s="55"/>
      <c r="C285" s="73"/>
      <c r="D285" s="73"/>
      <c r="E285" s="73"/>
      <c r="F285" s="7"/>
      <c r="G285" s="73"/>
      <c r="I285" s="73"/>
      <c r="K285" s="73"/>
      <c r="M285" s="73"/>
      <c r="O285" s="73"/>
      <c r="Q285" s="73"/>
      <c r="S285" s="73"/>
      <c r="U285" s="73"/>
    </row>
    <row r="286" spans="1:21" ht="12">
      <c r="A286" s="56" t="s">
        <v>7</v>
      </c>
      <c r="B286" s="55"/>
      <c r="C286" s="73">
        <f>C117/C31</f>
        <v>0.286</v>
      </c>
      <c r="D286" s="73"/>
      <c r="E286" s="73">
        <f>E117/E31</f>
        <v>0.288</v>
      </c>
      <c r="F286" s="7"/>
      <c r="G286" s="73">
        <f>G117/G31</f>
        <v>0.294</v>
      </c>
      <c r="I286" s="73">
        <f>I117/I31</f>
        <v>0.277</v>
      </c>
      <c r="K286" s="73">
        <f>K117/K31</f>
        <v>0.26</v>
      </c>
      <c r="M286" s="73">
        <f>M117/M31</f>
        <v>0.263</v>
      </c>
      <c r="O286" s="73">
        <f>O117/O31</f>
        <v>0.284</v>
      </c>
      <c r="Q286" s="73">
        <f>Q117/Q31</f>
        <v>0.299</v>
      </c>
      <c r="S286" s="73">
        <f>S117/S31</f>
        <v>0.319</v>
      </c>
      <c r="U286" s="73">
        <f>U117/U31</f>
        <v>0.295</v>
      </c>
    </row>
    <row r="287" spans="1:21" ht="12">
      <c r="A287" s="55"/>
      <c r="B287" s="55"/>
      <c r="C287" s="73"/>
      <c r="D287" s="73"/>
      <c r="E287" s="73"/>
      <c r="F287" s="7"/>
      <c r="G287" s="73"/>
      <c r="I287" s="73"/>
      <c r="K287" s="73"/>
      <c r="M287" s="73"/>
      <c r="O287" s="73"/>
      <c r="Q287" s="73"/>
      <c r="S287" s="73"/>
      <c r="U287" s="73"/>
    </row>
    <row r="288" spans="1:26" ht="12">
      <c r="A288" s="56" t="s">
        <v>8</v>
      </c>
      <c r="B288" s="55"/>
      <c r="C288" s="73">
        <f>C119/C33</f>
        <v>0.369</v>
      </c>
      <c r="D288" s="74"/>
      <c r="E288" s="73">
        <f>E119/E33</f>
        <v>0.346</v>
      </c>
      <c r="F288" s="218"/>
      <c r="G288" s="73">
        <f>G119/G33</f>
        <v>0.322</v>
      </c>
      <c r="H288" s="17"/>
      <c r="I288" s="73">
        <f>I119/I33</f>
        <v>0.337</v>
      </c>
      <c r="J288" s="17"/>
      <c r="K288" s="73">
        <f>K119/K33</f>
        <v>0.327</v>
      </c>
      <c r="L288" s="17"/>
      <c r="M288" s="73">
        <f>M119/M33</f>
        <v>0.36</v>
      </c>
      <c r="N288" s="17"/>
      <c r="O288" s="73">
        <f>O119/O33</f>
        <v>0.355</v>
      </c>
      <c r="P288" s="17"/>
      <c r="Q288" s="73">
        <f>Q119/Q33</f>
        <v>0.374</v>
      </c>
      <c r="R288" s="17"/>
      <c r="S288" s="73">
        <f>S119/S33</f>
        <v>0.386</v>
      </c>
      <c r="T288" s="17"/>
      <c r="U288" s="73">
        <f>U119/U33</f>
        <v>0.386</v>
      </c>
      <c r="V288" s="17"/>
      <c r="W288" s="17"/>
      <c r="X288" s="17"/>
      <c r="Y288" s="17"/>
      <c r="Z288" s="17"/>
    </row>
    <row r="289" spans="1:26" ht="12">
      <c r="A289" s="55"/>
      <c r="B289" s="55"/>
      <c r="C289" s="73"/>
      <c r="D289" s="75"/>
      <c r="E289" s="73"/>
      <c r="F289" s="17"/>
      <c r="G289" s="73"/>
      <c r="H289" s="17"/>
      <c r="I289" s="73"/>
      <c r="J289" s="17"/>
      <c r="K289" s="73"/>
      <c r="L289" s="17"/>
      <c r="M289" s="73"/>
      <c r="N289" s="17"/>
      <c r="O289" s="73"/>
      <c r="P289" s="17"/>
      <c r="Q289" s="73"/>
      <c r="R289" s="17"/>
      <c r="S289" s="73"/>
      <c r="T289" s="17"/>
      <c r="U289" s="73"/>
      <c r="V289" s="17"/>
      <c r="W289" s="17"/>
      <c r="X289" s="17"/>
      <c r="Y289" s="17"/>
      <c r="Z289" s="17"/>
    </row>
    <row r="290" spans="1:26" ht="12">
      <c r="A290" s="56" t="s">
        <v>17</v>
      </c>
      <c r="B290" s="55"/>
      <c r="C290" s="73">
        <f>C121/C35</f>
        <v>0.282</v>
      </c>
      <c r="D290" s="74"/>
      <c r="E290" s="73">
        <f>E121/E35</f>
        <v>0.27</v>
      </c>
      <c r="F290" s="218"/>
      <c r="G290" s="73">
        <f>G121/G35</f>
        <v>0.256</v>
      </c>
      <c r="H290" s="17"/>
      <c r="I290" s="73">
        <f>I121/I35</f>
        <v>0.259</v>
      </c>
      <c r="J290" s="17"/>
      <c r="K290" s="73">
        <f>K121/K35</f>
        <v>0.26</v>
      </c>
      <c r="L290" s="17"/>
      <c r="M290" s="73">
        <f>M121/M35</f>
        <v>0.268</v>
      </c>
      <c r="N290" s="17"/>
      <c r="O290" s="73">
        <f>O121/O35</f>
        <v>0.271</v>
      </c>
      <c r="P290" s="17"/>
      <c r="Q290" s="73">
        <f>Q121/Q35</f>
        <v>0.296</v>
      </c>
      <c r="R290" s="17"/>
      <c r="S290" s="73">
        <f>S121/S35</f>
        <v>0.311</v>
      </c>
      <c r="T290" s="17"/>
      <c r="U290" s="73">
        <f>U121/U35</f>
        <v>0.31</v>
      </c>
      <c r="V290" s="17"/>
      <c r="W290" s="17"/>
      <c r="X290" s="17"/>
      <c r="Y290" s="17"/>
      <c r="Z290" s="17"/>
    </row>
    <row r="291" spans="1:26" ht="12">
      <c r="A291" s="55"/>
      <c r="B291" s="55"/>
      <c r="C291" s="76"/>
      <c r="D291" s="75"/>
      <c r="E291" s="76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5" ht="12">
      <c r="A292" s="52" t="s">
        <v>45</v>
      </c>
      <c r="B292" s="41"/>
      <c r="C292" s="60"/>
      <c r="D292" s="55"/>
      <c r="E292" s="60"/>
    </row>
    <row r="293" spans="1:5" ht="12">
      <c r="A293" s="52" t="s">
        <v>73</v>
      </c>
      <c r="B293" s="41"/>
      <c r="C293" s="60"/>
      <c r="D293" s="55"/>
      <c r="E293" s="60"/>
    </row>
    <row r="294" spans="1:5" ht="12">
      <c r="A294" s="55" t="s">
        <v>52</v>
      </c>
      <c r="B294" s="41"/>
      <c r="C294" s="60"/>
      <c r="D294" s="55"/>
      <c r="E294" s="60"/>
    </row>
    <row r="295" spans="1:5" ht="12">
      <c r="A295" s="55" t="s">
        <v>80</v>
      </c>
      <c r="B295" s="41"/>
      <c r="C295" s="60"/>
      <c r="D295" s="55"/>
      <c r="E295" s="60"/>
    </row>
    <row r="296" spans="1:5" ht="12">
      <c r="A296" s="56" t="s">
        <v>87</v>
      </c>
      <c r="B296" s="41"/>
      <c r="C296" s="60"/>
      <c r="D296" s="55"/>
      <c r="E296" s="60"/>
    </row>
    <row r="297" spans="1:5" ht="12">
      <c r="A297" s="56" t="s">
        <v>89</v>
      </c>
      <c r="B297" s="55"/>
      <c r="C297" s="55"/>
      <c r="D297" s="55"/>
      <c r="E297" s="55"/>
    </row>
    <row r="298" spans="1:5" ht="12">
      <c r="A298" s="56"/>
      <c r="B298" s="55"/>
      <c r="C298" s="55"/>
      <c r="D298" s="55"/>
      <c r="E298" s="55"/>
    </row>
    <row r="299" spans="1:5" ht="12">
      <c r="A299" s="56" t="s">
        <v>0</v>
      </c>
      <c r="B299" s="55"/>
      <c r="C299" s="55"/>
      <c r="D299" s="55"/>
      <c r="E299" s="55"/>
    </row>
    <row r="300" spans="1:5" ht="12">
      <c r="A300" s="56" t="s">
        <v>16</v>
      </c>
      <c r="B300" s="55"/>
      <c r="C300" s="55"/>
      <c r="D300" s="55"/>
      <c r="E300" s="55"/>
    </row>
    <row r="301" spans="1:6" ht="12">
      <c r="A301" s="72" t="str">
        <f>A3</f>
        <v>2000 - 2009</v>
      </c>
      <c r="B301" s="75"/>
      <c r="C301" s="75"/>
      <c r="D301" s="75"/>
      <c r="E301" s="75"/>
      <c r="F301" s="17"/>
    </row>
    <row r="302" spans="1:5" ht="12">
      <c r="A302" s="60"/>
      <c r="B302" s="60"/>
      <c r="C302" s="55"/>
      <c r="D302" s="55"/>
      <c r="E302" s="55"/>
    </row>
    <row r="303" spans="1:5" ht="12">
      <c r="A303" s="55"/>
      <c r="B303" s="55"/>
      <c r="C303" s="55"/>
      <c r="D303" s="55"/>
      <c r="E303" s="55"/>
    </row>
    <row r="304" spans="1:21" ht="12">
      <c r="A304" s="55"/>
      <c r="B304" s="55"/>
      <c r="C304" s="62">
        <v>2000</v>
      </c>
      <c r="D304" s="81"/>
      <c r="E304" s="62">
        <v>2001</v>
      </c>
      <c r="F304" s="17"/>
      <c r="G304" s="62">
        <v>2002</v>
      </c>
      <c r="I304" s="62">
        <v>2003</v>
      </c>
      <c r="K304" s="62">
        <v>2004</v>
      </c>
      <c r="M304" s="62">
        <v>2005</v>
      </c>
      <c r="O304" s="46">
        <v>2006</v>
      </c>
      <c r="Q304" s="46">
        <v>2007</v>
      </c>
      <c r="S304" s="46">
        <v>2008</v>
      </c>
      <c r="U304" s="46">
        <v>2009</v>
      </c>
    </row>
    <row r="305" spans="1:11" ht="12">
      <c r="A305" s="55"/>
      <c r="B305" s="55"/>
      <c r="C305" s="55"/>
      <c r="D305" s="55"/>
      <c r="E305" s="55"/>
      <c r="G305" s="55"/>
      <c r="I305" s="55"/>
      <c r="K305" s="55"/>
    </row>
    <row r="306" spans="1:21" ht="12">
      <c r="A306" s="40" t="s">
        <v>79</v>
      </c>
      <c r="B306" s="55"/>
      <c r="C306" s="73">
        <f>C180/C9</f>
        <v>0.665</v>
      </c>
      <c r="D306" s="73"/>
      <c r="E306" s="73">
        <f>E180/E9</f>
        <v>0.677</v>
      </c>
      <c r="F306" s="7"/>
      <c r="G306" s="73">
        <f>G180/G9</f>
        <v>0.701</v>
      </c>
      <c r="I306" s="73">
        <f>I180/I9</f>
        <v>0.675</v>
      </c>
      <c r="K306" s="73">
        <f>K180/K9</f>
        <v>0.678</v>
      </c>
      <c r="M306" s="73">
        <f>M180/M9</f>
        <v>0.709</v>
      </c>
      <c r="O306" s="73">
        <f>O180/O9</f>
        <v>0.69</v>
      </c>
      <c r="Q306" s="73">
        <f>Q180/Q9</f>
        <v>0.689</v>
      </c>
      <c r="S306" s="73">
        <f>S180/S9</f>
        <v>0.698</v>
      </c>
      <c r="U306" s="73">
        <f>U180/U9</f>
        <v>0.719</v>
      </c>
    </row>
    <row r="307" spans="1:21" ht="12">
      <c r="A307" s="41"/>
      <c r="B307" s="55"/>
      <c r="C307" s="73"/>
      <c r="D307" s="73"/>
      <c r="E307" s="73"/>
      <c r="F307" s="7"/>
      <c r="G307" s="73"/>
      <c r="I307" s="73"/>
      <c r="K307" s="73"/>
      <c r="M307" s="73"/>
      <c r="O307" s="73"/>
      <c r="Q307" s="73"/>
      <c r="S307" s="73"/>
      <c r="U307" s="73"/>
    </row>
    <row r="308" spans="1:21" ht="12">
      <c r="A308" s="40" t="s">
        <v>53</v>
      </c>
      <c r="B308" s="55"/>
      <c r="C308" s="73">
        <f>C182/C11</f>
        <v>0.726</v>
      </c>
      <c r="D308" s="73"/>
      <c r="E308" s="73">
        <f>E182/E11</f>
        <v>0.732</v>
      </c>
      <c r="F308" s="7"/>
      <c r="G308" s="73">
        <f>G182/G11</f>
        <v>0.722</v>
      </c>
      <c r="I308" s="73">
        <f>I182/I11</f>
        <v>0.732</v>
      </c>
      <c r="K308" s="73">
        <f>K182/K11</f>
        <v>0.732</v>
      </c>
      <c r="M308" s="73">
        <f>M182/M11</f>
        <v>0.74</v>
      </c>
      <c r="O308" s="73">
        <f>O182/O11</f>
        <v>0.748</v>
      </c>
      <c r="Q308" s="73">
        <f>Q182/Q11</f>
        <v>0.722</v>
      </c>
      <c r="S308" s="73">
        <f>S182/S11</f>
        <v>0.695</v>
      </c>
      <c r="U308" s="73">
        <f>U182/U11</f>
        <v>0.663</v>
      </c>
    </row>
    <row r="309" spans="1:21" ht="12">
      <c r="A309" s="40"/>
      <c r="B309" s="55"/>
      <c r="C309" s="73"/>
      <c r="D309" s="73"/>
      <c r="E309" s="73"/>
      <c r="F309" s="7"/>
      <c r="G309" s="73"/>
      <c r="I309" s="73"/>
      <c r="K309" s="73"/>
      <c r="M309" s="73"/>
      <c r="O309" s="73"/>
      <c r="Q309" s="73"/>
      <c r="S309" s="73"/>
      <c r="U309" s="73"/>
    </row>
    <row r="310" spans="1:21" ht="12">
      <c r="A310" s="40" t="s">
        <v>86</v>
      </c>
      <c r="B310" s="55"/>
      <c r="C310" s="196" t="s">
        <v>85</v>
      </c>
      <c r="D310" s="73"/>
      <c r="E310" s="196" t="s">
        <v>85</v>
      </c>
      <c r="F310" s="7"/>
      <c r="G310" s="196" t="s">
        <v>85</v>
      </c>
      <c r="I310" s="73">
        <f>I184/I13</f>
        <v>0.621</v>
      </c>
      <c r="K310" s="73">
        <f>K184/K13</f>
        <v>0.634</v>
      </c>
      <c r="M310" s="73">
        <f>M184/M13</f>
        <v>0.622</v>
      </c>
      <c r="O310" s="73">
        <f>O184/O13</f>
        <v>0.621</v>
      </c>
      <c r="Q310" s="73">
        <f>Q184/Q13</f>
        <v>0.585</v>
      </c>
      <c r="S310" s="73">
        <f>S184/S13</f>
        <v>0.598</v>
      </c>
      <c r="U310" s="73">
        <f>U184/U13</f>
        <v>0.62</v>
      </c>
    </row>
    <row r="311" spans="1:21" ht="12">
      <c r="A311" s="41"/>
      <c r="B311" s="55"/>
      <c r="C311" s="73"/>
      <c r="D311" s="73"/>
      <c r="E311" s="73"/>
      <c r="F311" s="7"/>
      <c r="G311" s="73"/>
      <c r="I311" s="73"/>
      <c r="K311" s="73"/>
      <c r="M311" s="73"/>
      <c r="O311" s="73"/>
      <c r="Q311" s="73"/>
      <c r="S311" s="73"/>
      <c r="U311" s="73"/>
    </row>
    <row r="312" spans="1:21" ht="12">
      <c r="A312" s="40" t="s">
        <v>2</v>
      </c>
      <c r="B312" s="55"/>
      <c r="C312" s="73">
        <f>C186/C15</f>
        <v>0.65</v>
      </c>
      <c r="D312" s="73"/>
      <c r="E312" s="73">
        <f>E186/E15</f>
        <v>0.667</v>
      </c>
      <c r="F312" s="7"/>
      <c r="G312" s="73">
        <f>G186/G15</f>
        <v>0.661</v>
      </c>
      <c r="I312" s="73">
        <f>I186/I15</f>
        <v>0.68</v>
      </c>
      <c r="K312" s="73">
        <f>K186/K15</f>
        <v>0.705</v>
      </c>
      <c r="M312" s="73">
        <f>M186/M15</f>
        <v>0.693</v>
      </c>
      <c r="O312" s="73">
        <f>O186/O15</f>
        <v>0.667</v>
      </c>
      <c r="Q312" s="73">
        <f>Q186/Q15</f>
        <v>0.642</v>
      </c>
      <c r="S312" s="73">
        <f>S186/S15</f>
        <v>0.602</v>
      </c>
      <c r="U312" s="73">
        <f>U186/U15</f>
        <v>0.619</v>
      </c>
    </row>
    <row r="313" spans="1:21" ht="12">
      <c r="A313" s="41"/>
      <c r="B313" s="55"/>
      <c r="C313" s="73"/>
      <c r="D313" s="73"/>
      <c r="E313" s="73"/>
      <c r="F313" s="7"/>
      <c r="G313" s="73"/>
      <c r="I313" s="73"/>
      <c r="K313" s="73"/>
      <c r="M313" s="73"/>
      <c r="O313" s="73"/>
      <c r="Q313" s="73"/>
      <c r="S313" s="73"/>
      <c r="U313" s="73"/>
    </row>
    <row r="314" spans="1:21" ht="12">
      <c r="A314" s="42" t="s">
        <v>54</v>
      </c>
      <c r="B314" s="55"/>
      <c r="C314" s="73">
        <f>C188/C17</f>
        <v>0.77</v>
      </c>
      <c r="D314" s="73"/>
      <c r="E314" s="73">
        <f>E188/E17</f>
        <v>0.753</v>
      </c>
      <c r="F314" s="7"/>
      <c r="G314" s="73">
        <f>G188/G17</f>
        <v>0.747</v>
      </c>
      <c r="I314" s="196" t="s">
        <v>85</v>
      </c>
      <c r="K314" s="196" t="s">
        <v>85</v>
      </c>
      <c r="M314" s="196" t="s">
        <v>85</v>
      </c>
      <c r="O314" s="196" t="s">
        <v>85</v>
      </c>
      <c r="Q314" s="196" t="s">
        <v>85</v>
      </c>
      <c r="S314" s="196" t="s">
        <v>85</v>
      </c>
      <c r="U314" s="196" t="s">
        <v>85</v>
      </c>
    </row>
    <row r="315" spans="1:21" ht="12">
      <c r="A315" s="41"/>
      <c r="B315" s="55"/>
      <c r="C315" s="73"/>
      <c r="D315" s="73"/>
      <c r="E315" s="73"/>
      <c r="F315" s="7"/>
      <c r="G315" s="73"/>
      <c r="I315" s="73"/>
      <c r="K315" s="73"/>
      <c r="M315" s="73"/>
      <c r="O315" s="73"/>
      <c r="Q315" s="73"/>
      <c r="S315" s="73"/>
      <c r="U315" s="73"/>
    </row>
    <row r="316" spans="1:21" ht="12">
      <c r="A316" s="40" t="s">
        <v>3</v>
      </c>
      <c r="B316" s="55"/>
      <c r="C316" s="73">
        <f>C190/C19</f>
        <v>0.854</v>
      </c>
      <c r="D316" s="73"/>
      <c r="E316" s="73">
        <f>E190/E19</f>
        <v>0.875</v>
      </c>
      <c r="F316" s="7"/>
      <c r="G316" s="73">
        <f>G190/G19</f>
        <v>0.89</v>
      </c>
      <c r="I316" s="73">
        <f>I190/I19</f>
        <v>0.897</v>
      </c>
      <c r="K316" s="73">
        <f>K190/K19</f>
        <v>0.894</v>
      </c>
      <c r="M316" s="73">
        <f>M190/M19</f>
        <v>0.888</v>
      </c>
      <c r="O316" s="73">
        <f>O190/O19</f>
        <v>0.887</v>
      </c>
      <c r="Q316" s="73">
        <f>Q190/Q19</f>
        <v>0.867</v>
      </c>
      <c r="S316" s="73">
        <f>S190/S19</f>
        <v>0.82</v>
      </c>
      <c r="U316" s="73">
        <f>U190/U19</f>
        <v>0.795</v>
      </c>
    </row>
    <row r="317" spans="1:21" ht="12">
      <c r="A317" s="41"/>
      <c r="B317" s="55"/>
      <c r="C317" s="73"/>
      <c r="D317" s="73"/>
      <c r="E317" s="73"/>
      <c r="F317" s="7"/>
      <c r="G317" s="73"/>
      <c r="I317" s="73"/>
      <c r="K317" s="73"/>
      <c r="M317" s="73"/>
      <c r="O317" s="73"/>
      <c r="Q317" s="73"/>
      <c r="S317" s="73"/>
      <c r="U317" s="73"/>
    </row>
    <row r="318" spans="1:21" ht="12">
      <c r="A318" s="40" t="s">
        <v>4</v>
      </c>
      <c r="B318" s="55"/>
      <c r="C318" s="73">
        <f>C192/C21</f>
        <v>0.694</v>
      </c>
      <c r="D318" s="73"/>
      <c r="E318" s="73">
        <f>E192/E21</f>
        <v>0.723</v>
      </c>
      <c r="F318" s="7"/>
      <c r="G318" s="73">
        <f>G192/G21</f>
        <v>0.734</v>
      </c>
      <c r="I318" s="73">
        <f>I192/I21</f>
        <v>0.75</v>
      </c>
      <c r="K318" s="73">
        <f>K192/K21</f>
        <v>0.747</v>
      </c>
      <c r="M318" s="73">
        <f>M192/M21</f>
        <v>0.746</v>
      </c>
      <c r="O318" s="73">
        <f>O192/O21</f>
        <v>0.764</v>
      </c>
      <c r="Q318" s="73">
        <f>Q192/Q21</f>
        <v>0.746</v>
      </c>
      <c r="S318" s="73">
        <f>S192/S21</f>
        <v>0.747</v>
      </c>
      <c r="U318" s="73">
        <f>U192/U21</f>
        <v>0.743</v>
      </c>
    </row>
    <row r="319" spans="1:21" ht="12">
      <c r="A319" s="41"/>
      <c r="B319" s="55"/>
      <c r="C319" s="73"/>
      <c r="D319" s="73"/>
      <c r="E319" s="73"/>
      <c r="F319" s="7"/>
      <c r="G319" s="73"/>
      <c r="I319" s="73"/>
      <c r="K319" s="73"/>
      <c r="M319" s="73"/>
      <c r="O319" s="73"/>
      <c r="Q319" s="73"/>
      <c r="S319" s="73"/>
      <c r="U319" s="73"/>
    </row>
    <row r="320" spans="1:21" ht="12">
      <c r="A320" s="40" t="s">
        <v>90</v>
      </c>
      <c r="B320" s="55"/>
      <c r="C320" s="73">
        <f>C194/C23</f>
        <v>0.705</v>
      </c>
      <c r="D320" s="73"/>
      <c r="E320" s="73">
        <f>E194/E23</f>
        <v>0.704</v>
      </c>
      <c r="F320" s="7"/>
      <c r="G320" s="73">
        <f>G194/G23</f>
        <v>0.824</v>
      </c>
      <c r="I320" s="73">
        <f>I194/I23</f>
        <v>0.821</v>
      </c>
      <c r="K320" s="73">
        <f>K194/K23</f>
        <v>0.788</v>
      </c>
      <c r="M320" s="73">
        <f>M194/M23</f>
        <v>0.776</v>
      </c>
      <c r="O320" s="73">
        <f>O194/O23</f>
        <v>0.756</v>
      </c>
      <c r="Q320" s="196" t="s">
        <v>85</v>
      </c>
      <c r="S320" s="196" t="s">
        <v>85</v>
      </c>
      <c r="U320" s="196" t="s">
        <v>85</v>
      </c>
    </row>
    <row r="321" spans="1:21" ht="12">
      <c r="A321" s="41"/>
      <c r="B321" s="55"/>
      <c r="C321" s="73"/>
      <c r="D321" s="73"/>
      <c r="E321" s="73"/>
      <c r="F321" s="7"/>
      <c r="G321" s="73"/>
      <c r="I321" s="73"/>
      <c r="K321" s="73"/>
      <c r="M321" s="73"/>
      <c r="O321" s="73"/>
      <c r="Q321" s="73"/>
      <c r="S321" s="73"/>
      <c r="U321" s="73"/>
    </row>
    <row r="322" spans="1:21" ht="12">
      <c r="A322" s="40" t="s">
        <v>5</v>
      </c>
      <c r="B322" s="55"/>
      <c r="C322" s="73">
        <f>C196/C25</f>
        <v>0.845</v>
      </c>
      <c r="D322" s="73"/>
      <c r="E322" s="73">
        <f>E196/E25</f>
        <v>0.849</v>
      </c>
      <c r="F322" s="7"/>
      <c r="G322" s="73">
        <f>G196/G25</f>
        <v>0.87</v>
      </c>
      <c r="I322" s="73">
        <f>I196/I25</f>
        <v>0.885</v>
      </c>
      <c r="K322" s="73">
        <f>K196/K25</f>
        <v>0.89</v>
      </c>
      <c r="M322" s="73">
        <f>M196/M25</f>
        <v>0.885</v>
      </c>
      <c r="O322" s="73">
        <f>O196/O25</f>
        <v>0.844</v>
      </c>
      <c r="Q322" s="73">
        <f>Q196/Q25</f>
        <v>0.819</v>
      </c>
      <c r="S322" s="73">
        <f>S196/S25</f>
        <v>0.808</v>
      </c>
      <c r="U322" s="73">
        <f>U196/U25</f>
        <v>0.819</v>
      </c>
    </row>
    <row r="323" spans="1:21" ht="12">
      <c r="A323" s="41"/>
      <c r="B323" s="55"/>
      <c r="C323" s="73"/>
      <c r="D323" s="73"/>
      <c r="E323" s="73"/>
      <c r="F323" s="7"/>
      <c r="G323" s="73"/>
      <c r="I323" s="73"/>
      <c r="K323" s="73"/>
      <c r="M323" s="73"/>
      <c r="O323" s="73"/>
      <c r="Q323" s="73"/>
      <c r="S323" s="73"/>
      <c r="U323" s="73"/>
    </row>
    <row r="324" spans="1:21" ht="12">
      <c r="A324" s="42" t="s">
        <v>6</v>
      </c>
      <c r="B324" s="55"/>
      <c r="C324" s="73">
        <f>C198/C27</f>
        <v>0.696</v>
      </c>
      <c r="D324" s="73"/>
      <c r="E324" s="73">
        <f>E198/E27</f>
        <v>0.696</v>
      </c>
      <c r="F324" s="7"/>
      <c r="G324" s="73">
        <f>G198/G27</f>
        <v>0.704</v>
      </c>
      <c r="I324" s="73">
        <f>I198/I27</f>
        <v>0.712</v>
      </c>
      <c r="K324" s="73">
        <f>K198/K27</f>
        <v>0.703</v>
      </c>
      <c r="M324" s="73">
        <f>M198/M27</f>
        <v>0.693</v>
      </c>
      <c r="O324" s="73">
        <f>O198/O27</f>
        <v>0.738</v>
      </c>
      <c r="Q324" s="73">
        <f>Q198/Q27</f>
        <v>0.708</v>
      </c>
      <c r="S324" s="73">
        <f>S198/S27</f>
        <v>0.706</v>
      </c>
      <c r="U324" s="73">
        <f>U198/U27</f>
        <v>0.707</v>
      </c>
    </row>
    <row r="325" spans="1:21" ht="12">
      <c r="A325" s="55"/>
      <c r="B325" s="55"/>
      <c r="C325" s="73"/>
      <c r="D325" s="73"/>
      <c r="E325" s="73"/>
      <c r="F325" s="7"/>
      <c r="G325" s="73"/>
      <c r="I325" s="73"/>
      <c r="K325" s="73"/>
      <c r="M325" s="73"/>
      <c r="O325" s="73"/>
      <c r="Q325" s="73"/>
      <c r="S325" s="73"/>
      <c r="U325" s="73"/>
    </row>
    <row r="326" spans="1:21" ht="12">
      <c r="A326" s="56" t="s">
        <v>24</v>
      </c>
      <c r="B326" s="55"/>
      <c r="C326" s="73">
        <f>C200/C29</f>
        <v>0.731</v>
      </c>
      <c r="D326" s="73"/>
      <c r="E326" s="73">
        <f>E200/E29</f>
        <v>0.768</v>
      </c>
      <c r="F326" s="7"/>
      <c r="G326" s="73">
        <f>G200/G29</f>
        <v>0.774</v>
      </c>
      <c r="I326" s="73">
        <f>I200/I29</f>
        <v>0.767</v>
      </c>
      <c r="K326" s="73">
        <f>K200/K29</f>
        <v>0.8</v>
      </c>
      <c r="M326" s="73">
        <f>M200/M29</f>
        <v>0.79</v>
      </c>
      <c r="O326" s="73">
        <f>O200/O29</f>
        <v>0.785</v>
      </c>
      <c r="Q326" s="73">
        <f>Q200/Q29</f>
        <v>0.763</v>
      </c>
      <c r="S326" s="73">
        <f>S200/S29</f>
        <v>0.762</v>
      </c>
      <c r="U326" s="73">
        <f>U200/U29</f>
        <v>0.77</v>
      </c>
    </row>
    <row r="327" spans="1:21" ht="12">
      <c r="A327" s="55"/>
      <c r="B327" s="55"/>
      <c r="C327" s="73"/>
      <c r="D327" s="73"/>
      <c r="E327" s="73"/>
      <c r="F327" s="7"/>
      <c r="G327" s="73"/>
      <c r="I327" s="73"/>
      <c r="K327" s="73"/>
      <c r="M327" s="73"/>
      <c r="O327" s="73"/>
      <c r="Q327" s="73"/>
      <c r="S327" s="73"/>
      <c r="U327" s="73"/>
    </row>
    <row r="328" spans="1:21" ht="12">
      <c r="A328" s="56" t="s">
        <v>7</v>
      </c>
      <c r="B328" s="55"/>
      <c r="C328" s="73">
        <f>C202/C31</f>
        <v>0.714</v>
      </c>
      <c r="D328" s="73"/>
      <c r="E328" s="73">
        <f>E202/E31</f>
        <v>0.712</v>
      </c>
      <c r="F328" s="7"/>
      <c r="G328" s="73">
        <f>G202/G31</f>
        <v>0.706</v>
      </c>
      <c r="I328" s="73">
        <f>I202/I31</f>
        <v>0.723</v>
      </c>
      <c r="K328" s="73">
        <f>K202/K31</f>
        <v>0.74</v>
      </c>
      <c r="M328" s="73">
        <f>M202/M31</f>
        <v>0.737</v>
      </c>
      <c r="O328" s="73">
        <f>O202/O31</f>
        <v>0.716</v>
      </c>
      <c r="Q328" s="73">
        <f>Q202/Q31</f>
        <v>0.701</v>
      </c>
      <c r="S328" s="73">
        <f>S202/S31</f>
        <v>0.681</v>
      </c>
      <c r="U328" s="73">
        <f>U202/U31</f>
        <v>0.705</v>
      </c>
    </row>
    <row r="329" spans="1:21" ht="12">
      <c r="A329" s="55"/>
      <c r="B329" s="55"/>
      <c r="C329" s="73"/>
      <c r="D329" s="73"/>
      <c r="E329" s="73"/>
      <c r="F329" s="7"/>
      <c r="G329" s="73"/>
      <c r="I329" s="73"/>
      <c r="K329" s="73"/>
      <c r="M329" s="73"/>
      <c r="O329" s="73"/>
      <c r="Q329" s="73"/>
      <c r="S329" s="73"/>
      <c r="U329" s="73"/>
    </row>
    <row r="330" spans="1:21" ht="12">
      <c r="A330" s="56" t="s">
        <v>8</v>
      </c>
      <c r="B330" s="55"/>
      <c r="C330" s="73">
        <f>C204/C33</f>
        <v>0.631</v>
      </c>
      <c r="D330" s="74"/>
      <c r="E330" s="73">
        <f>E204/E33</f>
        <v>0.654</v>
      </c>
      <c r="F330" s="218"/>
      <c r="G330" s="73">
        <f>G204/G33</f>
        <v>0.678</v>
      </c>
      <c r="I330" s="73">
        <f>I204/I33</f>
        <v>0.663</v>
      </c>
      <c r="K330" s="73">
        <f>K204/K33</f>
        <v>0.673</v>
      </c>
      <c r="M330" s="73">
        <f>M204/M33</f>
        <v>0.64</v>
      </c>
      <c r="O330" s="73">
        <f>O204/O33</f>
        <v>0.645</v>
      </c>
      <c r="Q330" s="73">
        <f>Q204/Q33</f>
        <v>0.626</v>
      </c>
      <c r="S330" s="73">
        <f>S204/S33</f>
        <v>0.614</v>
      </c>
      <c r="U330" s="73">
        <f>U204/U33</f>
        <v>0.614</v>
      </c>
    </row>
    <row r="331" spans="1:21" ht="12">
      <c r="A331" s="55"/>
      <c r="B331" s="55"/>
      <c r="C331" s="73"/>
      <c r="D331" s="75"/>
      <c r="E331" s="73"/>
      <c r="F331" s="17"/>
      <c r="G331" s="73"/>
      <c r="I331" s="73"/>
      <c r="K331" s="73"/>
      <c r="M331" s="73"/>
      <c r="O331" s="73"/>
      <c r="Q331" s="73"/>
      <c r="S331" s="73"/>
      <c r="U331" s="73"/>
    </row>
    <row r="332" spans="1:21" s="17" customFormat="1" ht="12">
      <c r="A332" s="82" t="s">
        <v>17</v>
      </c>
      <c r="B332" s="75"/>
      <c r="C332" s="73">
        <f>C206/C35</f>
        <v>0.718</v>
      </c>
      <c r="D332" s="74"/>
      <c r="E332" s="73">
        <f>E206/E35</f>
        <v>0.73</v>
      </c>
      <c r="F332" s="218"/>
      <c r="G332" s="73">
        <f>G206/G35</f>
        <v>0.744</v>
      </c>
      <c r="I332" s="73">
        <f>I206/I35</f>
        <v>0.741</v>
      </c>
      <c r="K332" s="73">
        <f>K206/K35</f>
        <v>0.74</v>
      </c>
      <c r="M332" s="73">
        <f>M206/M35</f>
        <v>0.732</v>
      </c>
      <c r="O332" s="73">
        <f>O206/O35</f>
        <v>0.729</v>
      </c>
      <c r="Q332" s="73">
        <f>Q206/Q35</f>
        <v>0.704</v>
      </c>
      <c r="S332" s="73">
        <f>S206/S35</f>
        <v>0.689</v>
      </c>
      <c r="U332" s="73">
        <f>U206/U35</f>
        <v>0.69</v>
      </c>
    </row>
    <row r="333" spans="1:6" ht="12">
      <c r="A333" s="55"/>
      <c r="B333" s="55"/>
      <c r="C333" s="76"/>
      <c r="D333" s="75"/>
      <c r="E333" s="76"/>
      <c r="F333" s="17"/>
    </row>
    <row r="335" ht="12">
      <c r="A335" s="52" t="s">
        <v>45</v>
      </c>
    </row>
    <row r="336" ht="12">
      <c r="A336" s="52" t="s">
        <v>73</v>
      </c>
    </row>
    <row r="337" ht="12">
      <c r="A337" s="55" t="s">
        <v>52</v>
      </c>
    </row>
    <row r="338" ht="12">
      <c r="A338" s="55" t="s">
        <v>80</v>
      </c>
    </row>
    <row r="339" ht="12">
      <c r="A339" s="56" t="s">
        <v>87</v>
      </c>
    </row>
    <row r="340" ht="12">
      <c r="A340" s="56" t="s">
        <v>89</v>
      </c>
    </row>
    <row r="372" spans="1:13" ht="12.7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1.25">
      <c r="A373" s="6"/>
      <c r="B373" s="7"/>
      <c r="C373" s="2"/>
      <c r="E373" s="2"/>
      <c r="G373" s="2"/>
      <c r="H373" s="2"/>
      <c r="M373" s="2"/>
    </row>
    <row r="374" spans="1:13" ht="11.25">
      <c r="A374" s="6"/>
      <c r="B374" s="7"/>
      <c r="C374" s="2"/>
      <c r="E374" s="2"/>
      <c r="G374" s="2"/>
      <c r="H374" s="2"/>
      <c r="M374" s="2"/>
    </row>
    <row r="376" spans="7:8" ht="12.75">
      <c r="G376"/>
      <c r="H376"/>
    </row>
    <row r="377" spans="7:8" ht="12.75">
      <c r="G377"/>
      <c r="H377"/>
    </row>
    <row r="378" spans="7:8" ht="12.75">
      <c r="G378"/>
      <c r="H378"/>
    </row>
    <row r="379" spans="7:8" ht="12.75">
      <c r="G379"/>
      <c r="H379"/>
    </row>
    <row r="380" spans="7:8" ht="12.75">
      <c r="G380"/>
      <c r="H380"/>
    </row>
    <row r="381" spans="1:13" ht="11.25">
      <c r="A381" s="3"/>
      <c r="C381" s="3"/>
      <c r="E381" s="3"/>
      <c r="G381" s="15"/>
      <c r="H381" s="15"/>
      <c r="M381" s="3"/>
    </row>
    <row r="382" spans="1:13" ht="11.25">
      <c r="A382" s="2"/>
      <c r="C382" s="2"/>
      <c r="E382" s="2"/>
      <c r="G382" s="2"/>
      <c r="H382" s="2"/>
      <c r="M382" s="2"/>
    </row>
    <row r="384" ht="11.25">
      <c r="M384" s="5"/>
    </row>
    <row r="386" spans="1:13" ht="11.25">
      <c r="A386" s="5"/>
      <c r="C386" s="5"/>
      <c r="E386" s="5"/>
      <c r="G386" s="5"/>
      <c r="H386" s="5"/>
      <c r="M386" s="5"/>
    </row>
    <row r="388" spans="1:13" ht="11.25">
      <c r="A388" s="5"/>
      <c r="C388" s="5"/>
      <c r="E388" s="5"/>
      <c r="G388" s="5"/>
      <c r="H388" s="5"/>
      <c r="M388" s="5"/>
    </row>
    <row r="390" spans="1:13" ht="11.25">
      <c r="A390" s="5"/>
      <c r="C390" s="5"/>
      <c r="E390" s="5"/>
      <c r="G390" s="5"/>
      <c r="H390" s="5"/>
      <c r="M390" s="5"/>
    </row>
    <row r="392" spans="1:13" ht="11.25">
      <c r="A392" s="5"/>
      <c r="C392" s="5"/>
      <c r="E392" s="5"/>
      <c r="G392" s="5"/>
      <c r="H392" s="5"/>
      <c r="M392" s="5"/>
    </row>
    <row r="394" spans="1:13" ht="11.25">
      <c r="A394" s="5"/>
      <c r="C394" s="5"/>
      <c r="E394" s="5"/>
      <c r="G394" s="5"/>
      <c r="H394" s="5"/>
      <c r="M394" s="5"/>
    </row>
    <row r="396" spans="1:13" ht="11.25">
      <c r="A396" s="5"/>
      <c r="C396" s="5"/>
      <c r="E396" s="5"/>
      <c r="G396" s="5"/>
      <c r="H396" s="5"/>
      <c r="M396" s="5"/>
    </row>
    <row r="398" spans="1:13" ht="11.25">
      <c r="A398" s="5"/>
      <c r="C398" s="5"/>
      <c r="E398" s="5"/>
      <c r="G398" s="5"/>
      <c r="H398" s="5"/>
      <c r="M398" s="5"/>
    </row>
    <row r="400" spans="1:13" ht="11.25">
      <c r="A400" s="5"/>
      <c r="C400" s="5"/>
      <c r="E400" s="5"/>
      <c r="G400" s="5"/>
      <c r="H400" s="5"/>
      <c r="M400" s="5"/>
    </row>
    <row r="401" ht="11.25">
      <c r="M401" s="5"/>
    </row>
    <row r="402" spans="1:13" ht="11.25">
      <c r="A402" s="5"/>
      <c r="C402" s="5"/>
      <c r="E402" s="5"/>
      <c r="G402" s="5"/>
      <c r="H402" s="5"/>
      <c r="M402" s="5"/>
    </row>
    <row r="404" spans="1:13" ht="11.25">
      <c r="A404" s="5"/>
      <c r="C404" s="5"/>
      <c r="E404" s="5"/>
      <c r="G404" s="5"/>
      <c r="H404" s="5"/>
      <c r="M404" s="5"/>
    </row>
    <row r="406" spans="1:13" ht="11.25">
      <c r="A406" s="4"/>
      <c r="B406" s="4"/>
      <c r="C406" s="4"/>
      <c r="E406" s="5"/>
      <c r="G406" s="5"/>
      <c r="H406" s="5"/>
      <c r="M406" s="5"/>
    </row>
    <row r="407" spans="1:3" ht="11.25">
      <c r="A407" s="4"/>
      <c r="B407" s="4"/>
      <c r="C407" s="4"/>
    </row>
    <row r="408" spans="1:13" ht="11.25">
      <c r="A408" s="4"/>
      <c r="B408" s="4"/>
      <c r="C408" s="4"/>
      <c r="E408" s="5"/>
      <c r="G408" s="5"/>
      <c r="H408" s="5"/>
      <c r="M408" s="5"/>
    </row>
    <row r="409" spans="1:13" ht="11.25">
      <c r="A409" s="6"/>
      <c r="B409" s="7"/>
      <c r="C409" s="2"/>
      <c r="E409" s="2"/>
      <c r="G409" s="2"/>
      <c r="H409" s="2"/>
      <c r="M409" s="2"/>
    </row>
    <row r="410" spans="1:2" ht="11.25">
      <c r="A410" s="4"/>
      <c r="B410" s="7"/>
    </row>
    <row r="411" spans="1:13" ht="11.25">
      <c r="A411" s="4"/>
      <c r="B411" s="4"/>
      <c r="C411" s="4"/>
      <c r="E411" s="4"/>
      <c r="G411" s="4"/>
      <c r="H411" s="4"/>
      <c r="M411" s="4"/>
    </row>
    <row r="412" spans="1:13" ht="11.25">
      <c r="A412" s="6"/>
      <c r="B412" s="7"/>
      <c r="C412" s="2"/>
      <c r="E412" s="2"/>
      <c r="G412" s="2"/>
      <c r="H412" s="2"/>
      <c r="M412" s="2"/>
    </row>
    <row r="424" spans="1:8" ht="11.25">
      <c r="A424" s="8"/>
      <c r="C424" s="8"/>
      <c r="D424" s="8"/>
      <c r="G424" s="8"/>
      <c r="H424" s="8"/>
    </row>
    <row r="425" spans="1:8" ht="11.25">
      <c r="A425" s="8"/>
      <c r="C425" s="8"/>
      <c r="D425" s="8"/>
      <c r="G425" s="8"/>
      <c r="H425" s="8"/>
    </row>
    <row r="426" spans="1:8" ht="11.25">
      <c r="A426" s="8"/>
      <c r="C426" s="8"/>
      <c r="D426" s="8"/>
      <c r="G426" s="8"/>
      <c r="H426" s="8"/>
    </row>
    <row r="427" spans="1:8" ht="11.25">
      <c r="A427" s="8"/>
      <c r="C427" s="8"/>
      <c r="D427" s="8"/>
      <c r="G427" s="8"/>
      <c r="H427" s="8"/>
    </row>
    <row r="428" spans="1:8" ht="11.25">
      <c r="A428" s="8"/>
      <c r="C428" s="8"/>
      <c r="D428" s="8"/>
      <c r="G428" s="8"/>
      <c r="H428" s="8"/>
    </row>
    <row r="429" spans="1:8" ht="11.25">
      <c r="A429" s="8"/>
      <c r="C429" s="8"/>
      <c r="D429" s="8"/>
      <c r="G429" s="8"/>
      <c r="H429" s="8"/>
    </row>
    <row r="430" spans="1:8" ht="11.25">
      <c r="A430" s="8"/>
      <c r="C430" s="8"/>
      <c r="D430" s="8"/>
      <c r="G430" s="8"/>
      <c r="H430" s="8"/>
    </row>
    <row r="431" spans="1:8" ht="11.25">
      <c r="A431" s="8"/>
      <c r="C431" s="8"/>
      <c r="D431" s="8"/>
      <c r="G431" s="8"/>
      <c r="H431" s="8"/>
    </row>
    <row r="432" spans="1:8" ht="11.25">
      <c r="A432" s="8"/>
      <c r="C432" s="8"/>
      <c r="D432" s="8"/>
      <c r="G432" s="8"/>
      <c r="H432" s="8"/>
    </row>
    <row r="433" spans="1:8" ht="11.25">
      <c r="A433" s="8"/>
      <c r="C433" s="8"/>
      <c r="D433" s="8"/>
      <c r="G433" s="8"/>
      <c r="H433" s="8"/>
    </row>
    <row r="434" spans="1:8" ht="11.25">
      <c r="A434" s="8"/>
      <c r="C434" s="8"/>
      <c r="D434" s="8"/>
      <c r="G434" s="8"/>
      <c r="H434" s="8"/>
    </row>
    <row r="435" spans="1:8" ht="11.25">
      <c r="A435" s="8"/>
      <c r="C435" s="8"/>
      <c r="D435" s="8"/>
      <c r="G435" s="8"/>
      <c r="H435" s="8"/>
    </row>
    <row r="436" spans="1:8" ht="11.25">
      <c r="A436" s="8"/>
      <c r="C436" s="8"/>
      <c r="D436" s="8"/>
      <c r="G436" s="8"/>
      <c r="H436" s="8"/>
    </row>
    <row r="437" spans="1:8" ht="11.25">
      <c r="A437" s="8"/>
      <c r="C437" s="8"/>
      <c r="D437" s="8"/>
      <c r="G437" s="8"/>
      <c r="H437" s="8"/>
    </row>
    <row r="438" spans="1:8" ht="11.25">
      <c r="A438" s="8"/>
      <c r="C438" s="8"/>
      <c r="D438" s="8"/>
      <c r="G438" s="8"/>
      <c r="H438" s="8"/>
    </row>
    <row r="439" spans="1:8" ht="11.25">
      <c r="A439" s="8"/>
      <c r="C439" s="8"/>
      <c r="D439" s="8"/>
      <c r="G439" s="8"/>
      <c r="H439" s="8"/>
    </row>
    <row r="440" spans="1:8" ht="11.25">
      <c r="A440" s="8"/>
      <c r="C440" s="8"/>
      <c r="D440" s="8"/>
      <c r="G440" s="8"/>
      <c r="H440" s="8"/>
    </row>
    <row r="441" spans="1:8" ht="11.25">
      <c r="A441" s="8"/>
      <c r="C441" s="8"/>
      <c r="D441" s="8"/>
      <c r="G441" s="8"/>
      <c r="H441" s="8"/>
    </row>
    <row r="442" spans="1:8" ht="11.25">
      <c r="A442" s="8"/>
      <c r="C442" s="8"/>
      <c r="D442" s="8"/>
      <c r="G442" s="8"/>
      <c r="H442" s="8"/>
    </row>
    <row r="443" spans="1:8" ht="11.25">
      <c r="A443" s="8"/>
      <c r="C443" s="8"/>
      <c r="D443" s="8"/>
      <c r="G443" s="8"/>
      <c r="H443" s="8"/>
    </row>
    <row r="444" spans="1:8" ht="11.25">
      <c r="A444" s="8"/>
      <c r="C444" s="8"/>
      <c r="D444" s="8"/>
      <c r="G444" s="8"/>
      <c r="H444" s="8"/>
    </row>
    <row r="445" spans="1:8" ht="11.25">
      <c r="A445" s="8"/>
      <c r="C445" s="8"/>
      <c r="D445" s="8"/>
      <c r="G445" s="8"/>
      <c r="H445" s="8"/>
    </row>
    <row r="446" spans="1:8" ht="11.25">
      <c r="A446" s="8"/>
      <c r="C446" s="8"/>
      <c r="D446" s="8"/>
      <c r="G446" s="8"/>
      <c r="H446" s="8"/>
    </row>
    <row r="447" spans="1:8" ht="11.25">
      <c r="A447" s="8"/>
      <c r="C447" s="8"/>
      <c r="D447" s="8"/>
      <c r="G447" s="8"/>
      <c r="H447" s="8"/>
    </row>
    <row r="448" spans="1:8" ht="11.25">
      <c r="A448" s="8"/>
      <c r="C448" s="8"/>
      <c r="D448" s="8"/>
      <c r="G448" s="8"/>
      <c r="H448" s="8"/>
    </row>
    <row r="449" spans="1:8" ht="11.25">
      <c r="A449" s="8"/>
      <c r="C449" s="8"/>
      <c r="D449" s="8"/>
      <c r="G449" s="8"/>
      <c r="H449" s="8"/>
    </row>
    <row r="450" spans="1:8" ht="11.25">
      <c r="A450" s="8"/>
      <c r="C450" s="8"/>
      <c r="D450" s="8"/>
      <c r="G450" s="8"/>
      <c r="H450" s="8"/>
    </row>
    <row r="451" spans="1:8" ht="11.25">
      <c r="A451" s="8"/>
      <c r="C451" s="8"/>
      <c r="D451" s="8"/>
      <c r="G451" s="8"/>
      <c r="H451" s="8"/>
    </row>
    <row r="464" spans="1:3" ht="11.25">
      <c r="A464" s="8"/>
      <c r="C464" s="8"/>
    </row>
    <row r="465" spans="1:3" ht="11.25">
      <c r="A465" s="8"/>
      <c r="C465" s="8"/>
    </row>
    <row r="466" spans="1:3" ht="11.25">
      <c r="A466" s="8"/>
      <c r="C466" s="8"/>
    </row>
    <row r="467" spans="1:3" ht="11.25">
      <c r="A467" s="8"/>
      <c r="C467" s="8"/>
    </row>
    <row r="468" spans="1:3" ht="11.25">
      <c r="A468" s="8"/>
      <c r="C468" s="8"/>
    </row>
    <row r="469" spans="1:3" ht="11.25">
      <c r="A469" s="8"/>
      <c r="C469" s="8"/>
    </row>
    <row r="470" spans="1:3" ht="11.25">
      <c r="A470" s="8"/>
      <c r="C470" s="8"/>
    </row>
    <row r="471" spans="1:3" ht="11.25">
      <c r="A471" s="8"/>
      <c r="C471" s="8"/>
    </row>
  </sheetData>
  <printOptions/>
  <pageMargins left="0.92" right="0.25" top="0.65" bottom="0.55" header="0.5" footer="0.5"/>
  <pageSetup fitToHeight="0" fitToWidth="1" horizontalDpi="1200" verticalDpi="1200" orientation="landscape" scale="78" r:id="rId1"/>
  <headerFooter alignWithMargins="0">
    <oddFooter>&amp;L&amp;D</oddFooter>
  </headerFooter>
  <rowBreaks count="7" manualBreakCount="7">
    <brk id="43" max="255" man="1"/>
    <brk id="86" max="255" man="1"/>
    <brk id="129" max="255" man="1"/>
    <brk id="171" max="255" man="1"/>
    <brk id="214" max="255" man="1"/>
    <brk id="256" max="255" man="1"/>
    <brk id="2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340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18.00390625" style="10" customWidth="1"/>
    <col min="2" max="2" width="3.28125" style="10" customWidth="1"/>
    <col min="3" max="3" width="11.7109375" style="10" customWidth="1"/>
    <col min="4" max="4" width="2.421875" style="10" customWidth="1"/>
    <col min="5" max="5" width="11.7109375" style="10" customWidth="1"/>
    <col min="6" max="6" width="2.421875" style="10" customWidth="1"/>
    <col min="7" max="7" width="11.7109375" style="10" customWidth="1"/>
    <col min="8" max="8" width="2.421875" style="10" customWidth="1"/>
    <col min="9" max="9" width="11.7109375" style="10" customWidth="1"/>
    <col min="10" max="10" width="2.421875" style="10" customWidth="1"/>
    <col min="11" max="11" width="11.7109375" style="10" customWidth="1"/>
    <col min="12" max="12" width="2.421875" style="10" customWidth="1"/>
    <col min="13" max="13" width="11.7109375" style="10" customWidth="1"/>
    <col min="14" max="14" width="2.421875" style="10" customWidth="1"/>
    <col min="15" max="15" width="11.7109375" style="10" customWidth="1"/>
    <col min="16" max="16" width="2.421875" style="10" customWidth="1"/>
    <col min="17" max="17" width="11.7109375" style="10" customWidth="1"/>
    <col min="18" max="18" width="2.421875" style="10" customWidth="1"/>
    <col min="19" max="19" width="12.57421875" style="10" customWidth="1"/>
    <col min="20" max="20" width="2.421875" style="10" customWidth="1"/>
    <col min="21" max="16384" width="12.57421875" style="10" customWidth="1"/>
  </cols>
  <sheetData>
    <row r="1" spans="1:6" ht="12">
      <c r="A1" s="83" t="s">
        <v>0</v>
      </c>
      <c r="B1" s="84"/>
      <c r="C1" s="84"/>
      <c r="D1" s="84"/>
      <c r="E1" s="84"/>
      <c r="F1" s="84"/>
    </row>
    <row r="2" spans="1:6" ht="12">
      <c r="A2" s="83" t="s">
        <v>18</v>
      </c>
      <c r="B2" s="84"/>
      <c r="C2" s="84"/>
      <c r="D2" s="84"/>
      <c r="E2" s="84"/>
      <c r="F2" s="84"/>
    </row>
    <row r="3" spans="1:6" ht="12">
      <c r="A3" s="85" t="s">
        <v>120</v>
      </c>
      <c r="B3" s="97"/>
      <c r="C3" s="97"/>
      <c r="D3" s="84"/>
      <c r="E3" s="84"/>
      <c r="F3" s="84"/>
    </row>
    <row r="4" spans="1:6" ht="12">
      <c r="A4" s="83"/>
      <c r="B4" s="84"/>
      <c r="C4" s="84"/>
      <c r="D4" s="84"/>
      <c r="E4" s="84"/>
      <c r="F4" s="84"/>
    </row>
    <row r="5" spans="1:6" ht="12">
      <c r="A5" s="41"/>
      <c r="B5" s="84"/>
      <c r="C5" s="84"/>
      <c r="D5" s="84"/>
      <c r="E5" s="84"/>
      <c r="F5" s="84"/>
    </row>
    <row r="6" spans="1:6" ht="12">
      <c r="A6" s="41"/>
      <c r="B6" s="84"/>
      <c r="C6" s="84"/>
      <c r="D6" s="84"/>
      <c r="E6" s="84"/>
      <c r="F6" s="84"/>
    </row>
    <row r="7" spans="1:21" ht="12.75">
      <c r="A7" s="84"/>
      <c r="B7" s="84"/>
      <c r="C7" s="86">
        <v>2000</v>
      </c>
      <c r="D7" s="84"/>
      <c r="E7" s="86">
        <v>2001</v>
      </c>
      <c r="F7" s="84"/>
      <c r="G7" s="86">
        <v>2002</v>
      </c>
      <c r="I7" s="86">
        <v>2003</v>
      </c>
      <c r="K7" s="86">
        <v>2004</v>
      </c>
      <c r="L7"/>
      <c r="M7" s="86">
        <v>2005</v>
      </c>
      <c r="O7" s="46">
        <v>2006</v>
      </c>
      <c r="Q7" s="46">
        <v>2007</v>
      </c>
      <c r="S7" s="46">
        <v>2008</v>
      </c>
      <c r="U7" s="46">
        <v>2009</v>
      </c>
    </row>
    <row r="8" spans="1:11" ht="12">
      <c r="A8" s="84"/>
      <c r="B8" s="84"/>
      <c r="C8" s="84"/>
      <c r="D8" s="84"/>
      <c r="E8" s="84"/>
      <c r="F8" s="84"/>
      <c r="G8" s="84"/>
      <c r="I8" s="84"/>
      <c r="K8" s="84"/>
    </row>
    <row r="9" spans="1:21" ht="12">
      <c r="A9" s="83" t="s">
        <v>79</v>
      </c>
      <c r="B9" s="84"/>
      <c r="C9" s="87">
        <f>'WIN STATS'!C180/'OTHER CCC101 STATS'!C137</f>
        <v>0.081</v>
      </c>
      <c r="D9" s="88"/>
      <c r="E9" s="87">
        <f>'WIN STATS'!E180/'OTHER CCC101 STATS'!E137</f>
        <v>0.08</v>
      </c>
      <c r="F9" s="88"/>
      <c r="G9" s="87">
        <f>'WIN STATS'!G180/'OTHER CCC101 STATS'!G137</f>
        <v>0.08</v>
      </c>
      <c r="I9" s="87">
        <f>'WIN STATS'!I180/'OTHER CCC101 STATS'!I137</f>
        <v>0.079</v>
      </c>
      <c r="K9" s="87">
        <f>'WIN STATS'!K180/'OTHER CCC101 STATS'!K137</f>
        <v>0.08</v>
      </c>
      <c r="M9" s="87">
        <f>'WIN STATS'!M180/'OTHER CCC101 STATS'!M137</f>
        <v>0.079</v>
      </c>
      <c r="O9" s="87">
        <f>'WIN STATS'!O180/'OTHER CCC101 STATS'!O137</f>
        <v>0.081</v>
      </c>
      <c r="Q9" s="87">
        <f>'WIN STATS'!Q180/'OTHER CCC101 STATS'!Q137</f>
        <v>0.084</v>
      </c>
      <c r="S9" s="87">
        <f>'WIN STATS'!S180/'OTHER CCC101 STATS'!S137</f>
        <v>0.084</v>
      </c>
      <c r="U9" s="87">
        <f>'WIN STATS'!U180/'OTHER CCC101 STATS'!U137</f>
        <v>0.085</v>
      </c>
    </row>
    <row r="10" spans="1:21" ht="12">
      <c r="A10" s="84"/>
      <c r="B10" s="84"/>
      <c r="C10" s="87"/>
      <c r="D10" s="88"/>
      <c r="E10" s="87"/>
      <c r="F10" s="88"/>
      <c r="G10" s="87"/>
      <c r="I10" s="87"/>
      <c r="K10" s="87"/>
      <c r="M10" s="87"/>
      <c r="O10" s="87"/>
      <c r="Q10" s="87"/>
      <c r="S10" s="87"/>
      <c r="U10" s="87"/>
    </row>
    <row r="11" spans="1:21" ht="12">
      <c r="A11" s="83" t="s">
        <v>53</v>
      </c>
      <c r="B11" s="84"/>
      <c r="C11" s="87">
        <f>'WIN STATS'!C182/'OTHER CCC101 STATS'!C139</f>
        <v>0.082</v>
      </c>
      <c r="D11" s="88"/>
      <c r="E11" s="87">
        <f>'WIN STATS'!E182/'OTHER CCC101 STATS'!E139</f>
        <v>0.082</v>
      </c>
      <c r="F11" s="88"/>
      <c r="G11" s="87">
        <f>'WIN STATS'!G182/'OTHER CCC101 STATS'!G139</f>
        <v>0.079</v>
      </c>
      <c r="I11" s="87">
        <f>'WIN STATS'!I182/'OTHER CCC101 STATS'!I139</f>
        <v>0.08</v>
      </c>
      <c r="K11" s="87">
        <f>'WIN STATS'!K182/'OTHER CCC101 STATS'!K139</f>
        <v>0.081</v>
      </c>
      <c r="M11" s="87">
        <f>'WIN STATS'!M182/'OTHER CCC101 STATS'!M139</f>
        <v>0.084</v>
      </c>
      <c r="O11" s="87">
        <f>'WIN STATS'!O182/'OTHER CCC101 STATS'!O139</f>
        <v>0.087</v>
      </c>
      <c r="Q11" s="87">
        <f>'WIN STATS'!Q182/'OTHER CCC101 STATS'!Q139</f>
        <v>0.088</v>
      </c>
      <c r="S11" s="87">
        <f>'WIN STATS'!S182/'OTHER CCC101 STATS'!S139</f>
        <v>0.091</v>
      </c>
      <c r="U11" s="87">
        <f>'WIN STATS'!U182/'OTHER CCC101 STATS'!U139</f>
        <v>0.092</v>
      </c>
    </row>
    <row r="12" spans="1:21" ht="12">
      <c r="A12" s="83"/>
      <c r="B12" s="84"/>
      <c r="C12" s="87"/>
      <c r="D12" s="88"/>
      <c r="E12" s="87"/>
      <c r="F12" s="88"/>
      <c r="G12" s="87"/>
      <c r="I12" s="87"/>
      <c r="K12" s="87"/>
      <c r="M12" s="87"/>
      <c r="O12" s="87"/>
      <c r="Q12" s="87"/>
      <c r="S12" s="87"/>
      <c r="U12" s="87"/>
    </row>
    <row r="13" spans="1:21" ht="12">
      <c r="A13" s="83" t="s">
        <v>86</v>
      </c>
      <c r="B13" s="84"/>
      <c r="C13" s="87" t="s">
        <v>85</v>
      </c>
      <c r="D13" s="88"/>
      <c r="E13" s="87" t="s">
        <v>85</v>
      </c>
      <c r="F13" s="88"/>
      <c r="G13" s="87" t="s">
        <v>85</v>
      </c>
      <c r="I13" s="87">
        <f>'WIN STATS'!I184/'OTHER CCC101 STATS'!I141</f>
        <v>0.079</v>
      </c>
      <c r="K13" s="87">
        <f>'WIN STATS'!K184/'OTHER CCC101 STATS'!K141</f>
        <v>0.077</v>
      </c>
      <c r="M13" s="87">
        <f>'WIN STATS'!M184/'OTHER CCC101 STATS'!M141</f>
        <v>0.074</v>
      </c>
      <c r="O13" s="87">
        <f>'WIN STATS'!O184/'OTHER CCC101 STATS'!O141</f>
        <v>0.074</v>
      </c>
      <c r="Q13" s="87">
        <f>'WIN STATS'!Q184/'OTHER CCC101 STATS'!Q141</f>
        <v>0.075</v>
      </c>
      <c r="S13" s="87">
        <f>'WIN STATS'!S184/'OTHER CCC101 STATS'!S141</f>
        <v>0.077</v>
      </c>
      <c r="U13" s="87">
        <f>'WIN STATS'!U184/'OTHER CCC101 STATS'!U141</f>
        <v>0.083</v>
      </c>
    </row>
    <row r="14" spans="1:21" ht="12">
      <c r="A14" s="84"/>
      <c r="B14" s="84"/>
      <c r="C14" s="87"/>
      <c r="D14" s="88"/>
      <c r="E14" s="87"/>
      <c r="F14" s="88"/>
      <c r="G14" s="87"/>
      <c r="I14" s="87"/>
      <c r="K14" s="87"/>
      <c r="M14" s="87"/>
      <c r="O14" s="87"/>
      <c r="Q14" s="87"/>
      <c r="S14" s="87"/>
      <c r="U14" s="87"/>
    </row>
    <row r="15" spans="1:21" ht="12">
      <c r="A15" s="83" t="s">
        <v>2</v>
      </c>
      <c r="B15" s="84"/>
      <c r="C15" s="87">
        <f>'WIN STATS'!C186/'OTHER CCC101 STATS'!C143</f>
        <v>0.081</v>
      </c>
      <c r="D15" s="88"/>
      <c r="E15" s="87">
        <f>'WIN STATS'!E186/'OTHER CCC101 STATS'!E143</f>
        <v>0.08</v>
      </c>
      <c r="F15" s="88"/>
      <c r="G15" s="87">
        <f>'WIN STATS'!G186/'OTHER CCC101 STATS'!G143</f>
        <v>0.079</v>
      </c>
      <c r="I15" s="87">
        <f>'WIN STATS'!I186/'OTHER CCC101 STATS'!I143</f>
        <v>0.079</v>
      </c>
      <c r="K15" s="87">
        <f>'WIN STATS'!K186/'OTHER CCC101 STATS'!K143</f>
        <v>0.086</v>
      </c>
      <c r="M15" s="87">
        <f>'WIN STATS'!M186/'OTHER CCC101 STATS'!M143</f>
        <v>0.089</v>
      </c>
      <c r="O15" s="87">
        <f>'WIN STATS'!O186/'OTHER CCC101 STATS'!O143</f>
        <v>0.09</v>
      </c>
      <c r="Q15" s="87">
        <f>'WIN STATS'!Q186/'OTHER CCC101 STATS'!Q143</f>
        <v>0.09</v>
      </c>
      <c r="S15" s="87">
        <f>'WIN STATS'!S186/'OTHER CCC101 STATS'!S143</f>
        <v>0.091</v>
      </c>
      <c r="U15" s="87">
        <f>'WIN STATS'!U186/'OTHER CCC101 STATS'!U143</f>
        <v>0.094</v>
      </c>
    </row>
    <row r="16" spans="1:21" ht="12">
      <c r="A16" s="84"/>
      <c r="B16" s="84"/>
      <c r="C16" s="87"/>
      <c r="D16" s="88"/>
      <c r="E16" s="87"/>
      <c r="F16" s="88"/>
      <c r="G16" s="87"/>
      <c r="I16" s="87"/>
      <c r="K16" s="87"/>
      <c r="M16" s="87"/>
      <c r="O16" s="87"/>
      <c r="Q16" s="87"/>
      <c r="S16" s="87"/>
      <c r="U16" s="87"/>
    </row>
    <row r="17" spans="1:21" ht="12">
      <c r="A17" s="83" t="s">
        <v>54</v>
      </c>
      <c r="B17" s="84"/>
      <c r="C17" s="87">
        <f>'WIN STATS'!C188/'OTHER CCC101 STATS'!C145</f>
        <v>0.086</v>
      </c>
      <c r="D17" s="88"/>
      <c r="E17" s="87">
        <f>'WIN STATS'!E188/'OTHER CCC101 STATS'!E145</f>
        <v>0.085</v>
      </c>
      <c r="F17" s="171"/>
      <c r="G17" s="87">
        <f>'WIN STATS'!G188/'OTHER CCC101 STATS'!G145</f>
        <v>0.087</v>
      </c>
      <c r="I17" s="87" t="s">
        <v>85</v>
      </c>
      <c r="K17" s="87" t="s">
        <v>85</v>
      </c>
      <c r="M17" s="87" t="s">
        <v>85</v>
      </c>
      <c r="O17" s="87" t="s">
        <v>85</v>
      </c>
      <c r="Q17" s="87" t="s">
        <v>85</v>
      </c>
      <c r="S17" s="87" t="s">
        <v>85</v>
      </c>
      <c r="U17" s="87" t="s">
        <v>85</v>
      </c>
    </row>
    <row r="18" spans="1:21" ht="12">
      <c r="A18" s="84"/>
      <c r="B18" s="84"/>
      <c r="C18" s="87"/>
      <c r="D18" s="88"/>
      <c r="E18" s="87"/>
      <c r="F18" s="88"/>
      <c r="G18" s="87"/>
      <c r="I18" s="87"/>
      <c r="K18" s="87"/>
      <c r="M18" s="87"/>
      <c r="O18" s="87"/>
      <c r="Q18" s="87"/>
      <c r="S18" s="87"/>
      <c r="U18" s="87"/>
    </row>
    <row r="19" spans="1:21" ht="12">
      <c r="A19" s="83" t="s">
        <v>3</v>
      </c>
      <c r="B19" s="84"/>
      <c r="C19" s="87">
        <f>'WIN STATS'!C190/'OTHER CCC101 STATS'!C147</f>
        <v>0.077</v>
      </c>
      <c r="D19" s="88"/>
      <c r="E19" s="87">
        <f>'WIN STATS'!E190/'OTHER CCC101 STATS'!E147</f>
        <v>0.078</v>
      </c>
      <c r="F19" s="88"/>
      <c r="G19" s="87">
        <f>'WIN STATS'!G190/'OTHER CCC101 STATS'!G147</f>
        <v>0.08</v>
      </c>
      <c r="I19" s="87">
        <f>'WIN STATS'!I190/'OTHER CCC101 STATS'!I147</f>
        <v>0.081</v>
      </c>
      <c r="K19" s="87">
        <f>'WIN STATS'!K190/'OTHER CCC101 STATS'!K147</f>
        <v>0.08</v>
      </c>
      <c r="M19" s="87">
        <f>'WIN STATS'!M190/'OTHER CCC101 STATS'!M147</f>
        <v>0.083</v>
      </c>
      <c r="O19" s="87">
        <f>'WIN STATS'!O190/'OTHER CCC101 STATS'!O147</f>
        <v>0.083</v>
      </c>
      <c r="Q19" s="87">
        <f>'WIN STATS'!Q190/'OTHER CCC101 STATS'!Q147</f>
        <v>0.083</v>
      </c>
      <c r="S19" s="87">
        <f>'WIN STATS'!S190/'OTHER CCC101 STATS'!S147</f>
        <v>0.088</v>
      </c>
      <c r="U19" s="87">
        <f>'WIN STATS'!U190/'OTHER CCC101 STATS'!U147</f>
        <v>0.086</v>
      </c>
    </row>
    <row r="20" spans="1:21" ht="12">
      <c r="A20" s="84"/>
      <c r="B20" s="84"/>
      <c r="C20" s="87"/>
      <c r="D20" s="88"/>
      <c r="E20" s="87"/>
      <c r="F20" s="88"/>
      <c r="G20" s="87"/>
      <c r="I20" s="87"/>
      <c r="K20" s="87"/>
      <c r="M20" s="87"/>
      <c r="O20" s="87"/>
      <c r="Q20" s="87"/>
      <c r="S20" s="87"/>
      <c r="U20" s="87"/>
    </row>
    <row r="21" spans="1:21" ht="12">
      <c r="A21" s="83" t="s">
        <v>4</v>
      </c>
      <c r="B21" s="84"/>
      <c r="C21" s="87">
        <f>'WIN STATS'!C192/'OTHER CCC101 STATS'!C149</f>
        <v>0.086</v>
      </c>
      <c r="D21" s="88"/>
      <c r="E21" s="87">
        <f>'WIN STATS'!E192/'OTHER CCC101 STATS'!E149</f>
        <v>0.081</v>
      </c>
      <c r="F21" s="88"/>
      <c r="G21" s="87">
        <f>'WIN STATS'!G192/'OTHER CCC101 STATS'!G149</f>
        <v>0.077</v>
      </c>
      <c r="I21" s="87">
        <f>'WIN STATS'!I192/'OTHER CCC101 STATS'!I149</f>
        <v>0.08</v>
      </c>
      <c r="K21" s="87">
        <f>'WIN STATS'!K192/'OTHER CCC101 STATS'!K149</f>
        <v>0.082</v>
      </c>
      <c r="M21" s="87">
        <f>'WIN STATS'!M192/'OTHER CCC101 STATS'!M149</f>
        <v>0.084</v>
      </c>
      <c r="O21" s="87">
        <f>'WIN STATS'!O192/'OTHER CCC101 STATS'!O149</f>
        <v>0.086</v>
      </c>
      <c r="Q21" s="87">
        <f>'WIN STATS'!Q192/'OTHER CCC101 STATS'!Q149</f>
        <v>0.086</v>
      </c>
      <c r="S21" s="87">
        <f>'WIN STATS'!S192/'OTHER CCC101 STATS'!S149</f>
        <v>0.087</v>
      </c>
      <c r="U21" s="87">
        <f>'WIN STATS'!U192/'OTHER CCC101 STATS'!U149</f>
        <v>0.086</v>
      </c>
    </row>
    <row r="22" spans="1:21" ht="12">
      <c r="A22" s="84"/>
      <c r="B22" s="84"/>
      <c r="C22" s="87"/>
      <c r="D22" s="88"/>
      <c r="E22" s="87"/>
      <c r="F22" s="88"/>
      <c r="G22" s="87"/>
      <c r="I22" s="87"/>
      <c r="K22" s="87"/>
      <c r="M22" s="87"/>
      <c r="O22" s="87"/>
      <c r="Q22" s="87"/>
      <c r="S22" s="87"/>
      <c r="U22" s="87"/>
    </row>
    <row r="23" spans="1:21" ht="12">
      <c r="A23" s="40" t="s">
        <v>90</v>
      </c>
      <c r="B23" s="84"/>
      <c r="C23" s="87">
        <f>'WIN STATS'!C194/'OTHER CCC101 STATS'!C151</f>
        <v>0.078</v>
      </c>
      <c r="D23" s="88"/>
      <c r="E23" s="87">
        <f>'WIN STATS'!E194/'OTHER CCC101 STATS'!E151</f>
        <v>0.071</v>
      </c>
      <c r="F23" s="88"/>
      <c r="G23" s="87">
        <f>'WIN STATS'!G194/'OTHER CCC101 STATS'!G151</f>
        <v>0.078</v>
      </c>
      <c r="I23" s="87">
        <f>'WIN STATS'!I194/'OTHER CCC101 STATS'!I151</f>
        <v>0.079</v>
      </c>
      <c r="K23" s="87">
        <f>'WIN STATS'!K194/'OTHER CCC101 STATS'!K151</f>
        <v>0.083</v>
      </c>
      <c r="M23" s="87">
        <f>'WIN STATS'!M194/'OTHER CCC101 STATS'!M151</f>
        <v>0.085</v>
      </c>
      <c r="O23" s="87">
        <f>'WIN STATS'!O194/'OTHER CCC101 STATS'!O151</f>
        <v>0.089</v>
      </c>
      <c r="Q23" s="87" t="s">
        <v>85</v>
      </c>
      <c r="S23" s="87" t="s">
        <v>85</v>
      </c>
      <c r="U23" s="87" t="s">
        <v>85</v>
      </c>
    </row>
    <row r="24" spans="1:21" ht="12">
      <c r="A24" s="84"/>
      <c r="B24" s="84"/>
      <c r="C24" s="87"/>
      <c r="D24" s="88"/>
      <c r="E24" s="87"/>
      <c r="F24" s="88"/>
      <c r="G24" s="87"/>
      <c r="I24" s="87"/>
      <c r="K24" s="87"/>
      <c r="M24" s="87"/>
      <c r="O24" s="87"/>
      <c r="Q24" s="87"/>
      <c r="S24" s="87"/>
      <c r="U24" s="87"/>
    </row>
    <row r="25" spans="1:21" ht="12">
      <c r="A25" s="83" t="s">
        <v>5</v>
      </c>
      <c r="B25" s="84"/>
      <c r="C25" s="87">
        <f>'WIN STATS'!C196/'OTHER CCC101 STATS'!C153</f>
        <v>0.09</v>
      </c>
      <c r="D25" s="88"/>
      <c r="E25" s="87">
        <f>'WIN STATS'!E196/'OTHER CCC101 STATS'!E153</f>
        <v>0.087</v>
      </c>
      <c r="F25" s="88"/>
      <c r="G25" s="87">
        <f>'WIN STATS'!G196/'OTHER CCC101 STATS'!G153</f>
        <v>0.087</v>
      </c>
      <c r="I25" s="87">
        <f>'WIN STATS'!I196/'OTHER CCC101 STATS'!I153</f>
        <v>0.088</v>
      </c>
      <c r="K25" s="87">
        <f>'WIN STATS'!K196/'OTHER CCC101 STATS'!K153</f>
        <v>0.089</v>
      </c>
      <c r="M25" s="87">
        <f>'WIN STATS'!M196/'OTHER CCC101 STATS'!M153</f>
        <v>0.093</v>
      </c>
      <c r="O25" s="87">
        <f>'WIN STATS'!O196/'OTHER CCC101 STATS'!O153</f>
        <v>0.093</v>
      </c>
      <c r="Q25" s="87">
        <f>'WIN STATS'!Q196/'OTHER CCC101 STATS'!Q153</f>
        <v>0.096</v>
      </c>
      <c r="S25" s="87">
        <f>'WIN STATS'!S196/'OTHER CCC101 STATS'!S153</f>
        <v>0.098</v>
      </c>
      <c r="U25" s="87">
        <f>'WIN STATS'!U196/'OTHER CCC101 STATS'!U153</f>
        <v>0.102</v>
      </c>
    </row>
    <row r="26" spans="1:21" ht="12">
      <c r="A26" s="84"/>
      <c r="B26" s="84"/>
      <c r="C26" s="87"/>
      <c r="D26" s="88"/>
      <c r="E26" s="87"/>
      <c r="F26" s="88"/>
      <c r="G26" s="87"/>
      <c r="I26" s="87"/>
      <c r="K26" s="87"/>
      <c r="M26" s="87"/>
      <c r="O26" s="87"/>
      <c r="Q26" s="87"/>
      <c r="S26" s="87"/>
      <c r="U26" s="87"/>
    </row>
    <row r="27" spans="1:21" ht="12">
      <c r="A27" s="89" t="s">
        <v>6</v>
      </c>
      <c r="B27" s="84"/>
      <c r="C27" s="87">
        <f>'WIN STATS'!C198/'OTHER CCC101 STATS'!C155</f>
        <v>0.081</v>
      </c>
      <c r="D27" s="88"/>
      <c r="E27" s="87">
        <f>'WIN STATS'!E198/'OTHER CCC101 STATS'!E155</f>
        <v>0.081</v>
      </c>
      <c r="F27" s="88"/>
      <c r="G27" s="87">
        <f>'WIN STATS'!G198/'OTHER CCC101 STATS'!G155</f>
        <v>0.08</v>
      </c>
      <c r="I27" s="87">
        <f>'WIN STATS'!I198/'OTHER CCC101 STATS'!I155</f>
        <v>0.084</v>
      </c>
      <c r="K27" s="87">
        <f>'WIN STATS'!K198/'OTHER CCC101 STATS'!K155</f>
        <v>0.085</v>
      </c>
      <c r="M27" s="87">
        <f>'WIN STATS'!M198/'OTHER CCC101 STATS'!M155</f>
        <v>0.086</v>
      </c>
      <c r="O27" s="87">
        <f>'WIN STATS'!O198/'OTHER CCC101 STATS'!O155</f>
        <v>0.085</v>
      </c>
      <c r="Q27" s="87">
        <f>'WIN STATS'!Q198/'OTHER CCC101 STATS'!Q155</f>
        <v>0.084</v>
      </c>
      <c r="S27" s="87">
        <f>'WIN STATS'!S198/'OTHER CCC101 STATS'!S155</f>
        <v>0.089</v>
      </c>
      <c r="U27" s="87">
        <f>'WIN STATS'!U198/'OTHER CCC101 STATS'!U155</f>
        <v>0.088</v>
      </c>
    </row>
    <row r="28" spans="1:21" ht="12">
      <c r="A28" s="84"/>
      <c r="B28" s="84"/>
      <c r="C28" s="87"/>
      <c r="D28" s="88"/>
      <c r="E28" s="87"/>
      <c r="F28" s="88"/>
      <c r="G28" s="87"/>
      <c r="I28" s="87"/>
      <c r="K28" s="87"/>
      <c r="M28" s="87"/>
      <c r="O28" s="87"/>
      <c r="Q28" s="87"/>
      <c r="S28" s="87"/>
      <c r="U28" s="87"/>
    </row>
    <row r="29" spans="1:21" ht="12">
      <c r="A29" s="83" t="s">
        <v>24</v>
      </c>
      <c r="B29" s="84"/>
      <c r="C29" s="87">
        <f>'WIN STATS'!C200/'OTHER CCC101 STATS'!C157</f>
        <v>0.081</v>
      </c>
      <c r="D29" s="88"/>
      <c r="E29" s="87">
        <f>'WIN STATS'!E200/'OTHER CCC101 STATS'!E157</f>
        <v>0.08</v>
      </c>
      <c r="F29" s="88"/>
      <c r="G29" s="87">
        <f>'WIN STATS'!G200/'OTHER CCC101 STATS'!G157</f>
        <v>0.08</v>
      </c>
      <c r="I29" s="87">
        <f>'WIN STATS'!I200/'OTHER CCC101 STATS'!I157</f>
        <v>0.081</v>
      </c>
      <c r="K29" s="87">
        <f>'WIN STATS'!K200/'OTHER CCC101 STATS'!K157</f>
        <v>0.08</v>
      </c>
      <c r="M29" s="87">
        <f>'WIN STATS'!M200/'OTHER CCC101 STATS'!M157</f>
        <v>0.081</v>
      </c>
      <c r="O29" s="87">
        <f>'WIN STATS'!O200/'OTHER CCC101 STATS'!O157</f>
        <v>0.081</v>
      </c>
      <c r="Q29" s="87">
        <f>'WIN STATS'!Q200/'OTHER CCC101 STATS'!Q157</f>
        <v>0.084</v>
      </c>
      <c r="S29" s="87">
        <f>'WIN STATS'!S200/'OTHER CCC101 STATS'!S157</f>
        <v>0.087</v>
      </c>
      <c r="U29" s="87">
        <f>'WIN STATS'!U200/'OTHER CCC101 STATS'!U157</f>
        <v>0.088</v>
      </c>
    </row>
    <row r="30" spans="1:21" ht="12">
      <c r="A30" s="84"/>
      <c r="B30" s="84"/>
      <c r="C30" s="87"/>
      <c r="D30" s="88"/>
      <c r="E30" s="87"/>
      <c r="F30" s="88"/>
      <c r="G30" s="87"/>
      <c r="I30" s="87"/>
      <c r="K30" s="87"/>
      <c r="M30" s="87"/>
      <c r="O30" s="87"/>
      <c r="Q30" s="87"/>
      <c r="S30" s="87"/>
      <c r="U30" s="87"/>
    </row>
    <row r="31" spans="1:21" ht="12">
      <c r="A31" s="83" t="s">
        <v>7</v>
      </c>
      <c r="B31" s="84"/>
      <c r="C31" s="87">
        <f>'WIN STATS'!C202/'OTHER CCC101 STATS'!C159</f>
        <v>0.08</v>
      </c>
      <c r="D31" s="88"/>
      <c r="E31" s="87">
        <f>'WIN STATS'!E202/'OTHER CCC101 STATS'!E159</f>
        <v>0.08</v>
      </c>
      <c r="F31" s="88"/>
      <c r="G31" s="87">
        <f>'WIN STATS'!G202/'OTHER CCC101 STATS'!G159</f>
        <v>0.082</v>
      </c>
      <c r="I31" s="87">
        <f>'WIN STATS'!I202/'OTHER CCC101 STATS'!I159</f>
        <v>0.082</v>
      </c>
      <c r="K31" s="87">
        <f>'WIN STATS'!K202/'OTHER CCC101 STATS'!K159</f>
        <v>0.083</v>
      </c>
      <c r="M31" s="87">
        <f>'WIN STATS'!M202/'OTHER CCC101 STATS'!M159</f>
        <v>0.078</v>
      </c>
      <c r="O31" s="87">
        <f>'WIN STATS'!O202/'OTHER CCC101 STATS'!O159</f>
        <v>0.079</v>
      </c>
      <c r="Q31" s="87">
        <f>'WIN STATS'!Q202/'OTHER CCC101 STATS'!Q159</f>
        <v>0.083</v>
      </c>
      <c r="S31" s="87">
        <f>'WIN STATS'!S202/'OTHER CCC101 STATS'!S159</f>
        <v>0.087</v>
      </c>
      <c r="U31" s="87">
        <f>'WIN STATS'!U202/'OTHER CCC101 STATS'!U159</f>
        <v>0.087</v>
      </c>
    </row>
    <row r="32" spans="1:21" ht="12">
      <c r="A32" s="84"/>
      <c r="B32" s="84"/>
      <c r="C32" s="87"/>
      <c r="D32" s="88"/>
      <c r="E32" s="87"/>
      <c r="F32" s="88"/>
      <c r="G32" s="87"/>
      <c r="I32" s="87"/>
      <c r="K32" s="87"/>
      <c r="M32" s="87"/>
      <c r="O32" s="87"/>
      <c r="Q32" s="87"/>
      <c r="S32" s="87"/>
      <c r="U32" s="87"/>
    </row>
    <row r="33" spans="1:21" ht="12">
      <c r="A33" s="83" t="s">
        <v>8</v>
      </c>
      <c r="B33" s="84"/>
      <c r="C33" s="87">
        <f>'WIN STATS'!C204/'OTHER CCC101 STATS'!C161</f>
        <v>0.081</v>
      </c>
      <c r="D33" s="90"/>
      <c r="E33" s="87">
        <f>'WIN STATS'!E204/'OTHER CCC101 STATS'!E161</f>
        <v>0.079</v>
      </c>
      <c r="F33" s="90"/>
      <c r="G33" s="87">
        <f>'WIN STATS'!G204/'OTHER CCC101 STATS'!G161</f>
        <v>0.081</v>
      </c>
      <c r="H33" s="19"/>
      <c r="I33" s="87">
        <f>'WIN STATS'!I204/'OTHER CCC101 STATS'!I161</f>
        <v>0.081</v>
      </c>
      <c r="J33" s="19"/>
      <c r="K33" s="87">
        <f>'WIN STATS'!K204/'OTHER CCC101 STATS'!K161</f>
        <v>0.079</v>
      </c>
      <c r="L33" s="19"/>
      <c r="M33" s="87">
        <f>'WIN STATS'!M204/'OTHER CCC101 STATS'!M161</f>
        <v>0.079</v>
      </c>
      <c r="N33" s="19"/>
      <c r="O33" s="87">
        <f>'WIN STATS'!O204/'OTHER CCC101 STATS'!O161</f>
        <v>0.081</v>
      </c>
      <c r="P33" s="19"/>
      <c r="Q33" s="87">
        <f>'WIN STATS'!Q204/'OTHER CCC101 STATS'!Q161</f>
        <v>0.081</v>
      </c>
      <c r="R33" s="19"/>
      <c r="S33" s="87">
        <f>'WIN STATS'!S204/'OTHER CCC101 STATS'!S161</f>
        <v>0.085</v>
      </c>
      <c r="T33" s="19"/>
      <c r="U33" s="87">
        <f>'WIN STATS'!U204/'OTHER CCC101 STATS'!U161</f>
        <v>0.086</v>
      </c>
    </row>
    <row r="34" spans="1:21" ht="12">
      <c r="A34" s="84"/>
      <c r="B34" s="84"/>
      <c r="C34" s="87"/>
      <c r="D34" s="90"/>
      <c r="E34" s="87"/>
      <c r="F34" s="90"/>
      <c r="G34" s="87"/>
      <c r="H34" s="19"/>
      <c r="I34" s="87"/>
      <c r="J34" s="19"/>
      <c r="K34" s="87"/>
      <c r="L34" s="19"/>
      <c r="M34" s="87"/>
      <c r="N34" s="19"/>
      <c r="O34" s="87"/>
      <c r="P34" s="19"/>
      <c r="Q34" s="87"/>
      <c r="R34" s="19"/>
      <c r="S34" s="87"/>
      <c r="T34" s="19"/>
      <c r="U34" s="87"/>
    </row>
    <row r="35" spans="1:21" ht="12">
      <c r="A35" s="83" t="s">
        <v>17</v>
      </c>
      <c r="B35" s="84"/>
      <c r="C35" s="87">
        <f>'WIN STATS'!C206/'OTHER CCC101 STATS'!C163</f>
        <v>0.082</v>
      </c>
      <c r="D35" s="90"/>
      <c r="E35" s="87">
        <f>'WIN STATS'!E206/'OTHER CCC101 STATS'!E163</f>
        <v>0.08</v>
      </c>
      <c r="F35" s="90"/>
      <c r="G35" s="87">
        <f>'WIN STATS'!G206/'OTHER CCC101 STATS'!G163</f>
        <v>0.081</v>
      </c>
      <c r="H35" s="19"/>
      <c r="I35" s="87">
        <f>'WIN STATS'!I206/'OTHER CCC101 STATS'!I163</f>
        <v>0.081</v>
      </c>
      <c r="J35" s="19"/>
      <c r="K35" s="87">
        <f>'WIN STATS'!K206/'OTHER CCC101 STATS'!K163</f>
        <v>0.082</v>
      </c>
      <c r="L35" s="19"/>
      <c r="M35" s="87">
        <f>'WIN STATS'!M206/'OTHER CCC101 STATS'!M163</f>
        <v>0.083</v>
      </c>
      <c r="N35" s="19"/>
      <c r="O35" s="87">
        <f>'WIN STATS'!O206/'OTHER CCC101 STATS'!O163</f>
        <v>0.083</v>
      </c>
      <c r="P35" s="19"/>
      <c r="Q35" s="87">
        <f>'WIN STATS'!Q206/'OTHER CCC101 STATS'!Q163</f>
        <v>0.084</v>
      </c>
      <c r="R35" s="19"/>
      <c r="S35" s="87">
        <f>'WIN STATS'!S206/'OTHER CCC101 STATS'!S163</f>
        <v>0.087</v>
      </c>
      <c r="T35" s="19"/>
      <c r="U35" s="87">
        <f>'WIN STATS'!U206/'OTHER CCC101 STATS'!U163</f>
        <v>0.089</v>
      </c>
    </row>
    <row r="36" spans="1:21" ht="12">
      <c r="A36" s="84"/>
      <c r="B36" s="84"/>
      <c r="C36" s="91"/>
      <c r="D36" s="90"/>
      <c r="E36" s="91"/>
      <c r="F36" s="90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6" ht="12">
      <c r="A37" s="52" t="s">
        <v>45</v>
      </c>
      <c r="B37" s="84"/>
      <c r="C37" s="92"/>
      <c r="D37" s="84"/>
      <c r="E37" s="92"/>
      <c r="F37" s="84"/>
    </row>
    <row r="38" spans="1:6" ht="12">
      <c r="A38" s="52" t="s">
        <v>73</v>
      </c>
      <c r="B38" s="84"/>
      <c r="C38" s="92"/>
      <c r="D38" s="84"/>
      <c r="E38" s="92"/>
      <c r="F38" s="84"/>
    </row>
    <row r="39" spans="1:6" ht="12.75" customHeight="1">
      <c r="A39" s="52" t="s">
        <v>52</v>
      </c>
      <c r="B39" s="84"/>
      <c r="C39" s="92"/>
      <c r="D39" s="84"/>
      <c r="E39" s="92"/>
      <c r="F39" s="84"/>
    </row>
    <row r="40" spans="1:6" ht="12.75" customHeight="1">
      <c r="A40" s="55" t="s">
        <v>80</v>
      </c>
      <c r="B40" s="84"/>
      <c r="C40" s="92"/>
      <c r="D40" s="84"/>
      <c r="E40" s="92"/>
      <c r="F40" s="84"/>
    </row>
    <row r="41" spans="1:6" ht="12">
      <c r="A41" s="56" t="s">
        <v>87</v>
      </c>
      <c r="B41" s="84"/>
      <c r="C41" s="92"/>
      <c r="D41" s="84"/>
      <c r="E41" s="92"/>
      <c r="F41" s="84"/>
    </row>
    <row r="42" spans="1:6" ht="12">
      <c r="A42" s="56" t="s">
        <v>89</v>
      </c>
      <c r="B42" s="84"/>
      <c r="C42" s="84"/>
      <c r="D42" s="84"/>
      <c r="E42" s="84"/>
      <c r="F42" s="84"/>
    </row>
    <row r="43" spans="1:6" ht="12">
      <c r="A43" s="56"/>
      <c r="B43" s="84"/>
      <c r="C43" s="84"/>
      <c r="D43" s="84"/>
      <c r="E43" s="84"/>
      <c r="F43" s="84"/>
    </row>
    <row r="44" spans="1:6" ht="12">
      <c r="A44" s="83" t="s">
        <v>0</v>
      </c>
      <c r="B44" s="84"/>
      <c r="C44" s="84"/>
      <c r="D44" s="84"/>
      <c r="E44" s="84"/>
      <c r="F44" s="84"/>
    </row>
    <row r="45" spans="1:6" ht="12" customHeight="1">
      <c r="A45" s="89" t="s">
        <v>19</v>
      </c>
      <c r="B45" s="84"/>
      <c r="C45" s="84"/>
      <c r="D45" s="84"/>
      <c r="E45" s="84"/>
      <c r="F45" s="84"/>
    </row>
    <row r="46" spans="1:7" ht="12">
      <c r="A46" s="93" t="str">
        <f>A3</f>
        <v>2000 - 2009</v>
      </c>
      <c r="B46" s="97"/>
      <c r="C46" s="97"/>
      <c r="D46" s="97"/>
      <c r="E46" s="97"/>
      <c r="F46" s="97"/>
      <c r="G46" s="19"/>
    </row>
    <row r="47" spans="1:6" ht="12">
      <c r="A47" s="83"/>
      <c r="B47" s="92"/>
      <c r="C47" s="84"/>
      <c r="D47" s="84"/>
      <c r="E47" s="84"/>
      <c r="F47" s="84"/>
    </row>
    <row r="48" spans="1:6" ht="12">
      <c r="A48" s="51"/>
      <c r="B48" s="84"/>
      <c r="C48" s="84"/>
      <c r="D48" s="84"/>
      <c r="E48" s="84"/>
      <c r="F48" s="84"/>
    </row>
    <row r="49" spans="1:6" ht="12">
      <c r="A49" s="51"/>
      <c r="B49" s="84"/>
      <c r="C49" s="84"/>
      <c r="D49" s="84"/>
      <c r="E49" s="84"/>
      <c r="F49" s="84"/>
    </row>
    <row r="50" spans="1:21" ht="12">
      <c r="A50" s="84"/>
      <c r="B50" s="84"/>
      <c r="C50" s="86">
        <v>2000</v>
      </c>
      <c r="D50" s="84"/>
      <c r="E50" s="86">
        <v>2001</v>
      </c>
      <c r="F50" s="84"/>
      <c r="G50" s="86">
        <v>2002</v>
      </c>
      <c r="I50" s="86">
        <v>2003</v>
      </c>
      <c r="K50" s="86">
        <v>2004</v>
      </c>
      <c r="M50" s="86">
        <v>2005</v>
      </c>
      <c r="O50" s="46">
        <v>2006</v>
      </c>
      <c r="Q50" s="46">
        <v>2007</v>
      </c>
      <c r="S50" s="46">
        <v>2008</v>
      </c>
      <c r="U50" s="46">
        <v>2009</v>
      </c>
    </row>
    <row r="51" spans="1:11" ht="12">
      <c r="A51" s="84"/>
      <c r="B51" s="84"/>
      <c r="C51" s="84"/>
      <c r="D51" s="84"/>
      <c r="E51" s="84"/>
      <c r="F51" s="84"/>
      <c r="G51" s="84"/>
      <c r="I51" s="84"/>
      <c r="K51" s="84"/>
    </row>
    <row r="52" spans="1:21" ht="12">
      <c r="A52" s="83" t="s">
        <v>79</v>
      </c>
      <c r="B52" s="84"/>
      <c r="C52" s="94">
        <f>('WIN STATS'!C95-'OTHER CCC101 STATS'!C95)/'OTHER CCC101 STATS'!C179</f>
        <v>0.161</v>
      </c>
      <c r="D52" s="94"/>
      <c r="E52" s="94">
        <f>('WIN STATS'!E95-'OTHER CCC101 STATS'!E95)/'OTHER CCC101 STATS'!E179</f>
        <v>0.158</v>
      </c>
      <c r="F52" s="94"/>
      <c r="G52" s="94">
        <f>('WIN STATS'!G95-'OTHER CCC101 STATS'!G95)/'OTHER CCC101 STATS'!G179</f>
        <v>0.139</v>
      </c>
      <c r="I52" s="94">
        <f>('WIN STATS'!I95-'OTHER CCC101 STATS'!I95)/'OTHER CCC101 STATS'!I179</f>
        <v>0.161</v>
      </c>
      <c r="K52" s="94">
        <f>('WIN STATS'!K95-'OTHER CCC101 STATS'!K95)/'OTHER CCC101 STATS'!K179</f>
        <v>0.155</v>
      </c>
      <c r="M52" s="94">
        <f>('WIN STATS'!M95-'OTHER CCC101 STATS'!M95)/'OTHER CCC101 STATS'!M179</f>
        <v>0.135</v>
      </c>
      <c r="O52" s="94">
        <f>('WIN STATS'!O95-'OTHER CCC101 STATS'!O95)/'OTHER CCC101 STATS'!O179</f>
        <v>0.152</v>
      </c>
      <c r="Q52" s="94">
        <f>('WIN STATS'!Q95-'OTHER CCC101 STATS'!Q95)/'OTHER CCC101 STATS'!Q179</f>
        <v>0.135</v>
      </c>
      <c r="S52" s="94">
        <f>('WIN STATS'!S95-'OTHER CCC101 STATS'!S95)/'OTHER CCC101 STATS'!S179</f>
        <v>0.135</v>
      </c>
      <c r="U52" s="94">
        <f>('WIN STATS'!U95-'OTHER CCC101 STATS'!U95)/'OTHER CCC101 STATS'!U179</f>
        <v>0.128</v>
      </c>
    </row>
    <row r="53" spans="1:21" ht="12">
      <c r="A53" s="84"/>
      <c r="B53" s="84"/>
      <c r="C53" s="94"/>
      <c r="D53" s="94"/>
      <c r="E53" s="94"/>
      <c r="F53" s="94"/>
      <c r="G53" s="94"/>
      <c r="I53" s="94"/>
      <c r="K53" s="94"/>
      <c r="M53" s="94"/>
      <c r="O53" s="94"/>
      <c r="Q53" s="94"/>
      <c r="S53" s="94"/>
      <c r="U53" s="94"/>
    </row>
    <row r="54" spans="1:21" ht="12">
      <c r="A54" s="83" t="s">
        <v>53</v>
      </c>
      <c r="B54" s="84"/>
      <c r="C54" s="94">
        <f>('WIN STATS'!C97-'OTHER CCC101 STATS'!C97)/'OTHER CCC101 STATS'!C181</f>
        <v>0.149</v>
      </c>
      <c r="D54" s="94"/>
      <c r="E54" s="94">
        <f>('WIN STATS'!E97-'OTHER CCC101 STATS'!E97)/'OTHER CCC101 STATS'!E181</f>
        <v>0.149</v>
      </c>
      <c r="F54" s="94"/>
      <c r="G54" s="94">
        <f>('WIN STATS'!G97-'OTHER CCC101 STATS'!G97)/'OTHER CCC101 STATS'!G181</f>
        <v>0.152</v>
      </c>
      <c r="I54" s="94">
        <f>('WIN STATS'!I97-'OTHER CCC101 STATS'!I97)/'OTHER CCC101 STATS'!I181</f>
        <v>0.156</v>
      </c>
      <c r="K54" s="94">
        <f>('WIN STATS'!K97-'OTHER CCC101 STATS'!K97)/'OTHER CCC101 STATS'!K181</f>
        <v>0.159</v>
      </c>
      <c r="M54" s="94">
        <f>('WIN STATS'!M97-'OTHER CCC101 STATS'!M97)/'OTHER CCC101 STATS'!M181</f>
        <v>0.161</v>
      </c>
      <c r="O54" s="94">
        <f>('WIN STATS'!O97-'OTHER CCC101 STATS'!O97)/'OTHER CCC101 STATS'!O181</f>
        <v>0.158</v>
      </c>
      <c r="Q54" s="94">
        <f>('WIN STATS'!Q97-'OTHER CCC101 STATS'!Q97)/'OTHER CCC101 STATS'!Q181</f>
        <v>0.158</v>
      </c>
      <c r="S54" s="94">
        <f>('WIN STATS'!S97-'OTHER CCC101 STATS'!S97)/'OTHER CCC101 STATS'!S181</f>
        <v>0.162</v>
      </c>
      <c r="U54" s="94">
        <f>('WIN STATS'!U97-'OTHER CCC101 STATS'!U97)/'OTHER CCC101 STATS'!U181</f>
        <v>0.168</v>
      </c>
    </row>
    <row r="55" spans="1:21" ht="12">
      <c r="A55" s="83"/>
      <c r="B55" s="84"/>
      <c r="C55" s="94"/>
      <c r="D55" s="94"/>
      <c r="E55" s="94"/>
      <c r="F55" s="94"/>
      <c r="G55" s="94"/>
      <c r="I55" s="94"/>
      <c r="K55" s="94"/>
      <c r="M55" s="94"/>
      <c r="O55" s="94"/>
      <c r="Q55" s="94"/>
      <c r="S55" s="94"/>
      <c r="U55" s="94"/>
    </row>
    <row r="56" spans="1:21" ht="12">
      <c r="A56" s="83" t="s">
        <v>86</v>
      </c>
      <c r="B56" s="84"/>
      <c r="C56" s="87" t="s">
        <v>85</v>
      </c>
      <c r="D56" s="94"/>
      <c r="E56" s="87" t="s">
        <v>85</v>
      </c>
      <c r="F56" s="94"/>
      <c r="G56" s="87" t="s">
        <v>85</v>
      </c>
      <c r="I56" s="94">
        <f>('WIN STATS'!I99-'OTHER CCC101 STATS'!I99)/'OTHER CCC101 STATS'!I183</f>
        <v>0.14</v>
      </c>
      <c r="K56" s="94">
        <f>('WIN STATS'!K99-'OTHER CCC101 STATS'!K99)/'OTHER CCC101 STATS'!K183</f>
        <v>0.137</v>
      </c>
      <c r="M56" s="94">
        <f>('WIN STATS'!M99-'OTHER CCC101 STATS'!M99)/'OTHER CCC101 STATS'!M183</f>
        <v>0.142</v>
      </c>
      <c r="O56" s="94">
        <f>('WIN STATS'!O99-'OTHER CCC101 STATS'!O99)/'OTHER CCC101 STATS'!O183</f>
        <v>0.14</v>
      </c>
      <c r="Q56" s="94">
        <f>('WIN STATS'!Q99-'OTHER CCC101 STATS'!Q99)/'OTHER CCC101 STATS'!Q183</f>
        <v>0.145</v>
      </c>
      <c r="S56" s="94">
        <f>('WIN STATS'!S99-'OTHER CCC101 STATS'!S99)/'OTHER CCC101 STATS'!S183</f>
        <v>0.149</v>
      </c>
      <c r="U56" s="94">
        <f>('WIN STATS'!U99-'OTHER CCC101 STATS'!U99)/'OTHER CCC101 STATS'!U183</f>
        <v>0.143</v>
      </c>
    </row>
    <row r="57" spans="1:21" ht="12">
      <c r="A57" s="84"/>
      <c r="B57" s="84"/>
      <c r="C57" s="94"/>
      <c r="D57" s="94"/>
      <c r="E57" s="94"/>
      <c r="F57" s="94"/>
      <c r="G57" s="94"/>
      <c r="I57" s="94"/>
      <c r="K57" s="94"/>
      <c r="M57" s="94"/>
      <c r="O57" s="94"/>
      <c r="Q57" s="94"/>
      <c r="S57" s="94"/>
      <c r="U57" s="94"/>
    </row>
    <row r="58" spans="1:21" ht="12">
      <c r="A58" s="83" t="s">
        <v>2</v>
      </c>
      <c r="B58" s="84"/>
      <c r="C58" s="94">
        <f>('WIN STATS'!C101-'OTHER CCC101 STATS'!C101)/'OTHER CCC101 STATS'!C185</f>
        <v>0.157</v>
      </c>
      <c r="D58" s="94"/>
      <c r="E58" s="94">
        <f>('WIN STATS'!E101-'OTHER CCC101 STATS'!E101)/'OTHER CCC101 STATS'!E185</f>
        <v>0.157</v>
      </c>
      <c r="F58" s="94"/>
      <c r="G58" s="94">
        <f>('WIN STATS'!G101-'OTHER CCC101 STATS'!G101)/'OTHER CCC101 STATS'!G185</f>
        <v>0.166</v>
      </c>
      <c r="I58" s="94">
        <f>('WIN STATS'!I101-'OTHER CCC101 STATS'!I101)/'OTHER CCC101 STATS'!I185</f>
        <v>0.17</v>
      </c>
      <c r="K58" s="94">
        <f>('WIN STATS'!K101-'OTHER CCC101 STATS'!K101)/'OTHER CCC101 STATS'!K185</f>
        <v>0.161</v>
      </c>
      <c r="M58" s="94">
        <f>('WIN STATS'!M101-'OTHER CCC101 STATS'!M101)/'OTHER CCC101 STATS'!M185</f>
        <v>0.166</v>
      </c>
      <c r="O58" s="94">
        <f>('WIN STATS'!O101-'OTHER CCC101 STATS'!O101)/'OTHER CCC101 STATS'!O185</f>
        <v>0.16</v>
      </c>
      <c r="Q58" s="94">
        <f>('WIN STATS'!Q101-'OTHER CCC101 STATS'!Q101)/'OTHER CCC101 STATS'!Q185</f>
        <v>0.162</v>
      </c>
      <c r="S58" s="94">
        <f>('WIN STATS'!S101-'OTHER CCC101 STATS'!S101)/'OTHER CCC101 STATS'!S185</f>
        <v>0.165</v>
      </c>
      <c r="U58" s="94">
        <f>('WIN STATS'!U101-'OTHER CCC101 STATS'!U101)/'OTHER CCC101 STATS'!U185</f>
        <v>0.15</v>
      </c>
    </row>
    <row r="59" spans="1:21" ht="12">
      <c r="A59" s="84"/>
      <c r="B59" s="84"/>
      <c r="C59" s="94"/>
      <c r="D59" s="94"/>
      <c r="E59" s="94"/>
      <c r="F59" s="94"/>
      <c r="G59" s="94"/>
      <c r="I59" s="94"/>
      <c r="K59" s="94"/>
      <c r="M59" s="94"/>
      <c r="O59" s="94"/>
      <c r="Q59" s="94"/>
      <c r="S59" s="94"/>
      <c r="U59" s="94"/>
    </row>
    <row r="60" spans="1:21" ht="12">
      <c r="A60" s="83" t="s">
        <v>54</v>
      </c>
      <c r="B60" s="84"/>
      <c r="C60" s="94">
        <f>('WIN STATS'!C103-'OTHER CCC101 STATS'!C103)/'OTHER CCC101 STATS'!C187</f>
        <v>0.136</v>
      </c>
      <c r="D60" s="94"/>
      <c r="E60" s="94">
        <f>('WIN STATS'!E103-'OTHER CCC101 STATS'!E103)/'OTHER CCC101 STATS'!E187</f>
        <v>0.143</v>
      </c>
      <c r="F60" s="171"/>
      <c r="G60" s="94">
        <f>('WIN STATS'!G103-'OTHER CCC101 STATS'!G103)/'OTHER CCC101 STATS'!G187</f>
        <v>0.154</v>
      </c>
      <c r="I60" s="87" t="s">
        <v>85</v>
      </c>
      <c r="K60" s="87" t="s">
        <v>85</v>
      </c>
      <c r="M60" s="87" t="s">
        <v>85</v>
      </c>
      <c r="O60" s="87" t="s">
        <v>85</v>
      </c>
      <c r="Q60" s="87" t="s">
        <v>85</v>
      </c>
      <c r="S60" s="87" t="s">
        <v>85</v>
      </c>
      <c r="U60" s="87" t="s">
        <v>85</v>
      </c>
    </row>
    <row r="61" spans="1:21" ht="12">
      <c r="A61" s="84"/>
      <c r="B61" s="84"/>
      <c r="C61" s="94"/>
      <c r="D61" s="94"/>
      <c r="E61" s="94"/>
      <c r="F61" s="94"/>
      <c r="G61" s="94"/>
      <c r="I61" s="94"/>
      <c r="K61" s="94"/>
      <c r="M61" s="94"/>
      <c r="O61" s="94"/>
      <c r="Q61" s="94"/>
      <c r="S61" s="94"/>
      <c r="U61" s="94"/>
    </row>
    <row r="62" spans="1:21" ht="12">
      <c r="A62" s="83" t="s">
        <v>3</v>
      </c>
      <c r="B62" s="84"/>
      <c r="C62" s="94">
        <f>('WIN STATS'!C105-'OTHER CCC101 STATS'!C105)/'OTHER CCC101 STATS'!C189</f>
        <v>0.149</v>
      </c>
      <c r="D62" s="94"/>
      <c r="E62" s="94">
        <f>('WIN STATS'!E105-'OTHER CCC101 STATS'!E105)/'OTHER CCC101 STATS'!E189</f>
        <v>0.154</v>
      </c>
      <c r="F62" s="94"/>
      <c r="G62" s="94">
        <f>('WIN STATS'!G105-'OTHER CCC101 STATS'!G105)/'OTHER CCC101 STATS'!G189</f>
        <v>0.151</v>
      </c>
      <c r="I62" s="94">
        <f>('WIN STATS'!I105-'OTHER CCC101 STATS'!I105)/'OTHER CCC101 STATS'!I189</f>
        <v>0.156</v>
      </c>
      <c r="K62" s="94">
        <f>('WIN STATS'!K105-'OTHER CCC101 STATS'!K105)/'OTHER CCC101 STATS'!K189</f>
        <v>0.153</v>
      </c>
      <c r="M62" s="94">
        <f>('WIN STATS'!M105-'OTHER CCC101 STATS'!M105)/'OTHER CCC101 STATS'!M189</f>
        <v>0.155</v>
      </c>
      <c r="O62" s="94">
        <f>('WIN STATS'!O105-'OTHER CCC101 STATS'!O105)/'OTHER CCC101 STATS'!O189</f>
        <v>0.154</v>
      </c>
      <c r="Q62" s="94">
        <f>('WIN STATS'!Q105-'OTHER CCC101 STATS'!Q105)/'OTHER CCC101 STATS'!Q189</f>
        <v>0.164</v>
      </c>
      <c r="S62" s="94">
        <f>('WIN STATS'!S105-'OTHER CCC101 STATS'!S105)/'OTHER CCC101 STATS'!S189</f>
        <v>0.162</v>
      </c>
      <c r="U62" s="94">
        <f>('WIN STATS'!U105-'OTHER CCC101 STATS'!U105)/'OTHER CCC101 STATS'!U189</f>
        <v>0.16</v>
      </c>
    </row>
    <row r="63" spans="1:21" ht="12">
      <c r="A63" s="84"/>
      <c r="B63" s="84"/>
      <c r="C63" s="94"/>
      <c r="D63" s="94"/>
      <c r="E63" s="94"/>
      <c r="F63" s="94"/>
      <c r="G63" s="94"/>
      <c r="I63" s="94"/>
      <c r="K63" s="94"/>
      <c r="M63" s="94"/>
      <c r="O63" s="94"/>
      <c r="Q63" s="94"/>
      <c r="S63" s="94"/>
      <c r="U63" s="94"/>
    </row>
    <row r="64" spans="1:21" ht="12">
      <c r="A64" s="83" t="s">
        <v>4</v>
      </c>
      <c r="B64" s="84"/>
      <c r="C64" s="94">
        <f>('WIN STATS'!C107-'OTHER CCC101 STATS'!C107)/'OTHER CCC101 STATS'!C191</f>
        <v>0.155</v>
      </c>
      <c r="D64" s="94"/>
      <c r="E64" s="94">
        <f>('WIN STATS'!E107-'OTHER CCC101 STATS'!E107)/'OTHER CCC101 STATS'!E191</f>
        <v>0.15</v>
      </c>
      <c r="F64" s="94"/>
      <c r="G64" s="94">
        <f>('WIN STATS'!G107-'OTHER CCC101 STATS'!G107)/'OTHER CCC101 STATS'!G191</f>
        <v>0.162</v>
      </c>
      <c r="I64" s="94">
        <f>('WIN STATS'!I107-'OTHER CCC101 STATS'!I107)/'OTHER CCC101 STATS'!I191</f>
        <v>0.151</v>
      </c>
      <c r="K64" s="94">
        <f>('WIN STATS'!K107-'OTHER CCC101 STATS'!K107)/'OTHER CCC101 STATS'!K191</f>
        <v>0.155</v>
      </c>
      <c r="M64" s="94">
        <f>('WIN STATS'!M107-'OTHER CCC101 STATS'!M107)/'OTHER CCC101 STATS'!M191</f>
        <v>0.146</v>
      </c>
      <c r="O64" s="94">
        <f>('WIN STATS'!O107-'OTHER CCC101 STATS'!O107)/'OTHER CCC101 STATS'!O191</f>
        <v>0.143</v>
      </c>
      <c r="Q64" s="94">
        <f>('WIN STATS'!Q107-'OTHER CCC101 STATS'!Q107)/'OTHER CCC101 STATS'!Q191</f>
        <v>0.141</v>
      </c>
      <c r="S64" s="94">
        <f>('WIN STATS'!S107-'OTHER CCC101 STATS'!S107)/'OTHER CCC101 STATS'!S191</f>
        <v>0.144</v>
      </c>
      <c r="U64" s="94">
        <f>('WIN STATS'!U107-'OTHER CCC101 STATS'!U107)/'OTHER CCC101 STATS'!U191</f>
        <v>0.14</v>
      </c>
    </row>
    <row r="65" spans="1:21" ht="12">
      <c r="A65" s="84"/>
      <c r="B65" s="84"/>
      <c r="C65" s="94"/>
      <c r="D65" s="94"/>
      <c r="E65" s="94"/>
      <c r="F65" s="94"/>
      <c r="G65" s="94"/>
      <c r="I65" s="94"/>
      <c r="K65" s="94"/>
      <c r="M65" s="94"/>
      <c r="O65" s="94"/>
      <c r="Q65" s="94"/>
      <c r="S65" s="94"/>
      <c r="U65" s="94"/>
    </row>
    <row r="66" spans="1:21" ht="12">
      <c r="A66" s="40" t="s">
        <v>90</v>
      </c>
      <c r="B66" s="84"/>
      <c r="C66" s="94">
        <f>('WIN STATS'!C109-'OTHER CCC101 STATS'!C109)/'OTHER CCC101 STATS'!C193</f>
        <v>0.141</v>
      </c>
      <c r="D66" s="94"/>
      <c r="E66" s="94">
        <f>('WIN STATS'!E109-'OTHER CCC101 STATS'!E109)/'OTHER CCC101 STATS'!E193</f>
        <v>0.149</v>
      </c>
      <c r="F66" s="94"/>
      <c r="G66" s="94">
        <f>('WIN STATS'!G109-'OTHER CCC101 STATS'!G109)/'OTHER CCC101 STATS'!G193</f>
        <v>0.149</v>
      </c>
      <c r="I66" s="94">
        <f>('WIN STATS'!I109-'OTHER CCC101 STATS'!I109)/'OTHER CCC101 STATS'!I193</f>
        <v>0.149</v>
      </c>
      <c r="K66" s="94">
        <f>('WIN STATS'!K109-'OTHER CCC101 STATS'!K109)/'OTHER CCC101 STATS'!K193</f>
        <v>0.159</v>
      </c>
      <c r="M66" s="94">
        <f>('WIN STATS'!M109-'OTHER CCC101 STATS'!M109)/'OTHER CCC101 STATS'!M193</f>
        <v>0.154</v>
      </c>
      <c r="O66" s="94">
        <f>('WIN STATS'!O109-'OTHER CCC101 STATS'!O109)/'OTHER CCC101 STATS'!O193</f>
        <v>0.178</v>
      </c>
      <c r="Q66" s="87" t="s">
        <v>85</v>
      </c>
      <c r="S66" s="87" t="s">
        <v>85</v>
      </c>
      <c r="U66" s="87" t="s">
        <v>85</v>
      </c>
    </row>
    <row r="67" spans="1:21" ht="12">
      <c r="A67" s="84"/>
      <c r="B67" s="84"/>
      <c r="C67" s="94"/>
      <c r="D67" s="94"/>
      <c r="E67" s="94"/>
      <c r="F67" s="94"/>
      <c r="G67" s="94"/>
      <c r="I67" s="94"/>
      <c r="K67" s="94"/>
      <c r="M67" s="94"/>
      <c r="O67" s="94"/>
      <c r="Q67" s="94"/>
      <c r="S67" s="94"/>
      <c r="U67" s="94"/>
    </row>
    <row r="68" spans="1:21" ht="12">
      <c r="A68" s="83" t="s">
        <v>5</v>
      </c>
      <c r="B68" s="84"/>
      <c r="C68" s="94">
        <f>('WIN STATS'!C111-'OTHER CCC101 STATS'!C111)/'OTHER CCC101 STATS'!C195</f>
        <v>0.136</v>
      </c>
      <c r="D68" s="94"/>
      <c r="E68" s="94">
        <f>('WIN STATS'!E111-'OTHER CCC101 STATS'!E111)/'OTHER CCC101 STATS'!E195</f>
        <v>0.142</v>
      </c>
      <c r="F68" s="94"/>
      <c r="G68" s="94">
        <f>('WIN STATS'!G111-'OTHER CCC101 STATS'!G111)/'OTHER CCC101 STATS'!G195</f>
        <v>0.145</v>
      </c>
      <c r="I68" s="94">
        <f>('WIN STATS'!I111-'OTHER CCC101 STATS'!I111)/'OTHER CCC101 STATS'!I195</f>
        <v>0.153</v>
      </c>
      <c r="K68" s="94">
        <f>('WIN STATS'!K111-'OTHER CCC101 STATS'!K111)/'OTHER CCC101 STATS'!K195</f>
        <v>0.151</v>
      </c>
      <c r="M68" s="94">
        <f>('WIN STATS'!M111-'OTHER CCC101 STATS'!M111)/'OTHER CCC101 STATS'!M195</f>
        <v>0.153</v>
      </c>
      <c r="O68" s="94">
        <f>('WIN STATS'!O111-'OTHER CCC101 STATS'!O111)/'OTHER CCC101 STATS'!O195</f>
        <v>0.16</v>
      </c>
      <c r="Q68" s="94">
        <f>('WIN STATS'!Q111-'OTHER CCC101 STATS'!Q111)/'OTHER CCC101 STATS'!Q195</f>
        <v>0.165</v>
      </c>
      <c r="S68" s="94">
        <f>('WIN STATS'!S111-'OTHER CCC101 STATS'!S111)/'OTHER CCC101 STATS'!S195</f>
        <v>0.151</v>
      </c>
      <c r="U68" s="94">
        <f>('WIN STATS'!U111-'OTHER CCC101 STATS'!U111)/'OTHER CCC101 STATS'!U195</f>
        <v>0.148</v>
      </c>
    </row>
    <row r="69" spans="1:21" ht="12">
      <c r="A69" s="84"/>
      <c r="B69" s="84"/>
      <c r="C69" s="94"/>
      <c r="D69" s="94"/>
      <c r="E69" s="94"/>
      <c r="F69" s="94"/>
      <c r="G69" s="94"/>
      <c r="I69" s="94"/>
      <c r="K69" s="94"/>
      <c r="M69" s="94"/>
      <c r="O69" s="94"/>
      <c r="Q69" s="94"/>
      <c r="S69" s="94"/>
      <c r="U69" s="94"/>
    </row>
    <row r="70" spans="1:21" ht="12">
      <c r="A70" s="89" t="s">
        <v>6</v>
      </c>
      <c r="B70" s="84"/>
      <c r="C70" s="94">
        <f>('WIN STATS'!C113-'OTHER CCC101 STATS'!C113)/'OTHER CCC101 STATS'!C197</f>
        <v>0.158</v>
      </c>
      <c r="D70" s="94"/>
      <c r="E70" s="94">
        <f>('WIN STATS'!E113-'OTHER CCC101 STATS'!E113)/'OTHER CCC101 STATS'!E197</f>
        <v>0.161</v>
      </c>
      <c r="F70" s="94"/>
      <c r="G70" s="94">
        <f>('WIN STATS'!G113-'OTHER CCC101 STATS'!G113)/'OTHER CCC101 STATS'!G197</f>
        <v>0.154</v>
      </c>
      <c r="I70" s="94">
        <f>('WIN STATS'!I113-'OTHER CCC101 STATS'!I113)/'OTHER CCC101 STATS'!I197</f>
        <v>0.157</v>
      </c>
      <c r="K70" s="94">
        <f>('WIN STATS'!K113-'OTHER CCC101 STATS'!K113)/'OTHER CCC101 STATS'!K197</f>
        <v>0.164</v>
      </c>
      <c r="M70" s="94">
        <f>('WIN STATS'!M113-'OTHER CCC101 STATS'!M113)/'OTHER CCC101 STATS'!M197</f>
        <v>0.157</v>
      </c>
      <c r="O70" s="94">
        <f>('WIN STATS'!O113-'OTHER CCC101 STATS'!O113)/'OTHER CCC101 STATS'!O197</f>
        <v>0.147</v>
      </c>
      <c r="Q70" s="94">
        <f>('WIN STATS'!Q113-'OTHER CCC101 STATS'!Q113)/'OTHER CCC101 STATS'!Q197</f>
        <v>0.159</v>
      </c>
      <c r="S70" s="94">
        <f>('WIN STATS'!S113-'OTHER CCC101 STATS'!S113)/'OTHER CCC101 STATS'!S197</f>
        <v>0.162</v>
      </c>
      <c r="U70" s="94">
        <f>('WIN STATS'!U113-'OTHER CCC101 STATS'!U113)/'OTHER CCC101 STATS'!U197</f>
        <v>0.145</v>
      </c>
    </row>
    <row r="71" spans="1:21" ht="12">
      <c r="A71" s="84"/>
      <c r="B71" s="84"/>
      <c r="C71" s="94"/>
      <c r="D71" s="94"/>
      <c r="E71" s="94"/>
      <c r="F71" s="94"/>
      <c r="G71" s="94"/>
      <c r="I71" s="94"/>
      <c r="K71" s="94"/>
      <c r="M71" s="94"/>
      <c r="O71" s="94"/>
      <c r="Q71" s="94"/>
      <c r="S71" s="94"/>
      <c r="U71" s="94"/>
    </row>
    <row r="72" spans="1:21" ht="12">
      <c r="A72" s="83" t="s">
        <v>24</v>
      </c>
      <c r="B72" s="84"/>
      <c r="C72" s="94">
        <f>('WIN STATS'!C115-'OTHER CCC101 STATS'!C115)/'OTHER CCC101 STATS'!C199</f>
        <v>0.166</v>
      </c>
      <c r="D72" s="94"/>
      <c r="E72" s="94">
        <f>('WIN STATS'!E115-'OTHER CCC101 STATS'!E115)/'OTHER CCC101 STATS'!E199</f>
        <v>0.164</v>
      </c>
      <c r="F72" s="94"/>
      <c r="G72" s="94">
        <f>('WIN STATS'!G115-'OTHER CCC101 STATS'!G115)/'OTHER CCC101 STATS'!G199</f>
        <v>0.17</v>
      </c>
      <c r="I72" s="94">
        <f>('WIN STATS'!I115-'OTHER CCC101 STATS'!I115)/'OTHER CCC101 STATS'!I199</f>
        <v>0.17</v>
      </c>
      <c r="K72" s="94">
        <f>('WIN STATS'!K115-'OTHER CCC101 STATS'!K115)/'OTHER CCC101 STATS'!K199</f>
        <v>0.151</v>
      </c>
      <c r="M72" s="94">
        <f>('WIN STATS'!M115-'OTHER CCC101 STATS'!M115)/'OTHER CCC101 STATS'!M199</f>
        <v>0.166</v>
      </c>
      <c r="O72" s="94">
        <f>('WIN STATS'!O115-'OTHER CCC101 STATS'!O115)/'OTHER CCC101 STATS'!O199</f>
        <v>0.168</v>
      </c>
      <c r="Q72" s="94">
        <f>('WIN STATS'!Q115-'OTHER CCC101 STATS'!Q115)/'OTHER CCC101 STATS'!Q199</f>
        <v>0.16</v>
      </c>
      <c r="S72" s="94">
        <f>('WIN STATS'!S115-'OTHER CCC101 STATS'!S115)/'OTHER CCC101 STATS'!S199</f>
        <v>0.157</v>
      </c>
      <c r="U72" s="94">
        <f>('WIN STATS'!U115-'OTHER CCC101 STATS'!U115)/'OTHER CCC101 STATS'!U199</f>
        <v>0.165</v>
      </c>
    </row>
    <row r="73" spans="1:21" ht="12">
      <c r="A73" s="84"/>
      <c r="B73" s="84"/>
      <c r="C73" s="94"/>
      <c r="D73" s="94"/>
      <c r="E73" s="94"/>
      <c r="F73" s="94"/>
      <c r="G73" s="94"/>
      <c r="I73" s="94"/>
      <c r="K73" s="94"/>
      <c r="M73" s="94"/>
      <c r="O73" s="94"/>
      <c r="Q73" s="94"/>
      <c r="S73" s="94"/>
      <c r="U73" s="94"/>
    </row>
    <row r="74" spans="1:21" ht="12">
      <c r="A74" s="83" t="s">
        <v>7</v>
      </c>
      <c r="B74" s="84"/>
      <c r="C74" s="94">
        <f>('WIN STATS'!C117-'OTHER CCC101 STATS'!C117)/'OTHER CCC101 STATS'!C201</f>
        <v>0.144</v>
      </c>
      <c r="D74" s="94"/>
      <c r="E74" s="94">
        <f>('WIN STATS'!E117-'OTHER CCC101 STATS'!E117)/'OTHER CCC101 STATS'!E201</f>
        <v>0.165</v>
      </c>
      <c r="F74" s="94"/>
      <c r="G74" s="94">
        <f>('WIN STATS'!G117-'OTHER CCC101 STATS'!G117)/'OTHER CCC101 STATS'!G201</f>
        <v>0.165</v>
      </c>
      <c r="I74" s="94">
        <f>('WIN STATS'!I117-'OTHER CCC101 STATS'!I117)/'OTHER CCC101 STATS'!I201</f>
        <v>0.154</v>
      </c>
      <c r="K74" s="94">
        <f>('WIN STATS'!K117-'OTHER CCC101 STATS'!K117)/'OTHER CCC101 STATS'!K201</f>
        <v>0.149</v>
      </c>
      <c r="M74" s="94">
        <f>('WIN STATS'!M117-'OTHER CCC101 STATS'!M117)/'OTHER CCC101 STATS'!M201</f>
        <v>0.145</v>
      </c>
      <c r="O74" s="94">
        <f>('WIN STATS'!O117-'OTHER CCC101 STATS'!O117)/'OTHER CCC101 STATS'!O201</f>
        <v>0.149</v>
      </c>
      <c r="Q74" s="94">
        <f>('WIN STATS'!Q117-'OTHER CCC101 STATS'!Q117)/'OTHER CCC101 STATS'!Q201</f>
        <v>0.141</v>
      </c>
      <c r="S74" s="94">
        <f>('WIN STATS'!S117-'OTHER CCC101 STATS'!S117)/'OTHER CCC101 STATS'!S201</f>
        <v>0.146</v>
      </c>
      <c r="U74" s="94">
        <f>('WIN STATS'!U117-'OTHER CCC101 STATS'!U117)/'OTHER CCC101 STATS'!U201</f>
        <v>0.131</v>
      </c>
    </row>
    <row r="75" spans="1:21" ht="12">
      <c r="A75" s="84"/>
      <c r="B75" s="84"/>
      <c r="C75" s="94"/>
      <c r="D75" s="94"/>
      <c r="E75" s="94"/>
      <c r="F75" s="94"/>
      <c r="G75" s="94"/>
      <c r="I75" s="94"/>
      <c r="K75" s="94"/>
      <c r="M75" s="94"/>
      <c r="O75" s="94"/>
      <c r="Q75" s="94"/>
      <c r="S75" s="94"/>
      <c r="U75" s="94"/>
    </row>
    <row r="76" spans="1:25" ht="12">
      <c r="A76" s="83" t="s">
        <v>8</v>
      </c>
      <c r="B76" s="84"/>
      <c r="C76" s="94">
        <f>('WIN STATS'!C119-'OTHER CCC101 STATS'!C119)/'OTHER CCC101 STATS'!C203</f>
        <v>0.171</v>
      </c>
      <c r="D76" s="95"/>
      <c r="E76" s="94">
        <f>('WIN STATS'!E119-'OTHER CCC101 STATS'!E119)/'OTHER CCC101 STATS'!E203</f>
        <v>0.164</v>
      </c>
      <c r="F76" s="95"/>
      <c r="G76" s="94">
        <f>('WIN STATS'!G119-'OTHER CCC101 STATS'!G119)/'OTHER CCC101 STATS'!G203</f>
        <v>0.162</v>
      </c>
      <c r="H76" s="19"/>
      <c r="I76" s="94">
        <f>('WIN STATS'!I119-'OTHER CCC101 STATS'!I119)/'OTHER CCC101 STATS'!I203</f>
        <v>0.171</v>
      </c>
      <c r="J76" s="19"/>
      <c r="K76" s="94">
        <f>('WIN STATS'!K119-'OTHER CCC101 STATS'!K119)/'OTHER CCC101 STATS'!K203</f>
        <v>0.161</v>
      </c>
      <c r="L76" s="19"/>
      <c r="M76" s="94">
        <f>('WIN STATS'!M119-'OTHER CCC101 STATS'!M119)/'OTHER CCC101 STATS'!M203</f>
        <v>0.174</v>
      </c>
      <c r="N76" s="19"/>
      <c r="O76" s="94">
        <f>('WIN STATS'!O119-'OTHER CCC101 STATS'!O119)/'OTHER CCC101 STATS'!O203</f>
        <v>0.161</v>
      </c>
      <c r="P76" s="19"/>
      <c r="Q76" s="94">
        <f>('WIN STATS'!Q119-'OTHER CCC101 STATS'!Q119)/'OTHER CCC101 STATS'!Q203</f>
        <v>0.161</v>
      </c>
      <c r="R76" s="19"/>
      <c r="S76" s="94">
        <f>('WIN STATS'!S119-'OTHER CCC101 STATS'!S119)/'OTHER CCC101 STATS'!S203</f>
        <v>0.159</v>
      </c>
      <c r="T76" s="19"/>
      <c r="U76" s="94">
        <f>('WIN STATS'!U119-'OTHER CCC101 STATS'!U119)/'OTHER CCC101 STATS'!U203</f>
        <v>0.153</v>
      </c>
      <c r="V76" s="19"/>
      <c r="W76" s="19"/>
      <c r="X76" s="19"/>
      <c r="Y76" s="19"/>
    </row>
    <row r="77" spans="1:25" ht="12">
      <c r="A77" s="84"/>
      <c r="B77" s="84"/>
      <c r="C77" s="94"/>
      <c r="D77" s="95"/>
      <c r="E77" s="94"/>
      <c r="F77" s="95"/>
      <c r="G77" s="94"/>
      <c r="H77" s="19"/>
      <c r="I77" s="94"/>
      <c r="J77" s="19"/>
      <c r="K77" s="94"/>
      <c r="L77" s="19"/>
      <c r="M77" s="94"/>
      <c r="N77" s="19"/>
      <c r="O77" s="94"/>
      <c r="P77" s="19"/>
      <c r="Q77" s="94"/>
      <c r="R77" s="19"/>
      <c r="S77" s="94"/>
      <c r="T77" s="19"/>
      <c r="U77" s="94"/>
      <c r="V77" s="19"/>
      <c r="W77" s="19"/>
      <c r="X77" s="19"/>
      <c r="Y77" s="19"/>
    </row>
    <row r="78" spans="1:25" ht="12">
      <c r="A78" s="83" t="s">
        <v>17</v>
      </c>
      <c r="B78" s="84"/>
      <c r="C78" s="94">
        <f>('WIN STATS'!C121-'OTHER CCC101 STATS'!C121)/'OTHER CCC101 STATS'!C205</f>
        <v>0.154</v>
      </c>
      <c r="D78" s="95"/>
      <c r="E78" s="94">
        <f>('WIN STATS'!E121-'OTHER CCC101 STATS'!E121)/'OTHER CCC101 STATS'!E205</f>
        <v>0.156</v>
      </c>
      <c r="F78" s="95"/>
      <c r="G78" s="94">
        <f>('WIN STATS'!G121-'OTHER CCC101 STATS'!G121)/'OTHER CCC101 STATS'!G205</f>
        <v>0.157</v>
      </c>
      <c r="H78" s="19"/>
      <c r="I78" s="94">
        <f>('WIN STATS'!I121-'OTHER CCC101 STATS'!I121)/'OTHER CCC101 STATS'!I205</f>
        <v>0.159</v>
      </c>
      <c r="J78" s="19"/>
      <c r="K78" s="94">
        <f>('WIN STATS'!K121-'OTHER CCC101 STATS'!K121)/'OTHER CCC101 STATS'!K205</f>
        <v>0.153</v>
      </c>
      <c r="L78" s="19"/>
      <c r="M78" s="94">
        <f>('WIN STATS'!M121-'OTHER CCC101 STATS'!M121)/'OTHER CCC101 STATS'!M205</f>
        <v>0.154</v>
      </c>
      <c r="N78" s="19"/>
      <c r="O78" s="94">
        <f>('WIN STATS'!O121-'OTHER CCC101 STATS'!O121)/'OTHER CCC101 STATS'!O205</f>
        <v>0.153</v>
      </c>
      <c r="P78" s="19"/>
      <c r="Q78" s="94">
        <f>('WIN STATS'!Q121-'OTHER CCC101 STATS'!Q121)/'OTHER CCC101 STATS'!Q205</f>
        <v>0.153</v>
      </c>
      <c r="R78" s="19"/>
      <c r="S78" s="94">
        <f>('WIN STATS'!S121-'OTHER CCC101 STATS'!S121)/'OTHER CCC101 STATS'!S205</f>
        <v>0.155</v>
      </c>
      <c r="T78" s="19"/>
      <c r="U78" s="94">
        <f>('WIN STATS'!U121-'OTHER CCC101 STATS'!U121)/'OTHER CCC101 STATS'!U205</f>
        <v>0.149</v>
      </c>
      <c r="V78" s="19"/>
      <c r="W78" s="19"/>
      <c r="X78" s="19"/>
      <c r="Y78" s="19"/>
    </row>
    <row r="79" spans="1:25" ht="12">
      <c r="A79" s="84"/>
      <c r="B79" s="84"/>
      <c r="C79" s="96"/>
      <c r="D79" s="97"/>
      <c r="E79" s="96"/>
      <c r="F79" s="97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6" ht="12">
      <c r="A80" s="52" t="s">
        <v>45</v>
      </c>
      <c r="B80" s="84"/>
      <c r="C80" s="92"/>
      <c r="D80" s="84"/>
      <c r="E80" s="92"/>
      <c r="F80" s="84"/>
    </row>
    <row r="81" spans="1:6" ht="12.75" customHeight="1">
      <c r="A81" s="52" t="s">
        <v>73</v>
      </c>
      <c r="B81" s="84"/>
      <c r="C81" s="92"/>
      <c r="D81" s="84"/>
      <c r="E81" s="92"/>
      <c r="F81" s="84"/>
    </row>
    <row r="82" spans="1:6" ht="12">
      <c r="A82" s="52" t="s">
        <v>52</v>
      </c>
      <c r="B82" s="84"/>
      <c r="C82" s="92"/>
      <c r="D82" s="84"/>
      <c r="E82" s="92"/>
      <c r="F82" s="84"/>
    </row>
    <row r="83" spans="1:6" ht="12">
      <c r="A83" s="55" t="s">
        <v>80</v>
      </c>
      <c r="B83" s="84"/>
      <c r="C83" s="92"/>
      <c r="D83" s="84"/>
      <c r="E83" s="92"/>
      <c r="F83" s="84"/>
    </row>
    <row r="84" spans="1:6" ht="12">
      <c r="A84" s="56" t="s">
        <v>87</v>
      </c>
      <c r="B84" s="84"/>
      <c r="C84" s="92"/>
      <c r="D84" s="84"/>
      <c r="E84" s="92"/>
      <c r="F84" s="84"/>
    </row>
    <row r="85" spans="1:6" ht="12">
      <c r="A85" s="56" t="s">
        <v>89</v>
      </c>
      <c r="B85" s="84"/>
      <c r="C85" s="84"/>
      <c r="D85" s="84"/>
      <c r="E85" s="84"/>
      <c r="F85" s="84"/>
    </row>
    <row r="86" spans="1:6" ht="12">
      <c r="A86" s="56"/>
      <c r="B86" s="84"/>
      <c r="C86" s="84"/>
      <c r="D86" s="84"/>
      <c r="E86" s="84"/>
      <c r="F86" s="84"/>
    </row>
    <row r="87" spans="1:6" ht="12" customHeight="1">
      <c r="A87" s="56" t="s">
        <v>0</v>
      </c>
      <c r="B87" s="55"/>
      <c r="C87" s="84"/>
      <c r="D87" s="84"/>
      <c r="E87" s="84"/>
      <c r="F87" s="84"/>
    </row>
    <row r="88" spans="1:6" ht="12" customHeight="1">
      <c r="A88" s="89" t="s">
        <v>43</v>
      </c>
      <c r="B88" s="84"/>
      <c r="C88" s="84"/>
      <c r="D88" s="84"/>
      <c r="E88" s="84"/>
      <c r="F88" s="84"/>
    </row>
    <row r="89" spans="1:6" ht="12" customHeight="1">
      <c r="A89" s="93" t="str">
        <f>A3</f>
        <v>2000 - 2009</v>
      </c>
      <c r="B89" s="97"/>
      <c r="C89" s="97"/>
      <c r="D89" s="84"/>
      <c r="E89" s="84"/>
      <c r="F89" s="84"/>
    </row>
    <row r="90" spans="1:6" ht="12">
      <c r="A90" s="83" t="s">
        <v>1</v>
      </c>
      <c r="B90" s="92"/>
      <c r="C90" s="84"/>
      <c r="D90" s="84"/>
      <c r="E90" s="84"/>
      <c r="F90" s="84"/>
    </row>
    <row r="91" spans="1:6" ht="12">
      <c r="A91" s="83"/>
      <c r="B91" s="92"/>
      <c r="C91" s="84"/>
      <c r="D91" s="84"/>
      <c r="E91" s="84"/>
      <c r="F91" s="84"/>
    </row>
    <row r="92" spans="1:6" ht="12">
      <c r="A92" s="41"/>
      <c r="B92" s="84"/>
      <c r="C92" s="84"/>
      <c r="D92" s="84"/>
      <c r="E92" s="84"/>
      <c r="F92" s="84"/>
    </row>
    <row r="93" spans="1:21" ht="12">
      <c r="A93" s="84"/>
      <c r="B93" s="84"/>
      <c r="C93" s="86">
        <v>2000</v>
      </c>
      <c r="D93" s="84"/>
      <c r="E93" s="86">
        <v>2001</v>
      </c>
      <c r="F93" s="84"/>
      <c r="G93" s="86">
        <v>2002</v>
      </c>
      <c r="I93" s="86">
        <v>2003</v>
      </c>
      <c r="K93" s="86">
        <v>2004</v>
      </c>
      <c r="M93" s="86">
        <v>2005</v>
      </c>
      <c r="O93" s="46">
        <v>2006</v>
      </c>
      <c r="Q93" s="46">
        <v>2007</v>
      </c>
      <c r="S93" s="46">
        <v>2008</v>
      </c>
      <c r="U93" s="46">
        <v>2009</v>
      </c>
    </row>
    <row r="94" spans="1:11" ht="12">
      <c r="A94" s="84"/>
      <c r="B94" s="84"/>
      <c r="C94" s="98"/>
      <c r="D94" s="84"/>
      <c r="E94" s="84"/>
      <c r="F94" s="84"/>
      <c r="G94" s="84"/>
      <c r="I94" s="84"/>
      <c r="K94" s="84"/>
    </row>
    <row r="95" spans="1:21" ht="12">
      <c r="A95" s="83" t="s">
        <v>79</v>
      </c>
      <c r="B95" s="84"/>
      <c r="C95" s="63">
        <v>0</v>
      </c>
      <c r="D95" s="84"/>
      <c r="E95" s="63">
        <v>0</v>
      </c>
      <c r="F95" s="84"/>
      <c r="G95" s="63">
        <v>0</v>
      </c>
      <c r="I95" s="63">
        <v>0</v>
      </c>
      <c r="K95" s="63">
        <v>0</v>
      </c>
      <c r="M95" s="63">
        <v>74</v>
      </c>
      <c r="O95" s="63">
        <v>2364</v>
      </c>
      <c r="Q95" s="63">
        <v>2342</v>
      </c>
      <c r="S95" s="63">
        <v>1807</v>
      </c>
      <c r="U95" s="63">
        <v>462</v>
      </c>
    </row>
    <row r="96" spans="1:21" ht="12">
      <c r="A96" s="84"/>
      <c r="B96" s="84"/>
      <c r="C96" s="66"/>
      <c r="D96" s="84"/>
      <c r="E96" s="66"/>
      <c r="F96" s="84"/>
      <c r="G96" s="66"/>
      <c r="I96" s="66"/>
      <c r="K96" s="66"/>
      <c r="M96" s="63"/>
      <c r="O96" s="63"/>
      <c r="U96" s="10" t="s">
        <v>10</v>
      </c>
    </row>
    <row r="97" spans="1:21" ht="12">
      <c r="A97" s="83" t="s">
        <v>53</v>
      </c>
      <c r="B97" s="84"/>
      <c r="C97" s="66">
        <v>1217</v>
      </c>
      <c r="D97" s="84"/>
      <c r="E97" s="66">
        <v>1440</v>
      </c>
      <c r="F97" s="84"/>
      <c r="G97" s="66">
        <v>1755</v>
      </c>
      <c r="I97" s="66">
        <v>1893</v>
      </c>
      <c r="K97" s="66">
        <v>2972</v>
      </c>
      <c r="M97" s="66">
        <v>4106</v>
      </c>
      <c r="O97" s="66">
        <v>4139</v>
      </c>
      <c r="Q97" s="66">
        <v>3778</v>
      </c>
      <c r="S97" s="66">
        <v>4139</v>
      </c>
      <c r="U97" s="66">
        <v>4331</v>
      </c>
    </row>
    <row r="98" spans="1:21" ht="12">
      <c r="A98" s="83"/>
      <c r="B98" s="84"/>
      <c r="C98" s="66"/>
      <c r="D98" s="84"/>
      <c r="E98" s="66"/>
      <c r="F98" s="84"/>
      <c r="G98" s="66"/>
      <c r="I98" s="66"/>
      <c r="K98" s="66"/>
      <c r="M98" s="66"/>
      <c r="O98" s="66"/>
      <c r="Q98" s="66"/>
      <c r="S98" s="66"/>
      <c r="U98" s="66"/>
    </row>
    <row r="99" spans="1:21" ht="12">
      <c r="A99" s="83" t="s">
        <v>86</v>
      </c>
      <c r="B99" s="84"/>
      <c r="C99" s="87" t="s">
        <v>85</v>
      </c>
      <c r="D99" s="84"/>
      <c r="E99" s="87" t="s">
        <v>85</v>
      </c>
      <c r="F99" s="84"/>
      <c r="G99" s="87" t="s">
        <v>85</v>
      </c>
      <c r="I99" s="66">
        <v>4691</v>
      </c>
      <c r="K99" s="66">
        <v>14773</v>
      </c>
      <c r="M99" s="66">
        <v>17911</v>
      </c>
      <c r="O99" s="66">
        <v>23265</v>
      </c>
      <c r="Q99" s="66">
        <v>30764</v>
      </c>
      <c r="S99" s="66">
        <v>31032</v>
      </c>
      <c r="U99" s="66">
        <v>28834</v>
      </c>
    </row>
    <row r="100" spans="1:21" ht="12">
      <c r="A100" s="84"/>
      <c r="B100" s="84"/>
      <c r="C100" s="66"/>
      <c r="D100" s="84"/>
      <c r="E100" s="66"/>
      <c r="F100" s="84"/>
      <c r="G100" s="66"/>
      <c r="I100" s="66"/>
      <c r="K100" s="66"/>
      <c r="M100" s="66"/>
      <c r="O100" s="66"/>
      <c r="Q100" s="66"/>
      <c r="S100" s="66"/>
      <c r="U100" s="66"/>
    </row>
    <row r="101" spans="1:21" ht="12">
      <c r="A101" s="83" t="s">
        <v>2</v>
      </c>
      <c r="B101" s="84"/>
      <c r="C101" s="66">
        <v>1170</v>
      </c>
      <c r="D101" s="84"/>
      <c r="E101" s="66">
        <v>343</v>
      </c>
      <c r="F101" s="84"/>
      <c r="G101" s="66">
        <v>0</v>
      </c>
      <c r="I101" s="66">
        <v>0</v>
      </c>
      <c r="K101" s="66">
        <v>0</v>
      </c>
      <c r="M101" s="66">
        <v>2049</v>
      </c>
      <c r="O101" s="66">
        <v>5457</v>
      </c>
      <c r="Q101" s="66">
        <v>7362</v>
      </c>
      <c r="S101" s="66">
        <v>7860</v>
      </c>
      <c r="U101" s="66">
        <v>7526</v>
      </c>
    </row>
    <row r="102" spans="1:21" ht="12">
      <c r="A102" s="84"/>
      <c r="B102" s="84"/>
      <c r="C102" s="66"/>
      <c r="D102" s="84"/>
      <c r="E102" s="66"/>
      <c r="F102" s="84"/>
      <c r="G102" s="66"/>
      <c r="I102" s="66"/>
      <c r="K102" s="66"/>
      <c r="M102" s="66"/>
      <c r="O102" s="66"/>
      <c r="Q102" s="66"/>
      <c r="S102" s="66"/>
      <c r="U102" s="66"/>
    </row>
    <row r="103" spans="1:21" ht="12">
      <c r="A103" s="83" t="s">
        <v>54</v>
      </c>
      <c r="B103" s="84"/>
      <c r="C103" s="66">
        <v>0</v>
      </c>
      <c r="D103" s="84"/>
      <c r="E103" s="66">
        <v>0</v>
      </c>
      <c r="F103" s="84"/>
      <c r="G103" s="66">
        <v>0</v>
      </c>
      <c r="I103" s="87" t="s">
        <v>85</v>
      </c>
      <c r="K103" s="87" t="s">
        <v>85</v>
      </c>
      <c r="M103" s="87" t="s">
        <v>85</v>
      </c>
      <c r="O103" s="87" t="s">
        <v>85</v>
      </c>
      <c r="Q103" s="87" t="s">
        <v>85</v>
      </c>
      <c r="S103" s="87" t="s">
        <v>85</v>
      </c>
      <c r="U103" s="87" t="s">
        <v>85</v>
      </c>
    </row>
    <row r="104" spans="1:21" ht="12">
      <c r="A104" s="84"/>
      <c r="B104" s="84"/>
      <c r="C104" s="66"/>
      <c r="D104" s="84"/>
      <c r="E104" s="66"/>
      <c r="F104" s="84"/>
      <c r="G104" s="66"/>
      <c r="I104" s="66"/>
      <c r="K104" s="66"/>
      <c r="M104" s="66"/>
      <c r="O104" s="66"/>
      <c r="Q104" s="66"/>
      <c r="S104" s="66"/>
      <c r="U104" s="66"/>
    </row>
    <row r="105" spans="1:21" ht="12">
      <c r="A105" s="83" t="s">
        <v>3</v>
      </c>
      <c r="B105" s="84"/>
      <c r="C105" s="66">
        <v>1263</v>
      </c>
      <c r="D105" s="84"/>
      <c r="E105" s="66">
        <v>1167</v>
      </c>
      <c r="F105" s="84"/>
      <c r="G105" s="66">
        <v>946</v>
      </c>
      <c r="I105" s="66">
        <v>987</v>
      </c>
      <c r="K105" s="66">
        <v>1604</v>
      </c>
      <c r="M105" s="66">
        <v>3482</v>
      </c>
      <c r="O105" s="66">
        <v>4016</v>
      </c>
      <c r="Q105" s="66">
        <v>4158</v>
      </c>
      <c r="S105" s="66">
        <v>5969</v>
      </c>
      <c r="U105" s="66">
        <v>7353</v>
      </c>
    </row>
    <row r="106" spans="1:21" ht="12">
      <c r="A106" s="84"/>
      <c r="B106" s="84"/>
      <c r="C106" s="66"/>
      <c r="D106" s="84"/>
      <c r="E106" s="66"/>
      <c r="F106" s="84"/>
      <c r="G106" s="66"/>
      <c r="I106" s="66"/>
      <c r="K106" s="66"/>
      <c r="M106" s="66"/>
      <c r="O106" s="66"/>
      <c r="Q106" s="66"/>
      <c r="S106" s="66"/>
      <c r="U106" s="66"/>
    </row>
    <row r="107" spans="1:21" ht="12">
      <c r="A107" s="83" t="s">
        <v>4</v>
      </c>
      <c r="B107" s="84"/>
      <c r="C107" s="66">
        <v>0</v>
      </c>
      <c r="D107" s="84"/>
      <c r="E107" s="66">
        <v>0</v>
      </c>
      <c r="F107" s="84"/>
      <c r="G107" s="66">
        <v>0</v>
      </c>
      <c r="I107" s="66">
        <v>0</v>
      </c>
      <c r="K107" s="66">
        <v>0</v>
      </c>
      <c r="M107" s="66">
        <v>745</v>
      </c>
      <c r="O107" s="66">
        <v>808</v>
      </c>
      <c r="Q107" s="66">
        <v>703</v>
      </c>
      <c r="S107" s="66">
        <v>285</v>
      </c>
      <c r="U107" s="66">
        <v>75</v>
      </c>
    </row>
    <row r="108" spans="1:21" ht="12">
      <c r="A108" s="84"/>
      <c r="B108" s="84"/>
      <c r="C108" s="66"/>
      <c r="D108" s="84"/>
      <c r="E108" s="66"/>
      <c r="F108" s="84"/>
      <c r="G108" s="66"/>
      <c r="I108" s="66"/>
      <c r="K108" s="66" t="s">
        <v>10</v>
      </c>
      <c r="M108" s="66"/>
      <c r="O108" s="66"/>
      <c r="Q108" s="66"/>
      <c r="S108" s="66"/>
      <c r="U108" s="66"/>
    </row>
    <row r="109" spans="1:21" ht="12">
      <c r="A109" s="40" t="s">
        <v>90</v>
      </c>
      <c r="B109" s="84"/>
      <c r="C109" s="66">
        <v>2230</v>
      </c>
      <c r="D109" s="84"/>
      <c r="E109" s="66">
        <v>1819</v>
      </c>
      <c r="F109" s="84"/>
      <c r="G109" s="66">
        <v>715</v>
      </c>
      <c r="I109" s="66">
        <v>709</v>
      </c>
      <c r="K109" s="66">
        <v>983</v>
      </c>
      <c r="M109" s="66">
        <v>931</v>
      </c>
      <c r="O109" s="66">
        <v>666</v>
      </c>
      <c r="Q109" s="87" t="s">
        <v>85</v>
      </c>
      <c r="S109" s="87" t="s">
        <v>85</v>
      </c>
      <c r="U109" s="87" t="s">
        <v>85</v>
      </c>
    </row>
    <row r="110" spans="1:21" ht="12">
      <c r="A110" s="84"/>
      <c r="B110" s="84"/>
      <c r="C110" s="66"/>
      <c r="D110" s="84"/>
      <c r="E110" s="66"/>
      <c r="F110" s="84"/>
      <c r="G110" s="66"/>
      <c r="I110" s="66"/>
      <c r="K110" s="66"/>
      <c r="M110" s="66"/>
      <c r="O110" s="66"/>
      <c r="Q110" s="66"/>
      <c r="S110" s="66"/>
      <c r="U110" s="66"/>
    </row>
    <row r="111" spans="1:21" ht="12">
      <c r="A111" s="83" t="s">
        <v>5</v>
      </c>
      <c r="B111" s="84"/>
      <c r="C111" s="66">
        <v>0</v>
      </c>
      <c r="D111" s="84"/>
      <c r="E111" s="66">
        <v>0</v>
      </c>
      <c r="F111" s="84"/>
      <c r="G111" s="66">
        <v>0</v>
      </c>
      <c r="I111" s="66">
        <v>0</v>
      </c>
      <c r="K111" s="66">
        <v>0</v>
      </c>
      <c r="M111" s="66">
        <v>1340</v>
      </c>
      <c r="O111" s="66">
        <v>2923</v>
      </c>
      <c r="Q111" s="66">
        <v>3809</v>
      </c>
      <c r="S111" s="66">
        <v>4351</v>
      </c>
      <c r="U111" s="66">
        <v>4614</v>
      </c>
    </row>
    <row r="112" spans="1:21" ht="12">
      <c r="A112" s="84"/>
      <c r="B112" s="84"/>
      <c r="C112" s="66"/>
      <c r="D112" s="84"/>
      <c r="E112" s="66"/>
      <c r="F112" s="84"/>
      <c r="G112" s="66"/>
      <c r="I112" s="66"/>
      <c r="K112" s="66"/>
      <c r="M112" s="66"/>
      <c r="O112" s="66"/>
      <c r="Q112" s="66"/>
      <c r="S112" s="66"/>
      <c r="U112" s="66"/>
    </row>
    <row r="113" spans="1:21" ht="12">
      <c r="A113" s="89" t="s">
        <v>6</v>
      </c>
      <c r="B113" s="84"/>
      <c r="C113" s="66">
        <v>9828</v>
      </c>
      <c r="D113" s="84"/>
      <c r="E113" s="66">
        <v>8648</v>
      </c>
      <c r="F113" s="84"/>
      <c r="G113" s="66">
        <v>8637</v>
      </c>
      <c r="I113" s="66">
        <v>8499</v>
      </c>
      <c r="K113" s="66">
        <v>9781</v>
      </c>
      <c r="M113" s="66">
        <v>12710</v>
      </c>
      <c r="O113" s="66">
        <v>11757</v>
      </c>
      <c r="Q113" s="66">
        <v>10065</v>
      </c>
      <c r="S113" s="66">
        <v>7950</v>
      </c>
      <c r="U113" s="66">
        <v>7083</v>
      </c>
    </row>
    <row r="114" spans="1:21" ht="12">
      <c r="A114" s="84"/>
      <c r="B114" s="84"/>
      <c r="C114" s="66"/>
      <c r="D114" s="84"/>
      <c r="E114" s="66"/>
      <c r="F114" s="84"/>
      <c r="G114" s="66"/>
      <c r="I114" s="66"/>
      <c r="K114" s="66"/>
      <c r="M114" s="66"/>
      <c r="O114" s="66"/>
      <c r="Q114" s="66"/>
      <c r="S114" s="66"/>
      <c r="U114" s="66"/>
    </row>
    <row r="115" spans="1:21" ht="12">
      <c r="A115" s="83" t="s">
        <v>24</v>
      </c>
      <c r="B115" s="84"/>
      <c r="C115" s="66">
        <v>0</v>
      </c>
      <c r="D115" s="84"/>
      <c r="E115" s="66">
        <v>0</v>
      </c>
      <c r="F115" s="84"/>
      <c r="G115" s="66">
        <v>0</v>
      </c>
      <c r="I115" s="66">
        <v>0</v>
      </c>
      <c r="K115" s="66">
        <v>0</v>
      </c>
      <c r="M115" s="66">
        <v>0</v>
      </c>
      <c r="O115" s="66">
        <v>0</v>
      </c>
      <c r="Q115" s="66">
        <v>0</v>
      </c>
      <c r="S115" s="66">
        <v>0</v>
      </c>
      <c r="U115" s="66">
        <v>0</v>
      </c>
    </row>
    <row r="116" spans="1:21" ht="12">
      <c r="A116" s="84"/>
      <c r="B116" s="84"/>
      <c r="C116" s="66"/>
      <c r="D116" s="84"/>
      <c r="E116" s="66"/>
      <c r="F116" s="84"/>
      <c r="G116" s="66"/>
      <c r="I116" s="66"/>
      <c r="K116" s="66"/>
      <c r="M116" s="66"/>
      <c r="O116" s="66"/>
      <c r="Q116" s="66" t="s">
        <v>10</v>
      </c>
      <c r="S116" s="66"/>
      <c r="U116" s="66"/>
    </row>
    <row r="117" spans="1:21" ht="12">
      <c r="A117" s="83" t="s">
        <v>7</v>
      </c>
      <c r="B117" s="84"/>
      <c r="C117" s="66">
        <v>0</v>
      </c>
      <c r="D117" s="84"/>
      <c r="E117" s="66">
        <v>0</v>
      </c>
      <c r="F117" s="84"/>
      <c r="G117" s="66">
        <v>0</v>
      </c>
      <c r="I117" s="66">
        <v>0</v>
      </c>
      <c r="K117" s="66">
        <v>0</v>
      </c>
      <c r="M117" s="66">
        <v>0</v>
      </c>
      <c r="O117" s="66">
        <v>0</v>
      </c>
      <c r="Q117" s="66">
        <v>0</v>
      </c>
      <c r="S117" s="66">
        <v>221</v>
      </c>
      <c r="U117" s="66">
        <v>0</v>
      </c>
    </row>
    <row r="118" spans="1:21" ht="12">
      <c r="A118" s="84"/>
      <c r="B118" s="84"/>
      <c r="C118" s="66"/>
      <c r="D118" s="84"/>
      <c r="E118" s="66"/>
      <c r="F118" s="84"/>
      <c r="G118" s="66"/>
      <c r="I118" s="66"/>
      <c r="K118" s="66"/>
      <c r="M118" s="66"/>
      <c r="O118" s="66"/>
      <c r="Q118" s="66"/>
      <c r="S118" s="66"/>
      <c r="U118" s="66"/>
    </row>
    <row r="119" spans="1:21" ht="12">
      <c r="A119" s="83" t="s">
        <v>8</v>
      </c>
      <c r="B119" s="84"/>
      <c r="C119" s="69">
        <v>19931</v>
      </c>
      <c r="D119" s="84"/>
      <c r="E119" s="69">
        <v>20968</v>
      </c>
      <c r="F119" s="84"/>
      <c r="G119" s="69">
        <v>20455</v>
      </c>
      <c r="I119" s="69">
        <v>20310</v>
      </c>
      <c r="K119" s="69">
        <v>22831</v>
      </c>
      <c r="M119" s="69">
        <v>23668</v>
      </c>
      <c r="O119" s="69">
        <v>21921</v>
      </c>
      <c r="Q119" s="69">
        <v>21169</v>
      </c>
      <c r="S119" s="69">
        <v>18754</v>
      </c>
      <c r="U119" s="69">
        <v>17879</v>
      </c>
    </row>
    <row r="120" spans="1:11" ht="12">
      <c r="A120" s="84"/>
      <c r="B120" s="84"/>
      <c r="C120" s="84"/>
      <c r="D120" s="84"/>
      <c r="E120" s="84"/>
      <c r="F120" s="84"/>
      <c r="G120" s="84"/>
      <c r="I120" s="84"/>
      <c r="K120" s="84"/>
    </row>
    <row r="121" spans="1:21" ht="12.75" thickBot="1">
      <c r="A121" s="83" t="s">
        <v>17</v>
      </c>
      <c r="B121" s="84"/>
      <c r="C121" s="99">
        <f>SUM(C95:C119)</f>
        <v>35639</v>
      </c>
      <c r="D121" s="100"/>
      <c r="E121" s="99">
        <f>SUM(E95:E119)</f>
        <v>34385</v>
      </c>
      <c r="F121" s="100"/>
      <c r="G121" s="99">
        <f>SUM(G95:G119)</f>
        <v>32508</v>
      </c>
      <c r="I121" s="99">
        <f>SUM(I95:I119)</f>
        <v>37089</v>
      </c>
      <c r="K121" s="99">
        <f>SUM(K95:K119)</f>
        <v>52944</v>
      </c>
      <c r="M121" s="99">
        <f>SUM(M95:M119)</f>
        <v>67016</v>
      </c>
      <c r="O121" s="99">
        <f>SUM(O95:O119)</f>
        <v>77316</v>
      </c>
      <c r="Q121" s="99">
        <f>SUM(Q95:Q119)</f>
        <v>84150</v>
      </c>
      <c r="S121" s="99">
        <f>SUM(S95:S119)</f>
        <v>82368</v>
      </c>
      <c r="U121" s="99">
        <f>SUM(U95:U119)</f>
        <v>78157</v>
      </c>
    </row>
    <row r="122" spans="1:6" ht="12.75" thickTop="1">
      <c r="A122" s="83"/>
      <c r="B122" s="84"/>
      <c r="C122" s="92"/>
      <c r="D122" s="84"/>
      <c r="E122" s="92"/>
      <c r="F122" s="84"/>
    </row>
    <row r="123" spans="1:6" ht="12">
      <c r="A123" s="52" t="s">
        <v>45</v>
      </c>
      <c r="B123" s="84"/>
      <c r="C123" s="84"/>
      <c r="D123" s="84"/>
      <c r="E123" s="84"/>
      <c r="F123" s="84"/>
    </row>
    <row r="124" spans="1:6" ht="12" customHeight="1">
      <c r="A124" s="52" t="s">
        <v>73</v>
      </c>
      <c r="B124" s="84"/>
      <c r="C124" s="84"/>
      <c r="D124" s="84"/>
      <c r="E124" s="84"/>
      <c r="F124" s="84"/>
    </row>
    <row r="125" spans="1:6" ht="12" customHeight="1">
      <c r="A125" s="52" t="s">
        <v>52</v>
      </c>
      <c r="B125" s="84"/>
      <c r="C125" s="84"/>
      <c r="D125" s="84"/>
      <c r="E125" s="84"/>
      <c r="F125" s="84"/>
    </row>
    <row r="126" spans="1:6" ht="12" customHeight="1">
      <c r="A126" s="55" t="s">
        <v>80</v>
      </c>
      <c r="B126" s="84"/>
      <c r="C126" s="84"/>
      <c r="D126" s="84"/>
      <c r="E126" s="84"/>
      <c r="F126" s="84"/>
    </row>
    <row r="127" spans="1:6" ht="12">
      <c r="A127" s="56" t="s">
        <v>87</v>
      </c>
      <c r="B127" s="84"/>
      <c r="C127" s="84"/>
      <c r="D127" s="84"/>
      <c r="E127" s="84"/>
      <c r="F127" s="84"/>
    </row>
    <row r="128" spans="1:6" ht="12">
      <c r="A128" s="56" t="s">
        <v>89</v>
      </c>
      <c r="B128" s="84"/>
      <c r="C128" s="84"/>
      <c r="D128" s="84"/>
      <c r="E128" s="84"/>
      <c r="F128" s="84"/>
    </row>
    <row r="129" spans="1:6" ht="12">
      <c r="A129" s="56"/>
      <c r="B129" s="84"/>
      <c r="C129" s="84"/>
      <c r="D129" s="84"/>
      <c r="E129" s="84"/>
      <c r="F129" s="84"/>
    </row>
    <row r="130" spans="1:6" ht="12">
      <c r="A130" s="56" t="s">
        <v>0</v>
      </c>
      <c r="B130" s="55"/>
      <c r="C130" s="55"/>
      <c r="D130" s="55"/>
      <c r="E130" s="55"/>
      <c r="F130" s="55"/>
    </row>
    <row r="131" spans="1:6" ht="12">
      <c r="A131" s="56" t="s">
        <v>20</v>
      </c>
      <c r="B131" s="55"/>
      <c r="C131" s="55"/>
      <c r="D131" s="55"/>
      <c r="E131" s="55"/>
      <c r="F131" s="55"/>
    </row>
    <row r="132" spans="1:6" ht="12">
      <c r="A132" s="58" t="str">
        <f>A3</f>
        <v>2000 - 2009</v>
      </c>
      <c r="B132" s="75"/>
      <c r="C132" s="75"/>
      <c r="D132" s="55"/>
      <c r="E132" s="55"/>
      <c r="F132" s="55"/>
    </row>
    <row r="133" spans="1:6" ht="12">
      <c r="A133" s="101" t="s">
        <v>1</v>
      </c>
      <c r="B133" s="60"/>
      <c r="C133" s="55"/>
      <c r="D133" s="55"/>
      <c r="E133" s="55"/>
      <c r="F133" s="55"/>
    </row>
    <row r="134" spans="1:6" ht="12">
      <c r="A134" s="55"/>
      <c r="B134" s="55"/>
      <c r="C134" s="55"/>
      <c r="D134" s="55"/>
      <c r="E134" s="55"/>
      <c r="F134" s="55"/>
    </row>
    <row r="135" spans="1:21" ht="12">
      <c r="A135" s="55"/>
      <c r="B135" s="55"/>
      <c r="C135" s="62">
        <v>2000</v>
      </c>
      <c r="D135" s="80"/>
      <c r="E135" s="62">
        <v>2001</v>
      </c>
      <c r="F135" s="55"/>
      <c r="G135" s="62">
        <v>2002</v>
      </c>
      <c r="I135" s="62">
        <v>2003</v>
      </c>
      <c r="K135" s="62">
        <v>2004</v>
      </c>
      <c r="M135" s="62">
        <v>2005</v>
      </c>
      <c r="O135" s="46">
        <v>2006</v>
      </c>
      <c r="Q135" s="46">
        <v>2007</v>
      </c>
      <c r="S135" s="46">
        <v>2008</v>
      </c>
      <c r="U135" s="46">
        <v>2009</v>
      </c>
    </row>
    <row r="136" spans="1:11" ht="12">
      <c r="A136" s="55"/>
      <c r="B136" s="55"/>
      <c r="C136" s="55"/>
      <c r="D136" s="55"/>
      <c r="E136" s="55"/>
      <c r="F136" s="55"/>
      <c r="G136" s="55"/>
      <c r="I136" s="55"/>
      <c r="K136" s="55"/>
    </row>
    <row r="137" spans="1:21" ht="12">
      <c r="A137" s="83" t="s">
        <v>79</v>
      </c>
      <c r="B137" s="55"/>
      <c r="C137" s="102">
        <v>2661324</v>
      </c>
      <c r="D137" s="64"/>
      <c r="E137" s="63">
        <v>2764945</v>
      </c>
      <c r="F137" s="55"/>
      <c r="G137" s="63">
        <v>2702158</v>
      </c>
      <c r="I137" s="63">
        <v>2629727</v>
      </c>
      <c r="K137" s="63">
        <v>2511022</v>
      </c>
      <c r="M137" s="63">
        <v>2593597</v>
      </c>
      <c r="O137" s="63">
        <v>2815796</v>
      </c>
      <c r="Q137" s="63">
        <v>2507671</v>
      </c>
      <c r="S137" s="63">
        <v>2058167</v>
      </c>
      <c r="U137" s="63">
        <v>1614750</v>
      </c>
    </row>
    <row r="138" spans="1:11" ht="12">
      <c r="A138" s="84"/>
      <c r="B138" s="55"/>
      <c r="C138" s="55"/>
      <c r="D138" s="64"/>
      <c r="E138" s="66"/>
      <c r="F138" s="55"/>
      <c r="G138" s="66"/>
      <c r="I138" s="66"/>
      <c r="K138" s="66" t="s">
        <v>10</v>
      </c>
    </row>
    <row r="139" spans="1:21" ht="12">
      <c r="A139" s="83" t="s">
        <v>53</v>
      </c>
      <c r="B139" s="55"/>
      <c r="C139" s="55">
        <v>4614942</v>
      </c>
      <c r="D139" s="64"/>
      <c r="E139" s="66">
        <v>4629239</v>
      </c>
      <c r="F139" s="55"/>
      <c r="G139" s="66">
        <v>4814511</v>
      </c>
      <c r="I139" s="66">
        <v>6184274</v>
      </c>
      <c r="K139" s="66">
        <v>5789359</v>
      </c>
      <c r="M139" s="66">
        <v>5658229</v>
      </c>
      <c r="O139" s="66">
        <v>5842146</v>
      </c>
      <c r="Q139" s="66">
        <v>5235807</v>
      </c>
      <c r="S139" s="66">
        <v>4324895</v>
      </c>
      <c r="U139" s="66">
        <v>3412331</v>
      </c>
    </row>
    <row r="140" spans="1:21" ht="12">
      <c r="A140" s="83"/>
      <c r="B140" s="55"/>
      <c r="C140" s="55"/>
      <c r="D140" s="64"/>
      <c r="E140" s="66"/>
      <c r="F140" s="55"/>
      <c r="G140" s="66"/>
      <c r="I140" s="66"/>
      <c r="K140" s="66"/>
      <c r="M140" s="66"/>
      <c r="O140" s="66"/>
      <c r="Q140" s="66"/>
      <c r="S140" s="66"/>
      <c r="U140" s="66"/>
    </row>
    <row r="141" spans="1:21" ht="12">
      <c r="A141" s="83" t="s">
        <v>86</v>
      </c>
      <c r="B141" s="55"/>
      <c r="C141" s="87" t="s">
        <v>85</v>
      </c>
      <c r="D141" s="64"/>
      <c r="E141" s="87" t="s">
        <v>85</v>
      </c>
      <c r="F141" s="55"/>
      <c r="G141" s="87" t="s">
        <v>85</v>
      </c>
      <c r="I141" s="66">
        <v>2090914</v>
      </c>
      <c r="K141" s="66">
        <v>5230650</v>
      </c>
      <c r="M141" s="66">
        <v>5881621</v>
      </c>
      <c r="O141" s="66">
        <v>6233986</v>
      </c>
      <c r="Q141" s="66">
        <v>5865361</v>
      </c>
      <c r="S141" s="66">
        <v>5728576</v>
      </c>
      <c r="U141" s="66">
        <v>5203167</v>
      </c>
    </row>
    <row r="142" spans="1:21" ht="12">
      <c r="A142" s="84"/>
      <c r="B142" s="55"/>
      <c r="C142" s="55"/>
      <c r="D142" s="64"/>
      <c r="E142" s="66"/>
      <c r="F142" s="55"/>
      <c r="G142" s="66"/>
      <c r="I142" s="66"/>
      <c r="K142" s="66"/>
      <c r="M142" s="66"/>
      <c r="O142" s="66"/>
      <c r="Q142" s="66"/>
      <c r="S142" s="66"/>
      <c r="U142" s="66"/>
    </row>
    <row r="143" spans="1:21" ht="12">
      <c r="A143" s="83" t="s">
        <v>2</v>
      </c>
      <c r="B143" s="55"/>
      <c r="C143" s="55">
        <v>3853135</v>
      </c>
      <c r="D143" s="64"/>
      <c r="E143" s="66">
        <v>4084363</v>
      </c>
      <c r="F143" s="55"/>
      <c r="G143" s="66">
        <v>4415537</v>
      </c>
      <c r="I143" s="66">
        <v>4441714</v>
      </c>
      <c r="K143" s="66">
        <v>4076009</v>
      </c>
      <c r="M143" s="66">
        <v>4058668</v>
      </c>
      <c r="O143" s="66">
        <v>4114303</v>
      </c>
      <c r="Q143" s="66">
        <v>4179160</v>
      </c>
      <c r="S143" s="66">
        <v>3599120</v>
      </c>
      <c r="U143" s="66">
        <v>3019030</v>
      </c>
    </row>
    <row r="144" spans="1:21" ht="12">
      <c r="A144" s="84"/>
      <c r="B144" s="55"/>
      <c r="C144" s="55"/>
      <c r="D144" s="64"/>
      <c r="E144" s="66"/>
      <c r="F144" s="55"/>
      <c r="G144" s="66"/>
      <c r="I144" s="66"/>
      <c r="K144" s="66"/>
      <c r="M144" s="66"/>
      <c r="O144" s="66"/>
      <c r="Q144" s="66"/>
      <c r="S144" s="66"/>
      <c r="U144" s="66"/>
    </row>
    <row r="145" spans="1:21" ht="12">
      <c r="A145" s="83" t="s">
        <v>54</v>
      </c>
      <c r="B145" s="55"/>
      <c r="C145" s="55">
        <v>1463533</v>
      </c>
      <c r="D145" s="55"/>
      <c r="E145" s="66">
        <v>1424240</v>
      </c>
      <c r="F145" s="171"/>
      <c r="G145" s="66">
        <v>1369300</v>
      </c>
      <c r="I145" s="87" t="s">
        <v>85</v>
      </c>
      <c r="K145" s="87" t="s">
        <v>85</v>
      </c>
      <c r="M145" s="87" t="s">
        <v>85</v>
      </c>
      <c r="O145" s="87" t="s">
        <v>85</v>
      </c>
      <c r="Q145" s="87" t="s">
        <v>85</v>
      </c>
      <c r="S145" s="87" t="s">
        <v>85</v>
      </c>
      <c r="U145" s="87" t="s">
        <v>85</v>
      </c>
    </row>
    <row r="146" spans="1:21" ht="12">
      <c r="A146" s="84"/>
      <c r="B146" s="55"/>
      <c r="C146" s="55"/>
      <c r="D146" s="55"/>
      <c r="E146" s="66"/>
      <c r="F146" s="55"/>
      <c r="G146" s="66"/>
      <c r="I146" s="66"/>
      <c r="K146" s="66"/>
      <c r="M146" s="66"/>
      <c r="O146" s="66"/>
      <c r="Q146" s="66"/>
      <c r="S146" s="66"/>
      <c r="U146" s="66"/>
    </row>
    <row r="147" spans="1:21" ht="12">
      <c r="A147" s="83" t="s">
        <v>3</v>
      </c>
      <c r="B147" s="55"/>
      <c r="C147" s="55">
        <v>4534923</v>
      </c>
      <c r="D147" s="55"/>
      <c r="E147" s="66">
        <v>4621657</v>
      </c>
      <c r="F147" s="55"/>
      <c r="G147" s="66">
        <v>5018115</v>
      </c>
      <c r="I147" s="66">
        <v>4996316</v>
      </c>
      <c r="K147" s="66">
        <v>5053069</v>
      </c>
      <c r="M147" s="66">
        <v>5076899</v>
      </c>
      <c r="O147" s="66">
        <v>5472120</v>
      </c>
      <c r="Q147" s="66">
        <v>5415014</v>
      </c>
      <c r="S147" s="66">
        <v>5069116</v>
      </c>
      <c r="U147" s="66">
        <v>4497017</v>
      </c>
    </row>
    <row r="148" spans="1:21" ht="12">
      <c r="A148" s="84"/>
      <c r="B148" s="55"/>
      <c r="C148" s="55"/>
      <c r="D148" s="55"/>
      <c r="E148" s="66"/>
      <c r="F148" s="55"/>
      <c r="G148" s="66"/>
      <c r="I148" s="66"/>
      <c r="K148" s="66"/>
      <c r="M148" s="66"/>
      <c r="O148" s="66"/>
      <c r="Q148" s="66"/>
      <c r="S148" s="66"/>
      <c r="U148" s="66"/>
    </row>
    <row r="149" spans="1:21" ht="12">
      <c r="A149" s="83" t="s">
        <v>4</v>
      </c>
      <c r="B149" s="55"/>
      <c r="C149" s="55">
        <v>1924629</v>
      </c>
      <c r="D149" s="55"/>
      <c r="E149" s="66">
        <v>2171288</v>
      </c>
      <c r="F149" s="55"/>
      <c r="G149" s="66">
        <v>2489342</v>
      </c>
      <c r="I149" s="66">
        <v>2193788</v>
      </c>
      <c r="K149" s="66">
        <v>2316207</v>
      </c>
      <c r="M149" s="66">
        <v>2421981</v>
      </c>
      <c r="O149" s="66">
        <v>2524563</v>
      </c>
      <c r="Q149" s="66">
        <v>2409400</v>
      </c>
      <c r="S149" s="66">
        <v>2005121</v>
      </c>
      <c r="U149" s="66">
        <v>1653744</v>
      </c>
    </row>
    <row r="150" spans="1:21" ht="12">
      <c r="A150" s="84"/>
      <c r="B150" s="55"/>
      <c r="C150" s="55"/>
      <c r="D150" s="55"/>
      <c r="E150" s="66"/>
      <c r="F150" s="55"/>
      <c r="G150" s="66"/>
      <c r="I150" s="66"/>
      <c r="K150" s="66"/>
      <c r="M150" s="66"/>
      <c r="O150" s="66"/>
      <c r="Q150" s="66"/>
      <c r="S150" s="66"/>
      <c r="U150" s="66"/>
    </row>
    <row r="151" spans="1:21" ht="12">
      <c r="A151" s="40" t="s">
        <v>90</v>
      </c>
      <c r="B151" s="55"/>
      <c r="C151" s="55">
        <v>2114444</v>
      </c>
      <c r="D151" s="55"/>
      <c r="E151" s="66">
        <v>2348180</v>
      </c>
      <c r="F151" s="55"/>
      <c r="G151" s="66">
        <v>2227830</v>
      </c>
      <c r="I151" s="66">
        <v>1920379</v>
      </c>
      <c r="K151" s="66">
        <v>1796403</v>
      </c>
      <c r="M151" s="66">
        <v>1607199</v>
      </c>
      <c r="O151" s="66">
        <v>1261149</v>
      </c>
      <c r="Q151" s="87" t="s">
        <v>85</v>
      </c>
      <c r="S151" s="87" t="s">
        <v>85</v>
      </c>
      <c r="U151" s="87" t="s">
        <v>85</v>
      </c>
    </row>
    <row r="152" spans="1:21" ht="12">
      <c r="A152" s="84"/>
      <c r="B152" s="55"/>
      <c r="C152" s="55"/>
      <c r="D152" s="55"/>
      <c r="E152" s="66"/>
      <c r="F152" s="55"/>
      <c r="G152" s="66"/>
      <c r="I152" s="66"/>
      <c r="K152" s="66"/>
      <c r="M152" s="66"/>
      <c r="O152" s="66"/>
      <c r="Q152" s="66"/>
      <c r="S152" s="66"/>
      <c r="U152" s="66"/>
    </row>
    <row r="153" spans="1:21" ht="12">
      <c r="A153" s="83" t="s">
        <v>5</v>
      </c>
      <c r="B153" s="55"/>
      <c r="C153" s="55">
        <v>3326478</v>
      </c>
      <c r="D153" s="55"/>
      <c r="E153" s="66">
        <v>3469869</v>
      </c>
      <c r="F153" s="55"/>
      <c r="G153" s="66">
        <v>3708796</v>
      </c>
      <c r="I153" s="66">
        <v>3809506</v>
      </c>
      <c r="K153" s="66">
        <v>3921836</v>
      </c>
      <c r="M153" s="66">
        <v>3952974</v>
      </c>
      <c r="O153" s="66">
        <v>3884686</v>
      </c>
      <c r="Q153" s="66">
        <v>3477338</v>
      </c>
      <c r="S153" s="66">
        <v>2994081</v>
      </c>
      <c r="U153" s="66">
        <v>2539167</v>
      </c>
    </row>
    <row r="154" spans="1:21" ht="12">
      <c r="A154" s="84"/>
      <c r="B154" s="55"/>
      <c r="C154" s="55"/>
      <c r="D154" s="55"/>
      <c r="E154" s="66"/>
      <c r="F154" s="55"/>
      <c r="G154" s="66"/>
      <c r="I154" s="66"/>
      <c r="K154" s="66"/>
      <c r="M154" s="66"/>
      <c r="O154" s="66"/>
      <c r="Q154" s="66"/>
      <c r="S154" s="66"/>
      <c r="U154" s="66"/>
    </row>
    <row r="155" spans="1:21" ht="12">
      <c r="A155" s="89" t="s">
        <v>6</v>
      </c>
      <c r="B155" s="55"/>
      <c r="C155" s="55">
        <v>3667956</v>
      </c>
      <c r="D155" s="55"/>
      <c r="E155" s="66">
        <v>3593572</v>
      </c>
      <c r="F155" s="55"/>
      <c r="G155" s="66">
        <v>3580037</v>
      </c>
      <c r="I155" s="66">
        <v>3138376</v>
      </c>
      <c r="K155" s="66">
        <v>3008377</v>
      </c>
      <c r="M155" s="66">
        <v>3580902</v>
      </c>
      <c r="O155" s="66">
        <v>3970958</v>
      </c>
      <c r="Q155" s="66">
        <v>3422736</v>
      </c>
      <c r="S155" s="66">
        <v>2814610</v>
      </c>
      <c r="U155" s="66">
        <v>2512818</v>
      </c>
    </row>
    <row r="156" spans="1:21" ht="12">
      <c r="A156" s="55"/>
      <c r="B156" s="55"/>
      <c r="C156" s="55"/>
      <c r="D156" s="55"/>
      <c r="E156" s="66"/>
      <c r="F156" s="55"/>
      <c r="G156" s="66"/>
      <c r="I156" s="66"/>
      <c r="K156" s="66"/>
      <c r="M156" s="66"/>
      <c r="O156" s="66"/>
      <c r="Q156" s="66"/>
      <c r="S156" s="66"/>
      <c r="U156" s="66"/>
    </row>
    <row r="157" spans="1:21" ht="12">
      <c r="A157" s="56" t="s">
        <v>24</v>
      </c>
      <c r="B157" s="55"/>
      <c r="C157" s="55">
        <v>2459244</v>
      </c>
      <c r="D157" s="55"/>
      <c r="E157" s="66">
        <v>2599560</v>
      </c>
      <c r="F157" s="55"/>
      <c r="G157" s="66">
        <v>2734775</v>
      </c>
      <c r="I157" s="66">
        <v>2470668</v>
      </c>
      <c r="K157" s="66">
        <v>2615952</v>
      </c>
      <c r="M157" s="66">
        <v>2435730</v>
      </c>
      <c r="O157" s="66">
        <v>2487334</v>
      </c>
      <c r="Q157" s="66">
        <v>2189459</v>
      </c>
      <c r="S157" s="66">
        <v>1792198</v>
      </c>
      <c r="U157" s="66">
        <v>1421456</v>
      </c>
    </row>
    <row r="158" spans="1:21" ht="12">
      <c r="A158" s="55"/>
      <c r="B158" s="55"/>
      <c r="C158" s="55"/>
      <c r="D158" s="55"/>
      <c r="E158" s="66"/>
      <c r="F158" s="55"/>
      <c r="G158" s="66"/>
      <c r="I158" s="66"/>
      <c r="K158" s="66"/>
      <c r="M158" s="66"/>
      <c r="O158" s="66"/>
      <c r="Q158" s="66"/>
      <c r="S158" s="66"/>
      <c r="U158" s="66"/>
    </row>
    <row r="159" spans="1:21" ht="12">
      <c r="A159" s="56" t="s">
        <v>7</v>
      </c>
      <c r="B159" s="64"/>
      <c r="C159" s="55">
        <v>2905914</v>
      </c>
      <c r="D159" s="64"/>
      <c r="E159" s="66">
        <v>2963450</v>
      </c>
      <c r="F159" s="64"/>
      <c r="G159" s="66">
        <v>2941385</v>
      </c>
      <c r="I159" s="66">
        <v>2819562</v>
      </c>
      <c r="K159" s="66">
        <v>2832410</v>
      </c>
      <c r="M159" s="66">
        <v>2865081</v>
      </c>
      <c r="O159" s="66">
        <v>2724983</v>
      </c>
      <c r="Q159" s="66">
        <v>2371686</v>
      </c>
      <c r="S159" s="66">
        <v>2061343</v>
      </c>
      <c r="U159" s="66">
        <v>1641545</v>
      </c>
    </row>
    <row r="160" spans="1:21" ht="12">
      <c r="A160" s="55"/>
      <c r="B160" s="55"/>
      <c r="C160" s="55"/>
      <c r="D160" s="73"/>
      <c r="E160" s="66"/>
      <c r="F160" s="73"/>
      <c r="G160" s="66"/>
      <c r="I160" s="66"/>
      <c r="K160" s="66"/>
      <c r="M160" s="66"/>
      <c r="O160" s="66"/>
      <c r="Q160" s="66"/>
      <c r="S160" s="66"/>
      <c r="U160" s="66"/>
    </row>
    <row r="161" spans="1:21" ht="12">
      <c r="A161" s="56" t="s">
        <v>8</v>
      </c>
      <c r="B161" s="64"/>
      <c r="C161" s="59">
        <v>4313200</v>
      </c>
      <c r="D161" s="64"/>
      <c r="E161" s="69">
        <v>4450786</v>
      </c>
      <c r="F161" s="64"/>
      <c r="G161" s="69">
        <v>4463975</v>
      </c>
      <c r="I161" s="69">
        <v>4244694</v>
      </c>
      <c r="K161" s="69">
        <v>4297960</v>
      </c>
      <c r="M161" s="69">
        <v>4215076</v>
      </c>
      <c r="O161" s="69">
        <v>4221938</v>
      </c>
      <c r="Q161" s="69">
        <v>3929976</v>
      </c>
      <c r="S161" s="69">
        <v>3501103</v>
      </c>
      <c r="U161" s="69">
        <v>3199149</v>
      </c>
    </row>
    <row r="162" spans="1:11" ht="12">
      <c r="A162" s="55"/>
      <c r="B162" s="64"/>
      <c r="C162" s="64"/>
      <c r="D162" s="64"/>
      <c r="E162" s="64"/>
      <c r="F162" s="64"/>
      <c r="G162" s="64"/>
      <c r="I162" s="64"/>
      <c r="K162" s="64"/>
    </row>
    <row r="163" spans="1:21" ht="12.75" thickBot="1">
      <c r="A163" s="56" t="s">
        <v>17</v>
      </c>
      <c r="B163" s="64"/>
      <c r="C163" s="103">
        <f>SUM(C137:C161)</f>
        <v>37839722</v>
      </c>
      <c r="D163" s="65"/>
      <c r="E163" s="103">
        <f>SUM(E137:E161)</f>
        <v>39121149</v>
      </c>
      <c r="F163" s="65"/>
      <c r="G163" s="103">
        <f>SUM(G137:G161)</f>
        <v>40465761</v>
      </c>
      <c r="I163" s="103">
        <f>SUM(I137:I161)</f>
        <v>40939918</v>
      </c>
      <c r="K163" s="103">
        <f>SUM(K137:K161)</f>
        <v>43449254</v>
      </c>
      <c r="M163" s="103">
        <f>SUM(M137:M161)</f>
        <v>44347957</v>
      </c>
      <c r="O163" s="103">
        <f>SUM(O137:O161)</f>
        <v>45553962</v>
      </c>
      <c r="Q163" s="103">
        <f>SUM(Q137:Q161)</f>
        <v>41003608</v>
      </c>
      <c r="S163" s="103">
        <f>SUM(S137:S161)</f>
        <v>35948330</v>
      </c>
      <c r="U163" s="103">
        <f>SUM(U137:U161)</f>
        <v>30714174</v>
      </c>
    </row>
    <row r="164" spans="1:6" ht="12.75" thickTop="1">
      <c r="A164" s="55"/>
      <c r="B164" s="64"/>
      <c r="C164" s="104"/>
      <c r="D164" s="64"/>
      <c r="E164" s="104"/>
      <c r="F164" s="64"/>
    </row>
    <row r="165" spans="1:6" ht="12">
      <c r="A165" s="52" t="s">
        <v>45</v>
      </c>
      <c r="B165" s="84"/>
      <c r="C165" s="104"/>
      <c r="D165" s="64"/>
      <c r="E165" s="104"/>
      <c r="F165" s="64"/>
    </row>
    <row r="166" spans="1:6" ht="15" customHeight="1">
      <c r="A166" s="52" t="s">
        <v>73</v>
      </c>
      <c r="B166" s="64"/>
      <c r="C166" s="104"/>
      <c r="D166" s="64"/>
      <c r="E166" s="104"/>
      <c r="F166" s="64"/>
    </row>
    <row r="167" spans="1:6" ht="12">
      <c r="A167" s="52" t="s">
        <v>52</v>
      </c>
      <c r="B167" s="64"/>
      <c r="C167" s="104"/>
      <c r="D167" s="64"/>
      <c r="E167" s="104"/>
      <c r="F167" s="64"/>
    </row>
    <row r="168" spans="1:6" ht="12">
      <c r="A168" s="55" t="s">
        <v>80</v>
      </c>
      <c r="B168" s="64"/>
      <c r="C168" s="104"/>
      <c r="D168" s="64"/>
      <c r="E168" s="104"/>
      <c r="F168" s="64"/>
    </row>
    <row r="169" spans="1:6" ht="12">
      <c r="A169" s="56" t="s">
        <v>87</v>
      </c>
      <c r="B169" s="64"/>
      <c r="C169" s="104"/>
      <c r="D169" s="64"/>
      <c r="E169" s="104"/>
      <c r="F169" s="64"/>
    </row>
    <row r="170" spans="1:6" ht="12">
      <c r="A170" s="56" t="s">
        <v>89</v>
      </c>
      <c r="B170" s="64"/>
      <c r="C170" s="104"/>
      <c r="D170" s="64"/>
      <c r="E170" s="104"/>
      <c r="F170" s="64"/>
    </row>
    <row r="171" spans="1:6" ht="12">
      <c r="A171" s="56"/>
      <c r="B171" s="64"/>
      <c r="C171" s="104"/>
      <c r="D171" s="64"/>
      <c r="E171" s="104"/>
      <c r="F171" s="64"/>
    </row>
    <row r="172" spans="1:6" s="16" customFormat="1" ht="12">
      <c r="A172" s="105" t="s">
        <v>0</v>
      </c>
      <c r="B172" s="106"/>
      <c r="C172" s="106"/>
      <c r="D172" s="106"/>
      <c r="E172" s="106"/>
      <c r="F172" s="106"/>
    </row>
    <row r="173" spans="1:6" s="16" customFormat="1" ht="12">
      <c r="A173" s="105" t="s">
        <v>21</v>
      </c>
      <c r="B173" s="106"/>
      <c r="C173" s="106"/>
      <c r="D173" s="106"/>
      <c r="E173" s="106"/>
      <c r="F173" s="106"/>
    </row>
    <row r="174" spans="1:6" s="16" customFormat="1" ht="12">
      <c r="A174" s="107" t="str">
        <f>A3</f>
        <v>2000 - 2009</v>
      </c>
      <c r="B174" s="248"/>
      <c r="C174" s="248"/>
      <c r="D174" s="106"/>
      <c r="E174" s="106"/>
      <c r="F174" s="106"/>
    </row>
    <row r="175" spans="1:6" s="16" customFormat="1" ht="12">
      <c r="A175" s="109" t="s">
        <v>1</v>
      </c>
      <c r="B175" s="110"/>
      <c r="C175" s="106"/>
      <c r="D175" s="106"/>
      <c r="E175" s="106"/>
      <c r="F175" s="106"/>
    </row>
    <row r="176" spans="1:6" s="16" customFormat="1" ht="12">
      <c r="A176" s="106"/>
      <c r="B176" s="106"/>
      <c r="C176" s="106"/>
      <c r="D176" s="106"/>
      <c r="E176" s="106"/>
      <c r="F176" s="106"/>
    </row>
    <row r="177" spans="1:21" s="16" customFormat="1" ht="12">
      <c r="A177" s="106"/>
      <c r="B177" s="106"/>
      <c r="C177" s="111">
        <v>2000</v>
      </c>
      <c r="D177" s="112"/>
      <c r="E177" s="111">
        <v>2001</v>
      </c>
      <c r="F177" s="106"/>
      <c r="G177" s="111">
        <v>2002</v>
      </c>
      <c r="I177" s="111">
        <v>2003</v>
      </c>
      <c r="K177" s="111">
        <v>2004</v>
      </c>
      <c r="M177" s="111">
        <v>2005</v>
      </c>
      <c r="O177" s="46">
        <v>2006</v>
      </c>
      <c r="Q177" s="46">
        <v>2007</v>
      </c>
      <c r="S177" s="46">
        <v>2008</v>
      </c>
      <c r="U177" s="46">
        <v>2009</v>
      </c>
    </row>
    <row r="178" spans="1:11" s="16" customFormat="1" ht="12">
      <c r="A178" s="106"/>
      <c r="B178" s="106"/>
      <c r="C178" s="110"/>
      <c r="D178" s="106"/>
      <c r="E178" s="110"/>
      <c r="F178" s="106"/>
      <c r="G178" s="110"/>
      <c r="I178" s="110"/>
      <c r="K178" s="110"/>
    </row>
    <row r="179" spans="1:21" s="16" customFormat="1" ht="12">
      <c r="A179" s="83" t="s">
        <v>79</v>
      </c>
      <c r="B179" s="106"/>
      <c r="C179" s="113">
        <v>675790</v>
      </c>
      <c r="D179" s="106"/>
      <c r="E179" s="63">
        <v>668279</v>
      </c>
      <c r="F179" s="106"/>
      <c r="G179" s="63">
        <v>660023</v>
      </c>
      <c r="I179" s="63">
        <v>624617</v>
      </c>
      <c r="K179" s="63">
        <v>612395</v>
      </c>
      <c r="M179" s="63">
        <v>625650</v>
      </c>
      <c r="O179" s="63">
        <v>656178</v>
      </c>
      <c r="Q179" s="63">
        <v>684739</v>
      </c>
      <c r="S179" s="63">
        <v>544071</v>
      </c>
      <c r="U179" s="63">
        <v>417343</v>
      </c>
    </row>
    <row r="180" spans="1:11" s="16" customFormat="1" ht="12">
      <c r="A180" s="84"/>
      <c r="B180" s="106"/>
      <c r="C180" s="106"/>
      <c r="D180" s="106"/>
      <c r="E180" s="66"/>
      <c r="F180" s="106"/>
      <c r="G180" s="66"/>
      <c r="I180" s="66"/>
      <c r="K180" s="66"/>
    </row>
    <row r="181" spans="1:21" s="16" customFormat="1" ht="12">
      <c r="A181" s="83" t="s">
        <v>53</v>
      </c>
      <c r="B181" s="106"/>
      <c r="C181" s="106">
        <v>953816</v>
      </c>
      <c r="D181" s="106"/>
      <c r="E181" s="66">
        <v>925814</v>
      </c>
      <c r="F181" s="106"/>
      <c r="G181" s="66">
        <v>949714</v>
      </c>
      <c r="I181" s="66">
        <v>1152268</v>
      </c>
      <c r="K181" s="66">
        <v>1067308</v>
      </c>
      <c r="M181" s="66">
        <v>1014422</v>
      </c>
      <c r="O181" s="66">
        <v>1052149</v>
      </c>
      <c r="Q181" s="66">
        <v>1108780</v>
      </c>
      <c r="S181" s="66">
        <v>1046736</v>
      </c>
      <c r="U181" s="66">
        <v>926524</v>
      </c>
    </row>
    <row r="182" spans="1:11" s="16" customFormat="1" ht="12">
      <c r="A182" s="83"/>
      <c r="B182" s="106"/>
      <c r="C182" s="106"/>
      <c r="D182" s="106"/>
      <c r="E182" s="66"/>
      <c r="F182" s="106"/>
      <c r="G182" s="66"/>
      <c r="I182" s="66"/>
      <c r="K182" s="66"/>
    </row>
    <row r="183" spans="1:21" s="16" customFormat="1" ht="12">
      <c r="A183" s="83" t="s">
        <v>86</v>
      </c>
      <c r="B183" s="106"/>
      <c r="C183" s="87" t="s">
        <v>85</v>
      </c>
      <c r="D183" s="106"/>
      <c r="E183" s="87" t="s">
        <v>85</v>
      </c>
      <c r="F183" s="106"/>
      <c r="G183" s="87" t="s">
        <v>85</v>
      </c>
      <c r="I183" s="66">
        <v>690150</v>
      </c>
      <c r="K183" s="66">
        <v>1587974</v>
      </c>
      <c r="M183" s="66">
        <v>1753558</v>
      </c>
      <c r="O183" s="66">
        <v>1828710</v>
      </c>
      <c r="Q183" s="66">
        <v>1937043</v>
      </c>
      <c r="S183" s="66">
        <v>1782993</v>
      </c>
      <c r="U183" s="66">
        <v>1639113</v>
      </c>
    </row>
    <row r="184" spans="1:21" s="16" customFormat="1" ht="12">
      <c r="A184" s="84"/>
      <c r="B184" s="106"/>
      <c r="C184" s="106"/>
      <c r="D184" s="106"/>
      <c r="E184" s="66"/>
      <c r="F184" s="106"/>
      <c r="G184" s="66"/>
      <c r="I184" s="66"/>
      <c r="K184" s="66"/>
      <c r="M184" s="66"/>
      <c r="O184" s="66"/>
      <c r="Q184" s="66"/>
      <c r="S184" s="66"/>
      <c r="U184" s="66"/>
    </row>
    <row r="185" spans="1:21" s="16" customFormat="1" ht="12">
      <c r="A185" s="83" t="s">
        <v>2</v>
      </c>
      <c r="B185" s="106"/>
      <c r="C185" s="106">
        <v>1063924</v>
      </c>
      <c r="D185" s="106"/>
      <c r="E185" s="66">
        <v>1038405</v>
      </c>
      <c r="F185" s="106"/>
      <c r="G185" s="66">
        <v>1077626</v>
      </c>
      <c r="I185" s="66">
        <v>975669</v>
      </c>
      <c r="K185" s="66">
        <v>910915</v>
      </c>
      <c r="M185" s="66">
        <v>954395</v>
      </c>
      <c r="O185" s="66">
        <v>1122595</v>
      </c>
      <c r="Q185" s="66">
        <v>1242724</v>
      </c>
      <c r="S185" s="66">
        <v>1265857</v>
      </c>
      <c r="U185" s="66">
        <v>1121422</v>
      </c>
    </row>
    <row r="186" spans="1:21" s="16" customFormat="1" ht="12">
      <c r="A186" s="84"/>
      <c r="B186" s="106"/>
      <c r="C186" s="106"/>
      <c r="D186" s="106"/>
      <c r="E186" s="66"/>
      <c r="F186" s="106"/>
      <c r="G186" s="66"/>
      <c r="I186" s="66"/>
      <c r="K186" s="66"/>
      <c r="M186" s="66"/>
      <c r="O186" s="66"/>
      <c r="Q186" s="66"/>
      <c r="S186" s="66" t="s">
        <v>10</v>
      </c>
      <c r="U186" s="66"/>
    </row>
    <row r="187" spans="1:21" s="16" customFormat="1" ht="12">
      <c r="A187" s="83" t="s">
        <v>54</v>
      </c>
      <c r="B187" s="106"/>
      <c r="C187" s="106">
        <v>277570</v>
      </c>
      <c r="D187" s="106"/>
      <c r="E187" s="66">
        <v>275194</v>
      </c>
      <c r="F187" s="171"/>
      <c r="G187" s="66">
        <v>262604</v>
      </c>
      <c r="I187" s="87" t="s">
        <v>85</v>
      </c>
      <c r="K187" s="87" t="s">
        <v>85</v>
      </c>
      <c r="M187" s="87" t="s">
        <v>85</v>
      </c>
      <c r="O187" s="87" t="s">
        <v>85</v>
      </c>
      <c r="Q187" s="87" t="s">
        <v>85</v>
      </c>
      <c r="S187" s="87" t="s">
        <v>85</v>
      </c>
      <c r="U187" s="87" t="s">
        <v>85</v>
      </c>
    </row>
    <row r="188" spans="1:21" s="16" customFormat="1" ht="12">
      <c r="A188" s="84"/>
      <c r="B188" s="106"/>
      <c r="C188" s="106"/>
      <c r="D188" s="106"/>
      <c r="E188" s="66"/>
      <c r="F188" s="106"/>
      <c r="G188" s="66"/>
      <c r="I188" s="66"/>
      <c r="K188" s="66"/>
      <c r="M188" s="66"/>
      <c r="O188" s="66"/>
      <c r="Q188" s="66"/>
      <c r="S188" s="66"/>
      <c r="U188" s="66"/>
    </row>
    <row r="189" spans="1:21" s="16" customFormat="1" ht="12">
      <c r="A189" s="83" t="s">
        <v>3</v>
      </c>
      <c r="B189" s="106"/>
      <c r="C189" s="106">
        <v>393185</v>
      </c>
      <c r="D189" s="106"/>
      <c r="E189" s="66">
        <v>328534</v>
      </c>
      <c r="F189" s="106"/>
      <c r="G189" s="66">
        <v>322063</v>
      </c>
      <c r="I189" s="66">
        <v>291189</v>
      </c>
      <c r="K189" s="66">
        <v>299897</v>
      </c>
      <c r="M189" s="66">
        <v>320861</v>
      </c>
      <c r="O189" s="66">
        <v>347161</v>
      </c>
      <c r="Q189" s="66">
        <v>396226</v>
      </c>
      <c r="S189" s="66">
        <v>571416</v>
      </c>
      <c r="U189" s="66">
        <v>579429</v>
      </c>
    </row>
    <row r="190" spans="1:21" s="16" customFormat="1" ht="12">
      <c r="A190" s="84"/>
      <c r="B190" s="106"/>
      <c r="C190" s="106"/>
      <c r="D190" s="106"/>
      <c r="E190" s="66"/>
      <c r="F190" s="106"/>
      <c r="G190" s="66"/>
      <c r="I190" s="66"/>
      <c r="K190" s="66"/>
      <c r="M190" s="66"/>
      <c r="O190" s="66"/>
      <c r="Q190" s="66"/>
      <c r="S190" s="66"/>
      <c r="U190" s="66"/>
    </row>
    <row r="191" spans="1:21" s="16" customFormat="1" ht="12">
      <c r="A191" s="83" t="s">
        <v>4</v>
      </c>
      <c r="B191" s="106"/>
      <c r="C191" s="106">
        <v>466978</v>
      </c>
      <c r="D191" s="106"/>
      <c r="E191" s="66">
        <v>449779</v>
      </c>
      <c r="F191" s="106"/>
      <c r="G191" s="66">
        <v>431929</v>
      </c>
      <c r="I191" s="66">
        <v>384394</v>
      </c>
      <c r="K191" s="66">
        <v>413582</v>
      </c>
      <c r="M191" s="66">
        <v>470427</v>
      </c>
      <c r="O191" s="66">
        <v>462831</v>
      </c>
      <c r="Q191" s="66">
        <v>494890</v>
      </c>
      <c r="S191" s="66">
        <v>406159</v>
      </c>
      <c r="U191" s="66">
        <v>351719</v>
      </c>
    </row>
    <row r="192" spans="1:21" s="16" customFormat="1" ht="12">
      <c r="A192" s="84"/>
      <c r="B192" s="106"/>
      <c r="C192" s="106"/>
      <c r="D192" s="106"/>
      <c r="E192" s="66"/>
      <c r="F192" s="106"/>
      <c r="G192" s="66"/>
      <c r="I192" s="66"/>
      <c r="K192" s="66"/>
      <c r="M192" s="66"/>
      <c r="O192" s="66"/>
      <c r="Q192" s="66"/>
      <c r="S192" s="66"/>
      <c r="U192" s="66"/>
    </row>
    <row r="193" spans="1:21" s="16" customFormat="1" ht="12">
      <c r="A193" s="40" t="s">
        <v>90</v>
      </c>
      <c r="B193" s="106"/>
      <c r="C193" s="106">
        <v>471769</v>
      </c>
      <c r="D193" s="106"/>
      <c r="E193" s="66">
        <v>457992</v>
      </c>
      <c r="F193" s="106"/>
      <c r="G193" s="66">
        <v>242731</v>
      </c>
      <c r="I193" s="66">
        <v>217964</v>
      </c>
      <c r="K193" s="66">
        <v>247986</v>
      </c>
      <c r="M193" s="66">
        <v>252010</v>
      </c>
      <c r="O193" s="66">
        <v>200047</v>
      </c>
      <c r="Q193" s="87" t="s">
        <v>85</v>
      </c>
      <c r="S193" s="87" t="s">
        <v>85</v>
      </c>
      <c r="U193" s="87" t="s">
        <v>85</v>
      </c>
    </row>
    <row r="194" spans="1:21" s="16" customFormat="1" ht="12">
      <c r="A194" s="84"/>
      <c r="B194" s="106"/>
      <c r="C194" s="106"/>
      <c r="D194" s="106"/>
      <c r="E194" s="66"/>
      <c r="F194" s="106"/>
      <c r="G194" s="66"/>
      <c r="I194" s="66"/>
      <c r="K194" s="66"/>
      <c r="M194" s="66"/>
      <c r="O194" s="66"/>
      <c r="Q194" s="66"/>
      <c r="S194" s="66"/>
      <c r="U194" s="66"/>
    </row>
    <row r="195" spans="1:21" s="16" customFormat="1" ht="12">
      <c r="A195" s="83" t="s">
        <v>5</v>
      </c>
      <c r="B195" s="106"/>
      <c r="C195" s="106">
        <v>402791</v>
      </c>
      <c r="D195" s="106"/>
      <c r="E195" s="66">
        <v>377022</v>
      </c>
      <c r="F195" s="106"/>
      <c r="G195" s="66">
        <v>330209</v>
      </c>
      <c r="I195" s="66">
        <v>284158</v>
      </c>
      <c r="K195" s="66">
        <v>284974</v>
      </c>
      <c r="M195" s="66">
        <v>302652</v>
      </c>
      <c r="O195" s="66">
        <v>401370</v>
      </c>
      <c r="Q195" s="66">
        <v>424433</v>
      </c>
      <c r="S195" s="66">
        <v>432035</v>
      </c>
      <c r="U195" s="66">
        <v>355796</v>
      </c>
    </row>
    <row r="196" spans="1:21" s="16" customFormat="1" ht="12">
      <c r="A196" s="84"/>
      <c r="B196" s="106"/>
      <c r="C196" s="106"/>
      <c r="D196" s="106"/>
      <c r="E196" s="66"/>
      <c r="F196" s="106"/>
      <c r="G196" s="66"/>
      <c r="I196" s="66"/>
      <c r="K196" s="66"/>
      <c r="M196" s="66"/>
      <c r="O196" s="66"/>
      <c r="Q196" s="66"/>
      <c r="S196" s="66"/>
      <c r="U196" s="66"/>
    </row>
    <row r="197" spans="1:21" s="16" customFormat="1" ht="12">
      <c r="A197" s="89" t="s">
        <v>6</v>
      </c>
      <c r="B197" s="106"/>
      <c r="C197" s="106">
        <v>759019</v>
      </c>
      <c r="D197" s="106"/>
      <c r="E197" s="66">
        <v>733450</v>
      </c>
      <c r="F197" s="106"/>
      <c r="G197" s="66">
        <v>725311</v>
      </c>
      <c r="I197" s="66">
        <v>627974</v>
      </c>
      <c r="K197" s="66">
        <v>600220</v>
      </c>
      <c r="M197" s="66">
        <v>780573</v>
      </c>
      <c r="O197" s="66">
        <v>735364</v>
      </c>
      <c r="Q197" s="66">
        <v>678072</v>
      </c>
      <c r="S197" s="66">
        <v>599367</v>
      </c>
      <c r="U197" s="66">
        <v>583559</v>
      </c>
    </row>
    <row r="198" spans="1:21" s="16" customFormat="1" ht="12">
      <c r="A198" s="106"/>
      <c r="B198" s="106"/>
      <c r="C198" s="106"/>
      <c r="D198" s="106"/>
      <c r="E198" s="66"/>
      <c r="F198" s="106"/>
      <c r="G198" s="66"/>
      <c r="I198" s="66"/>
      <c r="K198" s="66"/>
      <c r="M198" s="66"/>
      <c r="O198" s="66"/>
      <c r="Q198" s="66"/>
      <c r="S198" s="66"/>
      <c r="U198" s="66"/>
    </row>
    <row r="199" spans="1:21" s="16" customFormat="1" ht="12">
      <c r="A199" s="105" t="s">
        <v>24</v>
      </c>
      <c r="B199" s="106"/>
      <c r="C199" s="106">
        <v>440805</v>
      </c>
      <c r="D199" s="106"/>
      <c r="E199" s="66">
        <v>384712</v>
      </c>
      <c r="F199" s="106"/>
      <c r="G199" s="66">
        <v>377576</v>
      </c>
      <c r="I199" s="66">
        <v>354529</v>
      </c>
      <c r="K199" s="66">
        <v>348019</v>
      </c>
      <c r="M199" s="66">
        <v>317680</v>
      </c>
      <c r="O199" s="66">
        <v>328380</v>
      </c>
      <c r="Q199" s="66">
        <v>357717</v>
      </c>
      <c r="S199" s="66">
        <v>308378</v>
      </c>
      <c r="U199" s="66">
        <v>226731</v>
      </c>
    </row>
    <row r="200" spans="1:21" s="16" customFormat="1" ht="12">
      <c r="A200" s="106"/>
      <c r="B200" s="106"/>
      <c r="C200" s="106"/>
      <c r="D200" s="106"/>
      <c r="E200" s="66"/>
      <c r="F200" s="106"/>
      <c r="G200" s="66"/>
      <c r="I200" s="66"/>
      <c r="K200" s="66"/>
      <c r="M200" s="66"/>
      <c r="O200" s="66"/>
      <c r="Q200" s="66"/>
      <c r="S200" s="66"/>
      <c r="U200" s="66"/>
    </row>
    <row r="201" spans="1:21" s="16" customFormat="1" ht="12">
      <c r="A201" s="105" t="s">
        <v>7</v>
      </c>
      <c r="B201" s="106"/>
      <c r="C201" s="106">
        <v>648729</v>
      </c>
      <c r="D201" s="106"/>
      <c r="E201" s="66">
        <v>582065</v>
      </c>
      <c r="F201" s="106"/>
      <c r="G201" s="66">
        <v>608889</v>
      </c>
      <c r="I201" s="66">
        <v>574812</v>
      </c>
      <c r="K201" s="66">
        <v>555158</v>
      </c>
      <c r="M201" s="66">
        <v>551348</v>
      </c>
      <c r="O201" s="66">
        <v>573450</v>
      </c>
      <c r="Q201" s="66">
        <v>595236</v>
      </c>
      <c r="S201" s="66">
        <v>570877</v>
      </c>
      <c r="U201" s="66">
        <v>456649</v>
      </c>
    </row>
    <row r="202" spans="1:21" s="16" customFormat="1" ht="12">
      <c r="A202" s="106"/>
      <c r="B202" s="106"/>
      <c r="C202" s="106"/>
      <c r="D202" s="106"/>
      <c r="E202" s="66"/>
      <c r="F202" s="106"/>
      <c r="G202" s="66"/>
      <c r="I202" s="66"/>
      <c r="K202" s="66"/>
      <c r="M202" s="66" t="s">
        <v>10</v>
      </c>
      <c r="O202" s="66"/>
      <c r="Q202" s="66"/>
      <c r="S202" s="66"/>
      <c r="U202" s="66"/>
    </row>
    <row r="203" spans="1:21" s="16" customFormat="1" ht="12">
      <c r="A203" s="105" t="s">
        <v>8</v>
      </c>
      <c r="B203" s="106"/>
      <c r="C203" s="108">
        <v>1075022</v>
      </c>
      <c r="D203" s="106"/>
      <c r="E203" s="69">
        <v>1003230</v>
      </c>
      <c r="F203" s="106"/>
      <c r="G203" s="69">
        <v>938224</v>
      </c>
      <c r="I203" s="69">
        <v>898849</v>
      </c>
      <c r="K203" s="69">
        <v>880988</v>
      </c>
      <c r="M203" s="69">
        <v>938630</v>
      </c>
      <c r="O203" s="69">
        <v>1034821</v>
      </c>
      <c r="Q203" s="69">
        <v>1048327</v>
      </c>
      <c r="S203" s="69">
        <v>1054494</v>
      </c>
      <c r="U203" s="69">
        <v>1007788</v>
      </c>
    </row>
    <row r="204" spans="1:11" s="16" customFormat="1" ht="12">
      <c r="A204" s="106"/>
      <c r="B204" s="106"/>
      <c r="C204" s="106"/>
      <c r="D204" s="106"/>
      <c r="E204" s="106"/>
      <c r="F204" s="106"/>
      <c r="G204" s="106"/>
      <c r="I204" s="106"/>
      <c r="K204" s="106"/>
    </row>
    <row r="205" spans="1:21" s="16" customFormat="1" ht="12.75" thickBot="1">
      <c r="A205" s="105" t="s">
        <v>17</v>
      </c>
      <c r="B205" s="106"/>
      <c r="C205" s="114">
        <f>SUM(C179:C203)</f>
        <v>7629398</v>
      </c>
      <c r="D205" s="113"/>
      <c r="E205" s="114">
        <f>SUM(E179:E203)</f>
        <v>7224476</v>
      </c>
      <c r="F205" s="113"/>
      <c r="G205" s="114">
        <f>SUM(G179:G203)</f>
        <v>6926899</v>
      </c>
      <c r="I205" s="114">
        <f>SUM(I179:I203)</f>
        <v>7076573</v>
      </c>
      <c r="K205" s="114">
        <f>SUM(K179:K203)</f>
        <v>7809416</v>
      </c>
      <c r="M205" s="114">
        <f>SUM(M179:M203)</f>
        <v>8282206</v>
      </c>
      <c r="O205" s="114">
        <f>SUM(O179:O203)</f>
        <v>8743056</v>
      </c>
      <c r="Q205" s="114">
        <f>SUM(Q179:Q203)</f>
        <v>8968187</v>
      </c>
      <c r="S205" s="114">
        <f>SUM(S179:S203)</f>
        <v>8582383</v>
      </c>
      <c r="U205" s="114">
        <f>SUM(U179:U203)</f>
        <v>7666073</v>
      </c>
    </row>
    <row r="206" spans="1:6" s="16" customFormat="1" ht="12.75" thickTop="1">
      <c r="A206" s="105"/>
      <c r="B206" s="106"/>
      <c r="C206" s="115"/>
      <c r="D206" s="106"/>
      <c r="E206" s="115"/>
      <c r="F206" s="106"/>
    </row>
    <row r="207" spans="1:6" s="16" customFormat="1" ht="13.5" customHeight="1">
      <c r="A207" s="52" t="s">
        <v>45</v>
      </c>
      <c r="B207" s="84"/>
      <c r="C207" s="106"/>
      <c r="D207" s="106"/>
      <c r="E207" s="106"/>
      <c r="F207" s="106"/>
    </row>
    <row r="208" spans="1:6" s="16" customFormat="1" ht="12">
      <c r="A208" s="52" t="s">
        <v>73</v>
      </c>
      <c r="B208" s="106"/>
      <c r="C208" s="106"/>
      <c r="D208" s="106"/>
      <c r="E208" s="106"/>
      <c r="F208" s="106"/>
    </row>
    <row r="209" spans="1:6" s="16" customFormat="1" ht="12">
      <c r="A209" s="52" t="s">
        <v>52</v>
      </c>
      <c r="B209" s="106"/>
      <c r="C209" s="106"/>
      <c r="D209" s="106"/>
      <c r="E209" s="106"/>
      <c r="F209" s="106"/>
    </row>
    <row r="210" spans="1:6" s="16" customFormat="1" ht="12">
      <c r="A210" s="55" t="s">
        <v>80</v>
      </c>
      <c r="B210" s="106"/>
      <c r="C210" s="106"/>
      <c r="D210" s="106"/>
      <c r="E210" s="106"/>
      <c r="F210" s="106"/>
    </row>
    <row r="211" spans="1:6" s="16" customFormat="1" ht="12">
      <c r="A211" s="56" t="s">
        <v>87</v>
      </c>
      <c r="B211" s="106"/>
      <c r="C211" s="106"/>
      <c r="D211" s="106"/>
      <c r="E211" s="106"/>
      <c r="F211" s="106"/>
    </row>
    <row r="212" spans="1:6" ht="12">
      <c r="A212" s="56" t="s">
        <v>89</v>
      </c>
      <c r="B212" s="84"/>
      <c r="C212" s="84"/>
      <c r="D212" s="84"/>
      <c r="E212" s="84"/>
      <c r="F212" s="84"/>
    </row>
    <row r="213" spans="1:6" ht="12">
      <c r="A213" s="56"/>
      <c r="B213" s="84"/>
      <c r="C213" s="84"/>
      <c r="D213" s="84"/>
      <c r="E213" s="84"/>
      <c r="F213" s="84"/>
    </row>
    <row r="214" spans="1:6" s="16" customFormat="1" ht="12">
      <c r="A214" s="105" t="s">
        <v>0</v>
      </c>
      <c r="B214" s="106"/>
      <c r="C214" s="106"/>
      <c r="D214" s="106"/>
      <c r="E214" s="106"/>
      <c r="F214" s="106"/>
    </row>
    <row r="215" spans="1:6" s="16" customFormat="1" ht="12">
      <c r="A215" s="116" t="s">
        <v>44</v>
      </c>
      <c r="B215" s="106"/>
      <c r="C215" s="106"/>
      <c r="D215" s="106"/>
      <c r="E215" s="106"/>
      <c r="F215" s="106"/>
    </row>
    <row r="216" spans="1:6" s="16" customFormat="1" ht="12">
      <c r="A216" s="107" t="str">
        <f>A3</f>
        <v>2000 - 2009</v>
      </c>
      <c r="B216" s="248"/>
      <c r="C216" s="248"/>
      <c r="D216" s="106"/>
      <c r="E216" s="106"/>
      <c r="F216" s="106"/>
    </row>
    <row r="217" spans="1:6" s="16" customFormat="1" ht="12">
      <c r="A217" s="109" t="s">
        <v>1</v>
      </c>
      <c r="B217" s="110"/>
      <c r="C217" s="106"/>
      <c r="D217" s="106"/>
      <c r="E217" s="106"/>
      <c r="F217" s="106"/>
    </row>
    <row r="218" spans="1:6" s="16" customFormat="1" ht="12">
      <c r="A218" s="106"/>
      <c r="B218" s="106"/>
      <c r="C218" s="106"/>
      <c r="D218" s="106"/>
      <c r="E218" s="106"/>
      <c r="F218" s="106"/>
    </row>
    <row r="219" spans="1:21" s="16" customFormat="1" ht="12">
      <c r="A219" s="106"/>
      <c r="B219" s="106"/>
      <c r="C219" s="111">
        <v>2000</v>
      </c>
      <c r="D219" s="112"/>
      <c r="E219" s="111">
        <v>2001</v>
      </c>
      <c r="F219" s="106"/>
      <c r="G219" s="111">
        <v>2002</v>
      </c>
      <c r="I219" s="111">
        <v>2003</v>
      </c>
      <c r="K219" s="111">
        <v>2004</v>
      </c>
      <c r="M219" s="111">
        <v>2005</v>
      </c>
      <c r="O219" s="46">
        <v>2006</v>
      </c>
      <c r="Q219" s="46">
        <v>2007</v>
      </c>
      <c r="S219" s="46">
        <v>2008</v>
      </c>
      <c r="U219" s="46">
        <v>2009</v>
      </c>
    </row>
    <row r="220" spans="1:11" s="16" customFormat="1" ht="12">
      <c r="A220" s="106"/>
      <c r="B220" s="106"/>
      <c r="C220" s="106"/>
      <c r="D220" s="106"/>
      <c r="E220" s="106"/>
      <c r="F220" s="106"/>
      <c r="G220" s="106"/>
      <c r="I220" s="106"/>
      <c r="K220" s="106"/>
    </row>
    <row r="221" spans="1:21" s="16" customFormat="1" ht="12">
      <c r="A221" s="83" t="s">
        <v>79</v>
      </c>
      <c r="B221" s="106"/>
      <c r="C221" s="113">
        <v>0</v>
      </c>
      <c r="D221" s="106"/>
      <c r="E221" s="63">
        <v>0</v>
      </c>
      <c r="F221" s="106"/>
      <c r="G221" s="63">
        <v>0</v>
      </c>
      <c r="I221" s="63">
        <v>0</v>
      </c>
      <c r="K221" s="63">
        <v>0</v>
      </c>
      <c r="M221" s="63">
        <v>0</v>
      </c>
      <c r="O221" s="63">
        <v>0</v>
      </c>
      <c r="Q221" s="63">
        <v>0</v>
      </c>
      <c r="S221" s="63">
        <v>0</v>
      </c>
      <c r="U221" s="63">
        <v>0</v>
      </c>
    </row>
    <row r="222" spans="1:11" s="16" customFormat="1" ht="12">
      <c r="A222" s="84"/>
      <c r="B222" s="106"/>
      <c r="C222" s="106"/>
      <c r="D222" s="106"/>
      <c r="E222" s="66"/>
      <c r="F222" s="106"/>
      <c r="G222" s="66"/>
      <c r="I222" s="66"/>
      <c r="K222" s="66"/>
    </row>
    <row r="223" spans="1:21" s="16" customFormat="1" ht="12">
      <c r="A223" s="83" t="s">
        <v>53</v>
      </c>
      <c r="B223" s="106"/>
      <c r="C223" s="106">
        <v>2741</v>
      </c>
      <c r="D223" s="106"/>
      <c r="E223" s="66">
        <v>2889</v>
      </c>
      <c r="F223" s="106"/>
      <c r="G223" s="66">
        <v>2920</v>
      </c>
      <c r="I223" s="66">
        <v>2809</v>
      </c>
      <c r="K223" s="66">
        <v>2566</v>
      </c>
      <c r="M223" s="66">
        <v>2453</v>
      </c>
      <c r="O223" s="66">
        <v>2443</v>
      </c>
      <c r="Q223" s="66">
        <v>2040</v>
      </c>
      <c r="S223" s="66">
        <v>1645</v>
      </c>
      <c r="U223" s="66">
        <v>1290</v>
      </c>
    </row>
    <row r="224" spans="1:21" s="16" customFormat="1" ht="12">
      <c r="A224" s="83"/>
      <c r="B224" s="106"/>
      <c r="C224" s="106"/>
      <c r="D224" s="106"/>
      <c r="E224" s="66"/>
      <c r="F224" s="106"/>
      <c r="G224" s="66"/>
      <c r="I224" s="66"/>
      <c r="K224" s="66"/>
      <c r="M224" s="66"/>
      <c r="O224" s="66"/>
      <c r="Q224" s="66"/>
      <c r="S224" s="66" t="s">
        <v>10</v>
      </c>
      <c r="U224" s="66"/>
    </row>
    <row r="225" spans="1:21" s="16" customFormat="1" ht="12">
      <c r="A225" s="83" t="s">
        <v>86</v>
      </c>
      <c r="B225" s="106"/>
      <c r="C225" s="87" t="s">
        <v>85</v>
      </c>
      <c r="D225" s="106"/>
      <c r="E225" s="87" t="s">
        <v>85</v>
      </c>
      <c r="F225" s="106"/>
      <c r="G225" s="87" t="s">
        <v>85</v>
      </c>
      <c r="I225" s="66">
        <v>849</v>
      </c>
      <c r="K225" s="66">
        <v>1887</v>
      </c>
      <c r="M225" s="66">
        <v>2090</v>
      </c>
      <c r="O225" s="66">
        <v>2563</v>
      </c>
      <c r="Q225" s="66">
        <v>3189</v>
      </c>
      <c r="S225" s="66">
        <v>3010</v>
      </c>
      <c r="U225" s="66">
        <v>2738</v>
      </c>
    </row>
    <row r="226" spans="1:21" s="16" customFormat="1" ht="12">
      <c r="A226" s="84"/>
      <c r="B226" s="106"/>
      <c r="C226" s="106"/>
      <c r="D226" s="106"/>
      <c r="E226" s="66"/>
      <c r="F226" s="106"/>
      <c r="G226" s="66"/>
      <c r="I226" s="66"/>
      <c r="K226" s="66"/>
      <c r="M226" s="66"/>
      <c r="O226" s="66"/>
      <c r="Q226" s="66"/>
      <c r="S226" s="66"/>
      <c r="U226" s="66"/>
    </row>
    <row r="227" spans="1:21" s="16" customFormat="1" ht="12">
      <c r="A227" s="83" t="s">
        <v>2</v>
      </c>
      <c r="B227" s="106"/>
      <c r="C227" s="106">
        <v>1687</v>
      </c>
      <c r="D227" s="106"/>
      <c r="E227" s="66">
        <v>1676</v>
      </c>
      <c r="F227" s="106"/>
      <c r="G227" s="66">
        <v>1693</v>
      </c>
      <c r="I227" s="66">
        <v>1554</v>
      </c>
      <c r="K227" s="66">
        <v>1320</v>
      </c>
      <c r="M227" s="66">
        <v>1297</v>
      </c>
      <c r="O227" s="66">
        <v>1186</v>
      </c>
      <c r="Q227" s="66">
        <v>1284</v>
      </c>
      <c r="S227" s="66">
        <v>1011</v>
      </c>
      <c r="U227" s="66">
        <v>861</v>
      </c>
    </row>
    <row r="228" spans="1:21" s="16" customFormat="1" ht="12">
      <c r="A228" s="84"/>
      <c r="B228" s="106"/>
      <c r="C228" s="106"/>
      <c r="D228" s="106"/>
      <c r="E228" s="66"/>
      <c r="F228" s="106"/>
      <c r="G228" s="66"/>
      <c r="I228" s="66"/>
      <c r="K228" s="66"/>
      <c r="M228" s="66"/>
      <c r="O228" s="66"/>
      <c r="Q228" s="66"/>
      <c r="S228" s="66"/>
      <c r="U228" s="66" t="s">
        <v>10</v>
      </c>
    </row>
    <row r="229" spans="1:21" s="16" customFormat="1" ht="12">
      <c r="A229" s="83" t="s">
        <v>54</v>
      </c>
      <c r="B229" s="106"/>
      <c r="C229" s="106">
        <v>0</v>
      </c>
      <c r="D229" s="106"/>
      <c r="E229" s="66">
        <v>0</v>
      </c>
      <c r="F229" s="106"/>
      <c r="G229" s="66">
        <v>0</v>
      </c>
      <c r="I229" s="87" t="s">
        <v>85</v>
      </c>
      <c r="K229" s="87" t="s">
        <v>85</v>
      </c>
      <c r="M229" s="87" t="s">
        <v>85</v>
      </c>
      <c r="O229" s="87" t="s">
        <v>85</v>
      </c>
      <c r="Q229" s="87" t="s">
        <v>85</v>
      </c>
      <c r="S229" s="87" t="s">
        <v>85</v>
      </c>
      <c r="U229" s="87" t="s">
        <v>85</v>
      </c>
    </row>
    <row r="230" spans="1:21" s="16" customFormat="1" ht="12">
      <c r="A230" s="84"/>
      <c r="B230" s="106"/>
      <c r="C230" s="106"/>
      <c r="D230" s="106"/>
      <c r="E230" s="66"/>
      <c r="F230" s="106"/>
      <c r="G230" s="66"/>
      <c r="I230" s="66"/>
      <c r="K230" s="66"/>
      <c r="M230" s="66"/>
      <c r="O230" s="66"/>
      <c r="Q230" s="66"/>
      <c r="S230" s="66"/>
      <c r="U230" s="66"/>
    </row>
    <row r="231" spans="1:21" s="16" customFormat="1" ht="12">
      <c r="A231" s="83" t="s">
        <v>3</v>
      </c>
      <c r="B231" s="106"/>
      <c r="C231" s="106">
        <v>0</v>
      </c>
      <c r="D231" s="106"/>
      <c r="E231" s="66">
        <v>0</v>
      </c>
      <c r="F231" s="106"/>
      <c r="G231" s="66">
        <v>0</v>
      </c>
      <c r="I231" s="66">
        <v>0</v>
      </c>
      <c r="K231" s="66">
        <v>0</v>
      </c>
      <c r="M231" s="66">
        <v>0</v>
      </c>
      <c r="O231" s="66">
        <v>0</v>
      </c>
      <c r="Q231" s="230">
        <v>0</v>
      </c>
      <c r="S231" s="230">
        <v>246</v>
      </c>
      <c r="U231" s="230">
        <v>546</v>
      </c>
    </row>
    <row r="232" spans="1:21" s="16" customFormat="1" ht="12">
      <c r="A232" s="84"/>
      <c r="B232" s="106"/>
      <c r="C232" s="106"/>
      <c r="D232" s="106"/>
      <c r="E232" s="66"/>
      <c r="F232" s="106"/>
      <c r="G232" s="66"/>
      <c r="I232" s="66"/>
      <c r="K232" s="66"/>
      <c r="M232" s="66"/>
      <c r="O232" s="66"/>
      <c r="Q232" s="66"/>
      <c r="S232" s="66"/>
      <c r="U232" s="66"/>
    </row>
    <row r="233" spans="1:21" s="16" customFormat="1" ht="12">
      <c r="A233" s="83" t="s">
        <v>4</v>
      </c>
      <c r="B233" s="106"/>
      <c r="C233" s="106">
        <v>1142</v>
      </c>
      <c r="D233" s="106"/>
      <c r="E233" s="66">
        <v>1302</v>
      </c>
      <c r="F233" s="106"/>
      <c r="G233" s="66">
        <v>1145</v>
      </c>
      <c r="I233" s="66">
        <v>647</v>
      </c>
      <c r="K233" s="66">
        <v>602</v>
      </c>
      <c r="M233" s="66">
        <v>532</v>
      </c>
      <c r="O233" s="66">
        <v>508</v>
      </c>
      <c r="Q233" s="66">
        <v>444</v>
      </c>
      <c r="S233" s="66">
        <v>0</v>
      </c>
      <c r="U233" s="66">
        <v>0</v>
      </c>
    </row>
    <row r="234" spans="1:21" s="16" customFormat="1" ht="12">
      <c r="A234" s="84"/>
      <c r="B234" s="106"/>
      <c r="C234" s="106"/>
      <c r="D234" s="106"/>
      <c r="E234" s="66"/>
      <c r="F234" s="106"/>
      <c r="G234" s="66"/>
      <c r="I234" s="66"/>
      <c r="K234" s="66"/>
      <c r="M234" s="66"/>
      <c r="O234" s="66"/>
      <c r="Q234" s="66"/>
      <c r="S234" s="66"/>
      <c r="U234" s="66"/>
    </row>
    <row r="235" spans="1:21" s="16" customFormat="1" ht="12">
      <c r="A235" s="40" t="s">
        <v>90</v>
      </c>
      <c r="B235" s="106"/>
      <c r="C235" s="106">
        <v>847</v>
      </c>
      <c r="D235" s="106"/>
      <c r="E235" s="66">
        <v>693</v>
      </c>
      <c r="F235" s="106"/>
      <c r="G235" s="66">
        <v>605</v>
      </c>
      <c r="I235" s="66">
        <v>482</v>
      </c>
      <c r="K235" s="66">
        <v>444</v>
      </c>
      <c r="M235" s="66">
        <v>407</v>
      </c>
      <c r="O235" s="66">
        <v>375</v>
      </c>
      <c r="Q235" s="87" t="s">
        <v>85</v>
      </c>
      <c r="S235" s="87" t="s">
        <v>85</v>
      </c>
      <c r="U235" s="87" t="s">
        <v>85</v>
      </c>
    </row>
    <row r="236" spans="1:21" s="16" customFormat="1" ht="12">
      <c r="A236" s="84"/>
      <c r="B236" s="106"/>
      <c r="C236" s="106"/>
      <c r="D236" s="106"/>
      <c r="E236" s="66"/>
      <c r="F236" s="106"/>
      <c r="G236" s="66"/>
      <c r="I236" s="66"/>
      <c r="K236" s="66"/>
      <c r="M236" s="66"/>
      <c r="O236" s="66"/>
      <c r="Q236" s="66"/>
      <c r="S236" s="66"/>
      <c r="U236" s="66"/>
    </row>
    <row r="237" spans="1:21" s="16" customFormat="1" ht="12">
      <c r="A237" s="83" t="s">
        <v>5</v>
      </c>
      <c r="B237" s="106"/>
      <c r="C237" s="106">
        <v>456</v>
      </c>
      <c r="D237" s="106"/>
      <c r="E237" s="66">
        <v>511</v>
      </c>
      <c r="F237" s="106"/>
      <c r="G237" s="66">
        <v>499</v>
      </c>
      <c r="I237" s="66">
        <v>494</v>
      </c>
      <c r="K237" s="66">
        <v>401</v>
      </c>
      <c r="M237" s="66">
        <v>379</v>
      </c>
      <c r="O237" s="66">
        <v>323</v>
      </c>
      <c r="Q237" s="66">
        <v>510</v>
      </c>
      <c r="S237" s="66">
        <v>512</v>
      </c>
      <c r="U237" s="66">
        <v>456</v>
      </c>
    </row>
    <row r="238" spans="1:21" s="16" customFormat="1" ht="12">
      <c r="A238" s="84"/>
      <c r="B238" s="106"/>
      <c r="C238" s="106"/>
      <c r="D238" s="106"/>
      <c r="E238" s="66"/>
      <c r="F238" s="106"/>
      <c r="G238" s="66"/>
      <c r="I238" s="66"/>
      <c r="K238" s="66"/>
      <c r="M238" s="66"/>
      <c r="O238" s="66"/>
      <c r="Q238" s="66"/>
      <c r="S238" s="66"/>
      <c r="U238" s="66"/>
    </row>
    <row r="239" spans="1:21" s="16" customFormat="1" ht="12">
      <c r="A239" s="89" t="s">
        <v>6</v>
      </c>
      <c r="B239" s="106"/>
      <c r="C239" s="106">
        <v>1611</v>
      </c>
      <c r="D239" s="106"/>
      <c r="E239" s="66">
        <v>1488</v>
      </c>
      <c r="F239" s="106"/>
      <c r="G239" s="66">
        <v>1562</v>
      </c>
      <c r="I239" s="66">
        <v>1425</v>
      </c>
      <c r="K239" s="66">
        <v>1338</v>
      </c>
      <c r="M239" s="66">
        <v>1250</v>
      </c>
      <c r="O239" s="66">
        <v>1122</v>
      </c>
      <c r="Q239" s="66">
        <v>907</v>
      </c>
      <c r="S239" s="66">
        <v>681</v>
      </c>
      <c r="U239" s="66">
        <v>569</v>
      </c>
    </row>
    <row r="240" spans="1:21" s="16" customFormat="1" ht="12">
      <c r="A240" s="106"/>
      <c r="B240" s="106"/>
      <c r="C240" s="106"/>
      <c r="D240" s="106"/>
      <c r="E240" s="66"/>
      <c r="F240" s="106"/>
      <c r="G240" s="66"/>
      <c r="I240" s="66"/>
      <c r="K240" s="66"/>
      <c r="M240" s="66"/>
      <c r="O240" s="66"/>
      <c r="Q240" s="66"/>
      <c r="S240" s="66"/>
      <c r="U240" s="66"/>
    </row>
    <row r="241" spans="1:21" s="16" customFormat="1" ht="12">
      <c r="A241" s="105" t="s">
        <v>24</v>
      </c>
      <c r="B241" s="106"/>
      <c r="C241" s="106">
        <v>1359</v>
      </c>
      <c r="D241" s="106"/>
      <c r="E241" s="66">
        <v>745</v>
      </c>
      <c r="F241" s="106"/>
      <c r="G241" s="66">
        <v>775</v>
      </c>
      <c r="I241" s="66">
        <v>586</v>
      </c>
      <c r="K241" s="66">
        <v>504</v>
      </c>
      <c r="M241" s="66">
        <v>421</v>
      </c>
      <c r="O241" s="66">
        <v>367</v>
      </c>
      <c r="Q241" s="66">
        <v>295</v>
      </c>
      <c r="S241" s="66">
        <v>0</v>
      </c>
      <c r="U241" s="66">
        <v>0</v>
      </c>
    </row>
    <row r="242" spans="1:21" s="16" customFormat="1" ht="12">
      <c r="A242" s="106"/>
      <c r="B242" s="106"/>
      <c r="C242" s="106"/>
      <c r="D242" s="106"/>
      <c r="E242" s="66"/>
      <c r="F242" s="106"/>
      <c r="G242" s="66"/>
      <c r="I242" s="66"/>
      <c r="K242" s="66"/>
      <c r="M242" s="66"/>
      <c r="O242" s="66"/>
      <c r="Q242" s="66"/>
      <c r="S242" s="66" t="s">
        <v>10</v>
      </c>
      <c r="U242" s="66"/>
    </row>
    <row r="243" spans="1:21" s="16" customFormat="1" ht="12">
      <c r="A243" s="105" t="s">
        <v>7</v>
      </c>
      <c r="B243" s="106"/>
      <c r="C243" s="106">
        <v>0</v>
      </c>
      <c r="D243" s="106"/>
      <c r="E243" s="66">
        <v>0</v>
      </c>
      <c r="F243" s="106"/>
      <c r="G243" s="66">
        <v>0</v>
      </c>
      <c r="I243" s="66">
        <v>0</v>
      </c>
      <c r="K243" s="66">
        <v>0</v>
      </c>
      <c r="M243" s="66">
        <v>0</v>
      </c>
      <c r="O243" s="66">
        <v>0</v>
      </c>
      <c r="Q243" s="66">
        <v>0</v>
      </c>
      <c r="S243" s="66">
        <v>0</v>
      </c>
      <c r="U243" s="66">
        <v>0</v>
      </c>
    </row>
    <row r="244" spans="1:21" s="16" customFormat="1" ht="12">
      <c r="A244" s="106"/>
      <c r="B244" s="106"/>
      <c r="C244" s="106"/>
      <c r="D244" s="106"/>
      <c r="E244" s="66"/>
      <c r="F244" s="106"/>
      <c r="G244" s="66"/>
      <c r="I244" s="66"/>
      <c r="K244" s="66"/>
      <c r="M244" s="66"/>
      <c r="O244" s="66"/>
      <c r="Q244" s="66"/>
      <c r="S244" s="66"/>
      <c r="U244" s="66"/>
    </row>
    <row r="245" spans="1:21" s="16" customFormat="1" ht="12">
      <c r="A245" s="105" t="s">
        <v>8</v>
      </c>
      <c r="B245" s="106"/>
      <c r="C245" s="108">
        <v>1259</v>
      </c>
      <c r="D245" s="106"/>
      <c r="E245" s="69">
        <v>1273</v>
      </c>
      <c r="F245" s="106"/>
      <c r="G245" s="69">
        <v>1277</v>
      </c>
      <c r="I245" s="69">
        <v>1195</v>
      </c>
      <c r="K245" s="69">
        <v>1081</v>
      </c>
      <c r="M245" s="69">
        <v>1037</v>
      </c>
      <c r="O245" s="69">
        <v>949</v>
      </c>
      <c r="Q245" s="69">
        <v>784</v>
      </c>
      <c r="S245" s="69">
        <v>846</v>
      </c>
      <c r="U245" s="69">
        <v>759</v>
      </c>
    </row>
    <row r="246" spans="1:11" s="16" customFormat="1" ht="12">
      <c r="A246" s="106"/>
      <c r="B246" s="106"/>
      <c r="C246" s="106"/>
      <c r="D246" s="106"/>
      <c r="E246" s="106"/>
      <c r="F246" s="106"/>
      <c r="G246" s="106"/>
      <c r="I246" s="106"/>
      <c r="K246" s="106"/>
    </row>
    <row r="247" spans="1:21" s="16" customFormat="1" ht="12.75" thickBot="1">
      <c r="A247" s="105" t="s">
        <v>17</v>
      </c>
      <c r="B247" s="106"/>
      <c r="C247" s="114">
        <f>SUM(C221:C245)</f>
        <v>11102</v>
      </c>
      <c r="D247" s="113"/>
      <c r="E247" s="114">
        <f>SUM(E221:E245)</f>
        <v>10577</v>
      </c>
      <c r="F247" s="113"/>
      <c r="G247" s="114">
        <f>SUM(G221:G245)</f>
        <v>10476</v>
      </c>
      <c r="I247" s="114">
        <f>SUM(I221:I245)</f>
        <v>10041</v>
      </c>
      <c r="K247" s="114">
        <f>SUM(K221:K245)</f>
        <v>10143</v>
      </c>
      <c r="M247" s="114">
        <f>SUM(M221:M245)</f>
        <v>9866</v>
      </c>
      <c r="O247" s="114">
        <f>SUM(O221:O245)</f>
        <v>9836</v>
      </c>
      <c r="Q247" s="114">
        <f>SUM(Q221:Q245)</f>
        <v>9453</v>
      </c>
      <c r="S247" s="114">
        <f>SUM(S221:S245)</f>
        <v>7951</v>
      </c>
      <c r="U247" s="114">
        <f>SUM(U221:U245)</f>
        <v>7219</v>
      </c>
    </row>
    <row r="248" spans="1:6" s="16" customFormat="1" ht="12.75" thickTop="1">
      <c r="A248" s="106"/>
      <c r="B248" s="106"/>
      <c r="C248" s="110"/>
      <c r="D248" s="106"/>
      <c r="E248" s="110"/>
      <c r="F248" s="106"/>
    </row>
    <row r="249" spans="1:6" ht="12">
      <c r="A249" s="52" t="s">
        <v>45</v>
      </c>
      <c r="B249" s="84"/>
      <c r="C249" s="84"/>
      <c r="D249" s="84"/>
      <c r="E249" s="84"/>
      <c r="F249" s="84"/>
    </row>
    <row r="250" spans="1:6" ht="12">
      <c r="A250" s="52" t="s">
        <v>73</v>
      </c>
      <c r="B250" s="84"/>
      <c r="C250" s="84"/>
      <c r="D250" s="84"/>
      <c r="E250" s="84"/>
      <c r="F250" s="84"/>
    </row>
    <row r="251" spans="1:6" ht="12">
      <c r="A251" s="52" t="s">
        <v>52</v>
      </c>
      <c r="B251" s="84"/>
      <c r="C251" s="84"/>
      <c r="D251" s="84"/>
      <c r="E251" s="84"/>
      <c r="F251" s="84"/>
    </row>
    <row r="252" spans="1:6" ht="12">
      <c r="A252" s="55" t="s">
        <v>80</v>
      </c>
      <c r="B252" s="84"/>
      <c r="C252" s="84"/>
      <c r="D252" s="84"/>
      <c r="E252" s="84"/>
      <c r="F252" s="84"/>
    </row>
    <row r="253" spans="1:6" ht="12">
      <c r="A253" s="56" t="s">
        <v>87</v>
      </c>
      <c r="B253" s="84"/>
      <c r="C253" s="84"/>
      <c r="D253" s="84"/>
      <c r="E253" s="84"/>
      <c r="F253" s="84"/>
    </row>
    <row r="254" spans="1:6" ht="12">
      <c r="A254" s="56" t="s">
        <v>89</v>
      </c>
      <c r="B254" s="84"/>
      <c r="C254" s="84"/>
      <c r="D254" s="84"/>
      <c r="E254" s="84"/>
      <c r="F254" s="84"/>
    </row>
    <row r="255" spans="1:6" ht="12">
      <c r="A255" s="84"/>
      <c r="B255" s="84"/>
      <c r="C255" s="84"/>
      <c r="D255" s="84"/>
      <c r="E255" s="84"/>
      <c r="F255" s="84"/>
    </row>
    <row r="256" spans="1:6" ht="12">
      <c r="A256" s="56" t="s">
        <v>0</v>
      </c>
      <c r="B256" s="55"/>
      <c r="C256" s="55"/>
      <c r="D256" s="55"/>
      <c r="E256" s="55"/>
      <c r="F256" s="55"/>
    </row>
    <row r="257" spans="1:6" ht="12">
      <c r="A257" s="57" t="s">
        <v>22</v>
      </c>
      <c r="B257" s="55"/>
      <c r="C257" s="55"/>
      <c r="D257" s="55"/>
      <c r="E257" s="55"/>
      <c r="F257" s="55"/>
    </row>
    <row r="258" spans="1:6" ht="12">
      <c r="A258" s="72" t="str">
        <f>A3</f>
        <v>2000 - 2009</v>
      </c>
      <c r="B258" s="75"/>
      <c r="C258" s="75"/>
      <c r="D258" s="75"/>
      <c r="E258" s="55"/>
      <c r="F258" s="55"/>
    </row>
    <row r="259" spans="1:6" ht="12">
      <c r="A259" s="117"/>
      <c r="B259" s="75"/>
      <c r="C259" s="55"/>
      <c r="D259" s="55"/>
      <c r="E259" s="55"/>
      <c r="F259" s="55"/>
    </row>
    <row r="260" spans="1:6" ht="12">
      <c r="A260" s="101"/>
      <c r="B260" s="60"/>
      <c r="C260" s="55"/>
      <c r="D260" s="55"/>
      <c r="E260" s="55"/>
      <c r="F260" s="55"/>
    </row>
    <row r="261" spans="1:6" ht="12">
      <c r="A261" s="55"/>
      <c r="B261" s="55"/>
      <c r="C261" s="55"/>
      <c r="D261" s="55"/>
      <c r="E261" s="55"/>
      <c r="F261" s="55"/>
    </row>
    <row r="262" spans="1:21" ht="12">
      <c r="A262" s="55"/>
      <c r="B262" s="55"/>
      <c r="C262" s="62">
        <v>2000</v>
      </c>
      <c r="D262" s="80"/>
      <c r="E262" s="62">
        <v>2001</v>
      </c>
      <c r="F262" s="55"/>
      <c r="G262" s="62">
        <v>2002</v>
      </c>
      <c r="I262" s="62">
        <v>2003</v>
      </c>
      <c r="K262" s="62">
        <v>2004</v>
      </c>
      <c r="M262" s="62">
        <v>2005</v>
      </c>
      <c r="O262" s="46">
        <v>2006</v>
      </c>
      <c r="Q262" s="46">
        <v>2007</v>
      </c>
      <c r="S262" s="46">
        <v>2008</v>
      </c>
      <c r="U262" s="46">
        <v>2009</v>
      </c>
    </row>
    <row r="263" spans="1:11" ht="12">
      <c r="A263" s="55"/>
      <c r="B263" s="55"/>
      <c r="C263" s="55"/>
      <c r="D263" s="55"/>
      <c r="E263" s="55"/>
      <c r="F263" s="55"/>
      <c r="G263" s="55"/>
      <c r="I263" s="55"/>
      <c r="K263" s="55"/>
    </row>
    <row r="264" spans="1:21" ht="12">
      <c r="A264" s="83" t="s">
        <v>79</v>
      </c>
      <c r="B264" s="55"/>
      <c r="C264" s="205">
        <v>0.262</v>
      </c>
      <c r="D264" s="205"/>
      <c r="E264" s="205">
        <f>(E137-C137)/C137</f>
        <v>0.039</v>
      </c>
      <c r="F264" s="205"/>
      <c r="G264" s="205">
        <f>(G137-E137)/E137</f>
        <v>-0.023</v>
      </c>
      <c r="H264" s="226"/>
      <c r="I264" s="205">
        <f>(I137-G137)/G137</f>
        <v>-0.027</v>
      </c>
      <c r="K264" s="205">
        <f>(K137-I137)/I137</f>
        <v>-0.045</v>
      </c>
      <c r="M264" s="205">
        <f>(M137-K137)/K137</f>
        <v>0.033</v>
      </c>
      <c r="O264" s="205">
        <f>(O137-M137)/M137</f>
        <v>0.086</v>
      </c>
      <c r="Q264" s="205">
        <f>(Q137-O137)/O137</f>
        <v>-0.109</v>
      </c>
      <c r="S264" s="205">
        <f>(S137-Q137)/Q137</f>
        <v>-0.179</v>
      </c>
      <c r="U264" s="205">
        <f>(U137-S137)/S137</f>
        <v>-0.215</v>
      </c>
    </row>
    <row r="265" spans="1:21" ht="12">
      <c r="A265" s="84"/>
      <c r="B265" s="55"/>
      <c r="C265" s="205"/>
      <c r="D265" s="205"/>
      <c r="E265" s="205"/>
      <c r="F265" s="206"/>
      <c r="G265" s="205"/>
      <c r="H265" s="226"/>
      <c r="I265" s="205"/>
      <c r="K265" s="205"/>
      <c r="M265" s="205"/>
      <c r="O265" s="205"/>
      <c r="Q265" s="205"/>
      <c r="S265" s="205"/>
      <c r="U265" s="205"/>
    </row>
    <row r="266" spans="1:21" ht="12">
      <c r="A266" s="83" t="s">
        <v>53</v>
      </c>
      <c r="B266" s="55"/>
      <c r="C266" s="205">
        <v>0.064</v>
      </c>
      <c r="D266" s="205"/>
      <c r="E266" s="205">
        <f>(E139-C139)/C139</f>
        <v>0.003</v>
      </c>
      <c r="F266" s="205"/>
      <c r="G266" s="205">
        <f>(G139-E139)/E139</f>
        <v>0.04</v>
      </c>
      <c r="H266" s="226"/>
      <c r="I266" s="205">
        <f>(I139-G139)/G139</f>
        <v>0.285</v>
      </c>
      <c r="K266" s="205">
        <f>(K139-I139)/I139</f>
        <v>-0.064</v>
      </c>
      <c r="M266" s="205">
        <f>(M139-K139)/K139</f>
        <v>-0.023</v>
      </c>
      <c r="O266" s="205">
        <f>(O139-M139)/M139</f>
        <v>0.033</v>
      </c>
      <c r="Q266" s="205">
        <f>(Q139-O139)/O139</f>
        <v>-0.104</v>
      </c>
      <c r="S266" s="205">
        <f>(S139-Q139)/Q139</f>
        <v>-0.174</v>
      </c>
      <c r="U266" s="205">
        <f>(U139-S139)/S139</f>
        <v>-0.211</v>
      </c>
    </row>
    <row r="267" spans="1:21" ht="12">
      <c r="A267" s="83"/>
      <c r="B267" s="55"/>
      <c r="C267" s="87" t="s">
        <v>10</v>
      </c>
      <c r="D267" s="205"/>
      <c r="E267" s="87" t="s">
        <v>10</v>
      </c>
      <c r="F267" s="205"/>
      <c r="G267" s="205"/>
      <c r="H267" s="226"/>
      <c r="I267" s="205"/>
      <c r="K267" s="205"/>
      <c r="M267" s="205"/>
      <c r="O267" s="205"/>
      <c r="Q267" s="205"/>
      <c r="S267" s="205"/>
      <c r="U267" s="205"/>
    </row>
    <row r="268" spans="1:21" ht="12">
      <c r="A268" s="83" t="s">
        <v>86</v>
      </c>
      <c r="B268" s="55"/>
      <c r="C268" s="87" t="s">
        <v>85</v>
      </c>
      <c r="D268" s="205"/>
      <c r="E268" s="87" t="s">
        <v>85</v>
      </c>
      <c r="F268" s="205"/>
      <c r="G268" s="87" t="s">
        <v>85</v>
      </c>
      <c r="H268" s="226"/>
      <c r="I268" s="87" t="s">
        <v>85</v>
      </c>
      <c r="K268" s="87" t="s">
        <v>85</v>
      </c>
      <c r="M268" s="205">
        <f>(M141-K141)/K141</f>
        <v>0.124</v>
      </c>
      <c r="O268" s="205">
        <f>(O141-M141)/M141</f>
        <v>0.06</v>
      </c>
      <c r="Q268" s="205">
        <f>(Q141-O141)/O141</f>
        <v>-0.059</v>
      </c>
      <c r="S268" s="205">
        <f>(S141-Q141)/Q141</f>
        <v>-0.023</v>
      </c>
      <c r="U268" s="205">
        <f>(U141-S141)/S141</f>
        <v>-0.092</v>
      </c>
    </row>
    <row r="269" spans="1:21" ht="12">
      <c r="A269" s="84"/>
      <c r="B269" s="55"/>
      <c r="C269" s="205"/>
      <c r="D269" s="205"/>
      <c r="E269" s="205"/>
      <c r="F269" s="206"/>
      <c r="G269" s="205"/>
      <c r="H269" s="226"/>
      <c r="I269" s="205"/>
      <c r="K269" s="205"/>
      <c r="M269" s="205"/>
      <c r="O269" s="205"/>
      <c r="Q269" s="205"/>
      <c r="S269" s="205"/>
      <c r="U269" s="205"/>
    </row>
    <row r="270" spans="1:21" ht="12">
      <c r="A270" s="83" t="s">
        <v>2</v>
      </c>
      <c r="B270" s="55"/>
      <c r="C270" s="205">
        <v>0.054</v>
      </c>
      <c r="D270" s="205"/>
      <c r="E270" s="205">
        <f>(E143-C143)/C143</f>
        <v>0.06</v>
      </c>
      <c r="F270" s="205"/>
      <c r="G270" s="205">
        <f>(G143-E143)/E143</f>
        <v>0.081</v>
      </c>
      <c r="H270" s="226"/>
      <c r="I270" s="205">
        <f>(I143-G143)/G143</f>
        <v>0.006</v>
      </c>
      <c r="K270" s="205">
        <f>(K143-I143)/I143</f>
        <v>-0.082</v>
      </c>
      <c r="M270" s="205">
        <f>(M143-K143)/K143</f>
        <v>-0.004</v>
      </c>
      <c r="O270" s="205">
        <f>(O143-M143)/M143</f>
        <v>0.014</v>
      </c>
      <c r="Q270" s="205">
        <f>(Q143-O143)/O143</f>
        <v>0.016</v>
      </c>
      <c r="S270" s="205">
        <f>(S143-Q143)/Q143</f>
        <v>-0.139</v>
      </c>
      <c r="U270" s="205">
        <f>(U143-S143)/S143</f>
        <v>-0.161</v>
      </c>
    </row>
    <row r="271" spans="1:21" ht="12">
      <c r="A271" s="84"/>
      <c r="B271" s="55"/>
      <c r="C271" s="205"/>
      <c r="D271" s="205"/>
      <c r="E271" s="205"/>
      <c r="F271" s="206"/>
      <c r="G271" s="205"/>
      <c r="H271" s="226"/>
      <c r="I271" s="205"/>
      <c r="K271" s="205"/>
      <c r="M271" s="205"/>
      <c r="O271" s="205"/>
      <c r="Q271" s="205"/>
      <c r="S271" s="205"/>
      <c r="U271" s="205"/>
    </row>
    <row r="272" spans="1:21" ht="12">
      <c r="A272" s="83" t="s">
        <v>54</v>
      </c>
      <c r="B272" s="55"/>
      <c r="C272" s="205">
        <v>0.054</v>
      </c>
      <c r="D272" s="205"/>
      <c r="E272" s="205">
        <f>(E145-C145)/C145</f>
        <v>-0.027</v>
      </c>
      <c r="F272" s="227"/>
      <c r="G272" s="205">
        <f>(G145-E145)/E145</f>
        <v>-0.039</v>
      </c>
      <c r="H272" s="226"/>
      <c r="I272" s="87" t="s">
        <v>85</v>
      </c>
      <c r="K272" s="87" t="s">
        <v>85</v>
      </c>
      <c r="M272" s="87" t="s">
        <v>85</v>
      </c>
      <c r="O272" s="87" t="s">
        <v>85</v>
      </c>
      <c r="Q272" s="87" t="s">
        <v>85</v>
      </c>
      <c r="S272" s="87" t="s">
        <v>85</v>
      </c>
      <c r="U272" s="87" t="s">
        <v>85</v>
      </c>
    </row>
    <row r="273" spans="1:21" ht="12">
      <c r="A273" s="84"/>
      <c r="B273" s="55"/>
      <c r="C273" s="205"/>
      <c r="D273" s="206"/>
      <c r="E273" s="205"/>
      <c r="F273" s="206"/>
      <c r="G273" s="205"/>
      <c r="H273" s="226"/>
      <c r="I273" s="205"/>
      <c r="K273" s="205"/>
      <c r="M273" s="205"/>
      <c r="O273" s="205"/>
      <c r="Q273" s="205"/>
      <c r="S273" s="205"/>
      <c r="U273" s="205"/>
    </row>
    <row r="274" spans="1:21" ht="12">
      <c r="A274" s="83" t="s">
        <v>3</v>
      </c>
      <c r="B274" s="55"/>
      <c r="C274" s="205">
        <v>0.079</v>
      </c>
      <c r="D274" s="205"/>
      <c r="E274" s="205">
        <f>(E147-C147)/C147</f>
        <v>0.019</v>
      </c>
      <c r="F274" s="205"/>
      <c r="G274" s="205">
        <f>(G147-E147)/E147</f>
        <v>0.086</v>
      </c>
      <c r="H274" s="226"/>
      <c r="I274" s="205">
        <f>(I147-G147)/G147</f>
        <v>-0.004</v>
      </c>
      <c r="K274" s="205">
        <f>(K147-I147)/I147</f>
        <v>0.011</v>
      </c>
      <c r="M274" s="205">
        <f>(M147-K147)/K147</f>
        <v>0.005</v>
      </c>
      <c r="O274" s="205">
        <f>(O147-M147)/M147</f>
        <v>0.078</v>
      </c>
      <c r="Q274" s="205">
        <f>(Q147-O147)/O147</f>
        <v>-0.01</v>
      </c>
      <c r="S274" s="205">
        <f>(S147-Q147)/Q147</f>
        <v>-0.064</v>
      </c>
      <c r="U274" s="205">
        <f>(U147-S147)/S147</f>
        <v>-0.113</v>
      </c>
    </row>
    <row r="275" spans="1:21" ht="12">
      <c r="A275" s="84"/>
      <c r="B275" s="55"/>
      <c r="C275" s="205"/>
      <c r="D275" s="206"/>
      <c r="E275" s="205"/>
      <c r="F275" s="206"/>
      <c r="G275" s="205"/>
      <c r="H275" s="226"/>
      <c r="I275" s="205"/>
      <c r="K275" s="205"/>
      <c r="M275" s="205"/>
      <c r="O275" s="205"/>
      <c r="Q275" s="205"/>
      <c r="S275" s="205"/>
      <c r="U275" s="205"/>
    </row>
    <row r="276" spans="1:21" ht="12">
      <c r="A276" s="83" t="s">
        <v>4</v>
      </c>
      <c r="B276" s="55"/>
      <c r="C276" s="205">
        <v>0.143</v>
      </c>
      <c r="D276" s="205"/>
      <c r="E276" s="205">
        <f>(E149-C149)/C149</f>
        <v>0.128</v>
      </c>
      <c r="F276" s="205"/>
      <c r="G276" s="205">
        <f>(G149-E149)/E149</f>
        <v>0.146</v>
      </c>
      <c r="H276" s="226"/>
      <c r="I276" s="205">
        <f>(I149-G149)/G149</f>
        <v>-0.119</v>
      </c>
      <c r="K276" s="205">
        <f>(K149-I149)/I149</f>
        <v>0.056</v>
      </c>
      <c r="M276" s="205">
        <f>(M149-K149)/K149</f>
        <v>0.046</v>
      </c>
      <c r="O276" s="205">
        <f>(O149-M149)/M149</f>
        <v>0.042</v>
      </c>
      <c r="Q276" s="205">
        <f>(Q149-O149)/O149</f>
        <v>-0.046</v>
      </c>
      <c r="S276" s="205">
        <f>(S149-Q149)/Q149</f>
        <v>-0.168</v>
      </c>
      <c r="U276" s="205">
        <f>(U149-S149)/S149</f>
        <v>-0.175</v>
      </c>
    </row>
    <row r="277" spans="1:21" ht="12">
      <c r="A277" s="84"/>
      <c r="B277" s="55"/>
      <c r="C277" s="205"/>
      <c r="D277" s="206"/>
      <c r="E277" s="205"/>
      <c r="F277" s="206"/>
      <c r="G277" s="205"/>
      <c r="H277" s="226"/>
      <c r="I277" s="205"/>
      <c r="K277" s="205"/>
      <c r="M277" s="205"/>
      <c r="O277" s="205"/>
      <c r="Q277" s="205"/>
      <c r="S277" s="205"/>
      <c r="U277" s="205"/>
    </row>
    <row r="278" spans="1:21" ht="12">
      <c r="A278" s="40" t="s">
        <v>90</v>
      </c>
      <c r="B278" s="55"/>
      <c r="C278" s="205">
        <v>0.065</v>
      </c>
      <c r="D278" s="205"/>
      <c r="E278" s="205">
        <f>(E151-C151)/C151</f>
        <v>0.111</v>
      </c>
      <c r="F278" s="205"/>
      <c r="G278" s="205">
        <f>(G151-E151)/E151</f>
        <v>-0.051</v>
      </c>
      <c r="H278" s="226"/>
      <c r="I278" s="205">
        <f>(I151-G151)/G151</f>
        <v>-0.138</v>
      </c>
      <c r="K278" s="205">
        <f>(K151-I151)/I151</f>
        <v>-0.065</v>
      </c>
      <c r="M278" s="205">
        <f>(M151-K151)/K151</f>
        <v>-0.105</v>
      </c>
      <c r="O278" s="205">
        <f>(O151-M151)/M151</f>
        <v>-0.215</v>
      </c>
      <c r="Q278" s="87" t="s">
        <v>85</v>
      </c>
      <c r="S278" s="87" t="s">
        <v>85</v>
      </c>
      <c r="U278" s="87" t="s">
        <v>85</v>
      </c>
    </row>
    <row r="279" spans="1:21" ht="12">
      <c r="A279" s="84"/>
      <c r="B279" s="55"/>
      <c r="C279" s="205"/>
      <c r="D279" s="206"/>
      <c r="E279" s="205"/>
      <c r="F279" s="206"/>
      <c r="G279" s="205"/>
      <c r="H279" s="226"/>
      <c r="I279" s="205"/>
      <c r="K279" s="205"/>
      <c r="M279" s="205"/>
      <c r="O279" s="205"/>
      <c r="Q279" s="205"/>
      <c r="S279" s="205"/>
      <c r="U279" s="205"/>
    </row>
    <row r="280" spans="1:21" ht="12">
      <c r="A280" s="83" t="s">
        <v>5</v>
      </c>
      <c r="B280" s="55"/>
      <c r="C280" s="205">
        <v>0.001</v>
      </c>
      <c r="D280" s="205"/>
      <c r="E280" s="205">
        <f>(E153-C153)/C153</f>
        <v>0.043</v>
      </c>
      <c r="F280" s="205"/>
      <c r="G280" s="205">
        <f>(G153-E153)/E153</f>
        <v>0.069</v>
      </c>
      <c r="H280" s="226"/>
      <c r="I280" s="205">
        <f>(I153-G153)/G153</f>
        <v>0.027</v>
      </c>
      <c r="K280" s="205">
        <f>(K153-I153)/I153</f>
        <v>0.029</v>
      </c>
      <c r="M280" s="205">
        <f>(M153-K153)/K153</f>
        <v>0.008</v>
      </c>
      <c r="O280" s="205">
        <f>(O153-M153)/M153</f>
        <v>-0.017</v>
      </c>
      <c r="Q280" s="205">
        <f>(Q153-O153)/O153</f>
        <v>-0.105</v>
      </c>
      <c r="S280" s="205">
        <f>(S153-Q153)/Q153</f>
        <v>-0.139</v>
      </c>
      <c r="U280" s="205">
        <f>(U153-S153)/S153</f>
        <v>-0.152</v>
      </c>
    </row>
    <row r="281" spans="1:21" ht="12">
      <c r="A281" s="84"/>
      <c r="B281" s="55"/>
      <c r="C281" s="205"/>
      <c r="D281" s="206"/>
      <c r="E281" s="205"/>
      <c r="F281" s="206"/>
      <c r="G281" s="205"/>
      <c r="H281" s="226"/>
      <c r="I281" s="205"/>
      <c r="K281" s="205"/>
      <c r="M281" s="205"/>
      <c r="O281" s="205"/>
      <c r="Q281" s="205"/>
      <c r="S281" s="205"/>
      <c r="U281" s="205"/>
    </row>
    <row r="282" spans="1:21" ht="12">
      <c r="A282" s="89" t="s">
        <v>6</v>
      </c>
      <c r="B282" s="55"/>
      <c r="C282" s="205">
        <v>0.045</v>
      </c>
      <c r="D282" s="205"/>
      <c r="E282" s="205">
        <f>(E155-C155)/C155</f>
        <v>-0.02</v>
      </c>
      <c r="F282" s="205"/>
      <c r="G282" s="205">
        <f>(G155-E155)/E155</f>
        <v>-0.004</v>
      </c>
      <c r="H282" s="226"/>
      <c r="I282" s="205">
        <f>(I155-G155)/G155</f>
        <v>-0.123</v>
      </c>
      <c r="K282" s="205">
        <f>(K155-I155)/I155</f>
        <v>-0.041</v>
      </c>
      <c r="M282" s="205">
        <f>(M155-K155)/K155</f>
        <v>0.19</v>
      </c>
      <c r="O282" s="205">
        <f>(O155-M155)/M155</f>
        <v>0.109</v>
      </c>
      <c r="Q282" s="205">
        <f>(Q155-O155)/O155</f>
        <v>-0.138</v>
      </c>
      <c r="S282" s="205">
        <f>(S155-Q155)/Q155</f>
        <v>-0.178</v>
      </c>
      <c r="U282" s="205">
        <f>(U155-S155)/S155</f>
        <v>-0.107</v>
      </c>
    </row>
    <row r="283" spans="1:21" ht="12">
      <c r="A283" s="55"/>
      <c r="B283" s="55"/>
      <c r="C283" s="205"/>
      <c r="D283" s="206"/>
      <c r="E283" s="205"/>
      <c r="F283" s="206"/>
      <c r="G283" s="205"/>
      <c r="H283" s="226"/>
      <c r="I283" s="205"/>
      <c r="K283" s="205"/>
      <c r="M283" s="205"/>
      <c r="O283" s="205"/>
      <c r="Q283" s="205"/>
      <c r="S283" s="205"/>
      <c r="U283" s="205"/>
    </row>
    <row r="284" spans="1:21" ht="12">
      <c r="A284" s="56" t="s">
        <v>24</v>
      </c>
      <c r="B284" s="55"/>
      <c r="C284" s="205">
        <v>-0.007</v>
      </c>
      <c r="D284" s="205"/>
      <c r="E284" s="205">
        <f>(E157-C157)/C157</f>
        <v>0.057</v>
      </c>
      <c r="F284" s="205"/>
      <c r="G284" s="205">
        <f>(G157-E157)/E157</f>
        <v>0.052</v>
      </c>
      <c r="H284" s="226"/>
      <c r="I284" s="205">
        <f>(I157-G157)/G157</f>
        <v>-0.097</v>
      </c>
      <c r="K284" s="205">
        <f>(K157-I157)/I157</f>
        <v>0.059</v>
      </c>
      <c r="M284" s="205">
        <f>(M157-K157)/K157</f>
        <v>-0.069</v>
      </c>
      <c r="O284" s="205">
        <f>(O157-M157)/M157</f>
        <v>0.021</v>
      </c>
      <c r="Q284" s="205">
        <f>(Q157-O157)/O157</f>
        <v>-0.12</v>
      </c>
      <c r="S284" s="205">
        <f>(S157-Q157)/Q157</f>
        <v>-0.181</v>
      </c>
      <c r="U284" s="205">
        <f>(U157-S157)/S157</f>
        <v>-0.207</v>
      </c>
    </row>
    <row r="285" spans="1:21" ht="12">
      <c r="A285" s="55"/>
      <c r="B285" s="55"/>
      <c r="C285" s="205"/>
      <c r="D285" s="206"/>
      <c r="E285" s="205"/>
      <c r="F285" s="206"/>
      <c r="G285" s="205"/>
      <c r="H285" s="226"/>
      <c r="I285" s="205"/>
      <c r="K285" s="205"/>
      <c r="M285" s="205"/>
      <c r="O285" s="205"/>
      <c r="Q285" s="205"/>
      <c r="S285" s="205"/>
      <c r="U285" s="205"/>
    </row>
    <row r="286" spans="1:21" ht="12">
      <c r="A286" s="56" t="s">
        <v>7</v>
      </c>
      <c r="B286" s="64"/>
      <c r="C286" s="205">
        <v>-0.106</v>
      </c>
      <c r="D286" s="205"/>
      <c r="E286" s="205">
        <f>(E159-C159)/C159</f>
        <v>0.02</v>
      </c>
      <c r="F286" s="205"/>
      <c r="G286" s="205">
        <f>(G159-E159)/E159</f>
        <v>-0.007</v>
      </c>
      <c r="H286" s="226"/>
      <c r="I286" s="205">
        <f>(I159-G159)/G159</f>
        <v>-0.041</v>
      </c>
      <c r="K286" s="205">
        <f>(K159-I159)/I159</f>
        <v>0.005</v>
      </c>
      <c r="M286" s="205">
        <f>(M159-K159)/K159</f>
        <v>0.012</v>
      </c>
      <c r="O286" s="205">
        <f>(O159-M159)/M159</f>
        <v>-0.049</v>
      </c>
      <c r="Q286" s="205">
        <f>(Q159-O159)/O159</f>
        <v>-0.13</v>
      </c>
      <c r="S286" s="205">
        <f>(S159-Q159)/Q159</f>
        <v>-0.131</v>
      </c>
      <c r="U286" s="205">
        <f>(U159-S159)/S159</f>
        <v>-0.204</v>
      </c>
    </row>
    <row r="287" spans="1:21" ht="12">
      <c r="A287" s="55"/>
      <c r="B287" s="55"/>
      <c r="C287" s="205"/>
      <c r="D287" s="205"/>
      <c r="E287" s="205"/>
      <c r="F287" s="205"/>
      <c r="G287" s="205"/>
      <c r="H287" s="226"/>
      <c r="I287" s="205"/>
      <c r="K287" s="205"/>
      <c r="M287" s="205"/>
      <c r="O287" s="205"/>
      <c r="Q287" s="205"/>
      <c r="S287" s="205"/>
      <c r="U287" s="205"/>
    </row>
    <row r="288" spans="1:21" ht="12">
      <c r="A288" s="56" t="s">
        <v>8</v>
      </c>
      <c r="B288" s="64"/>
      <c r="C288" s="205">
        <v>0.079</v>
      </c>
      <c r="D288" s="207"/>
      <c r="E288" s="205">
        <f>(E161-C161)/C161</f>
        <v>0.032</v>
      </c>
      <c r="F288" s="207"/>
      <c r="G288" s="205">
        <f>(G161-E161)/E161</f>
        <v>0.003</v>
      </c>
      <c r="H288" s="226"/>
      <c r="I288" s="205">
        <f>(I161-G161)/G161</f>
        <v>-0.049</v>
      </c>
      <c r="K288" s="205">
        <f>(K161-I161)/I161</f>
        <v>0.013</v>
      </c>
      <c r="M288" s="205">
        <f>(M161-K161)/K161</f>
        <v>-0.019</v>
      </c>
      <c r="O288" s="205">
        <f>(O161-M161)/M161</f>
        <v>0.002</v>
      </c>
      <c r="Q288" s="205">
        <f>(Q161-O161)/O161</f>
        <v>-0.069</v>
      </c>
      <c r="S288" s="205">
        <f>(S161-Q161)/Q161</f>
        <v>-0.109</v>
      </c>
      <c r="U288" s="205">
        <f>(U161-S161)/S161</f>
        <v>-0.086</v>
      </c>
    </row>
    <row r="289" spans="1:21" ht="12">
      <c r="A289" s="55"/>
      <c r="B289" s="64"/>
      <c r="C289" s="205"/>
      <c r="D289" s="207"/>
      <c r="E289" s="205"/>
      <c r="F289" s="207"/>
      <c r="G289" s="205"/>
      <c r="H289" s="226"/>
      <c r="I289" s="205"/>
      <c r="K289" s="205"/>
      <c r="M289" s="205"/>
      <c r="O289" s="205"/>
      <c r="Q289" s="205"/>
      <c r="S289" s="205"/>
      <c r="U289" s="205"/>
    </row>
    <row r="290" spans="1:21" ht="12">
      <c r="A290" s="105" t="s">
        <v>17</v>
      </c>
      <c r="B290" s="64"/>
      <c r="C290" s="205">
        <v>0.053</v>
      </c>
      <c r="D290" s="207"/>
      <c r="E290" s="205">
        <f>(E163-C163)/C163</f>
        <v>0.034</v>
      </c>
      <c r="F290" s="207"/>
      <c r="G290" s="205">
        <f>(G163-E163)/E163</f>
        <v>0.034</v>
      </c>
      <c r="H290" s="226"/>
      <c r="I290" s="205">
        <f>(I163-G163)/G163</f>
        <v>0.012</v>
      </c>
      <c r="K290" s="205">
        <f>(K163-I163)/I163</f>
        <v>0.061</v>
      </c>
      <c r="M290" s="205">
        <f>(M163-K163)/K163</f>
        <v>0.021</v>
      </c>
      <c r="O290" s="205">
        <f>(O163-M163)/M163</f>
        <v>0.027</v>
      </c>
      <c r="Q290" s="205">
        <f>(Q163-O163)/O163</f>
        <v>-0.1</v>
      </c>
      <c r="S290" s="205">
        <f>(S163-Q163)/Q163</f>
        <v>-0.123</v>
      </c>
      <c r="U290" s="205">
        <f>(U163-S163)/S163</f>
        <v>-0.146</v>
      </c>
    </row>
    <row r="291" spans="1:6" ht="12">
      <c r="A291" s="55"/>
      <c r="B291" s="64"/>
      <c r="C291" s="76"/>
      <c r="D291" s="68"/>
      <c r="E291" s="76"/>
      <c r="F291" s="68"/>
    </row>
    <row r="292" spans="1:6" ht="12">
      <c r="A292" s="52" t="s">
        <v>45</v>
      </c>
      <c r="B292" s="84"/>
      <c r="C292" s="84"/>
      <c r="D292" s="84"/>
      <c r="E292" s="84"/>
      <c r="F292" s="84"/>
    </row>
    <row r="293" spans="1:6" ht="12">
      <c r="A293" s="52" t="s">
        <v>73</v>
      </c>
      <c r="B293" s="84"/>
      <c r="C293" s="84"/>
      <c r="D293" s="84"/>
      <c r="E293" s="84"/>
      <c r="F293" s="84"/>
    </row>
    <row r="294" spans="1:6" ht="12">
      <c r="A294" s="52" t="s">
        <v>52</v>
      </c>
      <c r="B294" s="84"/>
      <c r="C294" s="84"/>
      <c r="D294" s="84"/>
      <c r="E294" s="84"/>
      <c r="F294" s="84"/>
    </row>
    <row r="295" spans="1:6" ht="12">
      <c r="A295" s="55" t="s">
        <v>80</v>
      </c>
      <c r="B295" s="84"/>
      <c r="C295" s="84"/>
      <c r="D295" s="84"/>
      <c r="E295" s="84"/>
      <c r="F295" s="84"/>
    </row>
    <row r="296" spans="1:6" ht="12">
      <c r="A296" s="56" t="s">
        <v>87</v>
      </c>
      <c r="B296" s="84"/>
      <c r="C296" s="84"/>
      <c r="D296" s="84"/>
      <c r="E296" s="84"/>
      <c r="F296" s="84"/>
    </row>
    <row r="297" spans="1:6" ht="12">
      <c r="A297" s="56" t="s">
        <v>89</v>
      </c>
      <c r="B297" s="84"/>
      <c r="C297" s="84"/>
      <c r="D297" s="84"/>
      <c r="E297" s="84"/>
      <c r="F297" s="84"/>
    </row>
    <row r="298" spans="1:6" ht="12">
      <c r="A298" s="56"/>
      <c r="B298" s="84"/>
      <c r="C298" s="84"/>
      <c r="D298" s="84"/>
      <c r="E298" s="84"/>
      <c r="F298" s="84"/>
    </row>
    <row r="299" spans="1:6" ht="12">
      <c r="A299" s="56" t="s">
        <v>0</v>
      </c>
      <c r="B299" s="55"/>
      <c r="C299" s="84"/>
      <c r="D299" s="84"/>
      <c r="E299" s="84"/>
      <c r="F299" s="84"/>
    </row>
    <row r="300" spans="1:6" ht="12">
      <c r="A300" s="56" t="s">
        <v>23</v>
      </c>
      <c r="B300" s="55"/>
      <c r="C300" s="84"/>
      <c r="D300" s="84"/>
      <c r="E300" s="84"/>
      <c r="F300" s="84"/>
    </row>
    <row r="301" spans="1:6" ht="12">
      <c r="A301" s="72" t="str">
        <f>A3</f>
        <v>2000 - 2009</v>
      </c>
      <c r="B301" s="75"/>
      <c r="C301" s="97"/>
      <c r="D301" s="84"/>
      <c r="E301" s="84"/>
      <c r="F301" s="84"/>
    </row>
    <row r="302" spans="1:6" ht="12">
      <c r="A302" s="101"/>
      <c r="B302" s="60"/>
      <c r="C302" s="84"/>
      <c r="D302" s="84"/>
      <c r="E302" s="84"/>
      <c r="F302" s="84"/>
    </row>
    <row r="303" spans="1:6" ht="12">
      <c r="A303" s="55"/>
      <c r="B303" s="55"/>
      <c r="C303" s="84"/>
      <c r="D303" s="84"/>
      <c r="E303" s="84"/>
      <c r="F303" s="84"/>
    </row>
    <row r="304" spans="1:21" ht="12">
      <c r="A304" s="55"/>
      <c r="B304" s="55"/>
      <c r="C304" s="62">
        <v>2000</v>
      </c>
      <c r="D304" s="80"/>
      <c r="E304" s="62">
        <v>2001</v>
      </c>
      <c r="F304" s="55"/>
      <c r="G304" s="62">
        <v>2002</v>
      </c>
      <c r="I304" s="62">
        <v>2003</v>
      </c>
      <c r="K304" s="62">
        <v>2004</v>
      </c>
      <c r="M304" s="62">
        <v>2005</v>
      </c>
      <c r="O304" s="46">
        <v>2006</v>
      </c>
      <c r="Q304" s="46">
        <v>2007</v>
      </c>
      <c r="S304" s="46">
        <v>2008</v>
      </c>
      <c r="U304" s="46">
        <v>2009</v>
      </c>
    </row>
    <row r="305" spans="1:11" ht="12">
      <c r="A305" s="55"/>
      <c r="B305" s="55"/>
      <c r="C305" s="84"/>
      <c r="D305" s="84"/>
      <c r="E305" s="84"/>
      <c r="F305" s="84"/>
      <c r="G305" s="84"/>
      <c r="I305" s="84"/>
      <c r="K305" s="84"/>
    </row>
    <row r="306" spans="1:21" ht="12">
      <c r="A306" s="83" t="s">
        <v>79</v>
      </c>
      <c r="B306" s="55"/>
      <c r="C306" s="205">
        <v>-0.099</v>
      </c>
      <c r="D306" s="228"/>
      <c r="E306" s="205">
        <f>(E179-C179)/C179</f>
        <v>-0.011</v>
      </c>
      <c r="F306" s="228"/>
      <c r="G306" s="205">
        <f>(G179-E179)/E179</f>
        <v>-0.012</v>
      </c>
      <c r="H306" s="226"/>
      <c r="I306" s="205">
        <f>(I179-G179)/G179</f>
        <v>-0.054</v>
      </c>
      <c r="K306" s="205">
        <f>(K179-I179)/I179</f>
        <v>-0.02</v>
      </c>
      <c r="M306" s="205">
        <f>(M179-K179)/K179</f>
        <v>0.022</v>
      </c>
      <c r="O306" s="205">
        <f>(O179-M179)/M179</f>
        <v>0.049</v>
      </c>
      <c r="Q306" s="205">
        <f>(Q179-O179)/O179</f>
        <v>0.044</v>
      </c>
      <c r="S306" s="205">
        <f>(S179-Q179)/Q179</f>
        <v>-0.205</v>
      </c>
      <c r="U306" s="205">
        <f>(U179-S179)/S179</f>
        <v>-0.233</v>
      </c>
    </row>
    <row r="307" spans="1:21" ht="12">
      <c r="A307" s="84"/>
      <c r="B307" s="55"/>
      <c r="C307" s="205"/>
      <c r="D307" s="228"/>
      <c r="E307" s="205"/>
      <c r="F307" s="228"/>
      <c r="G307" s="205"/>
      <c r="H307" s="226"/>
      <c r="I307" s="205"/>
      <c r="K307" s="205"/>
      <c r="M307" s="205"/>
      <c r="O307" s="205"/>
      <c r="Q307" s="205"/>
      <c r="S307" s="205"/>
      <c r="U307" s="205"/>
    </row>
    <row r="308" spans="1:21" ht="12">
      <c r="A308" s="83" t="s">
        <v>53</v>
      </c>
      <c r="B308" s="55"/>
      <c r="C308" s="205">
        <v>0.027</v>
      </c>
      <c r="D308" s="228"/>
      <c r="E308" s="205">
        <f>(E181-C181)/C181</f>
        <v>-0.029</v>
      </c>
      <c r="F308" s="228"/>
      <c r="G308" s="205">
        <f>(G181-E181)/E181</f>
        <v>0.026</v>
      </c>
      <c r="H308" s="226"/>
      <c r="I308" s="205">
        <f>(I181-G181)/G181</f>
        <v>0.213</v>
      </c>
      <c r="K308" s="205">
        <f>(K181-I181)/I181</f>
        <v>-0.074</v>
      </c>
      <c r="M308" s="205">
        <f>(M181-K181)/K181</f>
        <v>-0.05</v>
      </c>
      <c r="O308" s="205">
        <f>(O181-M181)/M181</f>
        <v>0.037</v>
      </c>
      <c r="Q308" s="205">
        <f>(Q181-O181)/O181</f>
        <v>0.054</v>
      </c>
      <c r="S308" s="205">
        <f>(S181-Q181)/Q181</f>
        <v>-0.056</v>
      </c>
      <c r="U308" s="205">
        <f>(U181-S181)/S181</f>
        <v>-0.115</v>
      </c>
    </row>
    <row r="309" spans="1:21" ht="12">
      <c r="A309" s="83"/>
      <c r="B309" s="55"/>
      <c r="C309" s="205"/>
      <c r="D309" s="228"/>
      <c r="E309" s="205"/>
      <c r="F309" s="228"/>
      <c r="G309" s="205"/>
      <c r="H309" s="226"/>
      <c r="I309" s="205"/>
      <c r="K309" s="205"/>
      <c r="M309" s="205"/>
      <c r="O309" s="205"/>
      <c r="Q309" s="205"/>
      <c r="S309" s="205"/>
      <c r="U309" s="205"/>
    </row>
    <row r="310" spans="1:21" ht="12">
      <c r="A310" s="83" t="s">
        <v>86</v>
      </c>
      <c r="B310" s="55"/>
      <c r="C310" s="87" t="s">
        <v>85</v>
      </c>
      <c r="D310" s="228"/>
      <c r="E310" s="87" t="s">
        <v>85</v>
      </c>
      <c r="F310" s="228"/>
      <c r="G310" s="87" t="s">
        <v>85</v>
      </c>
      <c r="H310" s="226"/>
      <c r="I310" s="87" t="s">
        <v>85</v>
      </c>
      <c r="K310" s="87" t="s">
        <v>85</v>
      </c>
      <c r="M310" s="205">
        <f>(M183-K183)/K183</f>
        <v>0.104</v>
      </c>
      <c r="O310" s="205">
        <f>(O183-M183)/M183</f>
        <v>0.043</v>
      </c>
      <c r="Q310" s="205">
        <f>(Q183-O183)/O183</f>
        <v>0.059</v>
      </c>
      <c r="S310" s="205">
        <f>(S183-Q183)/Q183</f>
        <v>-0.08</v>
      </c>
      <c r="U310" s="205">
        <f>(U183-S183)/S183</f>
        <v>-0.081</v>
      </c>
    </row>
    <row r="311" spans="1:21" ht="12">
      <c r="A311" s="84"/>
      <c r="B311" s="55"/>
      <c r="C311" s="205"/>
      <c r="D311" s="228"/>
      <c r="E311" s="205"/>
      <c r="F311" s="228"/>
      <c r="G311" s="205"/>
      <c r="H311" s="226"/>
      <c r="I311" s="205"/>
      <c r="K311" s="205"/>
      <c r="M311" s="205"/>
      <c r="O311" s="205"/>
      <c r="Q311" s="205"/>
      <c r="S311" s="205"/>
      <c r="U311" s="205"/>
    </row>
    <row r="312" spans="1:21" ht="12">
      <c r="A312" s="83" t="s">
        <v>2</v>
      </c>
      <c r="B312" s="55"/>
      <c r="C312" s="205">
        <v>0.064</v>
      </c>
      <c r="D312" s="228"/>
      <c r="E312" s="205">
        <f>(E185-C185)/C185</f>
        <v>-0.024</v>
      </c>
      <c r="F312" s="228"/>
      <c r="G312" s="205">
        <f>(G185-E185)/E185</f>
        <v>0.038</v>
      </c>
      <c r="H312" s="226"/>
      <c r="I312" s="205">
        <f>(I185-G185)/G185</f>
        <v>-0.095</v>
      </c>
      <c r="K312" s="205">
        <f>(K185-I185)/I185</f>
        <v>-0.066</v>
      </c>
      <c r="M312" s="205">
        <f>(M185-K185)/K185</f>
        <v>0.048</v>
      </c>
      <c r="O312" s="205">
        <f>(O185-M185)/M185</f>
        <v>0.176</v>
      </c>
      <c r="Q312" s="205">
        <f>(Q185-O185)/O185</f>
        <v>0.107</v>
      </c>
      <c r="S312" s="205">
        <f>(S185-Q185)/Q185</f>
        <v>0.019</v>
      </c>
      <c r="U312" s="205">
        <f>(U185-S185)/S185</f>
        <v>-0.114</v>
      </c>
    </row>
    <row r="313" spans="1:21" ht="12">
      <c r="A313" s="84"/>
      <c r="B313" s="55"/>
      <c r="C313" s="205"/>
      <c r="D313" s="228"/>
      <c r="E313" s="205"/>
      <c r="F313" s="228"/>
      <c r="G313" s="205"/>
      <c r="H313" s="226"/>
      <c r="I313" s="205"/>
      <c r="K313" s="205"/>
      <c r="M313" s="205"/>
      <c r="O313" s="205"/>
      <c r="Q313" s="205"/>
      <c r="S313" s="205"/>
      <c r="U313" s="205"/>
    </row>
    <row r="314" spans="1:21" ht="12">
      <c r="A314" s="83" t="s">
        <v>54</v>
      </c>
      <c r="B314" s="55"/>
      <c r="C314" s="205">
        <v>-0.091</v>
      </c>
      <c r="D314" s="228"/>
      <c r="E314" s="205">
        <f>(E187-C187)/C187</f>
        <v>-0.009</v>
      </c>
      <c r="F314" s="227"/>
      <c r="G314" s="205">
        <f>(G187-E187)/E187</f>
        <v>-0.046</v>
      </c>
      <c r="H314" s="226"/>
      <c r="I314" s="87" t="s">
        <v>85</v>
      </c>
      <c r="K314" s="87" t="s">
        <v>85</v>
      </c>
      <c r="M314" s="87" t="s">
        <v>85</v>
      </c>
      <c r="O314" s="87" t="s">
        <v>85</v>
      </c>
      <c r="Q314" s="87" t="s">
        <v>85</v>
      </c>
      <c r="S314" s="87" t="s">
        <v>85</v>
      </c>
      <c r="U314" s="87" t="s">
        <v>85</v>
      </c>
    </row>
    <row r="315" spans="1:21" ht="12">
      <c r="A315" s="84"/>
      <c r="B315" s="55"/>
      <c r="C315" s="205"/>
      <c r="D315" s="228"/>
      <c r="E315" s="205"/>
      <c r="F315" s="228"/>
      <c r="G315" s="205"/>
      <c r="H315" s="226"/>
      <c r="I315" s="205"/>
      <c r="K315" s="205"/>
      <c r="M315" s="205"/>
      <c r="O315" s="205"/>
      <c r="Q315" s="205"/>
      <c r="S315" s="205"/>
      <c r="U315" s="205"/>
    </row>
    <row r="316" spans="1:21" ht="12">
      <c r="A316" s="83" t="s">
        <v>3</v>
      </c>
      <c r="B316" s="55"/>
      <c r="C316" s="205">
        <v>-0.071</v>
      </c>
      <c r="D316" s="228"/>
      <c r="E316" s="205">
        <f>(E189-C189)/C189</f>
        <v>-0.164</v>
      </c>
      <c r="F316" s="228"/>
      <c r="G316" s="205">
        <f>(G189-E189)/E189</f>
        <v>-0.02</v>
      </c>
      <c r="H316" s="226"/>
      <c r="I316" s="205">
        <f>(I189-G189)/G189</f>
        <v>-0.096</v>
      </c>
      <c r="K316" s="205">
        <f>(K189-I189)/I189</f>
        <v>0.03</v>
      </c>
      <c r="M316" s="205">
        <f>(M189-K189)/K189</f>
        <v>0.07</v>
      </c>
      <c r="O316" s="205">
        <f>(O189-M189)/M189</f>
        <v>0.082</v>
      </c>
      <c r="Q316" s="205">
        <f>(Q189-O189)/O189</f>
        <v>0.141</v>
      </c>
      <c r="S316" s="205">
        <f>(S189-Q189)/Q189</f>
        <v>0.442</v>
      </c>
      <c r="U316" s="205">
        <f>(U189-S189)/S189</f>
        <v>0.014</v>
      </c>
    </row>
    <row r="317" spans="1:21" ht="12">
      <c r="A317" s="84"/>
      <c r="B317" s="55"/>
      <c r="C317" s="205"/>
      <c r="D317" s="228"/>
      <c r="E317" s="205"/>
      <c r="F317" s="228"/>
      <c r="G317" s="205"/>
      <c r="H317" s="226"/>
      <c r="I317" s="205"/>
      <c r="K317" s="205"/>
      <c r="M317" s="205"/>
      <c r="O317" s="205"/>
      <c r="Q317" s="205"/>
      <c r="S317" s="205"/>
      <c r="U317" s="205"/>
    </row>
    <row r="318" spans="1:21" ht="12">
      <c r="A318" s="83" t="s">
        <v>4</v>
      </c>
      <c r="B318" s="55"/>
      <c r="C318" s="205">
        <v>0.027</v>
      </c>
      <c r="D318" s="228"/>
      <c r="E318" s="205">
        <f>(E191-C191)/C191</f>
        <v>-0.037</v>
      </c>
      <c r="F318" s="228"/>
      <c r="G318" s="205">
        <f>(G191-E191)/E191</f>
        <v>-0.04</v>
      </c>
      <c r="H318" s="226"/>
      <c r="I318" s="205">
        <f>(I191-G191)/G191</f>
        <v>-0.11</v>
      </c>
      <c r="K318" s="205">
        <f>(K191-I191)/I191</f>
        <v>0.076</v>
      </c>
      <c r="M318" s="205">
        <f>(M191-K191)/K191</f>
        <v>0.137</v>
      </c>
      <c r="O318" s="205">
        <f>(O191-M191)/M191</f>
        <v>-0.016</v>
      </c>
      <c r="Q318" s="205">
        <f>(Q191-O191)/O191</f>
        <v>0.069</v>
      </c>
      <c r="S318" s="205">
        <f>(S191-Q191)/Q191</f>
        <v>-0.179</v>
      </c>
      <c r="U318" s="205">
        <f>(U191-S191)/S191</f>
        <v>-0.134</v>
      </c>
    </row>
    <row r="319" spans="1:21" ht="12">
      <c r="A319" s="84"/>
      <c r="B319" s="55"/>
      <c r="C319" s="205"/>
      <c r="D319" s="228"/>
      <c r="E319" s="205"/>
      <c r="F319" s="228"/>
      <c r="G319" s="205"/>
      <c r="H319" s="226"/>
      <c r="I319" s="205"/>
      <c r="K319" s="205"/>
      <c r="M319" s="205"/>
      <c r="O319" s="205"/>
      <c r="Q319" s="205"/>
      <c r="S319" s="205"/>
      <c r="U319" s="205"/>
    </row>
    <row r="320" spans="1:21" ht="12">
      <c r="A320" s="40" t="s">
        <v>90</v>
      </c>
      <c r="B320" s="55"/>
      <c r="C320" s="205">
        <v>0.022</v>
      </c>
      <c r="D320" s="228"/>
      <c r="E320" s="205">
        <f>(E193-C193)/C193</f>
        <v>-0.029</v>
      </c>
      <c r="F320" s="228"/>
      <c r="G320" s="205">
        <f>(G193-E193)/E193</f>
        <v>-0.47</v>
      </c>
      <c r="H320" s="226"/>
      <c r="I320" s="205">
        <f>(I193-G193)/G193</f>
        <v>-0.102</v>
      </c>
      <c r="K320" s="205">
        <f>(K193-I193)/I193</f>
        <v>0.138</v>
      </c>
      <c r="M320" s="205">
        <f>(M193-K193)/K193</f>
        <v>0.016</v>
      </c>
      <c r="O320" s="205">
        <f>(O193-M193)/M193</f>
        <v>-0.206</v>
      </c>
      <c r="Q320" s="87" t="s">
        <v>85</v>
      </c>
      <c r="S320" s="87" t="s">
        <v>85</v>
      </c>
      <c r="U320" s="87" t="s">
        <v>85</v>
      </c>
    </row>
    <row r="321" spans="1:21" ht="12">
      <c r="A321" s="84"/>
      <c r="B321" s="55"/>
      <c r="C321" s="205"/>
      <c r="D321" s="228"/>
      <c r="E321" s="205"/>
      <c r="F321" s="228"/>
      <c r="G321" s="205"/>
      <c r="H321" s="226"/>
      <c r="I321" s="205"/>
      <c r="K321" s="205"/>
      <c r="M321" s="205"/>
      <c r="O321" s="205"/>
      <c r="Q321" s="205"/>
      <c r="S321" s="205"/>
      <c r="U321" s="205"/>
    </row>
    <row r="322" spans="1:21" ht="12">
      <c r="A322" s="83" t="s">
        <v>5</v>
      </c>
      <c r="B322" s="55"/>
      <c r="C322" s="205">
        <v>-0.038</v>
      </c>
      <c r="D322" s="228"/>
      <c r="E322" s="205">
        <f>(E195-C195)/C195</f>
        <v>-0.064</v>
      </c>
      <c r="F322" s="228"/>
      <c r="G322" s="205">
        <f>(G195-E195)/E195</f>
        <v>-0.124</v>
      </c>
      <c r="H322" s="226"/>
      <c r="I322" s="205">
        <f>(I195-G195)/G195</f>
        <v>-0.139</v>
      </c>
      <c r="K322" s="205">
        <f>(K195-I195)/I195</f>
        <v>0.003</v>
      </c>
      <c r="M322" s="205">
        <f>(M195-K195)/K195</f>
        <v>0.062</v>
      </c>
      <c r="O322" s="205">
        <f>(O195-M195)/M195</f>
        <v>0.326</v>
      </c>
      <c r="Q322" s="205">
        <f>(Q195-O195)/O195</f>
        <v>0.057</v>
      </c>
      <c r="S322" s="205">
        <f>(S195-Q195)/Q195</f>
        <v>0.018</v>
      </c>
      <c r="U322" s="205">
        <f>(U195-S195)/S195</f>
        <v>-0.176</v>
      </c>
    </row>
    <row r="323" spans="1:21" ht="12">
      <c r="A323" s="84"/>
      <c r="B323" s="55"/>
      <c r="C323" s="205"/>
      <c r="D323" s="228"/>
      <c r="E323" s="205"/>
      <c r="F323" s="228"/>
      <c r="G323" s="205"/>
      <c r="H323" s="226"/>
      <c r="I323" s="205"/>
      <c r="K323" s="205"/>
      <c r="M323" s="205"/>
      <c r="O323" s="205"/>
      <c r="Q323" s="205"/>
      <c r="S323" s="205"/>
      <c r="U323" s="205"/>
    </row>
    <row r="324" spans="1:21" ht="12">
      <c r="A324" s="89" t="s">
        <v>6</v>
      </c>
      <c r="B324" s="55"/>
      <c r="C324" s="205">
        <f>(759019-727853)/727853</f>
        <v>0.043</v>
      </c>
      <c r="D324" s="228"/>
      <c r="E324" s="205">
        <f>(E197-C197)/C197</f>
        <v>-0.034</v>
      </c>
      <c r="F324" s="228"/>
      <c r="G324" s="205">
        <f>(G197-E197)/E197</f>
        <v>-0.011</v>
      </c>
      <c r="H324" s="226"/>
      <c r="I324" s="205">
        <f>(I197-G197)/G197</f>
        <v>-0.134</v>
      </c>
      <c r="K324" s="205">
        <f>(K197-I197)/I197</f>
        <v>-0.044</v>
      </c>
      <c r="M324" s="205">
        <f>(M197-K197)/K197</f>
        <v>0.3</v>
      </c>
      <c r="O324" s="205">
        <f>(O197-M197)/M197</f>
        <v>-0.058</v>
      </c>
      <c r="Q324" s="205">
        <f>(Q197-O197)/O197</f>
        <v>-0.078</v>
      </c>
      <c r="S324" s="205">
        <f>(S197-Q197)/Q197</f>
        <v>-0.116</v>
      </c>
      <c r="U324" s="205">
        <f>(U197-S197)/S197</f>
        <v>-0.026</v>
      </c>
    </row>
    <row r="325" spans="1:21" ht="12">
      <c r="A325" s="55"/>
      <c r="B325" s="55"/>
      <c r="C325" s="205"/>
      <c r="D325" s="228"/>
      <c r="E325" s="205"/>
      <c r="F325" s="228"/>
      <c r="G325" s="205"/>
      <c r="H325" s="226"/>
      <c r="I325" s="205"/>
      <c r="K325" s="205"/>
      <c r="M325" s="205"/>
      <c r="O325" s="205"/>
      <c r="Q325" s="205"/>
      <c r="S325" s="205"/>
      <c r="U325" s="205"/>
    </row>
    <row r="326" spans="1:21" ht="12">
      <c r="A326" s="56" t="s">
        <v>24</v>
      </c>
      <c r="B326" s="55"/>
      <c r="C326" s="205">
        <v>-0.04</v>
      </c>
      <c r="D326" s="228"/>
      <c r="E326" s="205">
        <f>(E199-C199)/C199</f>
        <v>-0.127</v>
      </c>
      <c r="F326" s="228"/>
      <c r="G326" s="205">
        <f>(G199-E199)/E199</f>
        <v>-0.019</v>
      </c>
      <c r="H326" s="226"/>
      <c r="I326" s="205">
        <f>(I199-G199)/G199</f>
        <v>-0.061</v>
      </c>
      <c r="K326" s="205">
        <f>(K199-I199)/I199</f>
        <v>-0.018</v>
      </c>
      <c r="M326" s="205">
        <f>(M199-K199)/K199</f>
        <v>-0.087</v>
      </c>
      <c r="O326" s="205">
        <f>(O199-M199)/M199</f>
        <v>0.034</v>
      </c>
      <c r="Q326" s="205">
        <f>(Q199-O199)/O199</f>
        <v>0.089</v>
      </c>
      <c r="S326" s="205">
        <f>(S199-Q199)/Q199</f>
        <v>-0.138</v>
      </c>
      <c r="U326" s="205">
        <f>(U199-S199)/S199</f>
        <v>-0.265</v>
      </c>
    </row>
    <row r="327" spans="1:21" ht="12">
      <c r="A327" s="55"/>
      <c r="B327" s="55"/>
      <c r="C327" s="205"/>
      <c r="D327" s="228"/>
      <c r="E327" s="205"/>
      <c r="F327" s="228"/>
      <c r="G327" s="205"/>
      <c r="H327" s="226"/>
      <c r="I327" s="205"/>
      <c r="K327" s="205"/>
      <c r="M327" s="205"/>
      <c r="O327" s="205"/>
      <c r="Q327" s="205"/>
      <c r="S327" s="205"/>
      <c r="U327" s="205"/>
    </row>
    <row r="328" spans="1:21" ht="12">
      <c r="A328" s="56" t="s">
        <v>7</v>
      </c>
      <c r="B328" s="64"/>
      <c r="C328" s="205">
        <v>0.027</v>
      </c>
      <c r="D328" s="228"/>
      <c r="E328" s="205">
        <f>(E201-C201)/C201</f>
        <v>-0.103</v>
      </c>
      <c r="F328" s="228"/>
      <c r="G328" s="205">
        <f>(G201-E201)/E201</f>
        <v>0.046</v>
      </c>
      <c r="H328" s="226"/>
      <c r="I328" s="205">
        <f>(I201-G201)/G201</f>
        <v>-0.056</v>
      </c>
      <c r="K328" s="205">
        <f>(K201-I201)/I201</f>
        <v>-0.034</v>
      </c>
      <c r="M328" s="205">
        <f>(M201-K201)/K201</f>
        <v>-0.007</v>
      </c>
      <c r="O328" s="205">
        <f>(O201-M201)/M201</f>
        <v>0.04</v>
      </c>
      <c r="Q328" s="205">
        <f>(Q201-O201)/O201</f>
        <v>0.038</v>
      </c>
      <c r="S328" s="205">
        <f>(S201-Q201)/Q201</f>
        <v>-0.041</v>
      </c>
      <c r="U328" s="205">
        <f>(U201-S201)/S201</f>
        <v>-0.2</v>
      </c>
    </row>
    <row r="329" spans="1:21" ht="12">
      <c r="A329" s="55"/>
      <c r="B329" s="55"/>
      <c r="C329" s="205"/>
      <c r="D329" s="229"/>
      <c r="E329" s="205"/>
      <c r="F329" s="229"/>
      <c r="G329" s="205"/>
      <c r="H329" s="226"/>
      <c r="I329" s="205"/>
      <c r="K329" s="205"/>
      <c r="M329" s="205"/>
      <c r="O329" s="205"/>
      <c r="Q329" s="205"/>
      <c r="S329" s="205"/>
      <c r="U329" s="205"/>
    </row>
    <row r="330" spans="1:21" ht="12">
      <c r="A330" s="56" t="s">
        <v>8</v>
      </c>
      <c r="B330" s="64"/>
      <c r="C330" s="205">
        <v>-0.008</v>
      </c>
      <c r="D330" s="229"/>
      <c r="E330" s="205">
        <f>(E203-C203)/C203</f>
        <v>-0.067</v>
      </c>
      <c r="F330" s="229"/>
      <c r="G330" s="205">
        <f>(G203-E203)/E203</f>
        <v>-0.065</v>
      </c>
      <c r="H330" s="226"/>
      <c r="I330" s="205">
        <f>(I203-G203)/G203</f>
        <v>-0.042</v>
      </c>
      <c r="K330" s="205">
        <f>(K203-I203)/I203</f>
        <v>-0.02</v>
      </c>
      <c r="M330" s="205">
        <f>(M203-K203)/K203</f>
        <v>0.065</v>
      </c>
      <c r="O330" s="205">
        <f>(O203-M203)/M203</f>
        <v>0.102</v>
      </c>
      <c r="Q330" s="205">
        <f>(Q203-O203)/O203</f>
        <v>0.013</v>
      </c>
      <c r="S330" s="205">
        <f>(S203-Q203)/Q203</f>
        <v>0.006</v>
      </c>
      <c r="U330" s="205">
        <f>(U203-S203)/S203</f>
        <v>-0.044</v>
      </c>
    </row>
    <row r="331" spans="1:21" ht="12">
      <c r="A331" s="55"/>
      <c r="B331" s="64"/>
      <c r="C331" s="205"/>
      <c r="D331" s="229"/>
      <c r="E331" s="205"/>
      <c r="F331" s="229"/>
      <c r="G331" s="205"/>
      <c r="H331" s="226"/>
      <c r="I331" s="205"/>
      <c r="K331" s="205"/>
      <c r="M331" s="205"/>
      <c r="O331" s="205"/>
      <c r="Q331" s="205"/>
      <c r="S331" s="205"/>
      <c r="U331" s="205"/>
    </row>
    <row r="332" spans="1:21" ht="12">
      <c r="A332" s="116" t="s">
        <v>17</v>
      </c>
      <c r="B332" s="64"/>
      <c r="C332" s="205">
        <v>-0.002</v>
      </c>
      <c r="D332" s="229"/>
      <c r="E332" s="205">
        <f>(E205-C205)/C205</f>
        <v>-0.053</v>
      </c>
      <c r="F332" s="229"/>
      <c r="G332" s="205">
        <f>(G205-E205)/E205</f>
        <v>-0.041</v>
      </c>
      <c r="H332" s="226"/>
      <c r="I332" s="205">
        <f>(I205-G205)/G205</f>
        <v>0.022</v>
      </c>
      <c r="K332" s="205">
        <f>(K205-I205)/I205</f>
        <v>0.104</v>
      </c>
      <c r="M332" s="205">
        <f>(M205-K205)/K205</f>
        <v>0.061</v>
      </c>
      <c r="O332" s="205">
        <f>(O205-M205)/M205</f>
        <v>0.056</v>
      </c>
      <c r="Q332" s="205">
        <f>(Q205-O205)/O205</f>
        <v>0.026</v>
      </c>
      <c r="S332" s="205">
        <f>(S205-Q205)/Q205</f>
        <v>-0.043</v>
      </c>
      <c r="U332" s="205">
        <f>(U205-S205)/S205</f>
        <v>-0.107</v>
      </c>
    </row>
    <row r="335" ht="12">
      <c r="A335" s="52" t="s">
        <v>45</v>
      </c>
    </row>
    <row r="336" ht="12">
      <c r="A336" s="52" t="s">
        <v>73</v>
      </c>
    </row>
    <row r="337" ht="12">
      <c r="A337" s="52" t="s">
        <v>52</v>
      </c>
    </row>
    <row r="338" ht="12">
      <c r="A338" s="55" t="s">
        <v>80</v>
      </c>
    </row>
    <row r="339" ht="12">
      <c r="A339" s="56" t="s">
        <v>87</v>
      </c>
    </row>
    <row r="340" ht="12">
      <c r="A340" s="56" t="s">
        <v>89</v>
      </c>
    </row>
  </sheetData>
  <printOptions/>
  <pageMargins left="0.98" right="0.25" top="0.65" bottom="0.55" header="0.5" footer="0.5"/>
  <pageSetup fitToHeight="0" fitToWidth="1" horizontalDpi="300" verticalDpi="300" orientation="landscape" scale="77" r:id="rId1"/>
  <headerFooter alignWithMargins="0">
    <oddFooter>&amp;L&amp;D</oddFooter>
  </headerFooter>
  <rowBreaks count="7" manualBreakCount="7">
    <brk id="43" max="255" man="1"/>
    <brk id="86" max="255" man="1"/>
    <brk id="129" max="255" man="1"/>
    <brk id="171" max="255" man="1"/>
    <brk id="213" max="255" man="1"/>
    <brk id="255" max="255" man="1"/>
    <brk id="2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635"/>
  <sheetViews>
    <sheetView showGridLines="0" workbookViewId="0" topLeftCell="A1">
      <selection activeCell="AA486" sqref="AA486:AA490"/>
    </sheetView>
  </sheetViews>
  <sheetFormatPr defaultColWidth="12.57421875" defaultRowHeight="11.25" customHeight="1"/>
  <cols>
    <col min="1" max="1" width="14.8515625" style="120" customWidth="1"/>
    <col min="2" max="2" width="8.140625" style="120" customWidth="1"/>
    <col min="3" max="3" width="10.7109375" style="120" customWidth="1"/>
    <col min="4" max="4" width="2.421875" style="120" customWidth="1"/>
    <col min="5" max="5" width="10.7109375" style="120" customWidth="1"/>
    <col min="6" max="6" width="2.421875" style="21" customWidth="1"/>
    <col min="7" max="7" width="10.7109375" style="21" customWidth="1"/>
    <col min="8" max="8" width="2.421875" style="21" customWidth="1"/>
    <col min="9" max="9" width="10.7109375" style="21" customWidth="1"/>
    <col min="10" max="10" width="2.421875" style="21" customWidth="1"/>
    <col min="11" max="11" width="10.7109375" style="21" customWidth="1"/>
    <col min="12" max="12" width="2.421875" style="21" customWidth="1"/>
    <col min="13" max="13" width="10.7109375" style="21" customWidth="1"/>
    <col min="14" max="14" width="2.421875" style="21" customWidth="1"/>
    <col min="15" max="15" width="10.7109375" style="21" customWidth="1"/>
    <col min="16" max="16" width="2.421875" style="21" customWidth="1"/>
    <col min="17" max="17" width="10.7109375" style="21" customWidth="1"/>
    <col min="18" max="18" width="2.421875" style="21" customWidth="1"/>
    <col min="19" max="19" width="12.57421875" style="21" customWidth="1"/>
    <col min="20" max="20" width="2.421875" style="21" customWidth="1"/>
    <col min="21" max="16384" width="12.57421875" style="21" customWidth="1"/>
  </cols>
  <sheetData>
    <row r="1" spans="1:2" ht="11.25" customHeight="1">
      <c r="A1" s="118" t="s">
        <v>0</v>
      </c>
      <c r="B1" s="119"/>
    </row>
    <row r="2" spans="1:2" ht="11.25" customHeight="1">
      <c r="A2" s="118" t="s">
        <v>25</v>
      </c>
      <c r="B2" s="119"/>
    </row>
    <row r="3" spans="1:2" ht="11.25" customHeight="1">
      <c r="A3" s="121" t="s">
        <v>120</v>
      </c>
      <c r="B3" s="249"/>
    </row>
    <row r="4" spans="1:2" ht="11.25" customHeight="1">
      <c r="A4" s="118" t="s">
        <v>1</v>
      </c>
      <c r="B4" s="122"/>
    </row>
    <row r="5" ht="11.25" customHeight="1">
      <c r="A5" s="41"/>
    </row>
    <row r="6" ht="11.25" customHeight="1">
      <c r="A6" s="123"/>
    </row>
    <row r="7" spans="3:21" ht="11.25" customHeight="1">
      <c r="C7" s="124">
        <v>2000</v>
      </c>
      <c r="D7" s="183"/>
      <c r="E7" s="124">
        <v>2001</v>
      </c>
      <c r="F7" s="184"/>
      <c r="G7" s="124" t="s">
        <v>61</v>
      </c>
      <c r="I7" s="124">
        <v>2003</v>
      </c>
      <c r="K7" s="124">
        <v>2004</v>
      </c>
      <c r="M7" s="124">
        <v>2005</v>
      </c>
      <c r="O7" s="46">
        <v>2006</v>
      </c>
      <c r="Q7" s="46">
        <v>2007</v>
      </c>
      <c r="S7" s="46">
        <v>2008</v>
      </c>
      <c r="U7" s="46">
        <v>2009</v>
      </c>
    </row>
    <row r="8" spans="3:11" ht="11.25" customHeight="1">
      <c r="C8" s="126"/>
      <c r="E8" s="126"/>
      <c r="G8" s="126"/>
      <c r="I8" s="126"/>
      <c r="K8" s="126"/>
    </row>
    <row r="9" spans="1:21" ht="11.25" customHeight="1">
      <c r="A9" s="118" t="s">
        <v>81</v>
      </c>
      <c r="C9" s="79">
        <v>344653</v>
      </c>
      <c r="D9" s="136"/>
      <c r="E9" s="136">
        <v>349106</v>
      </c>
      <c r="F9" s="22"/>
      <c r="G9" s="136">
        <v>291812</v>
      </c>
      <c r="H9" s="189"/>
      <c r="I9" s="136">
        <v>295753</v>
      </c>
      <c r="K9" s="136">
        <v>280418</v>
      </c>
      <c r="M9" s="136">
        <v>265070</v>
      </c>
      <c r="O9" s="136">
        <v>294271</v>
      </c>
      <c r="P9" s="136"/>
      <c r="Q9" s="136">
        <v>267614</v>
      </c>
      <c r="S9" s="136">
        <v>216920</v>
      </c>
      <c r="U9" s="136">
        <v>165230</v>
      </c>
    </row>
    <row r="10" spans="3:11" ht="11.25" customHeight="1">
      <c r="C10" s="127"/>
      <c r="D10" s="128"/>
      <c r="E10" s="128"/>
      <c r="F10" s="23"/>
      <c r="G10" s="128"/>
      <c r="I10" s="128"/>
      <c r="K10" s="128"/>
    </row>
    <row r="11" spans="1:21" ht="11.25" customHeight="1">
      <c r="A11" s="118" t="s">
        <v>53</v>
      </c>
      <c r="C11" s="127">
        <v>570734</v>
      </c>
      <c r="D11" s="128"/>
      <c r="E11" s="128">
        <v>570848</v>
      </c>
      <c r="F11" s="23"/>
      <c r="G11" s="128">
        <v>532656</v>
      </c>
      <c r="I11" s="128">
        <v>666847</v>
      </c>
      <c r="K11" s="128">
        <v>631989</v>
      </c>
      <c r="M11" s="128">
        <v>633521</v>
      </c>
      <c r="O11" s="128">
        <v>658958</v>
      </c>
      <c r="P11" s="128"/>
      <c r="Q11" s="128">
        <v>622348</v>
      </c>
      <c r="S11" s="128">
        <v>549538</v>
      </c>
      <c r="U11" s="128">
        <v>460702</v>
      </c>
    </row>
    <row r="12" spans="1:21" ht="11.25" customHeight="1">
      <c r="A12" s="118"/>
      <c r="C12" s="127"/>
      <c r="D12" s="128"/>
      <c r="E12" s="128"/>
      <c r="F12" s="23"/>
      <c r="G12" s="128"/>
      <c r="I12" s="128"/>
      <c r="K12" s="128"/>
      <c r="M12" s="128"/>
      <c r="O12" s="128"/>
      <c r="P12" s="128"/>
      <c r="Q12" s="128"/>
      <c r="S12" s="128"/>
      <c r="U12" s="128"/>
    </row>
    <row r="13" spans="1:21" ht="11.25" customHeight="1">
      <c r="A13" s="118" t="s">
        <v>86</v>
      </c>
      <c r="C13" s="87" t="s">
        <v>85</v>
      </c>
      <c r="D13" s="128"/>
      <c r="E13" s="87" t="s">
        <v>85</v>
      </c>
      <c r="F13" s="23"/>
      <c r="G13" s="87" t="s">
        <v>85</v>
      </c>
      <c r="I13" s="128">
        <v>291503</v>
      </c>
      <c r="K13" s="128">
        <v>676419</v>
      </c>
      <c r="M13" s="128">
        <v>763983</v>
      </c>
      <c r="O13" s="128">
        <v>813265</v>
      </c>
      <c r="P13" s="128"/>
      <c r="Q13" s="128">
        <v>838643</v>
      </c>
      <c r="S13" s="128">
        <v>830489</v>
      </c>
      <c r="U13" s="128">
        <v>777408</v>
      </c>
    </row>
    <row r="14" spans="3:21" ht="11.25" customHeight="1">
      <c r="C14" s="127"/>
      <c r="D14" s="128"/>
      <c r="E14" s="128"/>
      <c r="F14" s="23"/>
      <c r="G14" s="128"/>
      <c r="I14" s="128"/>
      <c r="K14" s="128"/>
      <c r="M14" s="128"/>
      <c r="O14" s="128"/>
      <c r="P14" s="128"/>
      <c r="Q14" s="128"/>
      <c r="S14" s="128"/>
      <c r="U14" s="128"/>
    </row>
    <row r="15" spans="1:21" ht="11.25" customHeight="1">
      <c r="A15" s="118" t="s">
        <v>2</v>
      </c>
      <c r="C15" s="127">
        <v>522430</v>
      </c>
      <c r="D15" s="128"/>
      <c r="E15" s="128">
        <v>529810</v>
      </c>
      <c r="F15" s="23"/>
      <c r="G15" s="128">
        <v>517058</v>
      </c>
      <c r="I15" s="128">
        <v>505801</v>
      </c>
      <c r="K15" s="128">
        <v>485533</v>
      </c>
      <c r="M15" s="128">
        <v>507332</v>
      </c>
      <c r="O15" s="128">
        <v>532523</v>
      </c>
      <c r="P15" s="128" t="s">
        <v>10</v>
      </c>
      <c r="Q15" s="128">
        <v>552518</v>
      </c>
      <c r="S15" s="128">
        <v>518162</v>
      </c>
      <c r="U15" s="128">
        <v>429175</v>
      </c>
    </row>
    <row r="16" spans="3:11" ht="11.25" customHeight="1">
      <c r="C16" s="127"/>
      <c r="D16" s="128"/>
      <c r="E16" s="128"/>
      <c r="F16" s="23"/>
      <c r="G16" s="128"/>
      <c r="I16" s="128"/>
      <c r="K16" s="128"/>
    </row>
    <row r="17" spans="1:21" ht="11.25" customHeight="1">
      <c r="A17" s="118" t="s">
        <v>54</v>
      </c>
      <c r="C17" s="127">
        <v>174481</v>
      </c>
      <c r="D17" s="128"/>
      <c r="E17" s="128">
        <f>70623+95992</f>
        <v>166615</v>
      </c>
      <c r="F17" s="138"/>
      <c r="G17" s="128">
        <v>147404</v>
      </c>
      <c r="I17" s="87" t="s">
        <v>85</v>
      </c>
      <c r="K17" s="87" t="s">
        <v>85</v>
      </c>
      <c r="M17" s="87" t="s">
        <v>85</v>
      </c>
      <c r="O17" s="87" t="s">
        <v>85</v>
      </c>
      <c r="P17" s="87"/>
      <c r="Q17" s="87" t="s">
        <v>85</v>
      </c>
      <c r="S17" s="87" t="s">
        <v>85</v>
      </c>
      <c r="U17" s="87" t="s">
        <v>85</v>
      </c>
    </row>
    <row r="18" spans="3:11" ht="11.25" customHeight="1">
      <c r="C18" s="127"/>
      <c r="D18" s="128"/>
      <c r="E18" s="128"/>
      <c r="F18" s="23"/>
      <c r="G18" s="128"/>
      <c r="I18" s="128"/>
      <c r="K18" s="128"/>
    </row>
    <row r="19" spans="1:21" ht="11.25" customHeight="1">
      <c r="A19" s="118" t="s">
        <v>3</v>
      </c>
      <c r="C19" s="127">
        <v>427900</v>
      </c>
      <c r="D19" s="128"/>
      <c r="E19" s="128">
        <v>432074</v>
      </c>
      <c r="F19" s="23"/>
      <c r="G19" s="128">
        <v>434170</v>
      </c>
      <c r="I19" s="128">
        <v>430336</v>
      </c>
      <c r="K19" s="128">
        <v>420569</v>
      </c>
      <c r="M19" s="128">
        <v>446651</v>
      </c>
      <c r="O19" s="128">
        <v>470214</v>
      </c>
      <c r="P19" s="128"/>
      <c r="Q19" s="128">
        <v>494312</v>
      </c>
      <c r="S19" s="128">
        <v>536110</v>
      </c>
      <c r="U19" s="128">
        <v>493913</v>
      </c>
    </row>
    <row r="20" spans="3:21" ht="11.25" customHeight="1">
      <c r="C20" s="127"/>
      <c r="D20" s="128"/>
      <c r="E20" s="128"/>
      <c r="F20" s="23"/>
      <c r="G20" s="128"/>
      <c r="I20" s="128"/>
      <c r="K20" s="128"/>
      <c r="M20" s="128"/>
      <c r="O20" s="128"/>
      <c r="P20" s="128"/>
      <c r="Q20" s="128"/>
      <c r="S20" s="128"/>
      <c r="U20" s="128"/>
    </row>
    <row r="21" spans="1:21" ht="11.25" customHeight="1">
      <c r="A21" s="118" t="s">
        <v>4</v>
      </c>
      <c r="C21" s="127">
        <v>256179</v>
      </c>
      <c r="D21" s="128"/>
      <c r="E21" s="128">
        <v>257523</v>
      </c>
      <c r="F21" s="23"/>
      <c r="G21" s="128">
        <v>234520</v>
      </c>
      <c r="I21" s="128">
        <v>213664</v>
      </c>
      <c r="K21" s="128">
        <v>229366</v>
      </c>
      <c r="M21" s="128">
        <v>246357</v>
      </c>
      <c r="O21" s="128">
        <v>252281</v>
      </c>
      <c r="P21" s="128"/>
      <c r="Q21" s="128">
        <v>249010</v>
      </c>
      <c r="S21" s="128">
        <v>211509</v>
      </c>
      <c r="U21" s="128">
        <v>161225</v>
      </c>
    </row>
    <row r="22" spans="3:21" ht="11.25" customHeight="1">
      <c r="C22" s="127"/>
      <c r="D22" s="128"/>
      <c r="E22" s="128"/>
      <c r="F22" s="23"/>
      <c r="G22" s="128"/>
      <c r="I22" s="128"/>
      <c r="K22" s="128"/>
      <c r="M22" s="128"/>
      <c r="O22" s="128"/>
      <c r="P22" s="128"/>
      <c r="Q22" s="128"/>
      <c r="S22" s="128"/>
      <c r="U22" s="128"/>
    </row>
    <row r="23" spans="1:21" ht="11.25" customHeight="1">
      <c r="A23" s="118" t="s">
        <v>91</v>
      </c>
      <c r="C23" s="127">
        <v>247777</v>
      </c>
      <c r="D23" s="128"/>
      <c r="E23" s="128">
        <v>251813</v>
      </c>
      <c r="F23" s="23"/>
      <c r="G23" s="128">
        <v>193474</v>
      </c>
      <c r="I23" s="128">
        <v>170258</v>
      </c>
      <c r="K23" s="128">
        <v>173378</v>
      </c>
      <c r="M23" s="128">
        <v>162339</v>
      </c>
      <c r="O23" s="128">
        <v>138376</v>
      </c>
      <c r="P23" s="128"/>
      <c r="Q23" s="87" t="s">
        <v>85</v>
      </c>
      <c r="S23" s="87" t="s">
        <v>85</v>
      </c>
      <c r="U23" s="87" t="s">
        <v>85</v>
      </c>
    </row>
    <row r="24" spans="3:21" ht="11.25" customHeight="1">
      <c r="C24" s="127"/>
      <c r="D24" s="128"/>
      <c r="E24" s="128"/>
      <c r="F24" s="23"/>
      <c r="G24" s="128"/>
      <c r="I24" s="128"/>
      <c r="K24" s="128"/>
      <c r="M24" s="128"/>
      <c r="O24" s="128"/>
      <c r="P24" s="128"/>
      <c r="Q24" s="128"/>
      <c r="S24" s="128"/>
      <c r="U24" s="128"/>
    </row>
    <row r="25" spans="1:21" ht="11.25" customHeight="1">
      <c r="A25" s="118" t="s">
        <v>5</v>
      </c>
      <c r="C25" s="127">
        <v>365250</v>
      </c>
      <c r="D25" s="128"/>
      <c r="E25" s="128">
        <v>367876</v>
      </c>
      <c r="F25" s="23"/>
      <c r="G25" s="128">
        <v>337238</v>
      </c>
      <c r="I25" s="128">
        <v>344761</v>
      </c>
      <c r="K25" s="128">
        <v>354820</v>
      </c>
      <c r="M25" s="128">
        <v>380375</v>
      </c>
      <c r="O25" s="128">
        <v>391443</v>
      </c>
      <c r="P25" s="128"/>
      <c r="Q25" s="128">
        <v>375731</v>
      </c>
      <c r="S25" s="128">
        <v>335970</v>
      </c>
      <c r="U25" s="128">
        <v>283818</v>
      </c>
    </row>
    <row r="26" spans="3:21" ht="11.25" customHeight="1">
      <c r="C26" s="127"/>
      <c r="D26" s="128"/>
      <c r="E26" s="128"/>
      <c r="F26" s="23"/>
      <c r="G26" s="128"/>
      <c r="I26" s="128"/>
      <c r="K26" s="128"/>
      <c r="M26" s="128"/>
      <c r="O26" s="128"/>
      <c r="P26" s="128"/>
      <c r="Q26" s="128"/>
      <c r="S26" s="128"/>
      <c r="U26" s="128"/>
    </row>
    <row r="27" spans="1:21" ht="11.25" customHeight="1">
      <c r="A27" s="129" t="s">
        <v>6</v>
      </c>
      <c r="C27" s="127">
        <v>468864</v>
      </c>
      <c r="D27" s="128"/>
      <c r="E27" s="128">
        <v>459171</v>
      </c>
      <c r="F27" s="23"/>
      <c r="G27" s="128">
        <v>423056</v>
      </c>
      <c r="I27" s="128">
        <v>394266</v>
      </c>
      <c r="K27" s="128">
        <v>383887</v>
      </c>
      <c r="M27" s="128">
        <v>477226</v>
      </c>
      <c r="O27" s="128">
        <v>487217</v>
      </c>
      <c r="P27" s="128"/>
      <c r="Q27" s="128">
        <v>432283</v>
      </c>
      <c r="S27" s="128">
        <v>370369</v>
      </c>
      <c r="U27" s="128">
        <v>321629</v>
      </c>
    </row>
    <row r="28" spans="3:21" ht="11.25" customHeight="1">
      <c r="C28" s="127"/>
      <c r="D28" s="128"/>
      <c r="E28" s="128"/>
      <c r="F28" s="18"/>
      <c r="G28" s="128"/>
      <c r="I28" s="128"/>
      <c r="K28" s="128"/>
      <c r="M28" s="128"/>
      <c r="O28" s="128"/>
      <c r="P28" s="128"/>
      <c r="Q28" s="128"/>
      <c r="S28" s="128"/>
      <c r="U28" s="128"/>
    </row>
    <row r="29" spans="1:21" ht="11.25" customHeight="1">
      <c r="A29" s="118" t="s">
        <v>24</v>
      </c>
      <c r="C29" s="127">
        <v>292642</v>
      </c>
      <c r="D29" s="128"/>
      <c r="E29" s="128">
        <v>290776</v>
      </c>
      <c r="F29" s="18"/>
      <c r="G29" s="128">
        <v>270249</v>
      </c>
      <c r="I29" s="128">
        <v>250431</v>
      </c>
      <c r="K29" s="128">
        <v>248145</v>
      </c>
      <c r="M29" s="128">
        <v>241127</v>
      </c>
      <c r="O29" s="128">
        <v>244747</v>
      </c>
      <c r="P29" s="128"/>
      <c r="Q29" s="128">
        <v>231004</v>
      </c>
      <c r="S29" s="128">
        <v>194555</v>
      </c>
      <c r="U29" s="128">
        <v>155787</v>
      </c>
    </row>
    <row r="30" spans="3:21" ht="11.25" customHeight="1">
      <c r="C30" s="127"/>
      <c r="D30" s="128"/>
      <c r="E30" s="128"/>
      <c r="F30" s="18"/>
      <c r="G30" s="128"/>
      <c r="I30" s="128"/>
      <c r="K30" s="128"/>
      <c r="M30" s="128"/>
      <c r="O30" s="128"/>
      <c r="P30" s="128"/>
      <c r="Q30" s="128"/>
      <c r="S30" s="128"/>
      <c r="U30" s="128"/>
    </row>
    <row r="31" spans="1:21" ht="11.25" customHeight="1">
      <c r="A31" s="118" t="s">
        <v>7</v>
      </c>
      <c r="C31" s="127">
        <v>345468</v>
      </c>
      <c r="D31" s="128"/>
      <c r="E31" s="128">
        <v>347251</v>
      </c>
      <c r="F31" s="18"/>
      <c r="G31" s="128">
        <v>316162</v>
      </c>
      <c r="I31" s="128">
        <v>291386</v>
      </c>
      <c r="K31" s="128">
        <v>284763</v>
      </c>
      <c r="M31" s="128">
        <v>273391</v>
      </c>
      <c r="O31" s="128">
        <v>278843</v>
      </c>
      <c r="P31" s="128"/>
      <c r="Q31" s="128">
        <v>267718</v>
      </c>
      <c r="S31" s="128">
        <v>252765</v>
      </c>
      <c r="U31" s="128">
        <v>196727</v>
      </c>
    </row>
    <row r="32" spans="3:11" ht="11.25" customHeight="1">
      <c r="C32" s="127"/>
      <c r="D32" s="128"/>
      <c r="E32" s="128"/>
      <c r="F32" s="18"/>
      <c r="G32" s="128"/>
      <c r="I32" s="128"/>
      <c r="K32" s="128"/>
    </row>
    <row r="33" spans="1:21" ht="11.25" customHeight="1">
      <c r="A33" s="130" t="s">
        <v>8</v>
      </c>
      <c r="C33" s="131">
        <v>588347</v>
      </c>
      <c r="D33" s="128"/>
      <c r="E33" s="132">
        <v>572423</v>
      </c>
      <c r="F33" s="23"/>
      <c r="G33" s="132">
        <v>515912</v>
      </c>
      <c r="I33" s="132">
        <v>487293</v>
      </c>
      <c r="K33" s="132">
        <v>470030</v>
      </c>
      <c r="M33" s="132">
        <v>477703</v>
      </c>
      <c r="O33" s="132">
        <v>502691</v>
      </c>
      <c r="P33" s="174"/>
      <c r="Q33" s="132">
        <v>489513</v>
      </c>
      <c r="S33" s="132">
        <v>460688</v>
      </c>
      <c r="U33" s="132">
        <v>439635</v>
      </c>
    </row>
    <row r="34" spans="3:11" ht="11.25" customHeight="1">
      <c r="C34" s="133"/>
      <c r="D34" s="134"/>
      <c r="E34" s="133"/>
      <c r="F34" s="23"/>
      <c r="G34" s="133"/>
      <c r="I34" s="133"/>
      <c r="K34" s="133"/>
    </row>
    <row r="35" spans="1:21" ht="14.25" customHeight="1" thickBot="1">
      <c r="A35" s="118" t="s">
        <v>17</v>
      </c>
      <c r="C35" s="135">
        <f>SUM(C9:C33)</f>
        <v>4604725</v>
      </c>
      <c r="D35" s="136"/>
      <c r="E35" s="135">
        <f>SUM(E9:E33)</f>
        <v>4595286</v>
      </c>
      <c r="F35" s="22"/>
      <c r="G35" s="135">
        <f>SUM(G9:G33)</f>
        <v>4213711</v>
      </c>
      <c r="I35" s="135">
        <f>SUM(I9:I33)</f>
        <v>4342299</v>
      </c>
      <c r="K35" s="135">
        <f>SUM(K9:K33)</f>
        <v>4639317</v>
      </c>
      <c r="M35" s="135">
        <f>SUM(M9:M33)</f>
        <v>4875075</v>
      </c>
      <c r="O35" s="135">
        <f>SUM(O9:O33)</f>
        <v>5064829</v>
      </c>
      <c r="P35" s="137"/>
      <c r="Q35" s="135">
        <f>SUM(Q9:Q33)</f>
        <v>4820694</v>
      </c>
      <c r="S35" s="135">
        <f>SUM(S9:S33)</f>
        <v>4477075</v>
      </c>
      <c r="U35" s="135">
        <f>SUM(U9:U33)</f>
        <v>3885249</v>
      </c>
    </row>
    <row r="36" spans="1:6" ht="11.25" customHeight="1" thickTop="1">
      <c r="A36" s="118"/>
      <c r="C36" s="137"/>
      <c r="D36" s="136"/>
      <c r="E36" s="137"/>
      <c r="F36" s="22"/>
    </row>
    <row r="37" spans="1:6" ht="11.25" customHeight="1">
      <c r="A37" s="138" t="s">
        <v>75</v>
      </c>
      <c r="C37" s="137"/>
      <c r="D37" s="136"/>
      <c r="E37" s="137"/>
      <c r="F37" s="22"/>
    </row>
    <row r="38" spans="1:5" ht="11.25" customHeight="1">
      <c r="A38" s="118" t="s">
        <v>56</v>
      </c>
      <c r="C38" s="126"/>
      <c r="E38" s="126"/>
    </row>
    <row r="39" spans="1:5" ht="11.25" customHeight="1">
      <c r="A39" s="52" t="s">
        <v>52</v>
      </c>
      <c r="C39" s="126"/>
      <c r="E39" s="126"/>
    </row>
    <row r="40" spans="1:5" ht="11.25" customHeight="1">
      <c r="A40" s="118" t="s">
        <v>60</v>
      </c>
      <c r="C40" s="126"/>
      <c r="E40" s="126"/>
    </row>
    <row r="41" ht="11.25" customHeight="1">
      <c r="A41" s="118" t="s">
        <v>57</v>
      </c>
    </row>
    <row r="42" ht="11.25" customHeight="1">
      <c r="A42" s="118" t="s">
        <v>58</v>
      </c>
    </row>
    <row r="43" ht="12" customHeight="1">
      <c r="A43" s="120" t="s">
        <v>59</v>
      </c>
    </row>
    <row r="44" ht="11.25" customHeight="1">
      <c r="A44" s="55" t="s">
        <v>82</v>
      </c>
    </row>
    <row r="45" ht="11.25" customHeight="1">
      <c r="A45" s="56" t="s">
        <v>87</v>
      </c>
    </row>
    <row r="46" ht="11.25" customHeight="1">
      <c r="A46" s="56" t="s">
        <v>92</v>
      </c>
    </row>
    <row r="48" ht="11.25" customHeight="1">
      <c r="A48" s="118" t="s">
        <v>0</v>
      </c>
    </row>
    <row r="49" ht="11.25" customHeight="1">
      <c r="A49" s="118" t="s">
        <v>26</v>
      </c>
    </row>
    <row r="50" spans="1:2" ht="11.25" customHeight="1">
      <c r="A50" s="121" t="str">
        <f>A3</f>
        <v>2000 - 2009</v>
      </c>
      <c r="B50" s="140"/>
    </row>
    <row r="51" spans="1:2" ht="11.25" customHeight="1">
      <c r="A51" s="139"/>
      <c r="B51" s="140"/>
    </row>
    <row r="52" spans="1:7" ht="11.25" customHeight="1">
      <c r="A52" s="126"/>
      <c r="B52" s="126"/>
      <c r="C52" s="185"/>
      <c r="D52" s="185"/>
      <c r="E52" s="185"/>
      <c r="F52" s="184"/>
      <c r="G52" s="184"/>
    </row>
    <row r="53" spans="3:21" ht="11.25" customHeight="1">
      <c r="C53" s="124">
        <v>2000</v>
      </c>
      <c r="D53" s="183"/>
      <c r="E53" s="124">
        <v>2001</v>
      </c>
      <c r="F53" s="184"/>
      <c r="G53" s="124" t="s">
        <v>61</v>
      </c>
      <c r="I53" s="124">
        <v>2003</v>
      </c>
      <c r="K53" s="124">
        <v>2004</v>
      </c>
      <c r="M53" s="124">
        <v>2005</v>
      </c>
      <c r="O53" s="46">
        <v>2006</v>
      </c>
      <c r="P53" s="255"/>
      <c r="Q53" s="46">
        <v>2007</v>
      </c>
      <c r="S53" s="46">
        <v>2008</v>
      </c>
      <c r="U53" s="46">
        <v>2009</v>
      </c>
    </row>
    <row r="54" spans="7:11" ht="11.25" customHeight="1">
      <c r="G54" s="120"/>
      <c r="I54" s="120"/>
      <c r="K54" s="120"/>
    </row>
    <row r="55" spans="1:21" ht="11.25" customHeight="1">
      <c r="A55" s="118" t="s">
        <v>81</v>
      </c>
      <c r="C55" s="231">
        <v>0.096</v>
      </c>
      <c r="D55" s="232"/>
      <c r="E55" s="231">
        <f>(E9-C9)/C9</f>
        <v>0.013</v>
      </c>
      <c r="F55" s="233"/>
      <c r="G55" s="196" t="s">
        <v>85</v>
      </c>
      <c r="H55" s="234"/>
      <c r="I55" s="231">
        <f>(I9-G9)/G9</f>
        <v>0.014</v>
      </c>
      <c r="K55" s="231">
        <f>(K9-I9)/I9</f>
        <v>-0.052</v>
      </c>
      <c r="M55" s="231">
        <f>(M9-K9)/K9</f>
        <v>-0.055</v>
      </c>
      <c r="O55" s="231">
        <f>(O9-M9)/M9</f>
        <v>0.11</v>
      </c>
      <c r="P55" s="231"/>
      <c r="Q55" s="231">
        <f>(Q9-O9)/O9</f>
        <v>-0.091</v>
      </c>
      <c r="R55" s="231"/>
      <c r="S55" s="231">
        <f>(S9-Q9)/Q9</f>
        <v>-0.189</v>
      </c>
      <c r="U55" s="231">
        <f>(U9-S9)/S9</f>
        <v>-0.238</v>
      </c>
    </row>
    <row r="56" spans="3:21" ht="11.25" customHeight="1">
      <c r="C56" s="232"/>
      <c r="D56" s="232"/>
      <c r="E56" s="232"/>
      <c r="F56" s="233"/>
      <c r="G56" s="232"/>
      <c r="H56" s="234"/>
      <c r="I56" s="232"/>
      <c r="K56" s="232"/>
      <c r="M56" s="232"/>
      <c r="O56" s="232"/>
      <c r="P56" s="232"/>
      <c r="Q56" s="232"/>
      <c r="R56" s="232"/>
      <c r="S56" s="232"/>
      <c r="U56" s="232"/>
    </row>
    <row r="57" spans="1:21" ht="11.25" customHeight="1">
      <c r="A57" s="118" t="s">
        <v>53</v>
      </c>
      <c r="C57" s="231">
        <v>0.046</v>
      </c>
      <c r="D57" s="232"/>
      <c r="E57" s="231">
        <f>(E11-C11)/C11</f>
        <v>0</v>
      </c>
      <c r="F57" s="233"/>
      <c r="G57" s="196" t="s">
        <v>85</v>
      </c>
      <c r="H57" s="234"/>
      <c r="I57" s="231">
        <f>(I11-G11)/G11</f>
        <v>0.252</v>
      </c>
      <c r="K57" s="231">
        <f>(K11-I11)/I11</f>
        <v>-0.052</v>
      </c>
      <c r="M57" s="231">
        <f>(M11-K11)/K11</f>
        <v>0.002</v>
      </c>
      <c r="O57" s="231">
        <f>(O11-M11)/M11</f>
        <v>0.04</v>
      </c>
      <c r="P57" s="231"/>
      <c r="Q57" s="231">
        <f>(Q11-O11)/O11</f>
        <v>-0.056</v>
      </c>
      <c r="R57" s="231"/>
      <c r="S57" s="231">
        <f>(S11-Q11)/Q11</f>
        <v>-0.117</v>
      </c>
      <c r="U57" s="231">
        <f>(U11-S11)/S11</f>
        <v>-0.162</v>
      </c>
    </row>
    <row r="58" spans="1:21" ht="11.25" customHeight="1">
      <c r="A58" s="118"/>
      <c r="C58" s="231"/>
      <c r="D58" s="232"/>
      <c r="E58" s="231"/>
      <c r="F58" s="233"/>
      <c r="G58" s="231"/>
      <c r="H58" s="234"/>
      <c r="I58" s="231"/>
      <c r="K58" s="231"/>
      <c r="M58" s="231"/>
      <c r="O58" s="231"/>
      <c r="P58" s="231"/>
      <c r="Q58" s="231"/>
      <c r="R58" s="231"/>
      <c r="S58" s="231"/>
      <c r="U58" s="231"/>
    </row>
    <row r="59" spans="1:21" ht="11.25" customHeight="1">
      <c r="A59" s="118" t="s">
        <v>86</v>
      </c>
      <c r="C59" s="196" t="s">
        <v>85</v>
      </c>
      <c r="D59" s="232"/>
      <c r="E59" s="196" t="s">
        <v>85</v>
      </c>
      <c r="F59" s="233"/>
      <c r="G59" s="196" t="s">
        <v>85</v>
      </c>
      <c r="H59" s="234"/>
      <c r="I59" s="196" t="s">
        <v>85</v>
      </c>
      <c r="K59" s="196" t="s">
        <v>85</v>
      </c>
      <c r="M59" s="231">
        <f>(M13-K13)/K13</f>
        <v>0.129</v>
      </c>
      <c r="O59" s="231">
        <f>(O13-M13)/M13</f>
        <v>0.065</v>
      </c>
      <c r="P59" s="231"/>
      <c r="Q59" s="231">
        <f>(Q13-O13)/O13</f>
        <v>0.031</v>
      </c>
      <c r="R59" s="231"/>
      <c r="S59" s="231">
        <f>(S13-Q13)/Q13</f>
        <v>-0.01</v>
      </c>
      <c r="U59" s="231">
        <f>(U13-S13)/S13</f>
        <v>-0.064</v>
      </c>
    </row>
    <row r="60" spans="3:21" ht="11.25" customHeight="1">
      <c r="C60" s="231"/>
      <c r="D60" s="232"/>
      <c r="E60" s="232"/>
      <c r="F60" s="233"/>
      <c r="G60" s="232"/>
      <c r="H60" s="234"/>
      <c r="I60" s="232"/>
      <c r="K60" s="232"/>
      <c r="M60" s="232"/>
      <c r="O60" s="232"/>
      <c r="P60" s="232"/>
      <c r="Q60" s="232"/>
      <c r="R60" s="232"/>
      <c r="S60" s="232"/>
      <c r="U60" s="232"/>
    </row>
    <row r="61" spans="1:21" ht="11.25" customHeight="1">
      <c r="A61" s="118" t="s">
        <v>2</v>
      </c>
      <c r="C61" s="231">
        <v>0.058</v>
      </c>
      <c r="D61" s="232"/>
      <c r="E61" s="231">
        <f>(E15-C15)/C15</f>
        <v>0.014</v>
      </c>
      <c r="F61" s="233"/>
      <c r="G61" s="196" t="s">
        <v>85</v>
      </c>
      <c r="H61" s="234"/>
      <c r="I61" s="231">
        <f>(I15-G15)/G15</f>
        <v>-0.022</v>
      </c>
      <c r="K61" s="231">
        <f>(K15-I15)/I15</f>
        <v>-0.04</v>
      </c>
      <c r="M61" s="231">
        <f>(M15-K15)/K15</f>
        <v>0.045</v>
      </c>
      <c r="O61" s="231">
        <f>(O15-M15)/M15</f>
        <v>0.05</v>
      </c>
      <c r="P61" s="231"/>
      <c r="Q61" s="231">
        <f>(Q15-O15)/O15</f>
        <v>0.038</v>
      </c>
      <c r="R61" s="231"/>
      <c r="S61" s="231">
        <f>(S15-Q15)/Q15</f>
        <v>-0.062</v>
      </c>
      <c r="U61" s="231">
        <f>(U15-S15)/S15</f>
        <v>-0.172</v>
      </c>
    </row>
    <row r="62" spans="3:21" ht="11.25" customHeight="1">
      <c r="C62" s="231"/>
      <c r="D62" s="232"/>
      <c r="E62" s="232"/>
      <c r="F62" s="233"/>
      <c r="G62" s="232"/>
      <c r="H62" s="234"/>
      <c r="I62" s="232"/>
      <c r="K62" s="232"/>
      <c r="M62" s="232"/>
      <c r="O62" s="232"/>
      <c r="P62" s="232"/>
      <c r="Q62" s="232"/>
      <c r="R62" s="232"/>
      <c r="S62" s="232"/>
      <c r="U62" s="232"/>
    </row>
    <row r="63" spans="1:21" ht="11.25" customHeight="1">
      <c r="A63" s="118" t="s">
        <v>54</v>
      </c>
      <c r="C63" s="231">
        <v>0.005</v>
      </c>
      <c r="D63" s="232"/>
      <c r="E63" s="231">
        <f>(E17-C17)/C17</f>
        <v>-0.045</v>
      </c>
      <c r="F63" s="235"/>
      <c r="G63" s="196" t="s">
        <v>85</v>
      </c>
      <c r="H63" s="234"/>
      <c r="I63" s="196" t="s">
        <v>85</v>
      </c>
      <c r="J63" s="231"/>
      <c r="K63" s="196" t="s">
        <v>85</v>
      </c>
      <c r="M63" s="196" t="s">
        <v>85</v>
      </c>
      <c r="N63" s="231"/>
      <c r="O63" s="196" t="s">
        <v>85</v>
      </c>
      <c r="P63" s="196"/>
      <c r="Q63" s="196" t="s">
        <v>85</v>
      </c>
      <c r="R63" s="196"/>
      <c r="S63" s="196" t="s">
        <v>85</v>
      </c>
      <c r="U63" s="196" t="s">
        <v>85</v>
      </c>
    </row>
    <row r="64" spans="3:21" ht="11.25" customHeight="1">
      <c r="C64" s="231"/>
      <c r="D64" s="232"/>
      <c r="E64" s="232"/>
      <c r="F64" s="233"/>
      <c r="G64" s="232"/>
      <c r="H64" s="234"/>
      <c r="I64" s="232"/>
      <c r="K64" s="232"/>
      <c r="M64" s="232"/>
      <c r="O64" s="232"/>
      <c r="P64" s="232"/>
      <c r="Q64" s="232"/>
      <c r="R64" s="232"/>
      <c r="S64" s="232"/>
      <c r="U64" s="232"/>
    </row>
    <row r="65" spans="1:21" ht="11.25" customHeight="1">
      <c r="A65" s="118" t="s">
        <v>3</v>
      </c>
      <c r="C65" s="231">
        <v>0.056</v>
      </c>
      <c r="D65" s="232"/>
      <c r="E65" s="231">
        <f>(E19-C19)/C19</f>
        <v>0.01</v>
      </c>
      <c r="F65" s="233"/>
      <c r="G65" s="196" t="s">
        <v>85</v>
      </c>
      <c r="H65" s="234"/>
      <c r="I65" s="231">
        <f>(I19-G19)/G19</f>
        <v>-0.009</v>
      </c>
      <c r="K65" s="231">
        <f>(K19-I19)/I19</f>
        <v>-0.023</v>
      </c>
      <c r="M65" s="231">
        <f>(M19-K19)/K19</f>
        <v>0.062</v>
      </c>
      <c r="O65" s="231">
        <f>(O19-M19)/M19</f>
        <v>0.053</v>
      </c>
      <c r="P65" s="231"/>
      <c r="Q65" s="231">
        <f>(Q19-O19)/O19</f>
        <v>0.051</v>
      </c>
      <c r="R65" s="231"/>
      <c r="S65" s="231">
        <f>(S19-Q19)/Q19</f>
        <v>0.085</v>
      </c>
      <c r="U65" s="231">
        <f>(U19-S19)/S19</f>
        <v>-0.079</v>
      </c>
    </row>
    <row r="66" spans="3:21" ht="11.25" customHeight="1">
      <c r="C66" s="231"/>
      <c r="D66" s="232"/>
      <c r="E66" s="232"/>
      <c r="F66" s="233"/>
      <c r="G66" s="232"/>
      <c r="H66" s="234"/>
      <c r="I66" s="232"/>
      <c r="K66" s="232"/>
      <c r="M66" s="232"/>
      <c r="O66" s="232"/>
      <c r="P66" s="232"/>
      <c r="Q66" s="232"/>
      <c r="R66" s="232"/>
      <c r="S66" s="232"/>
      <c r="U66" s="232"/>
    </row>
    <row r="67" spans="1:21" ht="11.25" customHeight="1">
      <c r="A67" s="118" t="s">
        <v>4</v>
      </c>
      <c r="C67" s="231">
        <f>(C21-240777)/240777</f>
        <v>0.064</v>
      </c>
      <c r="D67" s="232"/>
      <c r="E67" s="231">
        <f>(E21-C21)/C21</f>
        <v>0.005</v>
      </c>
      <c r="F67" s="233"/>
      <c r="G67" s="196" t="s">
        <v>85</v>
      </c>
      <c r="H67" s="234"/>
      <c r="I67" s="231">
        <f>(I21-G21)/G21</f>
        <v>-0.089</v>
      </c>
      <c r="K67" s="231">
        <f>(K21-I21)/I21</f>
        <v>0.073</v>
      </c>
      <c r="M67" s="231">
        <f>(M21-K21)/K21</f>
        <v>0.074</v>
      </c>
      <c r="O67" s="231">
        <f>(O21-M21)/M21</f>
        <v>0.024</v>
      </c>
      <c r="P67" s="231"/>
      <c r="Q67" s="231">
        <f>(Q21-O21)/O21</f>
        <v>-0.013</v>
      </c>
      <c r="R67" s="231"/>
      <c r="S67" s="231">
        <f>(S21-Q21)/Q21</f>
        <v>-0.151</v>
      </c>
      <c r="U67" s="231">
        <f>(U21-S21)/S21</f>
        <v>-0.238</v>
      </c>
    </row>
    <row r="68" spans="3:21" ht="11.25" customHeight="1">
      <c r="C68" s="231"/>
      <c r="D68" s="232"/>
      <c r="E68" s="232"/>
      <c r="F68" s="233"/>
      <c r="G68" s="232"/>
      <c r="H68" s="234"/>
      <c r="I68" s="232"/>
      <c r="K68" s="232"/>
      <c r="M68" s="232"/>
      <c r="O68" s="232"/>
      <c r="P68" s="232"/>
      <c r="Q68" s="232"/>
      <c r="R68" s="232"/>
      <c r="S68" s="232"/>
      <c r="U68" s="232"/>
    </row>
    <row r="69" spans="1:21" ht="11.25" customHeight="1">
      <c r="A69" s="118" t="s">
        <v>91</v>
      </c>
      <c r="C69" s="231">
        <v>0.004</v>
      </c>
      <c r="D69" s="232"/>
      <c r="E69" s="231">
        <f>(E23-C23)/C23</f>
        <v>0.016</v>
      </c>
      <c r="F69" s="233"/>
      <c r="G69" s="196" t="s">
        <v>85</v>
      </c>
      <c r="H69" s="234"/>
      <c r="I69" s="231">
        <f>(I23-G23)/G23</f>
        <v>-0.12</v>
      </c>
      <c r="K69" s="231">
        <f>(K23-I23)/I23</f>
        <v>0.018</v>
      </c>
      <c r="M69" s="231">
        <f>(M23-K23)/K23</f>
        <v>-0.064</v>
      </c>
      <c r="O69" s="231">
        <f>(O23-M23)/M23</f>
        <v>-0.148</v>
      </c>
      <c r="P69" s="231"/>
      <c r="Q69" s="87" t="s">
        <v>85</v>
      </c>
      <c r="R69" s="231"/>
      <c r="S69" s="87" t="s">
        <v>85</v>
      </c>
      <c r="U69" s="87" t="s">
        <v>85</v>
      </c>
    </row>
    <row r="70" spans="3:21" ht="11.25" customHeight="1">
      <c r="C70" s="231"/>
      <c r="D70" s="232"/>
      <c r="E70" s="232"/>
      <c r="F70" s="233"/>
      <c r="G70" s="232"/>
      <c r="H70" s="234"/>
      <c r="I70" s="232"/>
      <c r="K70" s="232"/>
      <c r="M70" s="232"/>
      <c r="O70" s="232"/>
      <c r="P70" s="232"/>
      <c r="Q70" s="232"/>
      <c r="R70" s="232"/>
      <c r="S70" s="232"/>
      <c r="U70" s="232"/>
    </row>
    <row r="71" spans="1:21" ht="11.25" customHeight="1">
      <c r="A71" s="118" t="s">
        <v>5</v>
      </c>
      <c r="C71" s="231">
        <v>-0.019</v>
      </c>
      <c r="D71" s="232"/>
      <c r="E71" s="231">
        <f>(E25-C25)/C25</f>
        <v>0.007</v>
      </c>
      <c r="F71" s="233"/>
      <c r="G71" s="196" t="s">
        <v>85</v>
      </c>
      <c r="H71" s="234"/>
      <c r="I71" s="231">
        <f>(I25-G25)/G25</f>
        <v>0.022</v>
      </c>
      <c r="K71" s="231">
        <f>(K25-I25)/I25</f>
        <v>0.029</v>
      </c>
      <c r="M71" s="231">
        <f>(M25-K25)/K25</f>
        <v>0.072</v>
      </c>
      <c r="O71" s="231">
        <f>(O25-M25)/M25</f>
        <v>0.029</v>
      </c>
      <c r="P71" s="231"/>
      <c r="Q71" s="231">
        <f>(Q25-O25)/O25</f>
        <v>-0.04</v>
      </c>
      <c r="R71" s="231"/>
      <c r="S71" s="231">
        <f>(S25-Q25)/Q25</f>
        <v>-0.106</v>
      </c>
      <c r="U71" s="231">
        <f>(U25-S25)/S25</f>
        <v>-0.155</v>
      </c>
    </row>
    <row r="72" spans="3:21" ht="11.25" customHeight="1">
      <c r="C72" s="231"/>
      <c r="D72" s="232"/>
      <c r="E72" s="232"/>
      <c r="F72" s="233"/>
      <c r="G72" s="232"/>
      <c r="H72" s="234"/>
      <c r="I72" s="232"/>
      <c r="K72" s="232"/>
      <c r="M72" s="232"/>
      <c r="O72" s="232"/>
      <c r="P72" s="232"/>
      <c r="Q72" s="232"/>
      <c r="R72" s="232"/>
      <c r="S72" s="232"/>
      <c r="U72" s="232"/>
    </row>
    <row r="73" spans="1:21" ht="11.25" customHeight="1">
      <c r="A73" s="129" t="s">
        <v>6</v>
      </c>
      <c r="C73" s="231">
        <v>0.08</v>
      </c>
      <c r="D73" s="232"/>
      <c r="E73" s="231">
        <f>(E27-C27)/C27</f>
        <v>-0.021</v>
      </c>
      <c r="F73" s="233"/>
      <c r="G73" s="196" t="s">
        <v>85</v>
      </c>
      <c r="H73" s="234"/>
      <c r="I73" s="231">
        <f>(I27-G27)/G27</f>
        <v>-0.068</v>
      </c>
      <c r="K73" s="231">
        <f>(K27-I27)/I27</f>
        <v>-0.026</v>
      </c>
      <c r="M73" s="231">
        <f>(M27-K27)/K27</f>
        <v>0.243</v>
      </c>
      <c r="O73" s="231">
        <f>(O27-M27)/M27</f>
        <v>0.021</v>
      </c>
      <c r="P73" s="231"/>
      <c r="Q73" s="231">
        <f>(Q27-O27)/O27</f>
        <v>-0.113</v>
      </c>
      <c r="R73" s="231"/>
      <c r="S73" s="231">
        <f>(S27-Q27)/Q27</f>
        <v>-0.143</v>
      </c>
      <c r="U73" s="231">
        <f>(U27-S27)/S27</f>
        <v>-0.132</v>
      </c>
    </row>
    <row r="74" spans="3:21" ht="11.25" customHeight="1">
      <c r="C74" s="231"/>
      <c r="D74" s="232"/>
      <c r="E74" s="232"/>
      <c r="F74" s="233"/>
      <c r="G74" s="232"/>
      <c r="H74" s="234"/>
      <c r="I74" s="232"/>
      <c r="K74" s="232"/>
      <c r="M74" s="232"/>
      <c r="O74" s="232"/>
      <c r="P74" s="232"/>
      <c r="Q74" s="232"/>
      <c r="R74" s="232"/>
      <c r="S74" s="232"/>
      <c r="U74" s="232"/>
    </row>
    <row r="75" spans="1:21" ht="11.25" customHeight="1">
      <c r="A75" s="118" t="s">
        <v>24</v>
      </c>
      <c r="C75" s="231">
        <v>-0.004</v>
      </c>
      <c r="D75" s="232"/>
      <c r="E75" s="231">
        <f>(E29-C29)/C29</f>
        <v>-0.006</v>
      </c>
      <c r="F75" s="233"/>
      <c r="G75" s="196" t="s">
        <v>85</v>
      </c>
      <c r="H75" s="234"/>
      <c r="I75" s="231">
        <f>(I29-G29)/G29</f>
        <v>-0.073</v>
      </c>
      <c r="K75" s="231">
        <f>(K29-I29)/I29</f>
        <v>-0.009</v>
      </c>
      <c r="M75" s="231">
        <f>(M29-K29)/K29</f>
        <v>-0.028</v>
      </c>
      <c r="O75" s="231">
        <f>(O29-M29)/M29</f>
        <v>0.015</v>
      </c>
      <c r="P75" s="231"/>
      <c r="Q75" s="231">
        <f>(Q29-O29)/O29</f>
        <v>-0.056</v>
      </c>
      <c r="R75" s="231"/>
      <c r="S75" s="231">
        <f>(S29-Q29)/Q29</f>
        <v>-0.158</v>
      </c>
      <c r="U75" s="231">
        <f>(U29-S29)/S29</f>
        <v>-0.199</v>
      </c>
    </row>
    <row r="76" spans="3:21" ht="11.25" customHeight="1">
      <c r="C76" s="231"/>
      <c r="D76" s="232"/>
      <c r="E76" s="232"/>
      <c r="F76" s="233"/>
      <c r="G76" s="232"/>
      <c r="H76" s="234"/>
      <c r="I76" s="232"/>
      <c r="K76" s="232"/>
      <c r="M76" s="232"/>
      <c r="O76" s="232"/>
      <c r="P76" s="232"/>
      <c r="Q76" s="232"/>
      <c r="R76" s="232"/>
      <c r="S76" s="232"/>
      <c r="U76" s="232"/>
    </row>
    <row r="77" spans="1:21" ht="11.25" customHeight="1">
      <c r="A77" s="118" t="s">
        <v>7</v>
      </c>
      <c r="C77" s="231">
        <v>-0.12</v>
      </c>
      <c r="D77" s="232"/>
      <c r="E77" s="231">
        <f>(E31-C31)/C31</f>
        <v>0.005</v>
      </c>
      <c r="F77" s="233"/>
      <c r="G77" s="196" t="s">
        <v>85</v>
      </c>
      <c r="H77" s="234"/>
      <c r="I77" s="231">
        <f>(I31-G31)/G31</f>
        <v>-0.078</v>
      </c>
      <c r="K77" s="231">
        <f>(K31-I31)/I31</f>
        <v>-0.023</v>
      </c>
      <c r="M77" s="231">
        <f>(M31-K31)/K31</f>
        <v>-0.04</v>
      </c>
      <c r="O77" s="231">
        <f>(O31-M31)/M31</f>
        <v>0.02</v>
      </c>
      <c r="P77" s="231"/>
      <c r="Q77" s="231">
        <f>(Q31-O31)/O31</f>
        <v>-0.04</v>
      </c>
      <c r="R77" s="231"/>
      <c r="S77" s="231">
        <f>(S31-Q31)/Q31</f>
        <v>-0.056</v>
      </c>
      <c r="U77" s="231">
        <f>(U31-S31)/S31</f>
        <v>-0.222</v>
      </c>
    </row>
    <row r="78" spans="3:21" ht="11.25" customHeight="1">
      <c r="C78" s="231"/>
      <c r="D78" s="236"/>
      <c r="E78" s="236"/>
      <c r="F78" s="237"/>
      <c r="G78" s="236"/>
      <c r="H78" s="234"/>
      <c r="I78" s="236"/>
      <c r="K78" s="236"/>
      <c r="M78" s="236"/>
      <c r="O78" s="236"/>
      <c r="P78" s="236"/>
      <c r="Q78" s="236"/>
      <c r="R78" s="236"/>
      <c r="S78" s="236"/>
      <c r="U78" s="236"/>
    </row>
    <row r="79" spans="1:21" ht="11.25" customHeight="1">
      <c r="A79" s="118" t="s">
        <v>8</v>
      </c>
      <c r="C79" s="231">
        <v>0.044</v>
      </c>
      <c r="D79" s="236"/>
      <c r="E79" s="231">
        <f>(E33-C33)/C33</f>
        <v>-0.027</v>
      </c>
      <c r="F79" s="237"/>
      <c r="G79" s="196" t="s">
        <v>85</v>
      </c>
      <c r="H79" s="234"/>
      <c r="I79" s="231">
        <f>(I33-G33)/G33</f>
        <v>-0.055</v>
      </c>
      <c r="K79" s="231">
        <f>(K33-I33)/I33</f>
        <v>-0.035</v>
      </c>
      <c r="M79" s="231">
        <f>(M33-K33)/K33</f>
        <v>0.016</v>
      </c>
      <c r="O79" s="231">
        <f>(O33-M33)/M33</f>
        <v>0.052</v>
      </c>
      <c r="P79" s="231"/>
      <c r="Q79" s="231">
        <f>(Q33-O33)/O33</f>
        <v>-0.026</v>
      </c>
      <c r="R79" s="231"/>
      <c r="S79" s="231">
        <f>(S33-Q33)/Q33</f>
        <v>-0.059</v>
      </c>
      <c r="U79" s="231">
        <f>(U33-S33)/S33</f>
        <v>-0.046</v>
      </c>
    </row>
    <row r="80" spans="3:21" ht="11.25" customHeight="1">
      <c r="C80" s="231"/>
      <c r="D80" s="238"/>
      <c r="E80" s="236"/>
      <c r="F80" s="237"/>
      <c r="G80" s="236"/>
      <c r="H80" s="234"/>
      <c r="I80" s="236"/>
      <c r="K80" s="236"/>
      <c r="M80" s="236"/>
      <c r="O80" s="236"/>
      <c r="P80" s="236"/>
      <c r="Q80" s="236"/>
      <c r="R80" s="236"/>
      <c r="S80" s="236"/>
      <c r="U80" s="236"/>
    </row>
    <row r="81" spans="1:21" ht="11.25" customHeight="1">
      <c r="A81" s="118" t="s">
        <v>17</v>
      </c>
      <c r="C81" s="231">
        <v>0.026</v>
      </c>
      <c r="D81" s="236"/>
      <c r="E81" s="231">
        <f>(E35-C35)/C35</f>
        <v>-0.002</v>
      </c>
      <c r="F81" s="239"/>
      <c r="G81" s="196" t="s">
        <v>85</v>
      </c>
      <c r="H81" s="234"/>
      <c r="I81" s="231">
        <f>(I35-G35)/G35</f>
        <v>0.031</v>
      </c>
      <c r="K81" s="231">
        <f>(K35-I35)/I35</f>
        <v>0.068</v>
      </c>
      <c r="M81" s="231">
        <f>(M35-K35)/K35</f>
        <v>0.051</v>
      </c>
      <c r="O81" s="231">
        <f>(O35-M35)/M35</f>
        <v>0.039</v>
      </c>
      <c r="P81" s="231"/>
      <c r="Q81" s="231">
        <f>(Q35-O35)/O35</f>
        <v>-0.048</v>
      </c>
      <c r="R81" s="231"/>
      <c r="S81" s="231">
        <f>(S35-Q35)/Q35</f>
        <v>-0.071</v>
      </c>
      <c r="U81" s="231">
        <f>(U35-S35)/S35</f>
        <v>-0.132</v>
      </c>
    </row>
    <row r="82" spans="3:6" ht="11.25" customHeight="1">
      <c r="C82" s="143"/>
      <c r="D82" s="140"/>
      <c r="E82" s="143"/>
      <c r="F82" s="29"/>
    </row>
    <row r="83" spans="1:5" ht="11.25" customHeight="1">
      <c r="A83" s="138" t="s">
        <v>75</v>
      </c>
      <c r="C83" s="126"/>
      <c r="D83" s="140"/>
      <c r="E83" s="126"/>
    </row>
    <row r="84" spans="1:5" ht="11.25" customHeight="1">
      <c r="A84" s="118" t="s">
        <v>56</v>
      </c>
      <c r="C84" s="126"/>
      <c r="E84" s="126"/>
    </row>
    <row r="85" spans="1:5" ht="11.25" customHeight="1">
      <c r="A85" s="52" t="s">
        <v>52</v>
      </c>
      <c r="C85" s="126"/>
      <c r="E85" s="126"/>
    </row>
    <row r="86" spans="1:5" ht="11.25" customHeight="1">
      <c r="A86" s="118" t="s">
        <v>60</v>
      </c>
      <c r="C86" s="126"/>
      <c r="E86" s="126"/>
    </row>
    <row r="87" spans="1:5" ht="11.25" customHeight="1">
      <c r="A87" s="118" t="s">
        <v>57</v>
      </c>
      <c r="C87" s="126"/>
      <c r="E87" s="126"/>
    </row>
    <row r="88" spans="1:5" ht="11.25" customHeight="1">
      <c r="A88" s="118" t="s">
        <v>58</v>
      </c>
      <c r="C88" s="126"/>
      <c r="E88" s="126"/>
    </row>
    <row r="89" spans="1:5" ht="11.25" customHeight="1">
      <c r="A89" s="120" t="s">
        <v>59</v>
      </c>
      <c r="C89" s="126"/>
      <c r="E89" s="126"/>
    </row>
    <row r="90" spans="1:5" ht="11.25" customHeight="1">
      <c r="A90" s="55" t="s">
        <v>82</v>
      </c>
      <c r="C90" s="126"/>
      <c r="E90" s="126"/>
    </row>
    <row r="91" spans="1:5" ht="11.25" customHeight="1">
      <c r="A91" s="56" t="s">
        <v>87</v>
      </c>
      <c r="C91" s="126"/>
      <c r="E91" s="126"/>
    </row>
    <row r="92" ht="11.25" customHeight="1">
      <c r="A92" s="56" t="s">
        <v>92</v>
      </c>
    </row>
    <row r="93" ht="11.25" customHeight="1">
      <c r="A93" s="56"/>
    </row>
    <row r="94" ht="11.25" customHeight="1">
      <c r="A94" s="118" t="s">
        <v>0</v>
      </c>
    </row>
    <row r="95" ht="11.25" customHeight="1">
      <c r="A95" s="129" t="s">
        <v>62</v>
      </c>
    </row>
    <row r="96" spans="1:2" ht="11.25" customHeight="1">
      <c r="A96" s="121" t="str">
        <f>A3</f>
        <v>2000 - 2009</v>
      </c>
      <c r="B96" s="140"/>
    </row>
    <row r="97" spans="1:2" ht="11.25" customHeight="1">
      <c r="A97" s="118" t="s">
        <v>1</v>
      </c>
      <c r="B97" s="126"/>
    </row>
    <row r="98" ht="11.25" customHeight="1">
      <c r="A98" s="41"/>
    </row>
    <row r="100" spans="3:21" ht="11.25" customHeight="1">
      <c r="C100" s="124">
        <v>2000</v>
      </c>
      <c r="D100" s="125"/>
      <c r="E100" s="124">
        <v>2001</v>
      </c>
      <c r="G100" s="124">
        <v>2002</v>
      </c>
      <c r="I100" s="124">
        <v>2003</v>
      </c>
      <c r="K100" s="124">
        <v>2004</v>
      </c>
      <c r="M100" s="124">
        <v>2005</v>
      </c>
      <c r="O100" s="46">
        <v>2006</v>
      </c>
      <c r="P100" s="255"/>
      <c r="Q100" s="46">
        <v>2007</v>
      </c>
      <c r="S100" s="46">
        <v>2008</v>
      </c>
      <c r="U100" s="46">
        <v>2009</v>
      </c>
    </row>
    <row r="101" spans="7:11" ht="11.25" customHeight="1">
      <c r="G101" s="120"/>
      <c r="I101" s="120"/>
      <c r="K101" s="120"/>
    </row>
    <row r="102" spans="1:21" ht="11.25" customHeight="1">
      <c r="A102" s="129" t="s">
        <v>81</v>
      </c>
      <c r="C102" s="187">
        <v>69935</v>
      </c>
      <c r="D102" s="188"/>
      <c r="E102" s="188">
        <v>68578</v>
      </c>
      <c r="F102" s="189"/>
      <c r="G102" s="188">
        <v>65067</v>
      </c>
      <c r="I102" s="188">
        <v>63697</v>
      </c>
      <c r="K102" s="188">
        <v>50310</v>
      </c>
      <c r="M102" s="188">
        <v>28956</v>
      </c>
      <c r="O102" s="188">
        <v>51797</v>
      </c>
      <c r="P102" s="188"/>
      <c r="Q102" s="188">
        <v>31481</v>
      </c>
      <c r="S102" s="188">
        <v>3474</v>
      </c>
      <c r="U102" s="188">
        <v>-16933</v>
      </c>
    </row>
    <row r="103" spans="3:21" ht="11.25" customHeight="1">
      <c r="C103" s="144"/>
      <c r="D103" s="145"/>
      <c r="E103" s="145"/>
      <c r="G103" s="145"/>
      <c r="I103" s="145"/>
      <c r="K103" s="145"/>
      <c r="M103" s="145"/>
      <c r="O103" s="145"/>
      <c r="P103" s="145"/>
      <c r="Q103" s="145"/>
      <c r="S103" s="145"/>
      <c r="U103" s="145"/>
    </row>
    <row r="104" spans="1:21" ht="11.25" customHeight="1">
      <c r="A104" s="118" t="s">
        <v>53</v>
      </c>
      <c r="C104" s="144">
        <v>176479</v>
      </c>
      <c r="D104" s="145"/>
      <c r="E104" s="145">
        <v>171071</v>
      </c>
      <c r="G104" s="145">
        <v>176146</v>
      </c>
      <c r="I104" s="145">
        <v>178987</v>
      </c>
      <c r="K104" s="145">
        <v>169557</v>
      </c>
      <c r="M104" s="145">
        <v>162809</v>
      </c>
      <c r="O104" s="145">
        <v>199115</v>
      </c>
      <c r="P104" s="145"/>
      <c r="Q104" s="145">
        <v>160912</v>
      </c>
      <c r="S104" s="145">
        <v>129553</v>
      </c>
      <c r="U104" s="145">
        <v>102504</v>
      </c>
    </row>
    <row r="105" spans="1:21" ht="11.25" customHeight="1">
      <c r="A105" s="118"/>
      <c r="C105" s="144"/>
      <c r="D105" s="145"/>
      <c r="E105" s="145"/>
      <c r="G105" s="145"/>
      <c r="I105" s="145"/>
      <c r="K105" s="145"/>
      <c r="M105" s="145"/>
      <c r="O105" s="145"/>
      <c r="P105" s="145"/>
      <c r="Q105" s="145"/>
      <c r="S105" s="145"/>
      <c r="U105" s="145"/>
    </row>
    <row r="106" spans="1:21" ht="11.25" customHeight="1">
      <c r="A106" s="118" t="s">
        <v>88</v>
      </c>
      <c r="C106" s="87" t="s">
        <v>85</v>
      </c>
      <c r="D106" s="145"/>
      <c r="E106" s="87" t="s">
        <v>85</v>
      </c>
      <c r="G106" s="87" t="s">
        <v>85</v>
      </c>
      <c r="I106" s="145">
        <v>67740</v>
      </c>
      <c r="K106" s="145">
        <v>223469</v>
      </c>
      <c r="M106" s="145">
        <v>256367</v>
      </c>
      <c r="O106" s="145">
        <v>250053</v>
      </c>
      <c r="P106" s="145"/>
      <c r="Q106" s="145">
        <v>244982</v>
      </c>
      <c r="S106" s="145">
        <v>201098</v>
      </c>
      <c r="U106" s="145">
        <v>204385</v>
      </c>
    </row>
    <row r="107" spans="3:21" ht="11.25" customHeight="1">
      <c r="C107" s="144"/>
      <c r="D107" s="145"/>
      <c r="E107" s="145"/>
      <c r="G107" s="145"/>
      <c r="I107" s="145"/>
      <c r="K107" s="145"/>
      <c r="M107" s="145"/>
      <c r="O107" s="145"/>
      <c r="P107" s="145"/>
      <c r="Q107" s="145"/>
      <c r="S107" s="145"/>
      <c r="U107" s="145"/>
    </row>
    <row r="108" spans="1:21" ht="11.25" customHeight="1">
      <c r="A108" s="118" t="s">
        <v>2</v>
      </c>
      <c r="C108" s="144">
        <v>156427</v>
      </c>
      <c r="D108" s="145"/>
      <c r="E108" s="145">
        <v>155859</v>
      </c>
      <c r="G108" s="145">
        <v>170362</v>
      </c>
      <c r="I108" s="145">
        <v>164542</v>
      </c>
      <c r="K108" s="145">
        <v>148881</v>
      </c>
      <c r="M108" s="145">
        <v>161847</v>
      </c>
      <c r="O108" s="145">
        <v>177801</v>
      </c>
      <c r="P108" s="145" t="s">
        <v>10</v>
      </c>
      <c r="Q108" s="145">
        <v>184737</v>
      </c>
      <c r="S108" s="145">
        <v>153467</v>
      </c>
      <c r="U108" s="145">
        <v>109303</v>
      </c>
    </row>
    <row r="109" spans="3:11" ht="11.25" customHeight="1">
      <c r="C109" s="144"/>
      <c r="D109" s="145"/>
      <c r="E109" s="145"/>
      <c r="G109" s="145"/>
      <c r="I109" s="145"/>
      <c r="K109" s="145"/>
    </row>
    <row r="110" spans="1:21" ht="11.25" customHeight="1">
      <c r="A110" s="118" t="s">
        <v>54</v>
      </c>
      <c r="C110" s="144">
        <v>23654</v>
      </c>
      <c r="D110" s="145"/>
      <c r="E110" s="145">
        <f>6009+7626</f>
        <v>13635</v>
      </c>
      <c r="F110" s="120"/>
      <c r="G110" s="145">
        <v>15911</v>
      </c>
      <c r="I110" s="87" t="s">
        <v>85</v>
      </c>
      <c r="K110" s="87" t="s">
        <v>85</v>
      </c>
      <c r="M110" s="87" t="s">
        <v>85</v>
      </c>
      <c r="O110" s="87" t="s">
        <v>85</v>
      </c>
      <c r="P110" s="87"/>
      <c r="Q110" s="87" t="s">
        <v>85</v>
      </c>
      <c r="S110" s="87" t="s">
        <v>85</v>
      </c>
      <c r="U110" s="87" t="s">
        <v>85</v>
      </c>
    </row>
    <row r="111" spans="3:11" ht="11.25" customHeight="1">
      <c r="C111" s="144"/>
      <c r="D111" s="145"/>
      <c r="E111" s="145"/>
      <c r="G111" s="145"/>
      <c r="I111" s="145"/>
      <c r="K111" s="145"/>
    </row>
    <row r="112" spans="1:21" ht="11.25" customHeight="1">
      <c r="A112" s="118" t="s">
        <v>3</v>
      </c>
      <c r="C112" s="144">
        <v>147776</v>
      </c>
      <c r="D112" s="145"/>
      <c r="E112" s="145">
        <v>159085</v>
      </c>
      <c r="G112" s="145">
        <v>184242</v>
      </c>
      <c r="I112" s="145">
        <v>179329</v>
      </c>
      <c r="K112" s="145">
        <v>161900</v>
      </c>
      <c r="M112" s="145">
        <v>176544</v>
      </c>
      <c r="O112" s="145">
        <v>179645</v>
      </c>
      <c r="P112" s="145"/>
      <c r="Q112" s="145">
        <v>165803</v>
      </c>
      <c r="S112" s="145">
        <v>164064</v>
      </c>
      <c r="U112" s="145">
        <v>148458</v>
      </c>
    </row>
    <row r="113" spans="3:21" ht="11.25" customHeight="1">
      <c r="C113" s="144"/>
      <c r="D113" s="145"/>
      <c r="E113" s="145"/>
      <c r="G113" s="145"/>
      <c r="I113" s="145"/>
      <c r="K113" s="145"/>
      <c r="M113" s="145"/>
      <c r="O113" s="145"/>
      <c r="P113" s="145"/>
      <c r="Q113" s="145"/>
      <c r="S113" s="145"/>
      <c r="U113" s="145"/>
    </row>
    <row r="114" spans="1:21" ht="11.25" customHeight="1">
      <c r="A114" s="118" t="s">
        <v>4</v>
      </c>
      <c r="C114" s="144">
        <v>25344</v>
      </c>
      <c r="D114" s="145"/>
      <c r="E114" s="145">
        <v>31823</v>
      </c>
      <c r="G114" s="145">
        <v>36534</v>
      </c>
      <c r="I114" s="145">
        <v>28583</v>
      </c>
      <c r="K114" s="145">
        <v>27504</v>
      </c>
      <c r="M114" s="145">
        <v>31388</v>
      </c>
      <c r="O114" s="145">
        <v>26635</v>
      </c>
      <c r="P114" s="145"/>
      <c r="Q114" s="145">
        <v>24423</v>
      </c>
      <c r="S114" s="145">
        <v>2825</v>
      </c>
      <c r="U114" s="145">
        <v>-13193</v>
      </c>
    </row>
    <row r="115" spans="3:21" ht="11.25" customHeight="1">
      <c r="C115" s="144"/>
      <c r="D115" s="145"/>
      <c r="E115" s="145"/>
      <c r="G115" s="145"/>
      <c r="I115" s="145"/>
      <c r="K115" s="145"/>
      <c r="M115" s="145"/>
      <c r="O115" s="145"/>
      <c r="P115" s="145"/>
      <c r="Q115" s="145"/>
      <c r="S115" s="145"/>
      <c r="U115" s="145"/>
    </row>
    <row r="116" spans="1:21" ht="11.25" customHeight="1">
      <c r="A116" s="118" t="s">
        <v>91</v>
      </c>
      <c r="C116" s="144">
        <v>21925</v>
      </c>
      <c r="D116" s="145"/>
      <c r="E116" s="145">
        <v>19532</v>
      </c>
      <c r="G116" s="145">
        <v>21124</v>
      </c>
      <c r="I116" s="145">
        <v>12770</v>
      </c>
      <c r="K116" s="145">
        <v>18788</v>
      </c>
      <c r="M116" s="145">
        <v>11759</v>
      </c>
      <c r="O116" s="145">
        <v>793</v>
      </c>
      <c r="P116" s="145"/>
      <c r="Q116" s="87" t="s">
        <v>85</v>
      </c>
      <c r="S116" s="87" t="s">
        <v>85</v>
      </c>
      <c r="U116" s="87" t="s">
        <v>85</v>
      </c>
    </row>
    <row r="117" spans="3:21" ht="11.25" customHeight="1">
      <c r="C117" s="144"/>
      <c r="D117" s="145"/>
      <c r="E117" s="145"/>
      <c r="G117" s="145"/>
      <c r="I117" s="145"/>
      <c r="K117" s="145"/>
      <c r="M117" s="145"/>
      <c r="O117" s="145"/>
      <c r="P117" s="145"/>
      <c r="Q117" s="145"/>
      <c r="S117" s="145"/>
      <c r="U117" s="145"/>
    </row>
    <row r="118" spans="1:21" ht="11.25" customHeight="1">
      <c r="A118" s="118" t="s">
        <v>5</v>
      </c>
      <c r="C118" s="144">
        <v>96181</v>
      </c>
      <c r="D118" s="145"/>
      <c r="E118" s="145">
        <v>95443</v>
      </c>
      <c r="G118" s="145">
        <v>112789</v>
      </c>
      <c r="I118" s="145">
        <v>115253</v>
      </c>
      <c r="K118" s="145">
        <v>129860</v>
      </c>
      <c r="M118" s="145">
        <v>144746</v>
      </c>
      <c r="O118" s="145">
        <v>131670</v>
      </c>
      <c r="P118" s="145"/>
      <c r="Q118" s="145">
        <v>115464</v>
      </c>
      <c r="S118" s="145">
        <v>78658</v>
      </c>
      <c r="U118" s="145">
        <v>63264</v>
      </c>
    </row>
    <row r="119" spans="3:21" ht="11.25" customHeight="1">
      <c r="C119" s="144"/>
      <c r="D119" s="145"/>
      <c r="E119" s="145"/>
      <c r="G119" s="145"/>
      <c r="I119" s="145"/>
      <c r="K119" s="145"/>
      <c r="M119" s="145"/>
      <c r="O119" s="145"/>
      <c r="P119" s="145"/>
      <c r="Q119" s="145"/>
      <c r="S119" s="145"/>
      <c r="U119" s="145"/>
    </row>
    <row r="120" spans="1:21" ht="11.25" customHeight="1">
      <c r="A120" s="129" t="s">
        <v>6</v>
      </c>
      <c r="C120" s="144">
        <v>113059</v>
      </c>
      <c r="D120" s="145"/>
      <c r="E120" s="145">
        <v>122278</v>
      </c>
      <c r="G120" s="145">
        <v>118631</v>
      </c>
      <c r="I120" s="145">
        <v>105771</v>
      </c>
      <c r="K120" s="145">
        <v>82441</v>
      </c>
      <c r="M120" s="145">
        <v>121139</v>
      </c>
      <c r="O120" s="145">
        <v>138433</v>
      </c>
      <c r="P120" s="145"/>
      <c r="Q120" s="145">
        <v>117973</v>
      </c>
      <c r="S120" s="145">
        <v>56660</v>
      </c>
      <c r="U120" s="145">
        <v>32723</v>
      </c>
    </row>
    <row r="121" spans="3:21" ht="11.25" customHeight="1">
      <c r="C121" s="144"/>
      <c r="D121" s="145"/>
      <c r="E121" s="145"/>
      <c r="G121" s="145"/>
      <c r="I121" s="145"/>
      <c r="K121" s="145"/>
      <c r="M121" s="145"/>
      <c r="O121" s="145"/>
      <c r="P121" s="145"/>
      <c r="Q121" s="145"/>
      <c r="S121" s="145"/>
      <c r="U121" s="145"/>
    </row>
    <row r="122" spans="1:21" ht="11.25" customHeight="1">
      <c r="A122" s="118" t="s">
        <v>24</v>
      </c>
      <c r="C122" s="144">
        <v>57964</v>
      </c>
      <c r="D122" s="145"/>
      <c r="E122" s="145">
        <v>55564</v>
      </c>
      <c r="G122" s="145">
        <v>67934</v>
      </c>
      <c r="I122" s="145">
        <v>52325</v>
      </c>
      <c r="K122" s="145">
        <v>53221</v>
      </c>
      <c r="M122" s="145">
        <v>50203</v>
      </c>
      <c r="O122" s="145">
        <v>55065</v>
      </c>
      <c r="P122" s="145"/>
      <c r="Q122" s="145">
        <v>36532</v>
      </c>
      <c r="S122" s="145">
        <v>15210</v>
      </c>
      <c r="U122" s="145">
        <v>4972</v>
      </c>
    </row>
    <row r="123" spans="3:21" ht="11.25" customHeight="1">
      <c r="C123" s="144"/>
      <c r="D123" s="145"/>
      <c r="E123" s="145"/>
      <c r="G123" s="145"/>
      <c r="I123" s="145"/>
      <c r="K123" s="145"/>
      <c r="M123" s="145"/>
      <c r="O123" s="145"/>
      <c r="P123" s="145"/>
      <c r="Q123" s="145"/>
      <c r="S123" s="145"/>
      <c r="U123" s="145"/>
    </row>
    <row r="124" spans="1:21" ht="11.25" customHeight="1">
      <c r="A124" s="118" t="s">
        <v>7</v>
      </c>
      <c r="C124" s="144">
        <v>52336</v>
      </c>
      <c r="D124" s="145"/>
      <c r="E124" s="145">
        <v>66311</v>
      </c>
      <c r="G124" s="145">
        <v>80989</v>
      </c>
      <c r="I124" s="145">
        <v>64954</v>
      </c>
      <c r="K124" s="145">
        <v>45500</v>
      </c>
      <c r="M124" s="145">
        <v>38351</v>
      </c>
      <c r="O124" s="145">
        <v>46669</v>
      </c>
      <c r="P124" s="145"/>
      <c r="Q124" s="145">
        <v>46255</v>
      </c>
      <c r="S124" s="145">
        <v>36252</v>
      </c>
      <c r="U124" s="145">
        <v>9211</v>
      </c>
    </row>
    <row r="125" spans="3:21" ht="11.25" customHeight="1">
      <c r="C125" s="144"/>
      <c r="D125" s="145"/>
      <c r="E125" s="145"/>
      <c r="G125" s="145"/>
      <c r="I125" s="145"/>
      <c r="K125" s="145"/>
      <c r="M125" s="145"/>
      <c r="O125" s="145"/>
      <c r="P125" s="145"/>
      <c r="Q125" s="145"/>
      <c r="S125" s="145"/>
      <c r="U125" s="145"/>
    </row>
    <row r="126" spans="1:21" ht="11.25" customHeight="1">
      <c r="A126" s="118" t="s">
        <v>8</v>
      </c>
      <c r="C126" s="146">
        <v>146553</v>
      </c>
      <c r="D126" s="147"/>
      <c r="E126" s="148">
        <v>138167</v>
      </c>
      <c r="F126" s="29"/>
      <c r="G126" s="148">
        <v>151720</v>
      </c>
      <c r="I126" s="148">
        <v>126278</v>
      </c>
      <c r="K126" s="148">
        <v>114579</v>
      </c>
      <c r="M126" s="148">
        <v>113668</v>
      </c>
      <c r="O126" s="148">
        <v>123601</v>
      </c>
      <c r="P126" s="147"/>
      <c r="Q126" s="148">
        <v>119593</v>
      </c>
      <c r="S126" s="148">
        <v>99643</v>
      </c>
      <c r="U126" s="148">
        <v>85049</v>
      </c>
    </row>
    <row r="127" spans="3:11" ht="11.25" customHeight="1">
      <c r="C127" s="149"/>
      <c r="D127" s="147"/>
      <c r="E127" s="149"/>
      <c r="F127" s="29"/>
      <c r="G127" s="149"/>
      <c r="I127" s="149"/>
      <c r="K127" s="149"/>
    </row>
    <row r="128" spans="1:21" ht="11.25" customHeight="1" thickBot="1">
      <c r="A128" s="118" t="s">
        <v>17</v>
      </c>
      <c r="C128" s="150">
        <f>SUM(C102:C126)</f>
        <v>1087633</v>
      </c>
      <c r="D128" s="151"/>
      <c r="E128" s="150">
        <f>SUM(E102:E126)</f>
        <v>1097346</v>
      </c>
      <c r="F128" s="31"/>
      <c r="G128" s="150">
        <f>SUM(G102:G126)</f>
        <v>1201449</v>
      </c>
      <c r="I128" s="150">
        <f>SUM(I102:I126)</f>
        <v>1160229</v>
      </c>
      <c r="K128" s="150">
        <f>SUM(K102:K126)</f>
        <v>1226010</v>
      </c>
      <c r="M128" s="150">
        <f>SUM(M102:M126)</f>
        <v>1297777</v>
      </c>
      <c r="O128" s="150">
        <f>SUM(O102:O126)</f>
        <v>1381277</v>
      </c>
      <c r="P128" s="151"/>
      <c r="Q128" s="150">
        <f>SUM(Q102:Q126)</f>
        <v>1248155</v>
      </c>
      <c r="S128" s="150">
        <f>SUM(S102:S126)</f>
        <v>940904</v>
      </c>
      <c r="U128" s="150">
        <f>SUM(U102:U126)</f>
        <v>729743</v>
      </c>
    </row>
    <row r="129" spans="3:5" ht="11.25" customHeight="1" thickTop="1">
      <c r="C129" s="126"/>
      <c r="D129" s="140"/>
      <c r="E129" s="126"/>
    </row>
    <row r="130" ht="30" customHeight="1">
      <c r="A130" s="138" t="s">
        <v>75</v>
      </c>
    </row>
    <row r="131" ht="12" customHeight="1">
      <c r="A131" s="118" t="s">
        <v>56</v>
      </c>
    </row>
    <row r="132" ht="12" customHeight="1">
      <c r="A132" s="52" t="s">
        <v>52</v>
      </c>
    </row>
    <row r="133" ht="12" customHeight="1">
      <c r="A133" s="129" t="s">
        <v>63</v>
      </c>
    </row>
    <row r="134" ht="11.25" customHeight="1">
      <c r="A134" s="55" t="s">
        <v>82</v>
      </c>
    </row>
    <row r="135" ht="11.25" customHeight="1">
      <c r="A135" s="56" t="s">
        <v>87</v>
      </c>
    </row>
    <row r="136" ht="11.25" customHeight="1">
      <c r="A136" s="56" t="s">
        <v>92</v>
      </c>
    </row>
    <row r="137" ht="11.25" customHeight="1">
      <c r="A137" s="152"/>
    </row>
    <row r="138" ht="11.25" customHeight="1">
      <c r="A138" s="152"/>
    </row>
    <row r="139" ht="11.25" customHeight="1">
      <c r="A139" s="152"/>
    </row>
    <row r="140" ht="11.25" customHeight="1">
      <c r="A140" s="118"/>
    </row>
    <row r="141" ht="11.25" customHeight="1">
      <c r="A141" s="118" t="s">
        <v>0</v>
      </c>
    </row>
    <row r="142" ht="11.25" customHeight="1">
      <c r="A142" s="118" t="s">
        <v>27</v>
      </c>
    </row>
    <row r="143" spans="1:4" ht="11.25" customHeight="1">
      <c r="A143" s="121" t="str">
        <f>A3</f>
        <v>2000 - 2009</v>
      </c>
      <c r="B143" s="140"/>
      <c r="C143" s="140"/>
      <c r="D143" s="140"/>
    </row>
    <row r="144" spans="1:2" ht="11.25" customHeight="1">
      <c r="A144" s="139"/>
      <c r="B144" s="140"/>
    </row>
    <row r="145" spans="1:2" ht="11.25" customHeight="1">
      <c r="A145" s="126"/>
      <c r="B145" s="126"/>
    </row>
    <row r="146" spans="3:21" ht="11.25" customHeight="1">
      <c r="C146" s="124">
        <v>2000</v>
      </c>
      <c r="D146" s="125"/>
      <c r="E146" s="124">
        <v>2001</v>
      </c>
      <c r="G146" s="124">
        <v>2002</v>
      </c>
      <c r="I146" s="124">
        <v>2003</v>
      </c>
      <c r="K146" s="124">
        <v>2004</v>
      </c>
      <c r="M146" s="124">
        <v>2005</v>
      </c>
      <c r="O146" s="46">
        <v>2006</v>
      </c>
      <c r="P146" s="255"/>
      <c r="Q146" s="46">
        <v>2007</v>
      </c>
      <c r="S146" s="46">
        <v>2008</v>
      </c>
      <c r="U146" s="46">
        <v>2009</v>
      </c>
    </row>
    <row r="147" spans="7:11" ht="11.25" customHeight="1">
      <c r="G147" s="120"/>
      <c r="I147" s="120"/>
      <c r="K147" s="120"/>
    </row>
    <row r="148" spans="1:21" ht="11.25" customHeight="1">
      <c r="A148" s="129" t="s">
        <v>79</v>
      </c>
      <c r="C148" s="240">
        <v>0.415</v>
      </c>
      <c r="D148" s="240"/>
      <c r="E148" s="240">
        <f>(E102-C102)/C102</f>
        <v>-0.019</v>
      </c>
      <c r="F148" s="234"/>
      <c r="G148" s="240">
        <f>(G102-E102)/E102</f>
        <v>-0.051</v>
      </c>
      <c r="H148" s="234"/>
      <c r="I148" s="240">
        <f>(I102-G102)/G102</f>
        <v>-0.021</v>
      </c>
      <c r="K148" s="240">
        <f>(K102-I102)/I102</f>
        <v>-0.21</v>
      </c>
      <c r="M148" s="240">
        <f>(M102-K102)/K102</f>
        <v>-0.424</v>
      </c>
      <c r="O148" s="240">
        <f>(O102-M102)/M102</f>
        <v>0.789</v>
      </c>
      <c r="P148" s="240"/>
      <c r="Q148" s="240">
        <f>(Q102-O102)/O102</f>
        <v>-0.392</v>
      </c>
      <c r="S148" s="240">
        <f>(S102-Q102)/Q102</f>
        <v>-0.89</v>
      </c>
      <c r="U148" s="240">
        <f>(U102-S102)/S102</f>
        <v>-5.874</v>
      </c>
    </row>
    <row r="149" spans="3:21" ht="11.25" customHeight="1">
      <c r="C149" s="240"/>
      <c r="D149" s="240"/>
      <c r="E149" s="240"/>
      <c r="F149" s="234"/>
      <c r="G149" s="240"/>
      <c r="H149" s="234"/>
      <c r="I149" s="240"/>
      <c r="K149" s="240"/>
      <c r="M149" s="240"/>
      <c r="O149" s="240"/>
      <c r="P149" s="240"/>
      <c r="Q149" s="240"/>
      <c r="S149" s="240"/>
      <c r="U149" s="240"/>
    </row>
    <row r="150" spans="1:21" ht="11.25" customHeight="1">
      <c r="A150" s="118" t="s">
        <v>53</v>
      </c>
      <c r="C150" s="240">
        <v>0.059</v>
      </c>
      <c r="D150" s="240"/>
      <c r="E150" s="240">
        <f>(E104-C104)/C104</f>
        <v>-0.031</v>
      </c>
      <c r="F150" s="234"/>
      <c r="G150" s="240">
        <f>(G104-E104)/E104</f>
        <v>0.03</v>
      </c>
      <c r="H150" s="234"/>
      <c r="I150" s="240">
        <f>(I104-G104)/G104</f>
        <v>0.016</v>
      </c>
      <c r="K150" s="240">
        <f>(K104-I104)/I104</f>
        <v>-0.053</v>
      </c>
      <c r="M150" s="240">
        <f>(M104-K104)/K104</f>
        <v>-0.04</v>
      </c>
      <c r="O150" s="240">
        <f>(O104-M104)/M104</f>
        <v>0.223</v>
      </c>
      <c r="P150" s="240"/>
      <c r="Q150" s="240">
        <f>(Q104-O104)/O104</f>
        <v>-0.192</v>
      </c>
      <c r="S150" s="240">
        <f>(S104-Q104)/Q104</f>
        <v>-0.195</v>
      </c>
      <c r="U150" s="240">
        <f>(U104-S104)/S104</f>
        <v>-0.209</v>
      </c>
    </row>
    <row r="151" spans="1:21" ht="11.25" customHeight="1">
      <c r="A151" s="118"/>
      <c r="C151" s="240"/>
      <c r="D151" s="240"/>
      <c r="E151" s="240"/>
      <c r="F151" s="234"/>
      <c r="G151" s="240"/>
      <c r="H151" s="234"/>
      <c r="I151" s="240"/>
      <c r="K151" s="240"/>
      <c r="M151" s="240"/>
      <c r="O151" s="240"/>
      <c r="P151" s="240"/>
      <c r="Q151" s="240"/>
      <c r="S151" s="240"/>
      <c r="U151" s="240"/>
    </row>
    <row r="152" spans="1:21" ht="11.25" customHeight="1">
      <c r="A152" s="118" t="s">
        <v>86</v>
      </c>
      <c r="C152" s="196" t="s">
        <v>85</v>
      </c>
      <c r="D152" s="240"/>
      <c r="E152" s="196" t="s">
        <v>85</v>
      </c>
      <c r="F152" s="234"/>
      <c r="G152" s="196" t="s">
        <v>85</v>
      </c>
      <c r="H152" s="234"/>
      <c r="I152" s="196" t="s">
        <v>85</v>
      </c>
      <c r="K152" s="196" t="s">
        <v>85</v>
      </c>
      <c r="M152" s="240">
        <f>(M106-K106)/K106</f>
        <v>0.147</v>
      </c>
      <c r="O152" s="240">
        <f>(O106-M106)/M106</f>
        <v>-0.025</v>
      </c>
      <c r="P152" s="240"/>
      <c r="Q152" s="240">
        <f>(Q106-O106)/O106</f>
        <v>-0.02</v>
      </c>
      <c r="S152" s="240">
        <f>(S106-Q106)/Q106</f>
        <v>-0.179</v>
      </c>
      <c r="U152" s="240">
        <f>(U106-S106)/S106</f>
        <v>0.016</v>
      </c>
    </row>
    <row r="153" spans="3:21" ht="11.25" customHeight="1">
      <c r="C153" s="240"/>
      <c r="D153" s="240"/>
      <c r="E153" s="240"/>
      <c r="F153" s="234"/>
      <c r="G153" s="240"/>
      <c r="H153" s="234"/>
      <c r="I153" s="240"/>
      <c r="K153" s="240"/>
      <c r="M153" s="240"/>
      <c r="O153" s="240"/>
      <c r="P153" s="240"/>
      <c r="Q153" s="240"/>
      <c r="S153" s="240"/>
      <c r="U153" s="240"/>
    </row>
    <row r="154" spans="1:21" ht="11.25" customHeight="1">
      <c r="A154" s="118" t="s">
        <v>2</v>
      </c>
      <c r="C154" s="240">
        <v>0.142</v>
      </c>
      <c r="D154" s="240"/>
      <c r="E154" s="240">
        <f>(E108-C108)/C108</f>
        <v>-0.004</v>
      </c>
      <c r="F154" s="234"/>
      <c r="G154" s="240">
        <f>(G108-E108)/E108</f>
        <v>0.093</v>
      </c>
      <c r="H154" s="234"/>
      <c r="I154" s="240">
        <f>(I108-G108)/G108</f>
        <v>-0.034</v>
      </c>
      <c r="K154" s="240">
        <f>(K108-I108)/I108</f>
        <v>-0.095</v>
      </c>
      <c r="M154" s="240">
        <f>(M108-K108)/K108</f>
        <v>0.087</v>
      </c>
      <c r="O154" s="240">
        <f>(O108-M108)/M108</f>
        <v>0.099</v>
      </c>
      <c r="P154" s="240"/>
      <c r="Q154" s="240">
        <f>(Q108-O108)/O108</f>
        <v>0.039</v>
      </c>
      <c r="S154" s="240">
        <f>(S108-Q108)/Q108</f>
        <v>-0.169</v>
      </c>
      <c r="U154" s="240">
        <f>(U108-S108)/S108</f>
        <v>-0.288</v>
      </c>
    </row>
    <row r="155" spans="3:21" ht="11.25" customHeight="1">
      <c r="C155" s="240"/>
      <c r="D155" s="240"/>
      <c r="E155" s="240"/>
      <c r="F155" s="234"/>
      <c r="G155" s="240"/>
      <c r="H155" s="234"/>
      <c r="I155" s="240"/>
      <c r="K155" s="240"/>
      <c r="M155" s="240"/>
      <c r="O155" s="240"/>
      <c r="P155" s="240"/>
      <c r="Q155" s="240"/>
      <c r="S155" s="240"/>
      <c r="U155" s="240"/>
    </row>
    <row r="156" spans="1:21" ht="11.25" customHeight="1">
      <c r="A156" s="118" t="s">
        <v>54</v>
      </c>
      <c r="C156" s="240">
        <v>0.116</v>
      </c>
      <c r="D156" s="240"/>
      <c r="E156" s="240">
        <f>(E110-C110)/C110</f>
        <v>-0.424</v>
      </c>
      <c r="F156" s="234"/>
      <c r="G156" s="240">
        <f>(G110-E110)/E110</f>
        <v>0.167</v>
      </c>
      <c r="H156" s="234"/>
      <c r="I156" s="196" t="s">
        <v>85</v>
      </c>
      <c r="K156" s="196" t="s">
        <v>85</v>
      </c>
      <c r="M156" s="196" t="s">
        <v>85</v>
      </c>
      <c r="O156" s="196" t="s">
        <v>85</v>
      </c>
      <c r="P156" s="196"/>
      <c r="Q156" s="196" t="s">
        <v>85</v>
      </c>
      <c r="S156" s="196" t="s">
        <v>85</v>
      </c>
      <c r="U156" s="196" t="s">
        <v>85</v>
      </c>
    </row>
    <row r="157" spans="3:21" ht="11.25" customHeight="1">
      <c r="C157" s="240"/>
      <c r="D157" s="240"/>
      <c r="E157" s="240"/>
      <c r="F157" s="234"/>
      <c r="G157" s="240"/>
      <c r="H157" s="234"/>
      <c r="I157" s="240"/>
      <c r="K157" s="240"/>
      <c r="M157" s="240"/>
      <c r="O157" s="240"/>
      <c r="P157" s="240"/>
      <c r="Q157" s="240"/>
      <c r="S157" s="240"/>
      <c r="U157" s="240"/>
    </row>
    <row r="158" spans="1:21" ht="11.25" customHeight="1">
      <c r="A158" s="118" t="s">
        <v>3</v>
      </c>
      <c r="C158" s="240">
        <v>0.136</v>
      </c>
      <c r="D158" s="240"/>
      <c r="E158" s="240">
        <f>(E112-C112)/C112</f>
        <v>0.077</v>
      </c>
      <c r="F158" s="234"/>
      <c r="G158" s="240">
        <f>(G112-E112)/E112</f>
        <v>0.158</v>
      </c>
      <c r="H158" s="234"/>
      <c r="I158" s="240">
        <f>(I112-G112)/G112</f>
        <v>-0.027</v>
      </c>
      <c r="K158" s="240">
        <f>(K112-I112)/I112</f>
        <v>-0.097</v>
      </c>
      <c r="M158" s="240">
        <f>(M112-K112)/K112</f>
        <v>0.09</v>
      </c>
      <c r="O158" s="240">
        <f>(O112-M112)/M112</f>
        <v>0.018</v>
      </c>
      <c r="P158" s="240"/>
      <c r="Q158" s="240">
        <f>(Q112-O112)/O112</f>
        <v>-0.077</v>
      </c>
      <c r="S158" s="240">
        <f>(S112-Q112)/Q112</f>
        <v>-0.01</v>
      </c>
      <c r="U158" s="240">
        <f>(U112-S112)/S112</f>
        <v>-0.095</v>
      </c>
    </row>
    <row r="159" spans="3:21" ht="11.25" customHeight="1">
      <c r="C159" s="240"/>
      <c r="D159" s="240"/>
      <c r="E159" s="240"/>
      <c r="F159" s="234"/>
      <c r="G159" s="240"/>
      <c r="H159" s="234"/>
      <c r="I159" s="240"/>
      <c r="K159" s="240"/>
      <c r="M159" s="240"/>
      <c r="O159" s="240"/>
      <c r="P159" s="240"/>
      <c r="Q159" s="240"/>
      <c r="S159" s="240"/>
      <c r="U159" s="240"/>
    </row>
    <row r="160" spans="1:21" ht="11.25" customHeight="1">
      <c r="A160" s="118" t="s">
        <v>4</v>
      </c>
      <c r="C160" s="240">
        <v>1.41</v>
      </c>
      <c r="D160" s="240"/>
      <c r="E160" s="240">
        <f>(E114-C114)/C114</f>
        <v>0.256</v>
      </c>
      <c r="F160" s="234"/>
      <c r="G160" s="240">
        <f>(G114-E114)/E114</f>
        <v>0.148</v>
      </c>
      <c r="H160" s="234"/>
      <c r="I160" s="240">
        <f>(I114-G114)/G114</f>
        <v>-0.218</v>
      </c>
      <c r="K160" s="240">
        <f>(K114-I114)/I114</f>
        <v>-0.038</v>
      </c>
      <c r="M160" s="240">
        <f>(M114-K114)/K114</f>
        <v>0.141</v>
      </c>
      <c r="O160" s="240">
        <f>(O114-M114)/M114</f>
        <v>-0.151</v>
      </c>
      <c r="P160" s="240"/>
      <c r="Q160" s="240">
        <f>(Q114-O114)/O114</f>
        <v>-0.083</v>
      </c>
      <c r="S160" s="240">
        <f>(S114-Q114)/Q114</f>
        <v>-0.884</v>
      </c>
      <c r="U160" s="240">
        <f>(U114-S114)/S114</f>
        <v>-5.67</v>
      </c>
    </row>
    <row r="161" spans="3:21" ht="11.25" customHeight="1">
      <c r="C161" s="240"/>
      <c r="D161" s="240"/>
      <c r="E161" s="240"/>
      <c r="F161" s="234"/>
      <c r="G161" s="240"/>
      <c r="H161" s="234"/>
      <c r="I161" s="240"/>
      <c r="K161" s="240"/>
      <c r="M161" s="240"/>
      <c r="O161" s="240"/>
      <c r="P161" s="240"/>
      <c r="Q161" s="240"/>
      <c r="S161" s="240"/>
      <c r="U161" s="240"/>
    </row>
    <row r="162" spans="1:21" ht="11.25" customHeight="1">
      <c r="A162" s="118" t="s">
        <v>90</v>
      </c>
      <c r="C162" s="240">
        <v>0.042</v>
      </c>
      <c r="D162" s="240"/>
      <c r="E162" s="240">
        <f>(E116-C116)/C116</f>
        <v>-0.109</v>
      </c>
      <c r="F162" s="234"/>
      <c r="G162" s="240">
        <f>(G116-E116)/E116</f>
        <v>0.082</v>
      </c>
      <c r="H162" s="234"/>
      <c r="I162" s="240">
        <f>(I116-G116)/G116</f>
        <v>-0.395</v>
      </c>
      <c r="K162" s="240">
        <f>(K116-I116)/I116</f>
        <v>0.471</v>
      </c>
      <c r="M162" s="240">
        <f>(M116-K116)/K116</f>
        <v>-0.374</v>
      </c>
      <c r="O162" s="240">
        <f>(O116-M116)/M116</f>
        <v>-0.933</v>
      </c>
      <c r="P162" s="240"/>
      <c r="Q162" s="87" t="s">
        <v>85</v>
      </c>
      <c r="S162" s="87" t="s">
        <v>85</v>
      </c>
      <c r="U162" s="87" t="s">
        <v>85</v>
      </c>
    </row>
    <row r="163" spans="3:21" ht="11.25" customHeight="1">
      <c r="C163" s="240"/>
      <c r="D163" s="240"/>
      <c r="E163" s="240"/>
      <c r="F163" s="234"/>
      <c r="G163" s="240"/>
      <c r="H163" s="234"/>
      <c r="I163" s="240"/>
      <c r="K163" s="240"/>
      <c r="M163" s="240"/>
      <c r="O163" s="240"/>
      <c r="P163" s="240"/>
      <c r="Q163" s="240"/>
      <c r="S163" s="240"/>
      <c r="U163" s="240"/>
    </row>
    <row r="164" spans="1:21" ht="11.25" customHeight="1">
      <c r="A164" s="118" t="s">
        <v>5</v>
      </c>
      <c r="C164" s="240">
        <v>-0.055</v>
      </c>
      <c r="D164" s="240"/>
      <c r="E164" s="240">
        <f>(E118-C118)/C118</f>
        <v>-0.008</v>
      </c>
      <c r="F164" s="234"/>
      <c r="G164" s="240">
        <f>(G118-E118)/E118</f>
        <v>0.182</v>
      </c>
      <c r="H164" s="234"/>
      <c r="I164" s="240">
        <f>(I118-G118)/G118</f>
        <v>0.022</v>
      </c>
      <c r="K164" s="240">
        <f>(K118-I118)/I118</f>
        <v>0.127</v>
      </c>
      <c r="M164" s="240">
        <f>(M118-K118)/K118</f>
        <v>0.115</v>
      </c>
      <c r="O164" s="240">
        <f>(O118-M118)/M118</f>
        <v>-0.09</v>
      </c>
      <c r="P164" s="240"/>
      <c r="Q164" s="240">
        <f>(Q118-O118)/O118</f>
        <v>-0.123</v>
      </c>
      <c r="S164" s="240">
        <f>(S118-Q118)/Q118</f>
        <v>-0.319</v>
      </c>
      <c r="U164" s="240">
        <f>(U118-S118)/S118</f>
        <v>-0.196</v>
      </c>
    </row>
    <row r="165" spans="3:21" ht="11.25" customHeight="1">
      <c r="C165" s="240"/>
      <c r="D165" s="240"/>
      <c r="E165" s="240"/>
      <c r="F165" s="234"/>
      <c r="G165" s="240"/>
      <c r="H165" s="234"/>
      <c r="I165" s="240"/>
      <c r="K165" s="240"/>
      <c r="M165" s="240"/>
      <c r="O165" s="240"/>
      <c r="P165" s="240"/>
      <c r="Q165" s="240"/>
      <c r="S165" s="240"/>
      <c r="U165" s="240"/>
    </row>
    <row r="166" spans="1:21" ht="11.25" customHeight="1">
      <c r="A166" s="129" t="s">
        <v>6</v>
      </c>
      <c r="C166" s="240">
        <v>0.126</v>
      </c>
      <c r="D166" s="240"/>
      <c r="E166" s="240">
        <f>(E120-C120)/C120</f>
        <v>0.082</v>
      </c>
      <c r="F166" s="234"/>
      <c r="G166" s="240">
        <f>(G120-E120)/E120</f>
        <v>-0.03</v>
      </c>
      <c r="H166" s="234"/>
      <c r="I166" s="240">
        <f>(I120-G120)/G120</f>
        <v>-0.108</v>
      </c>
      <c r="K166" s="240">
        <f>(K120-I120)/I120</f>
        <v>-0.221</v>
      </c>
      <c r="M166" s="240">
        <f>(M120-K120)/K120</f>
        <v>0.469</v>
      </c>
      <c r="O166" s="240">
        <f>(O120-M120)/M120</f>
        <v>0.143</v>
      </c>
      <c r="P166" s="240"/>
      <c r="Q166" s="240">
        <f>(Q120-O120)/O120</f>
        <v>-0.148</v>
      </c>
      <c r="S166" s="240">
        <f>(S120-Q120)/Q120</f>
        <v>-0.52</v>
      </c>
      <c r="U166" s="240">
        <f>(U120-S120)/S120</f>
        <v>-0.422</v>
      </c>
    </row>
    <row r="167" spans="3:21" ht="11.25" customHeight="1">
      <c r="C167" s="240"/>
      <c r="D167" s="240"/>
      <c r="E167" s="240"/>
      <c r="F167" s="234"/>
      <c r="G167" s="240"/>
      <c r="H167" s="234"/>
      <c r="I167" s="240"/>
      <c r="K167" s="240"/>
      <c r="M167" s="240"/>
      <c r="O167" s="240"/>
      <c r="P167" s="240"/>
      <c r="Q167" s="240"/>
      <c r="S167" s="240"/>
      <c r="U167" s="240"/>
    </row>
    <row r="168" spans="1:21" ht="11.25" customHeight="1">
      <c r="A168" s="118" t="s">
        <v>24</v>
      </c>
      <c r="C168" s="240">
        <v>-0.001</v>
      </c>
      <c r="D168" s="240"/>
      <c r="E168" s="240">
        <f>(E122-C122)/C122</f>
        <v>-0.041</v>
      </c>
      <c r="F168" s="234"/>
      <c r="G168" s="240">
        <f>(G122-E122)/E122</f>
        <v>0.223</v>
      </c>
      <c r="H168" s="234"/>
      <c r="I168" s="240">
        <f>(I122-G122)/G122</f>
        <v>-0.23</v>
      </c>
      <c r="K168" s="240">
        <f>(K122-I122)/I122</f>
        <v>0.017</v>
      </c>
      <c r="M168" s="240">
        <f>(M122-K122)/K122</f>
        <v>-0.057</v>
      </c>
      <c r="O168" s="240">
        <f>(O122-M122)/M122</f>
        <v>0.097</v>
      </c>
      <c r="P168" s="240"/>
      <c r="Q168" s="240">
        <f>(Q122-O122)/O122</f>
        <v>-0.337</v>
      </c>
      <c r="S168" s="240">
        <f>(S122-Q122)/Q122</f>
        <v>-0.584</v>
      </c>
      <c r="U168" s="240">
        <f>(U122-S122)/S122</f>
        <v>-0.673</v>
      </c>
    </row>
    <row r="169" spans="3:21" ht="11.25" customHeight="1">
      <c r="C169" s="240"/>
      <c r="D169" s="240"/>
      <c r="E169" s="240"/>
      <c r="F169" s="234"/>
      <c r="G169" s="240"/>
      <c r="H169" s="234"/>
      <c r="I169" s="240"/>
      <c r="K169" s="240"/>
      <c r="M169" s="240"/>
      <c r="O169" s="240"/>
      <c r="P169" s="240"/>
      <c r="Q169" s="240"/>
      <c r="S169" s="240"/>
      <c r="U169" s="240"/>
    </row>
    <row r="170" spans="1:21" ht="11.25" customHeight="1">
      <c r="A170" s="118" t="s">
        <v>7</v>
      </c>
      <c r="C170" s="240">
        <v>-0.363</v>
      </c>
      <c r="D170" s="240"/>
      <c r="E170" s="240">
        <f>(E124-C124)/C124</f>
        <v>0.267</v>
      </c>
      <c r="F170" s="234"/>
      <c r="G170" s="240">
        <f>(G124-E124)/E124</f>
        <v>0.221</v>
      </c>
      <c r="H170" s="234"/>
      <c r="I170" s="240">
        <f>(I124-G124)/G124</f>
        <v>-0.198</v>
      </c>
      <c r="K170" s="240">
        <f>(K124-I124)/I124</f>
        <v>-0.3</v>
      </c>
      <c r="M170" s="240">
        <f>(M124-K124)/K124</f>
        <v>-0.157</v>
      </c>
      <c r="O170" s="240">
        <f>(O124-M124)/M124</f>
        <v>0.217</v>
      </c>
      <c r="P170" s="240"/>
      <c r="Q170" s="240">
        <f>(Q124-O124)/O124</f>
        <v>-0.009</v>
      </c>
      <c r="S170" s="240">
        <f>(S124-Q124)/Q124</f>
        <v>-0.216</v>
      </c>
      <c r="U170" s="240">
        <f>(U124-S124)/S124</f>
        <v>-0.746</v>
      </c>
    </row>
    <row r="171" spans="3:34" ht="11.25" customHeight="1">
      <c r="C171" s="240"/>
      <c r="D171" s="241"/>
      <c r="E171" s="240"/>
      <c r="F171" s="242"/>
      <c r="G171" s="240"/>
      <c r="H171" s="242"/>
      <c r="I171" s="240"/>
      <c r="J171" s="29"/>
      <c r="K171" s="240"/>
      <c r="L171" s="29"/>
      <c r="M171" s="240"/>
      <c r="N171" s="29"/>
      <c r="O171" s="240"/>
      <c r="P171" s="240"/>
      <c r="Q171" s="240"/>
      <c r="R171" s="29"/>
      <c r="S171" s="240"/>
      <c r="T171" s="29"/>
      <c r="U171" s="240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</row>
    <row r="172" spans="1:34" ht="11.25" customHeight="1">
      <c r="A172" s="118" t="s">
        <v>8</v>
      </c>
      <c r="C172" s="240">
        <v>0.372</v>
      </c>
      <c r="D172" s="241"/>
      <c r="E172" s="240">
        <f>(E126-C126)/C126</f>
        <v>-0.057</v>
      </c>
      <c r="F172" s="243" t="s">
        <v>10</v>
      </c>
      <c r="G172" s="240">
        <f>(G126-E126)/E126</f>
        <v>0.098</v>
      </c>
      <c r="H172" s="242"/>
      <c r="I172" s="240">
        <f>(I126-G126)/G126</f>
        <v>-0.168</v>
      </c>
      <c r="J172" s="29"/>
      <c r="K172" s="240">
        <f>(K126-I126)/I126</f>
        <v>-0.093</v>
      </c>
      <c r="L172" s="29"/>
      <c r="M172" s="240">
        <f>(M126-K126)/K126</f>
        <v>-0.008</v>
      </c>
      <c r="N172" s="29"/>
      <c r="O172" s="240">
        <f>(O126-M126)/M126</f>
        <v>0.087</v>
      </c>
      <c r="P172" s="240"/>
      <c r="Q172" s="240">
        <f>(Q126-O126)/O126</f>
        <v>-0.032</v>
      </c>
      <c r="R172" s="29"/>
      <c r="S172" s="240">
        <f>(S126-Q126)/Q126</f>
        <v>-0.167</v>
      </c>
      <c r="T172" s="29"/>
      <c r="U172" s="240">
        <f>(U126-S126)/S126</f>
        <v>-0.146</v>
      </c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</row>
    <row r="173" spans="3:34" ht="11.25" customHeight="1">
      <c r="C173" s="240"/>
      <c r="D173" s="244"/>
      <c r="E173" s="240"/>
      <c r="F173" s="242"/>
      <c r="G173" s="240"/>
      <c r="H173" s="242"/>
      <c r="I173" s="240"/>
      <c r="J173" s="29"/>
      <c r="K173" s="240"/>
      <c r="L173" s="29"/>
      <c r="M173" s="240"/>
      <c r="N173" s="29"/>
      <c r="O173" s="240"/>
      <c r="P173" s="240"/>
      <c r="Q173" s="240"/>
      <c r="R173" s="29"/>
      <c r="S173" s="240"/>
      <c r="T173" s="29"/>
      <c r="U173" s="240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</row>
    <row r="174" spans="1:34" ht="11.25" customHeight="1">
      <c r="A174" s="118" t="s">
        <v>17</v>
      </c>
      <c r="C174" s="240">
        <v>0.104</v>
      </c>
      <c r="D174" s="241"/>
      <c r="E174" s="240">
        <f>(E128-C128)/C128</f>
        <v>0.009</v>
      </c>
      <c r="F174" s="245"/>
      <c r="G174" s="240">
        <f>(G128-E128)/E128</f>
        <v>0.095</v>
      </c>
      <c r="H174" s="242"/>
      <c r="I174" s="240">
        <f>(I128-G128)/G128</f>
        <v>-0.034</v>
      </c>
      <c r="J174" s="29"/>
      <c r="K174" s="240">
        <f>(K128-I128)/I128</f>
        <v>0.057</v>
      </c>
      <c r="L174" s="29"/>
      <c r="M174" s="240">
        <f>(M128-K128)/K128</f>
        <v>0.059</v>
      </c>
      <c r="N174" s="29"/>
      <c r="O174" s="240">
        <f>(O128-M128)/M128</f>
        <v>0.064</v>
      </c>
      <c r="P174" s="240"/>
      <c r="Q174" s="240">
        <f>(Q128-O128)/O128</f>
        <v>-0.096</v>
      </c>
      <c r="R174" s="29"/>
      <c r="S174" s="240">
        <f>(S128-Q128)/Q128</f>
        <v>-0.246</v>
      </c>
      <c r="T174" s="29"/>
      <c r="U174" s="240">
        <f>(U128-S128)/S128</f>
        <v>-0.224</v>
      </c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</row>
    <row r="175" spans="3:34" ht="11.25" customHeight="1">
      <c r="C175" s="143"/>
      <c r="D175" s="140"/>
      <c r="E175" s="143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</row>
    <row r="176" spans="1:34" ht="12" customHeight="1">
      <c r="A176" s="138" t="s">
        <v>76</v>
      </c>
      <c r="C176" s="143"/>
      <c r="D176" s="140"/>
      <c r="E176" s="143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</row>
    <row r="177" spans="1:34" ht="12" customHeight="1">
      <c r="A177" s="118" t="s">
        <v>46</v>
      </c>
      <c r="C177" s="143"/>
      <c r="D177" s="140"/>
      <c r="E177" s="143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</row>
    <row r="178" spans="1:5" ht="12" customHeight="1">
      <c r="A178" s="52" t="s">
        <v>52</v>
      </c>
      <c r="C178" s="126"/>
      <c r="E178" s="126"/>
    </row>
    <row r="179" spans="1:5" ht="12" customHeight="1">
      <c r="A179" s="55" t="s">
        <v>80</v>
      </c>
      <c r="C179" s="126"/>
      <c r="E179" s="126"/>
    </row>
    <row r="180" spans="1:5" ht="12" customHeight="1">
      <c r="A180" s="56" t="s">
        <v>87</v>
      </c>
      <c r="C180" s="126"/>
      <c r="E180" s="126"/>
    </row>
    <row r="181" ht="12" customHeight="1">
      <c r="A181" s="56" t="s">
        <v>93</v>
      </c>
    </row>
    <row r="182" ht="12" customHeight="1">
      <c r="A182" s="56"/>
    </row>
    <row r="183" ht="11.25" customHeight="1">
      <c r="A183" s="118" t="s">
        <v>0</v>
      </c>
    </row>
    <row r="184" ht="11.25" customHeight="1">
      <c r="A184" s="129" t="s">
        <v>68</v>
      </c>
    </row>
    <row r="185" spans="1:2" ht="11.25" customHeight="1">
      <c r="A185" s="121" t="str">
        <f>A3</f>
        <v>2000 - 2009</v>
      </c>
      <c r="B185" s="140"/>
    </row>
    <row r="186" spans="1:2" ht="11.25" customHeight="1">
      <c r="A186" s="118"/>
      <c r="B186" s="126"/>
    </row>
    <row r="187" ht="11.25" customHeight="1">
      <c r="A187" s="41"/>
    </row>
    <row r="188" ht="11.25" customHeight="1">
      <c r="A188" s="123"/>
    </row>
    <row r="189" spans="3:21" ht="11.25" customHeight="1">
      <c r="C189" s="124">
        <v>2000</v>
      </c>
      <c r="D189" s="125"/>
      <c r="E189" s="124">
        <v>2001</v>
      </c>
      <c r="G189" s="124" t="s">
        <v>51</v>
      </c>
      <c r="I189" s="124">
        <v>2003</v>
      </c>
      <c r="K189" s="124">
        <v>2004</v>
      </c>
      <c r="M189" s="124">
        <v>2005</v>
      </c>
      <c r="O189" s="46">
        <v>2006</v>
      </c>
      <c r="P189" s="255"/>
      <c r="Q189" s="46">
        <v>2007</v>
      </c>
      <c r="S189" s="46">
        <v>2008</v>
      </c>
      <c r="U189" s="46">
        <v>2009</v>
      </c>
    </row>
    <row r="190" spans="7:11" ht="11.25" customHeight="1">
      <c r="G190" s="120"/>
      <c r="I190" s="120"/>
      <c r="K190" s="120"/>
    </row>
    <row r="191" spans="1:21" ht="11.25" customHeight="1">
      <c r="A191" s="129" t="s">
        <v>83</v>
      </c>
      <c r="C191" s="153">
        <f>C102/C9</f>
        <v>0.203</v>
      </c>
      <c r="D191" s="153"/>
      <c r="E191" s="153">
        <f>E102/E9</f>
        <v>0.196</v>
      </c>
      <c r="G191" s="153">
        <f>G102/G9</f>
        <v>0.223</v>
      </c>
      <c r="I191" s="153">
        <f>I102/I9</f>
        <v>0.215</v>
      </c>
      <c r="K191" s="153">
        <f>K102/K9</f>
        <v>0.179</v>
      </c>
      <c r="M191" s="153">
        <f>M102/M9</f>
        <v>0.109</v>
      </c>
      <c r="O191" s="153">
        <f>O102/O9</f>
        <v>0.176</v>
      </c>
      <c r="P191" s="153"/>
      <c r="Q191" s="153">
        <f>Q102/Q9</f>
        <v>0.118</v>
      </c>
      <c r="S191" s="153">
        <f>S102/S9</f>
        <v>0.016</v>
      </c>
      <c r="U191" s="153">
        <f>U102/U9</f>
        <v>-0.102</v>
      </c>
    </row>
    <row r="192" spans="3:21" ht="11.25" customHeight="1">
      <c r="C192" s="153"/>
      <c r="D192" s="153"/>
      <c r="E192" s="153"/>
      <c r="G192" s="153"/>
      <c r="I192" s="153"/>
      <c r="K192" s="153"/>
      <c r="M192" s="153"/>
      <c r="O192" s="153"/>
      <c r="P192" s="153"/>
      <c r="Q192" s="153"/>
      <c r="S192" s="153"/>
      <c r="U192" s="153"/>
    </row>
    <row r="193" spans="1:21" ht="11.25" customHeight="1">
      <c r="A193" s="118" t="s">
        <v>53</v>
      </c>
      <c r="C193" s="153">
        <f>C104/C11</f>
        <v>0.309</v>
      </c>
      <c r="D193" s="153"/>
      <c r="E193" s="153">
        <f>E104/E11</f>
        <v>0.3</v>
      </c>
      <c r="G193" s="153">
        <f>G104/G11</f>
        <v>0.331</v>
      </c>
      <c r="I193" s="153">
        <f>I104/I11</f>
        <v>0.268</v>
      </c>
      <c r="K193" s="153">
        <f>K104/K11</f>
        <v>0.268</v>
      </c>
      <c r="M193" s="153">
        <f>M104/M11</f>
        <v>0.257</v>
      </c>
      <c r="O193" s="153">
        <f>O104/O11</f>
        <v>0.302</v>
      </c>
      <c r="P193" s="153"/>
      <c r="Q193" s="153">
        <f>Q104/Q11</f>
        <v>0.259</v>
      </c>
      <c r="S193" s="153">
        <f>S104/S11</f>
        <v>0.236</v>
      </c>
      <c r="U193" s="153">
        <f>U104/U11</f>
        <v>0.222</v>
      </c>
    </row>
    <row r="194" spans="1:21" ht="11.25" customHeight="1">
      <c r="A194" s="118"/>
      <c r="C194" s="153"/>
      <c r="D194" s="153"/>
      <c r="E194" s="153"/>
      <c r="G194" s="153"/>
      <c r="I194" s="153"/>
      <c r="K194" s="153"/>
      <c r="M194" s="153"/>
      <c r="O194" s="153"/>
      <c r="P194" s="153"/>
      <c r="Q194" s="153"/>
      <c r="S194" s="153"/>
      <c r="U194" s="153"/>
    </row>
    <row r="195" spans="1:21" ht="11.25" customHeight="1">
      <c r="A195" s="118" t="s">
        <v>86</v>
      </c>
      <c r="C195" s="87" t="s">
        <v>85</v>
      </c>
      <c r="D195" s="153"/>
      <c r="E195" s="87" t="s">
        <v>85</v>
      </c>
      <c r="G195" s="87" t="s">
        <v>85</v>
      </c>
      <c r="I195" s="153">
        <f>I106/I13</f>
        <v>0.232</v>
      </c>
      <c r="K195" s="153">
        <f>K106/K13</f>
        <v>0.33</v>
      </c>
      <c r="M195" s="153">
        <f>M106/M13</f>
        <v>0.336</v>
      </c>
      <c r="O195" s="153">
        <f>O106/O13</f>
        <v>0.307</v>
      </c>
      <c r="P195" s="153"/>
      <c r="Q195" s="153">
        <f>Q106/Q13</f>
        <v>0.292</v>
      </c>
      <c r="S195" s="153">
        <f>S106/S13</f>
        <v>0.242</v>
      </c>
      <c r="U195" s="153">
        <f>U106/U13</f>
        <v>0.263</v>
      </c>
    </row>
    <row r="196" spans="3:21" ht="11.25" customHeight="1">
      <c r="C196" s="153"/>
      <c r="D196" s="153"/>
      <c r="E196" s="153"/>
      <c r="G196" s="153"/>
      <c r="I196" s="153"/>
      <c r="K196" s="153"/>
      <c r="M196" s="153"/>
      <c r="O196" s="153"/>
      <c r="P196" s="153"/>
      <c r="Q196" s="153"/>
      <c r="S196" s="153"/>
      <c r="U196" s="153"/>
    </row>
    <row r="197" spans="1:21" ht="11.25" customHeight="1">
      <c r="A197" s="118" t="s">
        <v>2</v>
      </c>
      <c r="C197" s="153">
        <f>C108/C15</f>
        <v>0.299</v>
      </c>
      <c r="D197" s="153"/>
      <c r="E197" s="153">
        <f>E108/E15</f>
        <v>0.294</v>
      </c>
      <c r="G197" s="153">
        <f>G108/G15</f>
        <v>0.329</v>
      </c>
      <c r="I197" s="153">
        <f>I108/I15</f>
        <v>0.325</v>
      </c>
      <c r="K197" s="153">
        <f>K108/K15</f>
        <v>0.307</v>
      </c>
      <c r="M197" s="153">
        <f>M108/M15</f>
        <v>0.319</v>
      </c>
      <c r="O197" s="153">
        <f>O108/O15</f>
        <v>0.334</v>
      </c>
      <c r="P197" s="153"/>
      <c r="Q197" s="153">
        <f>Q108/Q15</f>
        <v>0.334</v>
      </c>
      <c r="S197" s="153">
        <f>S108/S15</f>
        <v>0.296</v>
      </c>
      <c r="U197" s="153">
        <f>U108/U15</f>
        <v>0.255</v>
      </c>
    </row>
    <row r="198" spans="3:21" ht="11.25" customHeight="1">
      <c r="C198" s="153"/>
      <c r="D198" s="153"/>
      <c r="E198" s="153"/>
      <c r="G198" s="153"/>
      <c r="I198" s="153"/>
      <c r="K198" s="153"/>
      <c r="M198" s="153"/>
      <c r="O198" s="153"/>
      <c r="P198" s="153"/>
      <c r="Q198" s="153"/>
      <c r="S198" s="153"/>
      <c r="U198" s="153"/>
    </row>
    <row r="199" spans="1:21" ht="11.25" customHeight="1">
      <c r="A199" s="118" t="s">
        <v>54</v>
      </c>
      <c r="C199" s="153">
        <f>C110/C17</f>
        <v>0.136</v>
      </c>
      <c r="D199" s="153"/>
      <c r="E199" s="153">
        <f>E110/E17</f>
        <v>0.082</v>
      </c>
      <c r="G199" s="153">
        <f>G110/G17</f>
        <v>0.108</v>
      </c>
      <c r="I199" s="87" t="s">
        <v>85</v>
      </c>
      <c r="K199" s="87" t="s">
        <v>85</v>
      </c>
      <c r="M199" s="87" t="s">
        <v>85</v>
      </c>
      <c r="O199" s="87" t="s">
        <v>85</v>
      </c>
      <c r="P199" s="87"/>
      <c r="Q199" s="87" t="s">
        <v>85</v>
      </c>
      <c r="S199" s="87" t="s">
        <v>85</v>
      </c>
      <c r="U199" s="87" t="s">
        <v>85</v>
      </c>
    </row>
    <row r="200" spans="3:21" ht="11.25" customHeight="1">
      <c r="C200" s="153"/>
      <c r="D200" s="153"/>
      <c r="E200" s="153"/>
      <c r="G200" s="153"/>
      <c r="I200" s="153"/>
      <c r="K200" s="153"/>
      <c r="M200" s="153"/>
      <c r="O200" s="153"/>
      <c r="P200" s="153"/>
      <c r="Q200" s="153"/>
      <c r="S200" s="153"/>
      <c r="U200" s="153"/>
    </row>
    <row r="201" spans="1:21" ht="11.25" customHeight="1">
      <c r="A201" s="118" t="s">
        <v>3</v>
      </c>
      <c r="C201" s="153">
        <f>C112/C19</f>
        <v>0.345</v>
      </c>
      <c r="D201" s="153"/>
      <c r="E201" s="153">
        <f>E112/E19</f>
        <v>0.368</v>
      </c>
      <c r="G201" s="153">
        <f>G112/G19</f>
        <v>0.424</v>
      </c>
      <c r="I201" s="153">
        <f>I112/I19</f>
        <v>0.417</v>
      </c>
      <c r="K201" s="153">
        <f>K112/K19</f>
        <v>0.385</v>
      </c>
      <c r="M201" s="153">
        <f>M112/M19</f>
        <v>0.395</v>
      </c>
      <c r="O201" s="153">
        <f>O112/O19</f>
        <v>0.382</v>
      </c>
      <c r="P201" s="153"/>
      <c r="Q201" s="153">
        <f>Q112/Q19</f>
        <v>0.335</v>
      </c>
      <c r="S201" s="153">
        <f>S112/S19</f>
        <v>0.306</v>
      </c>
      <c r="U201" s="153">
        <f>U112/U19</f>
        <v>0.301</v>
      </c>
    </row>
    <row r="202" spans="3:21" ht="11.25" customHeight="1">
      <c r="C202" s="153"/>
      <c r="D202" s="153"/>
      <c r="E202" s="153"/>
      <c r="G202" s="153"/>
      <c r="I202" s="153"/>
      <c r="K202" s="153"/>
      <c r="M202" s="153"/>
      <c r="O202" s="153"/>
      <c r="P202" s="153"/>
      <c r="Q202" s="153"/>
      <c r="S202" s="153"/>
      <c r="U202" s="153"/>
    </row>
    <row r="203" spans="1:21" ht="11.25" customHeight="1">
      <c r="A203" s="118" t="s">
        <v>4</v>
      </c>
      <c r="C203" s="153">
        <f>C114/C21</f>
        <v>0.099</v>
      </c>
      <c r="D203" s="153"/>
      <c r="E203" s="153">
        <f>E114/E21</f>
        <v>0.124</v>
      </c>
      <c r="G203" s="153">
        <f>G114/G21</f>
        <v>0.156</v>
      </c>
      <c r="I203" s="153">
        <f>I114/I21</f>
        <v>0.134</v>
      </c>
      <c r="K203" s="153">
        <f>K114/K21</f>
        <v>0.12</v>
      </c>
      <c r="M203" s="153">
        <f>M114/M21</f>
        <v>0.127</v>
      </c>
      <c r="O203" s="153">
        <f>O114/O21</f>
        <v>0.106</v>
      </c>
      <c r="P203" s="153"/>
      <c r="Q203" s="153">
        <f>Q114/Q21</f>
        <v>0.098</v>
      </c>
      <c r="S203" s="153">
        <f>S114/S21</f>
        <v>0.013</v>
      </c>
      <c r="U203" s="153">
        <f>U114/U21</f>
        <v>-0.082</v>
      </c>
    </row>
    <row r="204" spans="3:21" ht="11.25" customHeight="1">
      <c r="C204" s="153"/>
      <c r="D204" s="153"/>
      <c r="E204" s="153"/>
      <c r="G204" s="153"/>
      <c r="I204" s="153"/>
      <c r="K204" s="153"/>
      <c r="M204" s="153"/>
      <c r="O204" s="153"/>
      <c r="P204" s="153"/>
      <c r="Q204" s="153"/>
      <c r="S204" s="153"/>
      <c r="U204" s="153"/>
    </row>
    <row r="205" spans="1:21" ht="11.25" customHeight="1">
      <c r="A205" s="118" t="s">
        <v>94</v>
      </c>
      <c r="C205" s="153">
        <f>C116/C23</f>
        <v>0.088</v>
      </c>
      <c r="D205" s="153"/>
      <c r="E205" s="153">
        <f>E116/E23</f>
        <v>0.078</v>
      </c>
      <c r="G205" s="153">
        <f>G116/G23</f>
        <v>0.109</v>
      </c>
      <c r="I205" s="153">
        <f>I116/I23</f>
        <v>0.075</v>
      </c>
      <c r="K205" s="153">
        <f>K116/K23</f>
        <v>0.108</v>
      </c>
      <c r="M205" s="153">
        <f>M116/M23</f>
        <v>0.072</v>
      </c>
      <c r="O205" s="153">
        <f>O116/O23</f>
        <v>0.006</v>
      </c>
      <c r="P205" s="153"/>
      <c r="Q205" s="87" t="s">
        <v>85</v>
      </c>
      <c r="S205" s="87" t="s">
        <v>85</v>
      </c>
      <c r="U205" s="87" t="s">
        <v>85</v>
      </c>
    </row>
    <row r="206" spans="3:21" ht="11.25" customHeight="1">
      <c r="C206" s="153"/>
      <c r="D206" s="153"/>
      <c r="E206" s="153"/>
      <c r="G206" s="153"/>
      <c r="I206" s="153"/>
      <c r="K206" s="153"/>
      <c r="M206" s="153"/>
      <c r="O206" s="153"/>
      <c r="P206" s="153"/>
      <c r="Q206" s="153"/>
      <c r="S206" s="153"/>
      <c r="U206" s="153"/>
    </row>
    <row r="207" spans="1:21" ht="11.25" customHeight="1">
      <c r="A207" s="118" t="s">
        <v>5</v>
      </c>
      <c r="C207" s="153">
        <f>C118/C25</f>
        <v>0.263</v>
      </c>
      <c r="D207" s="153"/>
      <c r="E207" s="153">
        <f>E118/E25</f>
        <v>0.259</v>
      </c>
      <c r="G207" s="153">
        <f>G118/G25</f>
        <v>0.334</v>
      </c>
      <c r="I207" s="153">
        <f>I118/I25</f>
        <v>0.334</v>
      </c>
      <c r="K207" s="153">
        <f>K118/K25</f>
        <v>0.366</v>
      </c>
      <c r="M207" s="153">
        <f>M118/M25</f>
        <v>0.381</v>
      </c>
      <c r="O207" s="153">
        <f>O118/O25</f>
        <v>0.336</v>
      </c>
      <c r="P207" s="153"/>
      <c r="Q207" s="153">
        <f>Q118/Q25</f>
        <v>0.307</v>
      </c>
      <c r="S207" s="153">
        <f>S118/S25</f>
        <v>0.234</v>
      </c>
      <c r="U207" s="153">
        <f>U118/U25</f>
        <v>0.223</v>
      </c>
    </row>
    <row r="208" spans="3:21" ht="11.25" customHeight="1">
      <c r="C208" s="153"/>
      <c r="D208" s="153"/>
      <c r="E208" s="153"/>
      <c r="G208" s="153"/>
      <c r="I208" s="153"/>
      <c r="K208" s="153"/>
      <c r="M208" s="153"/>
      <c r="O208" s="153"/>
      <c r="P208" s="153"/>
      <c r="Q208" s="153"/>
      <c r="S208" s="153"/>
      <c r="U208" s="153"/>
    </row>
    <row r="209" spans="1:21" ht="11.25" customHeight="1">
      <c r="A209" s="129" t="s">
        <v>6</v>
      </c>
      <c r="C209" s="153">
        <f>C120/C27</f>
        <v>0.241</v>
      </c>
      <c r="D209" s="153"/>
      <c r="E209" s="153">
        <f>E120/E27</f>
        <v>0.266</v>
      </c>
      <c r="G209" s="153">
        <f>G120/G27</f>
        <v>0.28</v>
      </c>
      <c r="I209" s="153">
        <f>I120/I27</f>
        <v>0.268</v>
      </c>
      <c r="K209" s="153">
        <f>K120/K27</f>
        <v>0.215</v>
      </c>
      <c r="M209" s="153">
        <f>M120/M27</f>
        <v>0.254</v>
      </c>
      <c r="O209" s="153">
        <f>O120/O27</f>
        <v>0.284</v>
      </c>
      <c r="P209" s="153"/>
      <c r="Q209" s="153">
        <f>Q120/Q27</f>
        <v>0.273</v>
      </c>
      <c r="S209" s="153">
        <f>S120/S27</f>
        <v>0.153</v>
      </c>
      <c r="U209" s="153">
        <f>U120/U27</f>
        <v>0.102</v>
      </c>
    </row>
    <row r="210" spans="3:21" ht="11.25" customHeight="1">
      <c r="C210" s="153"/>
      <c r="D210" s="153"/>
      <c r="E210" s="153"/>
      <c r="G210" s="153"/>
      <c r="I210" s="153"/>
      <c r="K210" s="153"/>
      <c r="M210" s="153"/>
      <c r="O210" s="153"/>
      <c r="P210" s="153"/>
      <c r="Q210" s="153"/>
      <c r="S210" s="153"/>
      <c r="U210" s="153"/>
    </row>
    <row r="211" spans="1:21" ht="11.25" customHeight="1">
      <c r="A211" s="118" t="s">
        <v>24</v>
      </c>
      <c r="C211" s="153">
        <f>C122/C29</f>
        <v>0.198</v>
      </c>
      <c r="D211" s="153"/>
      <c r="E211" s="153">
        <f>E122/E29</f>
        <v>0.191</v>
      </c>
      <c r="G211" s="153">
        <f>G122/G29</f>
        <v>0.251</v>
      </c>
      <c r="I211" s="153">
        <f>I122/I29</f>
        <v>0.209</v>
      </c>
      <c r="K211" s="153">
        <f>K122/K29</f>
        <v>0.214</v>
      </c>
      <c r="M211" s="153">
        <f>M122/M29</f>
        <v>0.208</v>
      </c>
      <c r="O211" s="153">
        <f>O122/O29</f>
        <v>0.225</v>
      </c>
      <c r="P211" s="153"/>
      <c r="Q211" s="153">
        <f>Q122/Q29</f>
        <v>0.158</v>
      </c>
      <c r="S211" s="153">
        <f>S122/S29</f>
        <v>0.078</v>
      </c>
      <c r="U211" s="153">
        <f>U122/U29</f>
        <v>0.032</v>
      </c>
    </row>
    <row r="212" spans="3:21" ht="11.25" customHeight="1">
      <c r="C212" s="153"/>
      <c r="D212" s="153"/>
      <c r="E212" s="153"/>
      <c r="G212" s="153"/>
      <c r="I212" s="153"/>
      <c r="K212" s="153"/>
      <c r="M212" s="153"/>
      <c r="O212" s="153"/>
      <c r="P212" s="153"/>
      <c r="Q212" s="153"/>
      <c r="S212" s="153"/>
      <c r="U212" s="153"/>
    </row>
    <row r="213" spans="1:21" ht="11.25" customHeight="1">
      <c r="A213" s="118" t="s">
        <v>7</v>
      </c>
      <c r="C213" s="153">
        <f>C124/C31</f>
        <v>0.151</v>
      </c>
      <c r="D213" s="153"/>
      <c r="E213" s="153">
        <f>E124/E31</f>
        <v>0.191</v>
      </c>
      <c r="G213" s="153">
        <f>G124/G31</f>
        <v>0.256</v>
      </c>
      <c r="I213" s="153">
        <f>I124/I31</f>
        <v>0.223</v>
      </c>
      <c r="K213" s="153">
        <f>K124/K31</f>
        <v>0.16</v>
      </c>
      <c r="M213" s="153">
        <f>M124/M31</f>
        <v>0.14</v>
      </c>
      <c r="O213" s="153">
        <f>O124/O31</f>
        <v>0.167</v>
      </c>
      <c r="P213" s="153"/>
      <c r="Q213" s="153">
        <f>Q124/Q31</f>
        <v>0.173</v>
      </c>
      <c r="S213" s="153">
        <f>S124/S31</f>
        <v>0.143</v>
      </c>
      <c r="U213" s="153">
        <f>U124/U31</f>
        <v>0.047</v>
      </c>
    </row>
    <row r="214" spans="3:21" ht="11.25" customHeight="1">
      <c r="C214" s="153"/>
      <c r="D214" s="153"/>
      <c r="E214" s="153"/>
      <c r="G214" s="153"/>
      <c r="I214" s="153"/>
      <c r="K214" s="153"/>
      <c r="M214" s="153"/>
      <c r="O214" s="153"/>
      <c r="P214" s="153"/>
      <c r="Q214" s="153"/>
      <c r="S214" s="153"/>
      <c r="U214" s="153"/>
    </row>
    <row r="215" spans="1:49" ht="11.25" customHeight="1">
      <c r="A215" s="118" t="s">
        <v>8</v>
      </c>
      <c r="C215" s="153">
        <f>C126/C33</f>
        <v>0.249</v>
      </c>
      <c r="D215" s="154"/>
      <c r="E215" s="153">
        <f>E126/E33</f>
        <v>0.241</v>
      </c>
      <c r="F215" s="29"/>
      <c r="G215" s="153">
        <f>G126/G33</f>
        <v>0.294</v>
      </c>
      <c r="H215" s="29"/>
      <c r="I215" s="153">
        <f>I126/I33</f>
        <v>0.259</v>
      </c>
      <c r="J215" s="29"/>
      <c r="K215" s="153">
        <f>K126/K33</f>
        <v>0.244</v>
      </c>
      <c r="L215" s="29"/>
      <c r="M215" s="153">
        <f>M126/M33</f>
        <v>0.238</v>
      </c>
      <c r="N215" s="29"/>
      <c r="O215" s="153">
        <f>O126/O33</f>
        <v>0.246</v>
      </c>
      <c r="P215" s="153"/>
      <c r="Q215" s="153">
        <f>Q126/Q33</f>
        <v>0.244</v>
      </c>
      <c r="R215" s="29"/>
      <c r="S215" s="153">
        <f>S126/S33</f>
        <v>0.216</v>
      </c>
      <c r="T215" s="29"/>
      <c r="U215" s="153">
        <f>U126/U33</f>
        <v>0.193</v>
      </c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</row>
    <row r="216" spans="3:49" ht="11.25" customHeight="1">
      <c r="C216" s="153"/>
      <c r="D216" s="140"/>
      <c r="E216" s="153"/>
      <c r="F216" s="29"/>
      <c r="G216" s="153"/>
      <c r="H216" s="29"/>
      <c r="I216" s="153"/>
      <c r="J216" s="29"/>
      <c r="K216" s="153"/>
      <c r="L216" s="29"/>
      <c r="M216" s="153"/>
      <c r="N216" s="29"/>
      <c r="O216" s="153"/>
      <c r="P216" s="153"/>
      <c r="Q216" s="153"/>
      <c r="R216" s="29"/>
      <c r="S216" s="153"/>
      <c r="T216" s="29"/>
      <c r="U216" s="153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</row>
    <row r="217" spans="1:49" ht="11.25" customHeight="1">
      <c r="A217" s="118" t="s">
        <v>17</v>
      </c>
      <c r="C217" s="153">
        <f>C128/C35</f>
        <v>0.236</v>
      </c>
      <c r="D217" s="154"/>
      <c r="E217" s="153">
        <f>E128/E35</f>
        <v>0.239</v>
      </c>
      <c r="F217" s="29"/>
      <c r="G217" s="153">
        <f>G128/G35</f>
        <v>0.285</v>
      </c>
      <c r="H217" s="29"/>
      <c r="I217" s="153">
        <f>I128/I35</f>
        <v>0.267</v>
      </c>
      <c r="J217" s="29"/>
      <c r="K217" s="153">
        <f>K128/K35</f>
        <v>0.264</v>
      </c>
      <c r="L217" s="29"/>
      <c r="M217" s="153">
        <f>M128/M35</f>
        <v>0.266</v>
      </c>
      <c r="N217" s="29"/>
      <c r="O217" s="153">
        <f>O128/O35</f>
        <v>0.273</v>
      </c>
      <c r="P217" s="153"/>
      <c r="Q217" s="153">
        <f>Q128/Q35</f>
        <v>0.259</v>
      </c>
      <c r="R217" s="29"/>
      <c r="S217" s="153">
        <f>S128/S35</f>
        <v>0.21</v>
      </c>
      <c r="T217" s="29"/>
      <c r="U217" s="153">
        <f>U128/U35</f>
        <v>0.188</v>
      </c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</row>
    <row r="218" spans="3:49" ht="11.25" customHeight="1">
      <c r="C218" s="155"/>
      <c r="D218" s="140"/>
      <c r="E218" s="155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</row>
    <row r="219" spans="1:5" ht="19.5" customHeight="1">
      <c r="A219" s="138" t="s">
        <v>75</v>
      </c>
      <c r="C219" s="126"/>
      <c r="E219" s="126"/>
    </row>
    <row r="220" spans="1:5" ht="12" customHeight="1">
      <c r="A220" s="118" t="s">
        <v>56</v>
      </c>
      <c r="C220" s="126"/>
      <c r="E220" s="126"/>
    </row>
    <row r="221" spans="1:5" ht="12" customHeight="1">
      <c r="A221" s="52" t="s">
        <v>52</v>
      </c>
      <c r="C221" s="126"/>
      <c r="E221" s="126"/>
    </row>
    <row r="222" ht="12" customHeight="1">
      <c r="A222" s="118" t="s">
        <v>60</v>
      </c>
    </row>
    <row r="223" ht="12" customHeight="1">
      <c r="A223" s="118" t="s">
        <v>64</v>
      </c>
    </row>
    <row r="224" ht="12" customHeight="1">
      <c r="A224" s="118" t="s">
        <v>67</v>
      </c>
    </row>
    <row r="225" ht="12" customHeight="1">
      <c r="A225" s="120" t="s">
        <v>66</v>
      </c>
    </row>
    <row r="226" ht="12" customHeight="1">
      <c r="A226" s="123" t="s">
        <v>65</v>
      </c>
    </row>
    <row r="227" ht="12" customHeight="1">
      <c r="A227" s="55" t="s">
        <v>84</v>
      </c>
    </row>
    <row r="228" ht="12" customHeight="1">
      <c r="A228" s="56" t="s">
        <v>87</v>
      </c>
    </row>
    <row r="229" ht="11.25" customHeight="1">
      <c r="A229" s="56" t="s">
        <v>95</v>
      </c>
    </row>
    <row r="230" ht="11.25" customHeight="1">
      <c r="A230" s="56"/>
    </row>
    <row r="231" ht="11.25" customHeight="1">
      <c r="A231" s="118" t="s">
        <v>0</v>
      </c>
    </row>
    <row r="232" ht="11.25" customHeight="1">
      <c r="A232" s="118" t="s">
        <v>28</v>
      </c>
    </row>
    <row r="233" spans="1:5" ht="11.25" customHeight="1">
      <c r="A233" s="121" t="str">
        <f>A3</f>
        <v>2000 - 2009</v>
      </c>
      <c r="B233" s="140"/>
      <c r="C233" s="140"/>
      <c r="D233" s="140"/>
      <c r="E233" s="140"/>
    </row>
    <row r="234" spans="1:2" ht="11.25" customHeight="1">
      <c r="A234" s="126"/>
      <c r="B234" s="126"/>
    </row>
    <row r="236" spans="3:21" ht="11.25" customHeight="1">
      <c r="C236" s="124">
        <v>2000</v>
      </c>
      <c r="D236" s="125"/>
      <c r="E236" s="124">
        <v>2001</v>
      </c>
      <c r="G236" s="124" t="s">
        <v>61</v>
      </c>
      <c r="I236" s="124">
        <v>2003</v>
      </c>
      <c r="K236" s="124">
        <v>2004</v>
      </c>
      <c r="M236" s="124">
        <v>2005</v>
      </c>
      <c r="O236" s="46">
        <v>2006</v>
      </c>
      <c r="P236" s="255"/>
      <c r="Q236" s="46">
        <v>2007</v>
      </c>
      <c r="S236" s="46">
        <v>2008</v>
      </c>
      <c r="U236" s="46">
        <v>2009</v>
      </c>
    </row>
    <row r="237" spans="7:11" ht="11.25" customHeight="1">
      <c r="G237" s="120"/>
      <c r="I237" s="120"/>
      <c r="K237" s="120"/>
    </row>
    <row r="238" spans="1:21" ht="11.25" customHeight="1">
      <c r="A238" s="129" t="s">
        <v>81</v>
      </c>
      <c r="C238" s="186">
        <v>4.6</v>
      </c>
      <c r="D238" s="186"/>
      <c r="E238" s="186">
        <f>(E191-C191)*100</f>
        <v>-0.7</v>
      </c>
      <c r="F238" s="33"/>
      <c r="G238" s="251" t="s">
        <v>85</v>
      </c>
      <c r="I238" s="186">
        <f>(I191-G191)*100</f>
        <v>-0.8</v>
      </c>
      <c r="K238" s="186">
        <f>(K191-I191)*100</f>
        <v>-3.6</v>
      </c>
      <c r="M238" s="186">
        <f>(M191-K191)*100</f>
        <v>-7</v>
      </c>
      <c r="O238" s="186">
        <f>(O191-M191)*100</f>
        <v>6.7</v>
      </c>
      <c r="P238" s="186"/>
      <c r="Q238" s="186">
        <f>(Q191-O191)*100</f>
        <v>-5.8</v>
      </c>
      <c r="S238" s="186">
        <f>(S191-Q191)*100</f>
        <v>-10.2</v>
      </c>
      <c r="U238" s="186">
        <f>(U191-S191)*100</f>
        <v>-11.8</v>
      </c>
    </row>
    <row r="239" spans="3:21" ht="11.25" customHeight="1">
      <c r="C239" s="186"/>
      <c r="D239" s="186"/>
      <c r="E239" s="186"/>
      <c r="F239" s="33"/>
      <c r="G239" s="186"/>
      <c r="I239" s="186"/>
      <c r="K239" s="186"/>
      <c r="M239" s="186"/>
      <c r="O239" s="186"/>
      <c r="P239" s="186"/>
      <c r="Q239" s="186"/>
      <c r="S239" s="186"/>
      <c r="U239" s="186"/>
    </row>
    <row r="240" spans="1:21" ht="11.25" customHeight="1">
      <c r="A240" s="118" t="s">
        <v>53</v>
      </c>
      <c r="C240" s="186">
        <v>0.4</v>
      </c>
      <c r="D240" s="186"/>
      <c r="E240" s="186">
        <f>(E193-C193)*100</f>
        <v>-0.9</v>
      </c>
      <c r="F240" s="33"/>
      <c r="G240" s="251" t="s">
        <v>85</v>
      </c>
      <c r="I240" s="186">
        <f>(I193-G193)*100</f>
        <v>-6.3</v>
      </c>
      <c r="K240" s="186">
        <f>(K193-I193)*100</f>
        <v>0</v>
      </c>
      <c r="M240" s="186">
        <f>(M193-K193)*100</f>
        <v>-1.1</v>
      </c>
      <c r="O240" s="186">
        <f>(O193-M193)*100</f>
        <v>4.5</v>
      </c>
      <c r="P240" s="186"/>
      <c r="Q240" s="186">
        <f>(Q193-O193)*100</f>
        <v>-4.3</v>
      </c>
      <c r="S240" s="186">
        <f>(S193-Q193)*100</f>
        <v>-2.3</v>
      </c>
      <c r="U240" s="186">
        <f>(U193-S193)*100</f>
        <v>-1.4</v>
      </c>
    </row>
    <row r="241" spans="1:21" ht="11.25" customHeight="1">
      <c r="A241" s="118"/>
      <c r="C241" s="186"/>
      <c r="D241" s="186"/>
      <c r="E241" s="186"/>
      <c r="F241" s="33"/>
      <c r="G241" s="186"/>
      <c r="I241" s="251"/>
      <c r="K241" s="186"/>
      <c r="M241" s="186"/>
      <c r="O241" s="186"/>
      <c r="P241" s="186"/>
      <c r="Q241" s="186"/>
      <c r="S241" s="186"/>
      <c r="U241" s="186"/>
    </row>
    <row r="242" spans="1:21" ht="11.25" customHeight="1">
      <c r="A242" s="118" t="s">
        <v>86</v>
      </c>
      <c r="C242" s="251" t="s">
        <v>85</v>
      </c>
      <c r="D242" s="186"/>
      <c r="E242" s="251" t="s">
        <v>85</v>
      </c>
      <c r="F242" s="33"/>
      <c r="G242" s="251" t="s">
        <v>85</v>
      </c>
      <c r="I242" s="251" t="s">
        <v>85</v>
      </c>
      <c r="K242" s="251" t="s">
        <v>85</v>
      </c>
      <c r="M242" s="186">
        <f>(M195-K195)*100</f>
        <v>0.6</v>
      </c>
      <c r="O242" s="186">
        <f>(O195-M195)*100</f>
        <v>-2.9</v>
      </c>
      <c r="P242" s="186"/>
      <c r="Q242" s="186">
        <f>(Q195-O195)*100</f>
        <v>-1.5</v>
      </c>
      <c r="S242" s="186">
        <f>(S195-Q195)*100</f>
        <v>-5</v>
      </c>
      <c r="U242" s="186">
        <f>(U195-S195)*100</f>
        <v>2.1</v>
      </c>
    </row>
    <row r="243" spans="3:21" ht="11.25" customHeight="1">
      <c r="C243" s="186"/>
      <c r="D243" s="186"/>
      <c r="E243" s="186"/>
      <c r="F243" s="33"/>
      <c r="G243" s="186"/>
      <c r="I243" s="186"/>
      <c r="K243" s="186"/>
      <c r="M243" s="186"/>
      <c r="O243" s="186"/>
      <c r="P243" s="186"/>
      <c r="Q243" s="186"/>
      <c r="S243" s="186"/>
      <c r="U243" s="186"/>
    </row>
    <row r="244" spans="1:21" ht="11.25" customHeight="1">
      <c r="A244" s="118" t="s">
        <v>2</v>
      </c>
      <c r="C244" s="186">
        <v>2.2</v>
      </c>
      <c r="D244" s="186"/>
      <c r="E244" s="186">
        <f>(E197-C197)*100</f>
        <v>-0.5</v>
      </c>
      <c r="F244" s="33"/>
      <c r="G244" s="251" t="s">
        <v>85</v>
      </c>
      <c r="I244" s="186">
        <f>(I197-G197)*100</f>
        <v>-0.4</v>
      </c>
      <c r="K244" s="186">
        <f>(K197-I197)*100</f>
        <v>-1.8</v>
      </c>
      <c r="M244" s="186">
        <f>(M197-K197)*100</f>
        <v>1.2</v>
      </c>
      <c r="O244" s="186">
        <f>(O197-M197)*100</f>
        <v>1.5</v>
      </c>
      <c r="P244" s="186"/>
      <c r="Q244" s="186">
        <f>(Q197-O197)*100</f>
        <v>0</v>
      </c>
      <c r="S244" s="186">
        <f>(S197-Q197)*100</f>
        <v>-3.8</v>
      </c>
      <c r="U244" s="186">
        <f>(U197-S197)*100</f>
        <v>-4.1</v>
      </c>
    </row>
    <row r="245" spans="3:21" ht="11.25" customHeight="1">
      <c r="C245" s="186"/>
      <c r="D245" s="186"/>
      <c r="E245" s="186"/>
      <c r="F245" s="33"/>
      <c r="G245" s="186"/>
      <c r="I245" s="186"/>
      <c r="K245" s="186"/>
      <c r="M245" s="186"/>
      <c r="O245" s="186"/>
      <c r="P245" s="186"/>
      <c r="Q245" s="186"/>
      <c r="S245" s="186"/>
      <c r="U245" s="186"/>
    </row>
    <row r="246" spans="1:21" ht="11.25" customHeight="1">
      <c r="A246" s="118" t="s">
        <v>54</v>
      </c>
      <c r="C246" s="186">
        <v>1.4</v>
      </c>
      <c r="D246" s="186"/>
      <c r="E246" s="186">
        <f>(E199-C199)*100</f>
        <v>-5.4</v>
      </c>
      <c r="F246" s="33"/>
      <c r="G246" s="251" t="s">
        <v>85</v>
      </c>
      <c r="H246" s="184"/>
      <c r="I246" s="251" t="s">
        <v>85</v>
      </c>
      <c r="J246" s="184"/>
      <c r="K246" s="251" t="s">
        <v>85</v>
      </c>
      <c r="L246" s="184"/>
      <c r="M246" s="251" t="s">
        <v>85</v>
      </c>
      <c r="O246" s="251" t="s">
        <v>85</v>
      </c>
      <c r="P246" s="251"/>
      <c r="Q246" s="251" t="s">
        <v>85</v>
      </c>
      <c r="S246" s="251" t="s">
        <v>85</v>
      </c>
      <c r="U246" s="251" t="s">
        <v>85</v>
      </c>
    </row>
    <row r="247" spans="3:21" ht="11.25" customHeight="1">
      <c r="C247" s="186"/>
      <c r="D247" s="186"/>
      <c r="E247" s="186"/>
      <c r="F247" s="33"/>
      <c r="G247" s="186"/>
      <c r="I247" s="186"/>
      <c r="K247" s="186"/>
      <c r="M247" s="186"/>
      <c r="O247" s="186"/>
      <c r="P247" s="186"/>
      <c r="Q247" s="186"/>
      <c r="S247" s="186"/>
      <c r="U247" s="186"/>
    </row>
    <row r="248" spans="1:21" ht="11.25" customHeight="1">
      <c r="A248" s="118" t="s">
        <v>3</v>
      </c>
      <c r="C248" s="186">
        <v>2.4</v>
      </c>
      <c r="D248" s="186"/>
      <c r="E248" s="186">
        <f>(E201-C201)*100</f>
        <v>2.3</v>
      </c>
      <c r="F248" s="33"/>
      <c r="G248" s="251" t="s">
        <v>85</v>
      </c>
      <c r="I248" s="186">
        <f>(I201-G201)*100</f>
        <v>-0.7</v>
      </c>
      <c r="K248" s="186">
        <f>(K201-I201)*100</f>
        <v>-3.2</v>
      </c>
      <c r="M248" s="186">
        <f>(M201-K201)*100</f>
        <v>1</v>
      </c>
      <c r="O248" s="186">
        <f>(O201-M201)*100</f>
        <v>-1.3</v>
      </c>
      <c r="P248" s="186"/>
      <c r="Q248" s="186">
        <f>(Q201-O201)*100</f>
        <v>-4.7</v>
      </c>
      <c r="S248" s="186">
        <f>(S201-Q201)*100</f>
        <v>-2.9</v>
      </c>
      <c r="U248" s="186">
        <f>(U201-S201)*100</f>
        <v>-0.5</v>
      </c>
    </row>
    <row r="249" spans="3:21" ht="11.25" customHeight="1">
      <c r="C249" s="186"/>
      <c r="D249" s="186"/>
      <c r="E249" s="186"/>
      <c r="F249" s="33"/>
      <c r="G249" s="186"/>
      <c r="I249" s="186"/>
      <c r="K249" s="186"/>
      <c r="M249" s="186"/>
      <c r="O249" s="186"/>
      <c r="P249" s="186"/>
      <c r="Q249" s="186"/>
      <c r="S249" s="186"/>
      <c r="U249" s="186"/>
    </row>
    <row r="250" spans="1:21" ht="11.25" customHeight="1">
      <c r="A250" s="118" t="s">
        <v>4</v>
      </c>
      <c r="C250" s="186">
        <f>9.9-4.4</f>
        <v>5.5</v>
      </c>
      <c r="D250" s="186"/>
      <c r="E250" s="186">
        <f>(E203-C203)*100</f>
        <v>2.5</v>
      </c>
      <c r="F250" s="33"/>
      <c r="G250" s="251" t="s">
        <v>85</v>
      </c>
      <c r="I250" s="186">
        <f>(I203-G203)*100</f>
        <v>-2.2</v>
      </c>
      <c r="K250" s="186">
        <f>(K203-I203)*100</f>
        <v>-1.4</v>
      </c>
      <c r="M250" s="186">
        <f>(M203-K203)*100</f>
        <v>0.7</v>
      </c>
      <c r="O250" s="186">
        <f>(O203-M203)*100</f>
        <v>-2.1</v>
      </c>
      <c r="P250" s="186"/>
      <c r="Q250" s="186">
        <f>(Q203-O203)*100</f>
        <v>-0.8</v>
      </c>
      <c r="S250" s="186">
        <f>(S203-Q203)*100</f>
        <v>-8.5</v>
      </c>
      <c r="U250" s="186">
        <f>(U203-S203)*100</f>
        <v>-9.5</v>
      </c>
    </row>
    <row r="251" spans="3:21" ht="11.25" customHeight="1">
      <c r="C251" s="186"/>
      <c r="D251" s="186"/>
      <c r="E251" s="186"/>
      <c r="F251" s="33"/>
      <c r="G251" s="186"/>
      <c r="I251" s="186"/>
      <c r="K251" s="186"/>
      <c r="M251" s="186"/>
      <c r="O251" s="186"/>
      <c r="P251" s="186"/>
      <c r="Q251" s="186"/>
      <c r="S251" s="186"/>
      <c r="U251" s="186"/>
    </row>
    <row r="252" spans="1:21" ht="11.25" customHeight="1">
      <c r="A252" s="118" t="s">
        <v>91</v>
      </c>
      <c r="C252" s="186">
        <v>0.3</v>
      </c>
      <c r="D252" s="186"/>
      <c r="E252" s="186">
        <f>(E205-C205)*100</f>
        <v>-1</v>
      </c>
      <c r="F252" s="33"/>
      <c r="G252" s="251" t="s">
        <v>85</v>
      </c>
      <c r="I252" s="186">
        <f>(I205-G205)*100</f>
        <v>-3.4</v>
      </c>
      <c r="K252" s="186">
        <f>(K205-I205)*100</f>
        <v>3.3</v>
      </c>
      <c r="M252" s="186">
        <f>(M205-K205)*100</f>
        <v>-3.6</v>
      </c>
      <c r="O252" s="186">
        <f>(O205-M205)*100</f>
        <v>-6.6</v>
      </c>
      <c r="P252" s="186"/>
      <c r="Q252" s="251" t="s">
        <v>85</v>
      </c>
      <c r="S252" s="251" t="s">
        <v>85</v>
      </c>
      <c r="U252" s="251" t="s">
        <v>85</v>
      </c>
    </row>
    <row r="253" spans="3:21" ht="11.25" customHeight="1">
      <c r="C253" s="186"/>
      <c r="D253" s="186"/>
      <c r="E253" s="186"/>
      <c r="F253" s="33"/>
      <c r="G253" s="186"/>
      <c r="I253" s="186"/>
      <c r="K253" s="186"/>
      <c r="M253" s="186"/>
      <c r="O253" s="186"/>
      <c r="P253" s="186"/>
      <c r="Q253" s="186"/>
      <c r="S253" s="186"/>
      <c r="U253" s="186"/>
    </row>
    <row r="254" spans="1:21" ht="11.25" customHeight="1">
      <c r="A254" s="118" t="s">
        <v>5</v>
      </c>
      <c r="C254" s="186">
        <v>-1</v>
      </c>
      <c r="D254" s="186"/>
      <c r="E254" s="186">
        <f>(E207-C207)*100</f>
        <v>-0.4</v>
      </c>
      <c r="F254" s="33"/>
      <c r="G254" s="251" t="s">
        <v>85</v>
      </c>
      <c r="I254" s="186">
        <f>(I207-G207)*100</f>
        <v>0</v>
      </c>
      <c r="K254" s="186">
        <f>(K207-I207)*100</f>
        <v>3.2</v>
      </c>
      <c r="M254" s="186">
        <f>(M207-K207)*100</f>
        <v>1.5</v>
      </c>
      <c r="O254" s="186">
        <f>(O207-M207)*100</f>
        <v>-4.5</v>
      </c>
      <c r="P254" s="186"/>
      <c r="Q254" s="186">
        <f>(Q207-O207)*100</f>
        <v>-2.9</v>
      </c>
      <c r="S254" s="186">
        <f>(S207-Q207)*100</f>
        <v>-7.3</v>
      </c>
      <c r="U254" s="186">
        <f>(U207-S207)*100</f>
        <v>-1.1</v>
      </c>
    </row>
    <row r="255" spans="3:21" ht="11.25" customHeight="1">
      <c r="C255" s="186"/>
      <c r="D255" s="186"/>
      <c r="E255" s="186"/>
      <c r="F255" s="33"/>
      <c r="G255" s="186"/>
      <c r="I255" s="186"/>
      <c r="K255" s="186"/>
      <c r="M255" s="186"/>
      <c r="O255" s="186"/>
      <c r="P255" s="186"/>
      <c r="Q255" s="186"/>
      <c r="S255" s="186"/>
      <c r="U255" s="186"/>
    </row>
    <row r="256" spans="1:21" ht="11.25" customHeight="1">
      <c r="A256" s="129" t="s">
        <v>6</v>
      </c>
      <c r="C256" s="186">
        <v>1</v>
      </c>
      <c r="D256" s="186"/>
      <c r="E256" s="186">
        <f>(E209-C209)*100</f>
        <v>2.5</v>
      </c>
      <c r="F256" s="33"/>
      <c r="G256" s="251" t="s">
        <v>85</v>
      </c>
      <c r="I256" s="186">
        <f>(I209-G209)*100</f>
        <v>-1.2</v>
      </c>
      <c r="K256" s="186">
        <f>(K209-I209)*100</f>
        <v>-5.3</v>
      </c>
      <c r="M256" s="186">
        <f>(M209-K209)*100</f>
        <v>3.9</v>
      </c>
      <c r="O256" s="186">
        <f>(O209-M209)*100</f>
        <v>3</v>
      </c>
      <c r="P256" s="186"/>
      <c r="Q256" s="186">
        <f>(Q209-O209)*100</f>
        <v>-1.1</v>
      </c>
      <c r="S256" s="186">
        <f>(S209-Q209)*100</f>
        <v>-12</v>
      </c>
      <c r="U256" s="186">
        <f>(U209-S209)*100</f>
        <v>-5.1</v>
      </c>
    </row>
    <row r="257" spans="3:21" ht="11.25" customHeight="1">
      <c r="C257" s="186"/>
      <c r="D257" s="186"/>
      <c r="E257" s="186"/>
      <c r="F257" s="33"/>
      <c r="G257" s="186"/>
      <c r="I257" s="186"/>
      <c r="K257" s="186"/>
      <c r="M257" s="186"/>
      <c r="O257" s="186"/>
      <c r="P257" s="186"/>
      <c r="Q257" s="186"/>
      <c r="S257" s="186"/>
      <c r="U257" s="186"/>
    </row>
    <row r="258" spans="1:21" ht="11.25" customHeight="1">
      <c r="A258" s="118" t="s">
        <v>24</v>
      </c>
      <c r="C258" s="186">
        <v>0</v>
      </c>
      <c r="D258" s="186"/>
      <c r="E258" s="186">
        <f>(E211-C211)*100</f>
        <v>-0.7</v>
      </c>
      <c r="F258" s="33"/>
      <c r="G258" s="251" t="s">
        <v>85</v>
      </c>
      <c r="I258" s="186">
        <f>(I211-G211)*100</f>
        <v>-4.2</v>
      </c>
      <c r="K258" s="186">
        <f>(K211-I211)*100</f>
        <v>0.5</v>
      </c>
      <c r="M258" s="186">
        <f>(M211-K211)*100</f>
        <v>-0.6</v>
      </c>
      <c r="O258" s="186">
        <f>(O211-M211)*100</f>
        <v>1.7</v>
      </c>
      <c r="P258" s="186"/>
      <c r="Q258" s="186">
        <f>(Q211-O211)*100</f>
        <v>-6.7</v>
      </c>
      <c r="S258" s="186">
        <f>(S211-Q211)*100</f>
        <v>-8</v>
      </c>
      <c r="U258" s="186">
        <f>(U211-S211)*100</f>
        <v>-4.6</v>
      </c>
    </row>
    <row r="259" spans="3:21" ht="11.25" customHeight="1">
      <c r="C259" s="186"/>
      <c r="D259" s="186"/>
      <c r="E259" s="186"/>
      <c r="F259" s="33"/>
      <c r="G259" s="251" t="s">
        <v>10</v>
      </c>
      <c r="I259" s="186"/>
      <c r="K259" s="186"/>
      <c r="M259" s="186"/>
      <c r="O259" s="186"/>
      <c r="P259" s="186"/>
      <c r="Q259" s="186"/>
      <c r="S259" s="186"/>
      <c r="U259" s="186"/>
    </row>
    <row r="260" spans="1:21" ht="11.25" customHeight="1">
      <c r="A260" s="118" t="s">
        <v>7</v>
      </c>
      <c r="C260" s="186">
        <v>-5.8</v>
      </c>
      <c r="D260" s="186"/>
      <c r="E260" s="186">
        <f>(E213-C213)*100</f>
        <v>4</v>
      </c>
      <c r="F260" s="33"/>
      <c r="G260" s="251" t="s">
        <v>85</v>
      </c>
      <c r="I260" s="186">
        <f>(I213-G213)*100</f>
        <v>-3.3</v>
      </c>
      <c r="K260" s="186">
        <f>(K213-I213)*100</f>
        <v>-6.3</v>
      </c>
      <c r="M260" s="186">
        <f>(M213-K213)*100</f>
        <v>-2</v>
      </c>
      <c r="O260" s="186">
        <f>(O213-M213)*100</f>
        <v>2.7</v>
      </c>
      <c r="P260" s="186"/>
      <c r="Q260" s="186">
        <f>(Q213-O213)*100</f>
        <v>0.6</v>
      </c>
      <c r="S260" s="186">
        <f>(S213-Q213)*100</f>
        <v>-3</v>
      </c>
      <c r="U260" s="186">
        <f>(U213-S213)*100</f>
        <v>-9.6</v>
      </c>
    </row>
    <row r="261" spans="3:21" ht="11.25" customHeight="1">
      <c r="C261" s="186"/>
      <c r="D261" s="186"/>
      <c r="E261" s="186"/>
      <c r="F261" s="33"/>
      <c r="G261" s="186"/>
      <c r="I261" s="186"/>
      <c r="K261" s="186"/>
      <c r="M261" s="186"/>
      <c r="O261" s="186"/>
      <c r="P261" s="186"/>
      <c r="Q261" s="186"/>
      <c r="S261" s="186"/>
      <c r="U261" s="186"/>
    </row>
    <row r="262" spans="1:29" ht="11.25" customHeight="1">
      <c r="A262" s="118" t="s">
        <v>8</v>
      </c>
      <c r="C262" s="186">
        <v>6</v>
      </c>
      <c r="D262" s="246"/>
      <c r="E262" s="186">
        <f>(E215-C215)*100</f>
        <v>-0.8</v>
      </c>
      <c r="F262" s="34"/>
      <c r="G262" s="251" t="s">
        <v>85</v>
      </c>
      <c r="H262" s="29"/>
      <c r="I262" s="186">
        <f>(I215-G215)*100</f>
        <v>-3.5</v>
      </c>
      <c r="J262" s="29"/>
      <c r="K262" s="186">
        <f>(K215-I215)*100</f>
        <v>-1.5</v>
      </c>
      <c r="L262" s="29"/>
      <c r="M262" s="186">
        <f>(M215-K215)*100</f>
        <v>-0.6</v>
      </c>
      <c r="N262" s="29"/>
      <c r="O262" s="186">
        <f>(O215-M215)*100</f>
        <v>0.8</v>
      </c>
      <c r="P262" s="186"/>
      <c r="Q262" s="186">
        <f>(Q215-O215)*100</f>
        <v>-0.2</v>
      </c>
      <c r="R262" s="29"/>
      <c r="S262" s="186">
        <f>(S215-Q215)*100</f>
        <v>-2.8</v>
      </c>
      <c r="T262" s="29"/>
      <c r="U262" s="186">
        <f>(U215-S215)*100</f>
        <v>-2.3</v>
      </c>
      <c r="V262" s="29"/>
      <c r="W262" s="29"/>
      <c r="X262" s="29"/>
      <c r="Y262" s="29"/>
      <c r="Z262" s="29"/>
      <c r="AA262" s="29"/>
      <c r="AB262" s="29"/>
      <c r="AC262" s="29"/>
    </row>
    <row r="263" spans="3:29" ht="11.25" customHeight="1">
      <c r="C263" s="186"/>
      <c r="D263" s="246"/>
      <c r="E263" s="186"/>
      <c r="F263" s="34"/>
      <c r="G263" s="186"/>
      <c r="H263" s="29"/>
      <c r="I263" s="186"/>
      <c r="J263" s="29"/>
      <c r="K263" s="186"/>
      <c r="L263" s="29"/>
      <c r="M263" s="186"/>
      <c r="N263" s="29"/>
      <c r="O263" s="186"/>
      <c r="P263" s="186"/>
      <c r="Q263" s="186"/>
      <c r="R263" s="29"/>
      <c r="S263" s="186"/>
      <c r="T263" s="29"/>
      <c r="U263" s="186"/>
      <c r="V263" s="29"/>
      <c r="W263" s="29"/>
      <c r="X263" s="29"/>
      <c r="Y263" s="29"/>
      <c r="Z263" s="29"/>
      <c r="AA263" s="29"/>
      <c r="AB263" s="29"/>
      <c r="AC263" s="29"/>
    </row>
    <row r="264" spans="1:29" ht="11.25" customHeight="1">
      <c r="A264" s="118" t="s">
        <v>17</v>
      </c>
      <c r="C264" s="186">
        <v>1.6</v>
      </c>
      <c r="D264" s="246"/>
      <c r="E264" s="186">
        <f>(E217-C217)*100</f>
        <v>0.3</v>
      </c>
      <c r="F264" s="34"/>
      <c r="G264" s="251" t="s">
        <v>85</v>
      </c>
      <c r="H264" s="29"/>
      <c r="I264" s="186">
        <f>(I217-G217)*100</f>
        <v>-1.8</v>
      </c>
      <c r="J264" s="29"/>
      <c r="K264" s="186">
        <f>(K217-I217)*100</f>
        <v>-0.3</v>
      </c>
      <c r="L264" s="29"/>
      <c r="M264" s="186">
        <f>(M217-K217)*100</f>
        <v>0.2</v>
      </c>
      <c r="N264" s="29"/>
      <c r="O264" s="186">
        <f>(O217-M217)*100</f>
        <v>0.7</v>
      </c>
      <c r="P264" s="186"/>
      <c r="Q264" s="186">
        <f>(Q217-O217)*100</f>
        <v>-1.4</v>
      </c>
      <c r="R264" s="29"/>
      <c r="S264" s="186">
        <f>(S217-Q217)*100</f>
        <v>-4.9</v>
      </c>
      <c r="T264" s="29"/>
      <c r="U264" s="186">
        <f>(U217-S217)*100</f>
        <v>-2.2</v>
      </c>
      <c r="V264" s="29"/>
      <c r="W264" s="29"/>
      <c r="X264" s="29"/>
      <c r="Y264" s="29"/>
      <c r="Z264" s="29"/>
      <c r="AA264" s="29"/>
      <c r="AB264" s="29"/>
      <c r="AC264" s="29"/>
    </row>
    <row r="265" spans="3:29" ht="11.25" customHeight="1">
      <c r="C265" s="155"/>
      <c r="D265" s="156"/>
      <c r="E265" s="155"/>
      <c r="F265" s="34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</row>
    <row r="266" spans="1:29" ht="11.25" customHeight="1">
      <c r="A266" s="138" t="s">
        <v>75</v>
      </c>
      <c r="C266" s="140"/>
      <c r="D266" s="140"/>
      <c r="E266" s="140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</row>
    <row r="267" ht="11.25" customHeight="1">
      <c r="A267" s="118" t="s">
        <v>56</v>
      </c>
    </row>
    <row r="268" ht="11.25" customHeight="1">
      <c r="A268" s="52" t="s">
        <v>52</v>
      </c>
    </row>
    <row r="269" ht="11.25" customHeight="1">
      <c r="A269" s="118" t="s">
        <v>60</v>
      </c>
    </row>
    <row r="270" ht="11.25" customHeight="1">
      <c r="A270" s="118" t="s">
        <v>64</v>
      </c>
    </row>
    <row r="271" ht="11.25" customHeight="1">
      <c r="A271" s="118" t="s">
        <v>67</v>
      </c>
    </row>
    <row r="272" ht="11.25" customHeight="1">
      <c r="A272" s="120" t="s">
        <v>66</v>
      </c>
    </row>
    <row r="273" ht="11.25" customHeight="1">
      <c r="A273" s="55" t="s">
        <v>82</v>
      </c>
    </row>
    <row r="274" ht="11.25" customHeight="1">
      <c r="A274" s="56" t="s">
        <v>87</v>
      </c>
    </row>
    <row r="275" ht="11.25" customHeight="1">
      <c r="A275" s="56" t="s">
        <v>92</v>
      </c>
    </row>
    <row r="276" ht="11.25" customHeight="1">
      <c r="A276" s="56"/>
    </row>
    <row r="277" ht="11.25" customHeight="1">
      <c r="A277" s="118" t="s">
        <v>0</v>
      </c>
    </row>
    <row r="278" ht="11.25" customHeight="1">
      <c r="A278" s="129" t="s">
        <v>69</v>
      </c>
    </row>
    <row r="279" spans="1:2" ht="11.25" customHeight="1">
      <c r="A279" s="121" t="str">
        <f>A3</f>
        <v>2000 - 2009</v>
      </c>
      <c r="B279" s="140"/>
    </row>
    <row r="280" spans="1:2" ht="11.25" customHeight="1">
      <c r="A280" s="118" t="s">
        <v>1</v>
      </c>
      <c r="B280" s="126"/>
    </row>
    <row r="282" spans="3:21" ht="11.25" customHeight="1">
      <c r="C282" s="124">
        <v>2000</v>
      </c>
      <c r="D282" s="125"/>
      <c r="E282" s="124">
        <v>2001</v>
      </c>
      <c r="G282" s="124" t="s">
        <v>47</v>
      </c>
      <c r="I282" s="124">
        <v>2003</v>
      </c>
      <c r="K282" s="124">
        <v>2004</v>
      </c>
      <c r="M282" s="124">
        <v>2005</v>
      </c>
      <c r="O282" s="46">
        <v>2006</v>
      </c>
      <c r="P282" s="255"/>
      <c r="Q282" s="46">
        <v>2007</v>
      </c>
      <c r="S282" s="46">
        <v>2008</v>
      </c>
      <c r="U282" s="46">
        <v>2009</v>
      </c>
    </row>
    <row r="283" spans="7:11" ht="11.25" customHeight="1">
      <c r="G283" s="120"/>
      <c r="I283" s="120"/>
      <c r="K283" s="120"/>
    </row>
    <row r="284" spans="1:21" ht="11.25" customHeight="1">
      <c r="A284" s="129" t="s">
        <v>83</v>
      </c>
      <c r="C284" s="188">
        <f>C9-C102</f>
        <v>274718</v>
      </c>
      <c r="D284" s="188"/>
      <c r="E284" s="188">
        <f>E9-E102</f>
        <v>280528</v>
      </c>
      <c r="F284" s="189"/>
      <c r="G284" s="188">
        <f>G9-G102</f>
        <v>226745</v>
      </c>
      <c r="H284" s="189"/>
      <c r="I284" s="188">
        <f>I9-I102</f>
        <v>232056</v>
      </c>
      <c r="K284" s="188">
        <f>K9-K102</f>
        <v>230108</v>
      </c>
      <c r="M284" s="188">
        <f>M9-M102</f>
        <v>236114</v>
      </c>
      <c r="O284" s="188">
        <v>242474</v>
      </c>
      <c r="P284" s="188"/>
      <c r="Q284" s="188">
        <v>236133</v>
      </c>
      <c r="S284" s="188">
        <v>213446</v>
      </c>
      <c r="U284" s="188">
        <v>182163</v>
      </c>
    </row>
    <row r="285" spans="3:21" ht="11.25" customHeight="1">
      <c r="C285" s="145"/>
      <c r="D285" s="145"/>
      <c r="E285" s="145"/>
      <c r="G285" s="145"/>
      <c r="I285" s="145"/>
      <c r="K285" s="145"/>
      <c r="M285" s="145"/>
      <c r="O285" s="145"/>
      <c r="P285" s="145"/>
      <c r="Q285" s="145"/>
      <c r="S285" s="145"/>
      <c r="U285" s="145"/>
    </row>
    <row r="286" spans="1:21" ht="11.25" customHeight="1">
      <c r="A286" s="118" t="s">
        <v>53</v>
      </c>
      <c r="C286" s="145">
        <f>C11-C104</f>
        <v>394255</v>
      </c>
      <c r="D286" s="145"/>
      <c r="E286" s="145">
        <f>E11-E104</f>
        <v>399777</v>
      </c>
      <c r="G286" s="145">
        <f>G11-G104</f>
        <v>356510</v>
      </c>
      <c r="I286" s="145">
        <f>I11-I104</f>
        <v>487860</v>
      </c>
      <c r="K286" s="145">
        <f>K11-K104</f>
        <v>462432</v>
      </c>
      <c r="M286" s="145">
        <f>M11-M104</f>
        <v>470712</v>
      </c>
      <c r="O286" s="145">
        <v>459843</v>
      </c>
      <c r="P286" s="145"/>
      <c r="Q286" s="145">
        <v>461436</v>
      </c>
      <c r="S286" s="145">
        <v>419985</v>
      </c>
      <c r="U286" s="145">
        <v>358198</v>
      </c>
    </row>
    <row r="287" spans="3:21" ht="11.25" customHeight="1">
      <c r="C287" s="145"/>
      <c r="D287" s="145"/>
      <c r="E287" s="145"/>
      <c r="G287" s="145"/>
      <c r="I287" s="145"/>
      <c r="K287" s="145"/>
      <c r="M287" s="145"/>
      <c r="O287" s="145"/>
      <c r="P287" s="145"/>
      <c r="Q287" s="145"/>
      <c r="S287" s="145"/>
      <c r="U287" s="145"/>
    </row>
    <row r="288" spans="1:21" ht="11.25" customHeight="1">
      <c r="A288" s="118" t="s">
        <v>86</v>
      </c>
      <c r="C288" s="252" t="s">
        <v>85</v>
      </c>
      <c r="D288" s="145"/>
      <c r="E288" s="252" t="s">
        <v>85</v>
      </c>
      <c r="G288" s="252" t="s">
        <v>85</v>
      </c>
      <c r="I288" s="145">
        <f>I13-I106</f>
        <v>223763</v>
      </c>
      <c r="K288" s="145">
        <f>K13-K106</f>
        <v>452950</v>
      </c>
      <c r="M288" s="145">
        <f>M13-M106</f>
        <v>507616</v>
      </c>
      <c r="O288" s="145">
        <v>563212</v>
      </c>
      <c r="P288" s="145"/>
      <c r="Q288" s="145">
        <v>593661</v>
      </c>
      <c r="S288" s="145">
        <v>629391</v>
      </c>
      <c r="U288" s="145">
        <v>573023</v>
      </c>
    </row>
    <row r="289" spans="3:21" ht="11.25" customHeight="1">
      <c r="C289" s="145"/>
      <c r="D289" s="145"/>
      <c r="E289" s="145"/>
      <c r="G289" s="145"/>
      <c r="I289" s="145"/>
      <c r="K289" s="145"/>
      <c r="M289" s="145"/>
      <c r="O289" s="145"/>
      <c r="P289" s="145"/>
      <c r="Q289" s="145"/>
      <c r="S289" s="145"/>
      <c r="U289" s="145"/>
    </row>
    <row r="290" spans="1:21" ht="11.25" customHeight="1">
      <c r="A290" s="118" t="s">
        <v>2</v>
      </c>
      <c r="C290" s="145">
        <f>C15-C108</f>
        <v>366003</v>
      </c>
      <c r="D290" s="145"/>
      <c r="E290" s="145">
        <f>E15-E108</f>
        <v>373951</v>
      </c>
      <c r="G290" s="145">
        <f>G15-G108</f>
        <v>346696</v>
      </c>
      <c r="I290" s="145">
        <f>I15-I108</f>
        <v>341259</v>
      </c>
      <c r="K290" s="145">
        <f>K15-K108</f>
        <v>336652</v>
      </c>
      <c r="M290" s="145">
        <f>M15-M108</f>
        <v>345485</v>
      </c>
      <c r="O290" s="145">
        <v>354722</v>
      </c>
      <c r="P290" s="145"/>
      <c r="Q290" s="145">
        <v>367781</v>
      </c>
      <c r="S290" s="145">
        <v>364695</v>
      </c>
      <c r="U290" s="145">
        <v>319872</v>
      </c>
    </row>
    <row r="291" spans="3:21" ht="11.25" customHeight="1">
      <c r="C291" s="145"/>
      <c r="D291" s="145"/>
      <c r="E291" s="145"/>
      <c r="G291" s="145"/>
      <c r="I291" s="145"/>
      <c r="K291" s="145"/>
      <c r="M291" s="145"/>
      <c r="O291" s="145"/>
      <c r="P291" s="145"/>
      <c r="Q291" s="145"/>
      <c r="S291" s="145"/>
      <c r="U291" s="145"/>
    </row>
    <row r="292" spans="1:21" ht="11.25" customHeight="1">
      <c r="A292" s="118" t="s">
        <v>54</v>
      </c>
      <c r="C292" s="145">
        <f>C17-C110</f>
        <v>150827</v>
      </c>
      <c r="D292" s="145"/>
      <c r="E292" s="145">
        <f>E17-E110</f>
        <v>152980</v>
      </c>
      <c r="G292" s="145">
        <f>G17-G110</f>
        <v>131493</v>
      </c>
      <c r="I292" s="252" t="s">
        <v>85</v>
      </c>
      <c r="K292" s="252" t="s">
        <v>85</v>
      </c>
      <c r="M292" s="252" t="s">
        <v>85</v>
      </c>
      <c r="O292" s="252" t="s">
        <v>85</v>
      </c>
      <c r="P292" s="252"/>
      <c r="Q292" s="252" t="s">
        <v>85</v>
      </c>
      <c r="S292" s="252" t="s">
        <v>85</v>
      </c>
      <c r="U292" s="252" t="s">
        <v>85</v>
      </c>
    </row>
    <row r="293" spans="3:21" ht="11.25" customHeight="1">
      <c r="C293" s="145"/>
      <c r="D293" s="145"/>
      <c r="E293" s="145"/>
      <c r="G293" s="145"/>
      <c r="I293" s="145"/>
      <c r="K293" s="145"/>
      <c r="M293" s="145"/>
      <c r="O293" s="145"/>
      <c r="P293" s="145"/>
      <c r="Q293" s="145"/>
      <c r="S293" s="145"/>
      <c r="U293" s="145"/>
    </row>
    <row r="294" spans="1:21" ht="11.25" customHeight="1">
      <c r="A294" s="118" t="s">
        <v>3</v>
      </c>
      <c r="C294" s="145">
        <f>C19-C112</f>
        <v>280124</v>
      </c>
      <c r="D294" s="145"/>
      <c r="E294" s="145">
        <f>E19-E112</f>
        <v>272989</v>
      </c>
      <c r="G294" s="145">
        <f>G19-G112</f>
        <v>249928</v>
      </c>
      <c r="I294" s="145">
        <f>I19-I112</f>
        <v>251007</v>
      </c>
      <c r="K294" s="145">
        <f>K19-K112</f>
        <v>258669</v>
      </c>
      <c r="M294" s="145">
        <f>M19-M112</f>
        <v>270107</v>
      </c>
      <c r="O294" s="145">
        <v>290569</v>
      </c>
      <c r="P294" s="145"/>
      <c r="Q294" s="145">
        <v>328509</v>
      </c>
      <c r="S294" s="145">
        <v>372046</v>
      </c>
      <c r="U294" s="145">
        <v>345455</v>
      </c>
    </row>
    <row r="295" spans="3:21" ht="11.25" customHeight="1">
      <c r="C295" s="145"/>
      <c r="D295" s="145"/>
      <c r="E295" s="145"/>
      <c r="G295" s="145"/>
      <c r="I295" s="145"/>
      <c r="K295" s="145"/>
      <c r="M295" s="145"/>
      <c r="O295" s="145"/>
      <c r="P295" s="145"/>
      <c r="Q295" s="145"/>
      <c r="S295" s="145"/>
      <c r="U295" s="145"/>
    </row>
    <row r="296" spans="1:21" ht="11.25" customHeight="1">
      <c r="A296" s="118" t="s">
        <v>4</v>
      </c>
      <c r="C296" s="145">
        <f>C21-C114</f>
        <v>230835</v>
      </c>
      <c r="D296" s="145"/>
      <c r="E296" s="145">
        <f>E21-E114</f>
        <v>225700</v>
      </c>
      <c r="G296" s="145">
        <f>G21-G114</f>
        <v>197986</v>
      </c>
      <c r="I296" s="145">
        <f>I21-I114</f>
        <v>185081</v>
      </c>
      <c r="K296" s="145">
        <f>K21-K114</f>
        <v>201862</v>
      </c>
      <c r="M296" s="145">
        <f>M21-M114</f>
        <v>214969</v>
      </c>
      <c r="O296" s="145">
        <v>225646</v>
      </c>
      <c r="P296" s="145"/>
      <c r="Q296" s="145">
        <v>224587</v>
      </c>
      <c r="S296" s="145">
        <v>208684</v>
      </c>
      <c r="U296" s="145">
        <v>174418</v>
      </c>
    </row>
    <row r="297" spans="3:21" ht="11.25" customHeight="1">
      <c r="C297" s="145"/>
      <c r="D297" s="145"/>
      <c r="E297" s="145"/>
      <c r="G297" s="145"/>
      <c r="I297" s="145"/>
      <c r="K297" s="145"/>
      <c r="M297" s="145"/>
      <c r="O297" s="145"/>
      <c r="P297" s="145"/>
      <c r="Q297" s="145"/>
      <c r="S297" s="145"/>
      <c r="U297" s="145"/>
    </row>
    <row r="298" spans="1:21" ht="11.25" customHeight="1">
      <c r="A298" s="118" t="s">
        <v>94</v>
      </c>
      <c r="C298" s="145">
        <f>C23-C116</f>
        <v>225852</v>
      </c>
      <c r="D298" s="145"/>
      <c r="E298" s="145">
        <f>E23-E116</f>
        <v>232281</v>
      </c>
      <c r="G298" s="145">
        <f>G23-G116</f>
        <v>172350</v>
      </c>
      <c r="I298" s="145">
        <f>I23-I116</f>
        <v>157488</v>
      </c>
      <c r="K298" s="145">
        <f>K23-K116</f>
        <v>154590</v>
      </c>
      <c r="M298" s="145">
        <f>M23-M116</f>
        <v>150580</v>
      </c>
      <c r="O298" s="145">
        <v>137583</v>
      </c>
      <c r="P298" s="145"/>
      <c r="Q298" s="252" t="s">
        <v>85</v>
      </c>
      <c r="S298" s="252" t="s">
        <v>85</v>
      </c>
      <c r="U298" s="252" t="s">
        <v>85</v>
      </c>
    </row>
    <row r="299" spans="3:21" ht="11.25" customHeight="1">
      <c r="C299" s="145"/>
      <c r="D299" s="145"/>
      <c r="E299" s="145"/>
      <c r="G299" s="145"/>
      <c r="I299" s="145"/>
      <c r="K299" s="145"/>
      <c r="M299" s="145"/>
      <c r="O299" s="145"/>
      <c r="P299" s="145"/>
      <c r="Q299" s="145"/>
      <c r="S299" s="145"/>
      <c r="U299" s="145"/>
    </row>
    <row r="300" spans="1:21" ht="11.25" customHeight="1">
      <c r="A300" s="118" t="s">
        <v>5</v>
      </c>
      <c r="C300" s="145">
        <f>C25-C118</f>
        <v>269069</v>
      </c>
      <c r="D300" s="145"/>
      <c r="E300" s="145">
        <f>E25-E118</f>
        <v>272433</v>
      </c>
      <c r="G300" s="145">
        <f>G25-G118</f>
        <v>224449</v>
      </c>
      <c r="I300" s="145">
        <f>I25-I118</f>
        <v>229508</v>
      </c>
      <c r="K300" s="145">
        <f>K25-K118</f>
        <v>224960</v>
      </c>
      <c r="M300" s="145">
        <f>M25-M118</f>
        <v>235629</v>
      </c>
      <c r="O300" s="145">
        <v>259773</v>
      </c>
      <c r="P300" s="145"/>
      <c r="Q300" s="145">
        <v>260267</v>
      </c>
      <c r="S300" s="145">
        <v>257312</v>
      </c>
      <c r="U300" s="145">
        <v>220554</v>
      </c>
    </row>
    <row r="301" spans="3:21" ht="11.25" customHeight="1">
      <c r="C301" s="145"/>
      <c r="D301" s="145"/>
      <c r="E301" s="145"/>
      <c r="G301" s="145"/>
      <c r="I301" s="145"/>
      <c r="K301" s="145"/>
      <c r="M301" s="145"/>
      <c r="O301" s="145"/>
      <c r="P301" s="145"/>
      <c r="Q301" s="145"/>
      <c r="S301" s="145"/>
      <c r="U301" s="145"/>
    </row>
    <row r="302" spans="1:21" ht="11.25" customHeight="1">
      <c r="A302" s="129" t="s">
        <v>6</v>
      </c>
      <c r="C302" s="145">
        <f>C27-C120</f>
        <v>355805</v>
      </c>
      <c r="D302" s="145"/>
      <c r="E302" s="145">
        <f>E27-E120</f>
        <v>336893</v>
      </c>
      <c r="G302" s="145">
        <f>G27-G120</f>
        <v>304425</v>
      </c>
      <c r="I302" s="145">
        <f>I27-I120</f>
        <v>288495</v>
      </c>
      <c r="K302" s="145">
        <f>K27-K120</f>
        <v>301446</v>
      </c>
      <c r="M302" s="145">
        <f>M27-M120</f>
        <v>356087</v>
      </c>
      <c r="O302" s="145">
        <v>348784</v>
      </c>
      <c r="P302" s="145"/>
      <c r="Q302" s="145">
        <v>314310</v>
      </c>
      <c r="S302" s="145">
        <v>313709</v>
      </c>
      <c r="U302" s="145">
        <v>288906</v>
      </c>
    </row>
    <row r="303" spans="3:21" ht="11.25" customHeight="1">
      <c r="C303" s="145"/>
      <c r="D303" s="145"/>
      <c r="E303" s="145"/>
      <c r="G303" s="145"/>
      <c r="I303" s="145"/>
      <c r="K303" s="145"/>
      <c r="M303" s="145"/>
      <c r="O303" s="145"/>
      <c r="P303" s="145"/>
      <c r="Q303" s="145"/>
      <c r="S303" s="145"/>
      <c r="U303" s="145"/>
    </row>
    <row r="304" spans="1:21" ht="11.25" customHeight="1">
      <c r="A304" s="118" t="s">
        <v>24</v>
      </c>
      <c r="C304" s="145">
        <f>C29-C122</f>
        <v>234678</v>
      </c>
      <c r="D304" s="145"/>
      <c r="E304" s="145">
        <f>E29-E122</f>
        <v>235212</v>
      </c>
      <c r="G304" s="145">
        <f>G29-G122</f>
        <v>202315</v>
      </c>
      <c r="I304" s="145">
        <f>I29-I122</f>
        <v>198106</v>
      </c>
      <c r="K304" s="145">
        <f>K29-K122</f>
        <v>194924</v>
      </c>
      <c r="M304" s="145">
        <f>M29-M122</f>
        <v>190924</v>
      </c>
      <c r="O304" s="145">
        <v>189682</v>
      </c>
      <c r="P304" s="145"/>
      <c r="Q304" s="145">
        <v>194472</v>
      </c>
      <c r="S304" s="145">
        <v>179345</v>
      </c>
      <c r="U304" s="145">
        <v>150815</v>
      </c>
    </row>
    <row r="305" spans="3:21" ht="11.25" customHeight="1">
      <c r="C305" s="145"/>
      <c r="D305" s="145"/>
      <c r="E305" s="145"/>
      <c r="G305" s="145"/>
      <c r="I305" s="145"/>
      <c r="K305" s="145"/>
      <c r="M305" s="145"/>
      <c r="O305" s="145"/>
      <c r="P305" s="145"/>
      <c r="Q305" s="145"/>
      <c r="S305" s="145"/>
      <c r="U305" s="145"/>
    </row>
    <row r="306" spans="1:21" ht="11.25" customHeight="1">
      <c r="A306" s="118" t="s">
        <v>7</v>
      </c>
      <c r="C306" s="145">
        <f>C31-C124</f>
        <v>293132</v>
      </c>
      <c r="D306" s="145"/>
      <c r="E306" s="145">
        <f>E31-E124</f>
        <v>280940</v>
      </c>
      <c r="G306" s="145">
        <f>G31-G124</f>
        <v>235173</v>
      </c>
      <c r="I306" s="145">
        <f>I31-I124</f>
        <v>226432</v>
      </c>
      <c r="K306" s="145">
        <f>K31-K124</f>
        <v>239263</v>
      </c>
      <c r="M306" s="145">
        <f>M31-M124</f>
        <v>235040</v>
      </c>
      <c r="O306" s="145">
        <v>232174</v>
      </c>
      <c r="P306" s="145"/>
      <c r="Q306" s="145">
        <v>221463</v>
      </c>
      <c r="S306" s="145">
        <v>216513</v>
      </c>
      <c r="U306" s="145">
        <v>187516</v>
      </c>
    </row>
    <row r="307" spans="3:21" ht="11.25" customHeight="1">
      <c r="C307" s="145"/>
      <c r="D307" s="145"/>
      <c r="E307" s="145"/>
      <c r="G307" s="145"/>
      <c r="I307" s="145"/>
      <c r="K307" s="145"/>
      <c r="M307" s="145"/>
      <c r="O307" s="145"/>
      <c r="P307" s="145"/>
      <c r="Q307" s="145"/>
      <c r="S307" s="145"/>
      <c r="U307" s="145"/>
    </row>
    <row r="308" spans="1:21" ht="11.25" customHeight="1">
      <c r="A308" s="118" t="s">
        <v>8</v>
      </c>
      <c r="C308" s="148">
        <f>C33-C126</f>
        <v>441794</v>
      </c>
      <c r="D308" s="147"/>
      <c r="E308" s="148">
        <f>E33-E126</f>
        <v>434256</v>
      </c>
      <c r="F308" s="29"/>
      <c r="G308" s="148">
        <f>G33-G126</f>
        <v>364192</v>
      </c>
      <c r="I308" s="148">
        <f>I33-I126</f>
        <v>361015</v>
      </c>
      <c r="K308" s="148">
        <f>K33-K126</f>
        <v>355451</v>
      </c>
      <c r="M308" s="148">
        <f>M33-M126</f>
        <v>364035</v>
      </c>
      <c r="O308" s="148">
        <v>379090</v>
      </c>
      <c r="P308" s="147"/>
      <c r="Q308" s="148">
        <v>369920</v>
      </c>
      <c r="S308" s="148">
        <v>361045</v>
      </c>
      <c r="U308" s="148">
        <v>354586</v>
      </c>
    </row>
    <row r="309" spans="3:11" ht="11.25" customHeight="1">
      <c r="C309" s="157"/>
      <c r="D309" s="147"/>
      <c r="E309" s="157"/>
      <c r="F309" s="29"/>
      <c r="G309" s="157"/>
      <c r="I309" s="157"/>
      <c r="K309" s="157"/>
    </row>
    <row r="310" spans="1:21" ht="13.5" customHeight="1" thickBot="1">
      <c r="A310" s="118" t="s">
        <v>17</v>
      </c>
      <c r="C310" s="150">
        <f>SUM(C284:C308)</f>
        <v>3517092</v>
      </c>
      <c r="D310" s="151"/>
      <c r="E310" s="150">
        <f>SUM(E284:E308)</f>
        <v>3497940</v>
      </c>
      <c r="F310" s="31"/>
      <c r="G310" s="150">
        <f>SUM(G284:G308)</f>
        <v>3012262</v>
      </c>
      <c r="I310" s="150">
        <f>SUM(I284:I308)</f>
        <v>3182070</v>
      </c>
      <c r="K310" s="150">
        <f>SUM(K284:K308)</f>
        <v>3413307</v>
      </c>
      <c r="M310" s="150">
        <f>SUM(M284:M308)</f>
        <v>3577298</v>
      </c>
      <c r="O310" s="150">
        <f>SUM(O284:O308)</f>
        <v>3683552</v>
      </c>
      <c r="P310" s="151"/>
      <c r="Q310" s="150">
        <f>SUM(Q284:Q308)</f>
        <v>3572539</v>
      </c>
      <c r="S310" s="150">
        <f>SUM(S284:S308)</f>
        <v>3536171</v>
      </c>
      <c r="U310" s="150">
        <f>SUM(U284:U308)</f>
        <v>3155506</v>
      </c>
    </row>
    <row r="311" spans="3:6" ht="11.25" customHeight="1" thickTop="1">
      <c r="C311" s="126"/>
      <c r="E311" s="126"/>
      <c r="F311" s="29"/>
    </row>
    <row r="312" ht="11.25" customHeight="1">
      <c r="A312" s="138" t="s">
        <v>75</v>
      </c>
    </row>
    <row r="313" ht="11.25" customHeight="1">
      <c r="A313" s="118" t="s">
        <v>56</v>
      </c>
    </row>
    <row r="314" ht="11.25" customHeight="1">
      <c r="A314" s="52" t="s">
        <v>52</v>
      </c>
    </row>
    <row r="315" spans="1:6" ht="11.25" customHeight="1">
      <c r="A315" s="118" t="s">
        <v>60</v>
      </c>
      <c r="F315" s="27"/>
    </row>
    <row r="316" ht="11.25" customHeight="1">
      <c r="A316" s="118" t="s">
        <v>64</v>
      </c>
    </row>
    <row r="317" ht="11.25" customHeight="1">
      <c r="A317" s="118" t="s">
        <v>67</v>
      </c>
    </row>
    <row r="318" ht="11.25" customHeight="1">
      <c r="A318" s="120" t="s">
        <v>66</v>
      </c>
    </row>
    <row r="319" ht="11.25" customHeight="1">
      <c r="A319" s="123" t="s">
        <v>70</v>
      </c>
    </row>
    <row r="320" ht="11.25" customHeight="1">
      <c r="A320" s="138" t="s">
        <v>71</v>
      </c>
    </row>
    <row r="321" ht="11.25" customHeight="1">
      <c r="A321" s="55" t="s">
        <v>84</v>
      </c>
    </row>
    <row r="322" ht="11.25" customHeight="1">
      <c r="A322" s="56" t="s">
        <v>87</v>
      </c>
    </row>
    <row r="323" ht="11.25" customHeight="1">
      <c r="A323" s="56" t="s">
        <v>95</v>
      </c>
    </row>
    <row r="324" ht="11.25" customHeight="1">
      <c r="A324" s="56"/>
    </row>
    <row r="325" ht="11.25" customHeight="1">
      <c r="A325" s="118" t="s">
        <v>0</v>
      </c>
    </row>
    <row r="326" ht="11.25" customHeight="1">
      <c r="A326" s="129" t="s">
        <v>29</v>
      </c>
    </row>
    <row r="327" spans="1:2" ht="11.25" customHeight="1">
      <c r="A327" s="121" t="str">
        <f>A3</f>
        <v>2000 - 2009</v>
      </c>
      <c r="B327" s="140"/>
    </row>
    <row r="328" spans="1:2" ht="11.25" customHeight="1">
      <c r="A328" s="118"/>
      <c r="B328" s="126"/>
    </row>
    <row r="330" spans="3:21" ht="11.25" customHeight="1">
      <c r="C330" s="124">
        <v>2000</v>
      </c>
      <c r="D330" s="125"/>
      <c r="E330" s="124">
        <v>2001</v>
      </c>
      <c r="G330" s="124" t="s">
        <v>61</v>
      </c>
      <c r="I330" s="124">
        <v>2003</v>
      </c>
      <c r="K330" s="124">
        <v>2004</v>
      </c>
      <c r="M330" s="124">
        <v>2005</v>
      </c>
      <c r="O330" s="46">
        <v>2006</v>
      </c>
      <c r="P330" s="255"/>
      <c r="Q330" s="46">
        <v>2007</v>
      </c>
      <c r="S330" s="46">
        <v>2008</v>
      </c>
      <c r="U330" s="46">
        <v>2009</v>
      </c>
    </row>
    <row r="331" spans="7:11" ht="11.25" customHeight="1">
      <c r="G331" s="120"/>
      <c r="I331" s="120"/>
      <c r="K331" s="120"/>
    </row>
    <row r="332" spans="1:21" ht="11.25" customHeight="1">
      <c r="A332" s="129" t="s">
        <v>81</v>
      </c>
      <c r="C332" s="240">
        <v>0.037</v>
      </c>
      <c r="D332" s="240"/>
      <c r="E332" s="240">
        <f>(E284-C284)/C284</f>
        <v>0.021</v>
      </c>
      <c r="F332" s="234"/>
      <c r="G332" s="232" t="s">
        <v>85</v>
      </c>
      <c r="H332" s="234"/>
      <c r="I332" s="240">
        <f>(I284-G284)/G284</f>
        <v>0.023</v>
      </c>
      <c r="K332" s="240">
        <f>(K284-I284)/I284</f>
        <v>-0.008</v>
      </c>
      <c r="M332" s="240">
        <f>(M284-K284)/K284</f>
        <v>0.026</v>
      </c>
      <c r="O332" s="240">
        <f>(O284-M284)/M284</f>
        <v>0.027</v>
      </c>
      <c r="P332" s="240"/>
      <c r="Q332" s="240">
        <f>(Q284-O284)/O284</f>
        <v>-0.026</v>
      </c>
      <c r="S332" s="240">
        <f>(S284-Q284)/Q284</f>
        <v>-0.096</v>
      </c>
      <c r="U332" s="240">
        <f>(U284-S284)/S284</f>
        <v>-0.147</v>
      </c>
    </row>
    <row r="333" spans="3:21" ht="11.25" customHeight="1">
      <c r="C333" s="240"/>
      <c r="D333" s="240"/>
      <c r="E333" s="240"/>
      <c r="F333" s="234"/>
      <c r="G333" s="240"/>
      <c r="H333" s="234"/>
      <c r="I333" s="240"/>
      <c r="K333" s="240"/>
      <c r="M333" s="240"/>
      <c r="O333" s="240"/>
      <c r="P333" s="240"/>
      <c r="Q333" s="240"/>
      <c r="S333" s="240"/>
      <c r="U333" s="240"/>
    </row>
    <row r="334" spans="1:21" ht="11.25" customHeight="1">
      <c r="A334" s="118" t="s">
        <v>53</v>
      </c>
      <c r="C334" s="240">
        <v>0.04</v>
      </c>
      <c r="D334" s="240"/>
      <c r="E334" s="240">
        <f>(E286-C286)/C286</f>
        <v>0.014</v>
      </c>
      <c r="F334" s="234"/>
      <c r="G334" s="232" t="s">
        <v>85</v>
      </c>
      <c r="H334" s="234"/>
      <c r="I334" s="240">
        <f>(I286-G286)/G286</f>
        <v>0.368</v>
      </c>
      <c r="K334" s="240">
        <f>(K286-I286)/I286</f>
        <v>-0.052</v>
      </c>
      <c r="M334" s="240">
        <f>(M286-K286)/K286</f>
        <v>0.018</v>
      </c>
      <c r="O334" s="240">
        <f>(O286-M286)/M286</f>
        <v>-0.023</v>
      </c>
      <c r="P334" s="240"/>
      <c r="Q334" s="240">
        <f>(Q286-O286)/O286</f>
        <v>0.003</v>
      </c>
      <c r="S334" s="240">
        <f>(S286-Q286)/Q286</f>
        <v>-0.09</v>
      </c>
      <c r="U334" s="240">
        <f>(U286-S286)/S286</f>
        <v>-0.147</v>
      </c>
    </row>
    <row r="335" spans="3:21" ht="11.25" customHeight="1">
      <c r="C335" s="240"/>
      <c r="D335" s="240"/>
      <c r="E335" s="240"/>
      <c r="F335" s="234"/>
      <c r="G335" s="240"/>
      <c r="H335" s="234"/>
      <c r="I335" s="240"/>
      <c r="K335" s="240"/>
      <c r="M335" s="240"/>
      <c r="O335" s="240"/>
      <c r="P335" s="240"/>
      <c r="Q335" s="240"/>
      <c r="S335" s="240"/>
      <c r="U335" s="240"/>
    </row>
    <row r="336" spans="1:21" ht="11.25" customHeight="1">
      <c r="A336" s="118" t="s">
        <v>86</v>
      </c>
      <c r="C336" s="232" t="s">
        <v>85</v>
      </c>
      <c r="D336" s="240"/>
      <c r="E336" s="232" t="s">
        <v>85</v>
      </c>
      <c r="F336" s="234"/>
      <c r="G336" s="232" t="s">
        <v>85</v>
      </c>
      <c r="H336" s="234"/>
      <c r="I336" s="232" t="s">
        <v>74</v>
      </c>
      <c r="K336" s="232" t="s">
        <v>74</v>
      </c>
      <c r="M336" s="240">
        <f>(M288-K288)/K288</f>
        <v>0.121</v>
      </c>
      <c r="O336" s="240">
        <f>(O288-M288)/M288</f>
        <v>0.11</v>
      </c>
      <c r="P336" s="240"/>
      <c r="Q336" s="240">
        <f>(Q288-O288)/O288</f>
        <v>0.054</v>
      </c>
      <c r="S336" s="240">
        <f>(S288-Q288)/Q288</f>
        <v>0.06</v>
      </c>
      <c r="U336" s="240">
        <f>(U288-S288)/S288</f>
        <v>-0.09</v>
      </c>
    </row>
    <row r="337" spans="3:21" ht="11.25" customHeight="1">
      <c r="C337" s="240"/>
      <c r="D337" s="240"/>
      <c r="E337" s="240"/>
      <c r="F337" s="234"/>
      <c r="G337" s="240"/>
      <c r="H337" s="234"/>
      <c r="I337" s="240"/>
      <c r="K337" s="240"/>
      <c r="M337" s="240"/>
      <c r="O337" s="240"/>
      <c r="P337" s="240"/>
      <c r="Q337" s="240"/>
      <c r="S337" s="240"/>
      <c r="U337" s="240"/>
    </row>
    <row r="338" spans="1:21" ht="11.25" customHeight="1">
      <c r="A338" s="118" t="s">
        <v>2</v>
      </c>
      <c r="C338" s="240">
        <v>0.026</v>
      </c>
      <c r="D338" s="240"/>
      <c r="E338" s="240">
        <f>(E290-C290)/C290</f>
        <v>0.022</v>
      </c>
      <c r="F338" s="234"/>
      <c r="G338" s="232" t="s">
        <v>85</v>
      </c>
      <c r="H338" s="234"/>
      <c r="I338" s="240">
        <f>(I290-G290)/G290</f>
        <v>-0.016</v>
      </c>
      <c r="K338" s="240">
        <f>(K290-I290)/I290</f>
        <v>-0.014</v>
      </c>
      <c r="M338" s="240">
        <f>(M290-K290)/K290</f>
        <v>0.026</v>
      </c>
      <c r="O338" s="240">
        <f>(O290-M290)/M290</f>
        <v>0.027</v>
      </c>
      <c r="P338" s="240"/>
      <c r="Q338" s="240">
        <f>(Q290-O290)/O290</f>
        <v>0.037</v>
      </c>
      <c r="S338" s="240">
        <f>(S290-Q290)/Q290</f>
        <v>-0.008</v>
      </c>
      <c r="U338" s="240">
        <f>(U290-S290)/S290</f>
        <v>-0.123</v>
      </c>
    </row>
    <row r="339" spans="3:21" ht="11.25" customHeight="1">
      <c r="C339" s="240"/>
      <c r="D339" s="240"/>
      <c r="E339" s="240"/>
      <c r="F339" s="234"/>
      <c r="G339" s="240"/>
      <c r="H339" s="234"/>
      <c r="I339" s="240"/>
      <c r="K339" s="240"/>
      <c r="M339" s="240"/>
      <c r="O339" s="240"/>
      <c r="P339" s="240"/>
      <c r="Q339" s="240"/>
      <c r="S339" s="240"/>
      <c r="U339" s="240"/>
    </row>
    <row r="340" spans="1:21" ht="11.25" customHeight="1">
      <c r="A340" s="118" t="s">
        <v>54</v>
      </c>
      <c r="C340" s="240">
        <v>-0.011</v>
      </c>
      <c r="D340" s="240"/>
      <c r="E340" s="240">
        <f>(E292-C292)/C292</f>
        <v>0.014</v>
      </c>
      <c r="F340" s="234"/>
      <c r="G340" s="232" t="s">
        <v>85</v>
      </c>
      <c r="H340" s="234"/>
      <c r="I340" s="232" t="s">
        <v>85</v>
      </c>
      <c r="K340" s="232" t="s">
        <v>85</v>
      </c>
      <c r="M340" s="232" t="s">
        <v>85</v>
      </c>
      <c r="O340" s="232" t="s">
        <v>85</v>
      </c>
      <c r="P340" s="232"/>
      <c r="Q340" s="232" t="s">
        <v>85</v>
      </c>
      <c r="S340" s="232" t="s">
        <v>85</v>
      </c>
      <c r="U340" s="232" t="s">
        <v>85</v>
      </c>
    </row>
    <row r="341" spans="3:21" ht="11.25" customHeight="1">
      <c r="C341" s="240"/>
      <c r="D341" s="240"/>
      <c r="E341" s="240"/>
      <c r="F341" s="234"/>
      <c r="G341" s="240"/>
      <c r="H341" s="234"/>
      <c r="I341" s="240"/>
      <c r="K341" s="240"/>
      <c r="M341" s="240"/>
      <c r="O341" s="240"/>
      <c r="P341" s="240"/>
      <c r="Q341" s="240"/>
      <c r="S341" s="240"/>
      <c r="U341" s="240"/>
    </row>
    <row r="342" spans="1:21" ht="11.25" customHeight="1">
      <c r="A342" s="118" t="s">
        <v>3</v>
      </c>
      <c r="C342" s="240">
        <v>0.018</v>
      </c>
      <c r="D342" s="240"/>
      <c r="E342" s="240">
        <f>(E294-C294)/C294</f>
        <v>-0.025</v>
      </c>
      <c r="F342" s="234"/>
      <c r="G342" s="232" t="s">
        <v>85</v>
      </c>
      <c r="H342" s="234"/>
      <c r="I342" s="240">
        <f>(I294-G294)/G294</f>
        <v>0.004</v>
      </c>
      <c r="K342" s="240">
        <f>(K294-I294)/I294</f>
        <v>0.031</v>
      </c>
      <c r="M342" s="240">
        <f>(M294-K294)/K294</f>
        <v>0.044</v>
      </c>
      <c r="O342" s="240">
        <f>(O294-M294)/M294</f>
        <v>0.076</v>
      </c>
      <c r="P342" s="240"/>
      <c r="Q342" s="240">
        <f>(Q294-O294)/O294</f>
        <v>0.131</v>
      </c>
      <c r="S342" s="240">
        <f>(S294-Q294)/Q294</f>
        <v>0.133</v>
      </c>
      <c r="U342" s="240">
        <f>(U294-S294)/S294</f>
        <v>-0.071</v>
      </c>
    </row>
    <row r="343" spans="3:21" ht="11.25" customHeight="1">
      <c r="C343" s="240"/>
      <c r="D343" s="240"/>
      <c r="E343" s="240"/>
      <c r="F343" s="234"/>
      <c r="G343" s="240"/>
      <c r="H343" s="234"/>
      <c r="I343" s="240"/>
      <c r="K343" s="240"/>
      <c r="M343" s="240"/>
      <c r="O343" s="240"/>
      <c r="P343" s="240"/>
      <c r="Q343" s="240"/>
      <c r="S343" s="240"/>
      <c r="U343" s="240"/>
    </row>
    <row r="344" spans="1:21" ht="11.25" customHeight="1">
      <c r="A344" s="118" t="s">
        <v>4</v>
      </c>
      <c r="C344" s="240">
        <f>(C296-230262)/230262</f>
        <v>0.002</v>
      </c>
      <c r="D344" s="240"/>
      <c r="E344" s="240">
        <f>(E296-C296)/C296</f>
        <v>-0.022</v>
      </c>
      <c r="F344" s="234"/>
      <c r="G344" s="232" t="s">
        <v>85</v>
      </c>
      <c r="H344" s="234"/>
      <c r="I344" s="240">
        <f>(I296-G296)/G296</f>
        <v>-0.065</v>
      </c>
      <c r="K344" s="240">
        <f>(K296-I296)/I296</f>
        <v>0.091</v>
      </c>
      <c r="M344" s="240">
        <f>(M296-K296)/K296</f>
        <v>0.065</v>
      </c>
      <c r="O344" s="240">
        <f>(O296-M296)/M296</f>
        <v>0.05</v>
      </c>
      <c r="P344" s="240"/>
      <c r="Q344" s="240">
        <f>(Q296-O296)/O296</f>
        <v>-0.005</v>
      </c>
      <c r="S344" s="240">
        <f>(S296-Q296)/Q296</f>
        <v>-0.071</v>
      </c>
      <c r="U344" s="240">
        <f>(U296-S296)/S296</f>
        <v>-0.164</v>
      </c>
    </row>
    <row r="345" spans="3:21" ht="11.25" customHeight="1">
      <c r="C345" s="240"/>
      <c r="D345" s="240"/>
      <c r="E345" s="240"/>
      <c r="F345" s="234"/>
      <c r="G345" s="240"/>
      <c r="H345" s="234"/>
      <c r="I345" s="240"/>
      <c r="K345" s="240"/>
      <c r="M345" s="240"/>
      <c r="O345" s="240"/>
      <c r="P345" s="240"/>
      <c r="Q345" s="240"/>
      <c r="S345" s="240"/>
      <c r="U345" s="240"/>
    </row>
    <row r="346" spans="1:21" ht="11.25" customHeight="1">
      <c r="A346" s="118" t="s">
        <v>91</v>
      </c>
      <c r="C346" s="240">
        <v>0</v>
      </c>
      <c r="D346" s="240"/>
      <c r="E346" s="240">
        <f>(E298-C298)/C298</f>
        <v>0.028</v>
      </c>
      <c r="F346" s="234"/>
      <c r="G346" s="232" t="s">
        <v>85</v>
      </c>
      <c r="H346" s="234"/>
      <c r="I346" s="240">
        <f>(I298-G298)/G298</f>
        <v>-0.086</v>
      </c>
      <c r="K346" s="240">
        <f>(K298-I298)/I298</f>
        <v>-0.018</v>
      </c>
      <c r="M346" s="240">
        <f>(M298-K298)/K298</f>
        <v>-0.026</v>
      </c>
      <c r="O346" s="240">
        <f>(O298-M298)/M298</f>
        <v>-0.086</v>
      </c>
      <c r="P346" s="240"/>
      <c r="Q346" s="209" t="s">
        <v>85</v>
      </c>
      <c r="S346" s="209" t="s">
        <v>85</v>
      </c>
      <c r="U346" s="209" t="s">
        <v>85</v>
      </c>
    </row>
    <row r="347" spans="3:21" ht="11.25" customHeight="1">
      <c r="C347" s="240"/>
      <c r="D347" s="240"/>
      <c r="E347" s="240"/>
      <c r="F347" s="234"/>
      <c r="G347" s="240"/>
      <c r="H347" s="234"/>
      <c r="I347" s="240"/>
      <c r="K347" s="240"/>
      <c r="M347" s="240"/>
      <c r="O347" s="240"/>
      <c r="P347" s="240"/>
      <c r="Q347" s="240"/>
      <c r="S347" s="240"/>
      <c r="U347" s="240"/>
    </row>
    <row r="348" spans="1:21" ht="11.25" customHeight="1">
      <c r="A348" s="118" t="s">
        <v>5</v>
      </c>
      <c r="C348" s="240">
        <v>-0.006</v>
      </c>
      <c r="D348" s="240"/>
      <c r="E348" s="240">
        <f>(E300-C300)/C300</f>
        <v>0.013</v>
      </c>
      <c r="F348" s="234"/>
      <c r="G348" s="232" t="s">
        <v>85</v>
      </c>
      <c r="H348" s="234"/>
      <c r="I348" s="240">
        <f>(I300-G300)/G300</f>
        <v>0.023</v>
      </c>
      <c r="K348" s="240">
        <f>(K300-I300)/I300</f>
        <v>-0.02</v>
      </c>
      <c r="M348" s="240">
        <f>(M300-K300)/K300</f>
        <v>0.047</v>
      </c>
      <c r="O348" s="240">
        <f>(O300-M300)/M300</f>
        <v>0.102</v>
      </c>
      <c r="P348" s="240"/>
      <c r="Q348" s="240">
        <f>(Q300-O300)/O300</f>
        <v>0.002</v>
      </c>
      <c r="S348" s="240">
        <f>(S300-Q300)/Q300</f>
        <v>-0.011</v>
      </c>
      <c r="U348" s="240">
        <f>(U300-S300)/S300</f>
        <v>-0.143</v>
      </c>
    </row>
    <row r="349" spans="3:21" ht="11.25" customHeight="1">
      <c r="C349" s="240"/>
      <c r="D349" s="240"/>
      <c r="E349" s="240"/>
      <c r="F349" s="234"/>
      <c r="G349" s="240"/>
      <c r="H349" s="234"/>
      <c r="I349" s="240"/>
      <c r="K349" s="240"/>
      <c r="M349" s="240"/>
      <c r="O349" s="240"/>
      <c r="P349" s="240"/>
      <c r="Q349" s="240"/>
      <c r="S349" s="240"/>
      <c r="U349" s="240"/>
    </row>
    <row r="350" spans="1:21" ht="11.25" customHeight="1">
      <c r="A350" s="129" t="s">
        <v>6</v>
      </c>
      <c r="C350" s="240">
        <v>0.067</v>
      </c>
      <c r="D350" s="240"/>
      <c r="E350" s="240">
        <f>(E302-C302)/C302</f>
        <v>-0.053</v>
      </c>
      <c r="F350" s="234"/>
      <c r="G350" s="232" t="s">
        <v>85</v>
      </c>
      <c r="H350" s="234"/>
      <c r="I350" s="240">
        <f>(I302-G302)/G302</f>
        <v>-0.052</v>
      </c>
      <c r="K350" s="240">
        <f>(K302-I302)/I302</f>
        <v>0.045</v>
      </c>
      <c r="M350" s="240">
        <f>(M302-K302)/K302</f>
        <v>0.181</v>
      </c>
      <c r="O350" s="240">
        <f>(O302-M302)/M302</f>
        <v>-0.021</v>
      </c>
      <c r="P350" s="240"/>
      <c r="Q350" s="240">
        <f>(Q302-O302)/O302</f>
        <v>-0.099</v>
      </c>
      <c r="S350" s="240">
        <f>(S302-Q302)/Q302</f>
        <v>-0.002</v>
      </c>
      <c r="U350" s="240">
        <f>(U302-S302)/S302</f>
        <v>-0.079</v>
      </c>
    </row>
    <row r="351" spans="3:21" ht="11.25" customHeight="1">
      <c r="C351" s="240"/>
      <c r="D351" s="240"/>
      <c r="E351" s="240"/>
      <c r="F351" s="234"/>
      <c r="G351" s="240"/>
      <c r="H351" s="234"/>
      <c r="I351" s="240"/>
      <c r="K351" s="240"/>
      <c r="M351" s="240"/>
      <c r="O351" s="240"/>
      <c r="P351" s="240"/>
      <c r="Q351" s="240"/>
      <c r="S351" s="240"/>
      <c r="U351" s="240"/>
    </row>
    <row r="352" spans="1:21" ht="11.25" customHeight="1">
      <c r="A352" s="118" t="s">
        <v>24</v>
      </c>
      <c r="C352" s="240">
        <v>-0.005</v>
      </c>
      <c r="D352" s="240"/>
      <c r="E352" s="240">
        <f>(E304-C304)/C304</f>
        <v>0.002</v>
      </c>
      <c r="F352" s="234"/>
      <c r="G352" s="232" t="s">
        <v>85</v>
      </c>
      <c r="H352" s="234"/>
      <c r="I352" s="240">
        <f>(I304-G304)/G304</f>
        <v>-0.021</v>
      </c>
      <c r="K352" s="240">
        <f>(K304-I304)/I304</f>
        <v>-0.016</v>
      </c>
      <c r="M352" s="240">
        <f>(M304-K304)/K304</f>
        <v>-0.021</v>
      </c>
      <c r="O352" s="240">
        <f>(O304-M304)/M304</f>
        <v>-0.007</v>
      </c>
      <c r="P352" s="240"/>
      <c r="Q352" s="240">
        <f>(Q304-O304)/O304</f>
        <v>0.025</v>
      </c>
      <c r="S352" s="240">
        <f>(S304-Q304)/Q304</f>
        <v>-0.078</v>
      </c>
      <c r="U352" s="240">
        <f>(U304-S304)/S304</f>
        <v>-0.159</v>
      </c>
    </row>
    <row r="353" spans="3:21" ht="11.25" customHeight="1">
      <c r="C353" s="240"/>
      <c r="D353" s="240"/>
      <c r="E353" s="240"/>
      <c r="F353" s="234"/>
      <c r="G353" s="240"/>
      <c r="H353" s="234"/>
      <c r="I353" s="240"/>
      <c r="K353" s="240"/>
      <c r="M353" s="240"/>
      <c r="O353" s="240"/>
      <c r="P353" s="240"/>
      <c r="Q353" s="240"/>
      <c r="S353" s="240"/>
      <c r="U353" s="240"/>
    </row>
    <row r="354" spans="1:21" ht="11.25" customHeight="1">
      <c r="A354" s="118" t="s">
        <v>7</v>
      </c>
      <c r="C354" s="240">
        <v>-0.055</v>
      </c>
      <c r="D354" s="240"/>
      <c r="E354" s="240">
        <f>(E306-C306)/C306</f>
        <v>-0.042</v>
      </c>
      <c r="F354" s="234"/>
      <c r="G354" s="232" t="s">
        <v>85</v>
      </c>
      <c r="H354" s="234"/>
      <c r="I354" s="240">
        <f>(I306-G306)/G306</f>
        <v>-0.037</v>
      </c>
      <c r="K354" s="240">
        <f>(K306-I306)/I306</f>
        <v>0.057</v>
      </c>
      <c r="M354" s="240">
        <f>(M306-K306)/K306</f>
        <v>-0.018</v>
      </c>
      <c r="O354" s="240">
        <f>(O306-M306)/M306</f>
        <v>-0.012</v>
      </c>
      <c r="P354" s="240"/>
      <c r="Q354" s="240">
        <f>(Q306-O306)/O306</f>
        <v>-0.046</v>
      </c>
      <c r="S354" s="240">
        <f>(S306-Q306)/Q306</f>
        <v>-0.022</v>
      </c>
      <c r="U354" s="240">
        <f>(U306-S306)/S306</f>
        <v>-0.134</v>
      </c>
    </row>
    <row r="355" spans="3:21" ht="11.25" customHeight="1">
      <c r="C355" s="240"/>
      <c r="D355" s="240"/>
      <c r="E355" s="240"/>
      <c r="F355" s="234"/>
      <c r="G355" s="240"/>
      <c r="H355" s="234"/>
      <c r="I355" s="240"/>
      <c r="K355" s="240"/>
      <c r="M355" s="240"/>
      <c r="O355" s="240"/>
      <c r="P355" s="240"/>
      <c r="Q355" s="240"/>
      <c r="S355" s="240"/>
      <c r="U355" s="240"/>
    </row>
    <row r="356" spans="1:21" ht="11.25" customHeight="1">
      <c r="A356" s="118" t="s">
        <v>8</v>
      </c>
      <c r="C356" s="240">
        <v>-0.033</v>
      </c>
      <c r="D356" s="241"/>
      <c r="E356" s="240">
        <f>(E308-C308)/C308</f>
        <v>-0.017</v>
      </c>
      <c r="F356" s="242"/>
      <c r="G356" s="232" t="s">
        <v>85</v>
      </c>
      <c r="H356" s="234"/>
      <c r="I356" s="240">
        <f>(I308-G308)/G308</f>
        <v>-0.009</v>
      </c>
      <c r="K356" s="240">
        <f>(K308-I308)/I308</f>
        <v>-0.015</v>
      </c>
      <c r="M356" s="240">
        <f>(M308-K308)/K308</f>
        <v>0.024</v>
      </c>
      <c r="O356" s="240">
        <f>(O308-M308)/M308</f>
        <v>0.041</v>
      </c>
      <c r="P356" s="240"/>
      <c r="Q356" s="240">
        <f>(Q308-O308)/O308</f>
        <v>-0.024</v>
      </c>
      <c r="S356" s="240">
        <f>(S308-Q308)/Q308</f>
        <v>-0.024</v>
      </c>
      <c r="U356" s="240">
        <f>(U308-S308)/S308</f>
        <v>-0.018</v>
      </c>
    </row>
    <row r="357" spans="3:21" ht="11.25" customHeight="1">
      <c r="C357" s="240"/>
      <c r="D357" s="241"/>
      <c r="E357" s="240"/>
      <c r="F357" s="242"/>
      <c r="G357" s="240"/>
      <c r="H357" s="234"/>
      <c r="I357" s="240"/>
      <c r="K357" s="240"/>
      <c r="M357" s="240"/>
      <c r="O357" s="240"/>
      <c r="P357" s="240"/>
      <c r="Q357" s="240"/>
      <c r="S357" s="240"/>
      <c r="U357" s="240"/>
    </row>
    <row r="358" spans="1:21" ht="11.25" customHeight="1">
      <c r="A358" s="118" t="s">
        <v>17</v>
      </c>
      <c r="C358" s="240">
        <f>(C310-3491985)/3491985</f>
        <v>0.007</v>
      </c>
      <c r="D358" s="241"/>
      <c r="E358" s="240">
        <f>(E310-C310)/C310</f>
        <v>-0.005</v>
      </c>
      <c r="F358" s="245"/>
      <c r="G358" s="232" t="s">
        <v>85</v>
      </c>
      <c r="H358" s="234"/>
      <c r="I358" s="240">
        <f>(I310-G310)/G310</f>
        <v>0.056</v>
      </c>
      <c r="K358" s="240">
        <f>(K310-I310)/I310</f>
        <v>0.073</v>
      </c>
      <c r="M358" s="240">
        <f>(M310-K310)/K310</f>
        <v>0.048</v>
      </c>
      <c r="O358" s="240">
        <f>(O310-M310)/M310</f>
        <v>0.03</v>
      </c>
      <c r="P358" s="240"/>
      <c r="Q358" s="240">
        <f>(Q310-O310)/O310</f>
        <v>-0.03</v>
      </c>
      <c r="S358" s="240">
        <f>(S310-Q310)/Q310</f>
        <v>-0.01</v>
      </c>
      <c r="U358" s="240">
        <f>(U310-S310)/S310</f>
        <v>-0.108</v>
      </c>
    </row>
    <row r="359" spans="3:6" ht="11.25" customHeight="1">
      <c r="C359" s="157"/>
      <c r="D359" s="140"/>
      <c r="E359" s="157"/>
      <c r="F359" s="29"/>
    </row>
    <row r="360" ht="15" customHeight="1">
      <c r="A360" s="138" t="s">
        <v>75</v>
      </c>
    </row>
    <row r="361" ht="11.25" customHeight="1">
      <c r="A361" s="118" t="s">
        <v>56</v>
      </c>
    </row>
    <row r="362" ht="11.25" customHeight="1">
      <c r="A362" s="52" t="s">
        <v>52</v>
      </c>
    </row>
    <row r="363" ht="11.25" customHeight="1">
      <c r="A363" s="118" t="s">
        <v>60</v>
      </c>
    </row>
    <row r="364" ht="11.25" customHeight="1">
      <c r="A364" s="118" t="s">
        <v>64</v>
      </c>
    </row>
    <row r="365" ht="11.25" customHeight="1">
      <c r="A365" s="118" t="s">
        <v>67</v>
      </c>
    </row>
    <row r="366" ht="11.25" customHeight="1">
      <c r="A366" s="120" t="s">
        <v>66</v>
      </c>
    </row>
    <row r="367" ht="11.25" customHeight="1">
      <c r="A367" s="55" t="s">
        <v>82</v>
      </c>
    </row>
    <row r="368" ht="11.25" customHeight="1">
      <c r="A368" s="56" t="s">
        <v>87</v>
      </c>
    </row>
    <row r="369" ht="11.25" customHeight="1">
      <c r="A369" s="56" t="s">
        <v>92</v>
      </c>
    </row>
    <row r="370" ht="11.25" customHeight="1">
      <c r="A370" s="56"/>
    </row>
    <row r="371" spans="1:6" ht="11.25" customHeight="1">
      <c r="A371" s="158" t="s">
        <v>0</v>
      </c>
      <c r="B371" s="159"/>
      <c r="C371" s="159"/>
      <c r="D371" s="159"/>
      <c r="E371" s="159"/>
      <c r="F371" s="35"/>
    </row>
    <row r="372" spans="1:6" ht="11.25" customHeight="1">
      <c r="A372" s="160" t="s">
        <v>30</v>
      </c>
      <c r="B372" s="159"/>
      <c r="C372" s="159"/>
      <c r="D372" s="159"/>
      <c r="E372" s="159"/>
      <c r="F372" s="35"/>
    </row>
    <row r="373" spans="1:6" ht="11.25" customHeight="1">
      <c r="A373" s="161" t="str">
        <f>A3</f>
        <v>2000 - 2009</v>
      </c>
      <c r="B373" s="163"/>
      <c r="C373" s="159"/>
      <c r="D373" s="159"/>
      <c r="E373" s="159"/>
      <c r="F373" s="35"/>
    </row>
    <row r="374" spans="1:6" ht="11.25" customHeight="1">
      <c r="A374" s="158" t="s">
        <v>1</v>
      </c>
      <c r="B374" s="159"/>
      <c r="C374" s="159"/>
      <c r="D374" s="159"/>
      <c r="E374" s="159"/>
      <c r="F374" s="35"/>
    </row>
    <row r="375" spans="1:6" ht="11.25" customHeight="1">
      <c r="A375" s="41"/>
      <c r="B375" s="159"/>
      <c r="C375" s="159"/>
      <c r="D375" s="159"/>
      <c r="E375" s="159"/>
      <c r="F375" s="35"/>
    </row>
    <row r="376" spans="1:6" ht="11.25" customHeight="1">
      <c r="A376" s="159"/>
      <c r="B376" s="159"/>
      <c r="C376" s="159"/>
      <c r="D376" s="159"/>
      <c r="E376" s="159"/>
      <c r="F376" s="35"/>
    </row>
    <row r="377" spans="3:21" ht="11.25" customHeight="1">
      <c r="C377" s="124">
        <v>2000</v>
      </c>
      <c r="D377" s="125"/>
      <c r="E377" s="124">
        <v>2001</v>
      </c>
      <c r="G377" s="124">
        <v>2002</v>
      </c>
      <c r="I377" s="124">
        <v>2003</v>
      </c>
      <c r="K377" s="124">
        <v>2004</v>
      </c>
      <c r="M377" s="124">
        <v>2005</v>
      </c>
      <c r="O377" s="46">
        <v>2006</v>
      </c>
      <c r="P377" s="255"/>
      <c r="Q377" s="46">
        <v>2007</v>
      </c>
      <c r="S377" s="46">
        <v>2008</v>
      </c>
      <c r="U377" s="46">
        <v>2009</v>
      </c>
    </row>
    <row r="378" spans="1:11" ht="11.25" customHeight="1">
      <c r="A378" s="159"/>
      <c r="B378" s="159"/>
      <c r="C378" s="159"/>
      <c r="D378" s="159"/>
      <c r="E378" s="159"/>
      <c r="F378" s="35"/>
      <c r="G378" s="159"/>
      <c r="I378" s="159"/>
      <c r="K378" s="159"/>
    </row>
    <row r="379" spans="1:21" ht="11.25" customHeight="1">
      <c r="A379" s="129" t="s">
        <v>79</v>
      </c>
      <c r="B379" s="159"/>
      <c r="C379" s="79">
        <v>314944</v>
      </c>
      <c r="D379" s="190"/>
      <c r="E379" s="191">
        <v>318749</v>
      </c>
      <c r="F379" s="192"/>
      <c r="G379" s="191">
        <v>301455</v>
      </c>
      <c r="H379" s="189"/>
      <c r="I379" s="191">
        <v>304021</v>
      </c>
      <c r="K379" s="191">
        <v>291133</v>
      </c>
      <c r="M379" s="191">
        <v>285760</v>
      </c>
      <c r="O379" s="191">
        <v>327523</v>
      </c>
      <c r="P379" s="191"/>
      <c r="Q379" s="191">
        <v>301665</v>
      </c>
      <c r="S379" s="191">
        <v>245082</v>
      </c>
      <c r="U379" s="191">
        <v>189093</v>
      </c>
    </row>
    <row r="380" spans="2:11" ht="11.25" customHeight="1">
      <c r="B380" s="159"/>
      <c r="C380" s="127"/>
      <c r="D380" s="159"/>
      <c r="E380" s="159"/>
      <c r="F380" s="35"/>
      <c r="G380" s="159"/>
      <c r="I380" s="159"/>
      <c r="K380" s="159"/>
    </row>
    <row r="381" spans="1:21" ht="11.25" customHeight="1">
      <c r="A381" s="118" t="s">
        <v>53</v>
      </c>
      <c r="B381" s="159"/>
      <c r="C381" s="127">
        <v>515176</v>
      </c>
      <c r="D381" s="159"/>
      <c r="E381" s="162">
        <v>514759</v>
      </c>
      <c r="F381" s="35"/>
      <c r="G381" s="162">
        <v>523082</v>
      </c>
      <c r="I381" s="162">
        <v>669676</v>
      </c>
      <c r="K381" s="162">
        <v>637820</v>
      </c>
      <c r="M381" s="162">
        <v>637643</v>
      </c>
      <c r="O381" s="162">
        <v>669961</v>
      </c>
      <c r="P381" s="162"/>
      <c r="Q381" s="162">
        <v>643720</v>
      </c>
      <c r="S381" s="162">
        <v>564580</v>
      </c>
      <c r="U381" s="162">
        <v>474382</v>
      </c>
    </row>
    <row r="382" spans="2:11" ht="11.25" customHeight="1">
      <c r="B382" s="159"/>
      <c r="C382" s="127"/>
      <c r="D382" s="159"/>
      <c r="E382" s="159"/>
      <c r="F382" s="35"/>
      <c r="G382" s="159"/>
      <c r="I382" s="159"/>
      <c r="K382" s="159"/>
    </row>
    <row r="383" spans="1:21" ht="11.25" customHeight="1">
      <c r="A383" s="118" t="s">
        <v>86</v>
      </c>
      <c r="B383" s="159"/>
      <c r="C383" s="247" t="s">
        <v>85</v>
      </c>
      <c r="D383" s="159"/>
      <c r="E383" s="247" t="s">
        <v>85</v>
      </c>
      <c r="F383" s="35"/>
      <c r="G383" s="247" t="s">
        <v>85</v>
      </c>
      <c r="I383" s="159">
        <v>258270</v>
      </c>
      <c r="K383" s="159">
        <v>623400</v>
      </c>
      <c r="M383" s="162">
        <v>696965</v>
      </c>
      <c r="O383" s="162">
        <v>735145</v>
      </c>
      <c r="P383" s="162"/>
      <c r="Q383" s="162">
        <v>748649</v>
      </c>
      <c r="S383" s="162">
        <v>734306</v>
      </c>
      <c r="U383" s="162">
        <v>691428</v>
      </c>
    </row>
    <row r="384" spans="2:21" ht="11.25" customHeight="1">
      <c r="B384" s="159"/>
      <c r="C384" s="127"/>
      <c r="D384" s="159"/>
      <c r="E384" s="159"/>
      <c r="F384" s="35"/>
      <c r="G384" s="159"/>
      <c r="I384" s="159"/>
      <c r="K384" s="159"/>
      <c r="M384" s="162"/>
      <c r="O384" s="162"/>
      <c r="P384" s="162"/>
      <c r="Q384" s="162"/>
      <c r="S384" s="162"/>
      <c r="U384" s="162"/>
    </row>
    <row r="385" spans="1:21" ht="11.25" customHeight="1">
      <c r="A385" s="118" t="s">
        <v>2</v>
      </c>
      <c r="B385" s="159"/>
      <c r="C385" s="144">
        <v>471804</v>
      </c>
      <c r="D385" s="159"/>
      <c r="E385" s="162">
        <v>480761</v>
      </c>
      <c r="F385" s="35"/>
      <c r="G385" s="162">
        <v>519692</v>
      </c>
      <c r="I385" s="162">
        <v>511243</v>
      </c>
      <c r="K385" s="162">
        <v>488825</v>
      </c>
      <c r="M385" s="162">
        <v>517734</v>
      </c>
      <c r="O385" s="162">
        <v>551300</v>
      </c>
      <c r="P385" s="162"/>
      <c r="Q385" s="162">
        <v>584612</v>
      </c>
      <c r="S385" s="162">
        <v>543111</v>
      </c>
      <c r="U385" s="162">
        <v>459893</v>
      </c>
    </row>
    <row r="386" spans="2:21" ht="11.25" customHeight="1">
      <c r="B386" s="159"/>
      <c r="C386" s="144"/>
      <c r="D386" s="159"/>
      <c r="E386" s="159"/>
      <c r="F386" s="35"/>
      <c r="G386" s="159"/>
      <c r="I386" s="159"/>
      <c r="K386" s="159"/>
      <c r="M386" s="162"/>
      <c r="O386" s="162"/>
      <c r="P386" s="162"/>
      <c r="Q386" s="162"/>
      <c r="S386" s="162"/>
      <c r="U386" s="162"/>
    </row>
    <row r="387" spans="1:21" ht="11.25" customHeight="1">
      <c r="A387" s="118" t="s">
        <v>54</v>
      </c>
      <c r="B387" s="159"/>
      <c r="C387" s="127">
        <v>163906</v>
      </c>
      <c r="D387" s="159"/>
      <c r="E387" s="162">
        <f>66891+89959</f>
        <v>156850</v>
      </c>
      <c r="F387" s="35"/>
      <c r="G387" s="162">
        <v>154856</v>
      </c>
      <c r="I387" s="247" t="s">
        <v>85</v>
      </c>
      <c r="K387" s="247" t="s">
        <v>85</v>
      </c>
      <c r="M387" s="247" t="s">
        <v>85</v>
      </c>
      <c r="O387" s="247" t="s">
        <v>85</v>
      </c>
      <c r="P387" s="247"/>
      <c r="Q387" s="247" t="s">
        <v>85</v>
      </c>
      <c r="S387" s="247" t="s">
        <v>85</v>
      </c>
      <c r="U387" s="247" t="s">
        <v>85</v>
      </c>
    </row>
    <row r="388" spans="2:21" ht="11.25" customHeight="1">
      <c r="B388" s="159"/>
      <c r="C388" s="127"/>
      <c r="D388" s="159"/>
      <c r="E388" s="159"/>
      <c r="F388" s="35"/>
      <c r="G388" s="159"/>
      <c r="I388" s="159"/>
      <c r="K388" s="159"/>
      <c r="M388" s="162"/>
      <c r="O388" s="162"/>
      <c r="P388" s="162"/>
      <c r="Q388" s="162"/>
      <c r="S388" s="162"/>
      <c r="U388" s="162"/>
    </row>
    <row r="389" spans="1:21" ht="11.25" customHeight="1">
      <c r="A389" s="118" t="s">
        <v>3</v>
      </c>
      <c r="B389" s="159"/>
      <c r="C389" s="127">
        <v>400356</v>
      </c>
      <c r="D389" s="159"/>
      <c r="E389" s="162">
        <v>403882</v>
      </c>
      <c r="F389" s="35"/>
      <c r="G389" s="162">
        <v>444535</v>
      </c>
      <c r="I389" s="162">
        <v>445285</v>
      </c>
      <c r="K389" s="162">
        <v>445074</v>
      </c>
      <c r="M389" s="162">
        <v>471096</v>
      </c>
      <c r="O389" s="162">
        <v>503271</v>
      </c>
      <c r="P389" s="162"/>
      <c r="Q389" s="162">
        <v>513192</v>
      </c>
      <c r="S389" s="162">
        <v>538776</v>
      </c>
      <c r="U389" s="162">
        <v>485797</v>
      </c>
    </row>
    <row r="390" spans="2:21" ht="11.25" customHeight="1">
      <c r="B390" s="159"/>
      <c r="C390" s="127"/>
      <c r="D390" s="159"/>
      <c r="E390" s="159"/>
      <c r="F390" s="35"/>
      <c r="G390" s="159"/>
      <c r="I390" s="159"/>
      <c r="K390" s="159"/>
      <c r="M390" s="162"/>
      <c r="O390" s="162"/>
      <c r="P390" s="162"/>
      <c r="Q390" s="162"/>
      <c r="S390" s="162"/>
      <c r="U390" s="162"/>
    </row>
    <row r="391" spans="1:21" ht="11.25" customHeight="1">
      <c r="A391" s="118" t="s">
        <v>4</v>
      </c>
      <c r="B391" s="159"/>
      <c r="C391" s="127">
        <v>235827</v>
      </c>
      <c r="D391" s="159"/>
      <c r="E391" s="162">
        <v>241104</v>
      </c>
      <c r="F391" s="35"/>
      <c r="G391" s="162">
        <v>259208</v>
      </c>
      <c r="I391" s="162">
        <v>230135</v>
      </c>
      <c r="K391" s="162">
        <v>247842</v>
      </c>
      <c r="M391" s="162">
        <v>268074</v>
      </c>
      <c r="O391" s="162">
        <v>279816</v>
      </c>
      <c r="P391" s="162"/>
      <c r="Q391" s="162">
        <v>276384</v>
      </c>
      <c r="S391" s="162">
        <v>229895</v>
      </c>
      <c r="U391" s="162">
        <v>189445</v>
      </c>
    </row>
    <row r="392" spans="2:21" ht="11.25" customHeight="1">
      <c r="B392" s="159"/>
      <c r="C392" s="127"/>
      <c r="D392" s="159"/>
      <c r="E392" s="159"/>
      <c r="F392" s="35"/>
      <c r="G392" s="159"/>
      <c r="I392" s="159"/>
      <c r="K392" s="159"/>
      <c r="M392" s="162" t="s">
        <v>10</v>
      </c>
      <c r="O392" s="162"/>
      <c r="P392" s="162"/>
      <c r="Q392" s="162"/>
      <c r="S392" s="162"/>
      <c r="U392" s="162"/>
    </row>
    <row r="393" spans="1:21" ht="11.25" customHeight="1">
      <c r="A393" s="118" t="s">
        <v>90</v>
      </c>
      <c r="B393" s="159"/>
      <c r="C393" s="127">
        <v>229757</v>
      </c>
      <c r="D393" s="159"/>
      <c r="E393" s="162">
        <v>232370</v>
      </c>
      <c r="F393" s="35"/>
      <c r="G393" s="162">
        <v>206417</v>
      </c>
      <c r="I393" s="162">
        <v>183036</v>
      </c>
      <c r="K393" s="162">
        <v>187310</v>
      </c>
      <c r="M393" s="162">
        <v>173390</v>
      </c>
      <c r="O393" s="162">
        <v>145873</v>
      </c>
      <c r="P393" s="162"/>
      <c r="Q393" s="247" t="s">
        <v>85</v>
      </c>
      <c r="S393" s="247" t="s">
        <v>85</v>
      </c>
      <c r="U393" s="247" t="s">
        <v>85</v>
      </c>
    </row>
    <row r="394" spans="2:21" ht="11.25" customHeight="1">
      <c r="B394" s="159"/>
      <c r="C394" s="127"/>
      <c r="D394" s="159"/>
      <c r="E394" s="159"/>
      <c r="F394" s="35"/>
      <c r="G394" s="159"/>
      <c r="I394" s="159"/>
      <c r="K394" s="159"/>
      <c r="M394" s="162"/>
      <c r="O394" s="162"/>
      <c r="P394" s="162"/>
      <c r="Q394" s="162"/>
      <c r="S394" s="162"/>
      <c r="U394" s="162"/>
    </row>
    <row r="395" spans="1:21" ht="11.25" customHeight="1">
      <c r="A395" s="118" t="s">
        <v>5</v>
      </c>
      <c r="B395" s="159"/>
      <c r="C395" s="127">
        <v>342315</v>
      </c>
      <c r="D395" s="159"/>
      <c r="E395" s="162">
        <v>346468</v>
      </c>
      <c r="F395" s="35"/>
      <c r="G395" s="162">
        <v>363464</v>
      </c>
      <c r="I395" s="162">
        <v>371044</v>
      </c>
      <c r="K395" s="162">
        <v>387037</v>
      </c>
      <c r="M395" s="162">
        <v>409291</v>
      </c>
      <c r="O395" s="162">
        <v>424656</v>
      </c>
      <c r="P395" s="162"/>
      <c r="Q395" s="162">
        <v>403133</v>
      </c>
      <c r="S395" s="162">
        <v>358431</v>
      </c>
      <c r="U395" s="162">
        <v>314476</v>
      </c>
    </row>
    <row r="396" spans="2:21" ht="11.25" customHeight="1">
      <c r="B396" s="159"/>
      <c r="C396" s="127"/>
      <c r="D396" s="159"/>
      <c r="E396" s="159"/>
      <c r="F396" s="35"/>
      <c r="G396" s="159"/>
      <c r="I396" s="159"/>
      <c r="K396" s="159"/>
      <c r="M396" s="162"/>
      <c r="O396" s="162"/>
      <c r="P396" s="162"/>
      <c r="Q396" s="162"/>
      <c r="S396" s="162"/>
      <c r="U396" s="162"/>
    </row>
    <row r="397" spans="1:21" ht="11.25" customHeight="1">
      <c r="A397" s="129" t="s">
        <v>6</v>
      </c>
      <c r="B397" s="159"/>
      <c r="C397" s="127">
        <v>418958</v>
      </c>
      <c r="D397" s="159"/>
      <c r="E397" s="162">
        <v>409114</v>
      </c>
      <c r="F397" s="35"/>
      <c r="G397" s="162">
        <v>400535</v>
      </c>
      <c r="I397" s="162">
        <v>368817</v>
      </c>
      <c r="K397" s="162">
        <v>360273</v>
      </c>
      <c r="M397" s="162">
        <v>435198</v>
      </c>
      <c r="O397" s="162">
        <v>449776</v>
      </c>
      <c r="P397" s="162"/>
      <c r="Q397" s="162">
        <v>395619</v>
      </c>
      <c r="S397" s="162">
        <v>348574</v>
      </c>
      <c r="U397" s="162">
        <v>305458</v>
      </c>
    </row>
    <row r="398" spans="1:21" ht="11.25" customHeight="1">
      <c r="A398" s="159"/>
      <c r="B398" s="159"/>
      <c r="C398" s="127"/>
      <c r="D398" s="159"/>
      <c r="E398" s="159"/>
      <c r="F398" s="35"/>
      <c r="G398" s="159"/>
      <c r="I398" s="159"/>
      <c r="K398" s="159"/>
      <c r="M398" s="162"/>
      <c r="O398" s="162"/>
      <c r="P398" s="162"/>
      <c r="Q398" s="162"/>
      <c r="S398" s="162"/>
      <c r="U398" s="162"/>
    </row>
    <row r="399" spans="1:21" ht="11.25" customHeight="1">
      <c r="A399" s="158" t="s">
        <v>24</v>
      </c>
      <c r="B399" s="159"/>
      <c r="C399" s="127">
        <v>267377</v>
      </c>
      <c r="D399" s="159"/>
      <c r="E399" s="162">
        <v>266493</v>
      </c>
      <c r="F399" s="35"/>
      <c r="G399" s="162">
        <v>281898</v>
      </c>
      <c r="I399" s="162">
        <v>258399</v>
      </c>
      <c r="K399" s="162">
        <v>260246</v>
      </c>
      <c r="M399" s="162">
        <v>249157</v>
      </c>
      <c r="O399" s="162">
        <v>255616</v>
      </c>
      <c r="P399" s="162"/>
      <c r="Q399" s="162">
        <v>239690</v>
      </c>
      <c r="S399" s="162">
        <v>201292</v>
      </c>
      <c r="U399" s="162">
        <v>160535</v>
      </c>
    </row>
    <row r="400" spans="1:21" ht="11.25" customHeight="1">
      <c r="A400" s="159"/>
      <c r="B400" s="159"/>
      <c r="C400" s="127"/>
      <c r="D400" s="159"/>
      <c r="E400" s="159"/>
      <c r="F400" s="35"/>
      <c r="G400" s="159"/>
      <c r="I400" s="159"/>
      <c r="K400" s="159"/>
      <c r="M400" s="162"/>
      <c r="O400" s="162"/>
      <c r="P400" s="162"/>
      <c r="Q400" s="162"/>
      <c r="S400" s="162"/>
      <c r="U400" s="162"/>
    </row>
    <row r="401" spans="1:21" ht="11.25" customHeight="1">
      <c r="A401" s="158" t="s">
        <v>7</v>
      </c>
      <c r="B401" s="159"/>
      <c r="C401" s="127">
        <v>320151</v>
      </c>
      <c r="D401" s="159"/>
      <c r="E401" s="162">
        <v>324311</v>
      </c>
      <c r="F401" s="35"/>
      <c r="G401" s="162">
        <v>336346</v>
      </c>
      <c r="I401" s="162">
        <v>313172</v>
      </c>
      <c r="K401" s="162">
        <v>312967</v>
      </c>
      <c r="M401" s="162">
        <v>299651</v>
      </c>
      <c r="O401" s="162">
        <v>298191</v>
      </c>
      <c r="P401" s="162"/>
      <c r="Q401" s="162">
        <v>277845</v>
      </c>
      <c r="S401" s="162">
        <v>258763</v>
      </c>
      <c r="U401" s="162">
        <v>199751</v>
      </c>
    </row>
    <row r="402" spans="1:11" ht="11.25" customHeight="1">
      <c r="A402" s="159"/>
      <c r="B402" s="159"/>
      <c r="C402" s="127"/>
      <c r="D402" s="159"/>
      <c r="E402" s="159"/>
      <c r="F402" s="35"/>
      <c r="G402" s="159"/>
      <c r="I402" s="159"/>
      <c r="K402" s="159"/>
    </row>
    <row r="403" spans="1:21" ht="11.25" customHeight="1">
      <c r="A403" s="158" t="s">
        <v>8</v>
      </c>
      <c r="B403" s="159"/>
      <c r="C403" s="131">
        <v>538322</v>
      </c>
      <c r="D403" s="163"/>
      <c r="E403" s="162">
        <v>525115</v>
      </c>
      <c r="F403" s="36"/>
      <c r="G403" s="162">
        <v>529310</v>
      </c>
      <c r="I403" s="162">
        <v>511896</v>
      </c>
      <c r="K403" s="162">
        <v>496350</v>
      </c>
      <c r="M403" s="162">
        <v>512741</v>
      </c>
      <c r="O403" s="253">
        <v>525437</v>
      </c>
      <c r="P403" s="258"/>
      <c r="Q403" s="253">
        <v>504090</v>
      </c>
      <c r="S403" s="253">
        <v>476706</v>
      </c>
      <c r="U403" s="253">
        <v>441111</v>
      </c>
    </row>
    <row r="404" spans="1:17" ht="11.25" customHeight="1">
      <c r="A404" s="159"/>
      <c r="B404" s="159"/>
      <c r="C404" s="164"/>
      <c r="D404" s="163"/>
      <c r="E404" s="164"/>
      <c r="F404" s="36"/>
      <c r="G404" s="164"/>
      <c r="I404" s="164"/>
      <c r="K404" s="164"/>
      <c r="M404" s="164"/>
      <c r="O404" s="162"/>
      <c r="P404" s="162"/>
      <c r="Q404" s="162"/>
    </row>
    <row r="405" spans="1:21" ht="12" customHeight="1" thickBot="1">
      <c r="A405" s="118" t="s">
        <v>17</v>
      </c>
      <c r="B405" s="159"/>
      <c r="C405" s="165">
        <f>SUM(C379:C403)</f>
        <v>4218893</v>
      </c>
      <c r="D405" s="166"/>
      <c r="E405" s="165">
        <f>SUM(E379:E403)</f>
        <v>4219976</v>
      </c>
      <c r="F405" s="37"/>
      <c r="G405" s="165">
        <f>SUM(G379:G403)</f>
        <v>4320798</v>
      </c>
      <c r="I405" s="165">
        <f>SUM(I379:I403)</f>
        <v>4424994</v>
      </c>
      <c r="K405" s="165">
        <f>SUM(K379:K403)</f>
        <v>4738277</v>
      </c>
      <c r="M405" s="165">
        <f>SUM(M379:M403)</f>
        <v>4956700</v>
      </c>
      <c r="O405" s="165">
        <f>SUM(O379:O403)</f>
        <v>5166565</v>
      </c>
      <c r="P405" s="259"/>
      <c r="Q405" s="165">
        <f>SUM(Q379:Q403)</f>
        <v>4888599</v>
      </c>
      <c r="S405" s="165">
        <f>SUM(S379:S403)</f>
        <v>4499516</v>
      </c>
      <c r="U405" s="165">
        <f>SUM(U379:U403)</f>
        <v>3911369</v>
      </c>
    </row>
    <row r="406" spans="1:6" ht="11.25" customHeight="1" thickTop="1">
      <c r="A406" s="159"/>
      <c r="B406" s="159"/>
      <c r="C406" s="167"/>
      <c r="D406" s="163"/>
      <c r="E406" s="167"/>
      <c r="F406" s="36"/>
    </row>
    <row r="407" spans="1:6" ht="11.25" customHeight="1">
      <c r="A407" s="57"/>
      <c r="B407" s="55"/>
      <c r="C407" s="55"/>
      <c r="D407" s="55"/>
      <c r="E407" s="55"/>
      <c r="F407" s="1"/>
    </row>
    <row r="408" spans="1:6" ht="11.25" customHeight="1">
      <c r="A408" s="138" t="s">
        <v>75</v>
      </c>
      <c r="B408" s="55"/>
      <c r="C408" s="55"/>
      <c r="D408" s="55"/>
      <c r="E408" s="55"/>
      <c r="F408" s="1"/>
    </row>
    <row r="409" spans="1:6" ht="11.25" customHeight="1">
      <c r="A409" s="118" t="s">
        <v>56</v>
      </c>
      <c r="B409" s="55"/>
      <c r="C409" s="55"/>
      <c r="D409" s="55"/>
      <c r="E409" s="55"/>
      <c r="F409" s="1"/>
    </row>
    <row r="410" spans="1:6" ht="11.25" customHeight="1">
      <c r="A410" s="52" t="s">
        <v>52</v>
      </c>
      <c r="B410" s="55"/>
      <c r="C410" s="55"/>
      <c r="D410" s="55"/>
      <c r="E410" s="55"/>
      <c r="F410" s="1"/>
    </row>
    <row r="411" spans="1:6" ht="11.25" customHeight="1">
      <c r="A411" s="55" t="s">
        <v>80</v>
      </c>
      <c r="B411" s="55"/>
      <c r="C411" s="55"/>
      <c r="D411" s="55"/>
      <c r="E411" s="55"/>
      <c r="F411" s="1"/>
    </row>
    <row r="412" spans="1:6" ht="11.25" customHeight="1">
      <c r="A412" s="56" t="s">
        <v>87</v>
      </c>
      <c r="B412" s="55"/>
      <c r="C412" s="55"/>
      <c r="D412" s="55"/>
      <c r="E412" s="55"/>
      <c r="F412" s="1"/>
    </row>
    <row r="413" spans="1:6" ht="11.25" customHeight="1">
      <c r="A413" s="56" t="s">
        <v>93</v>
      </c>
      <c r="B413" s="55"/>
      <c r="C413" s="55"/>
      <c r="D413" s="55"/>
      <c r="E413" s="55"/>
      <c r="F413" s="1"/>
    </row>
    <row r="414" spans="1:6" ht="11.25" customHeight="1">
      <c r="A414" s="56"/>
      <c r="B414" s="55"/>
      <c r="C414" s="55"/>
      <c r="D414" s="55"/>
      <c r="E414" s="55"/>
      <c r="F414" s="1"/>
    </row>
    <row r="415" spans="1:6" ht="11.25" customHeight="1">
      <c r="A415" s="152"/>
      <c r="C415" s="55"/>
      <c r="D415" s="55"/>
      <c r="E415" s="55"/>
      <c r="F415" s="1"/>
    </row>
    <row r="416" spans="1:6" ht="11.25" customHeight="1">
      <c r="A416" s="152"/>
      <c r="C416" s="55"/>
      <c r="D416" s="55"/>
      <c r="E416" s="55"/>
      <c r="F416" s="1"/>
    </row>
    <row r="417" spans="1:6" ht="11.25" customHeight="1">
      <c r="A417" s="152"/>
      <c r="C417" s="55"/>
      <c r="D417" s="55"/>
      <c r="E417" s="55"/>
      <c r="F417" s="1"/>
    </row>
    <row r="418" spans="1:6" ht="11.25" customHeight="1">
      <c r="A418" s="56"/>
      <c r="B418" s="55"/>
      <c r="C418" s="55"/>
      <c r="D418" s="55"/>
      <c r="E418" s="55"/>
      <c r="F418" s="1"/>
    </row>
    <row r="419" spans="1:6" ht="11.25" customHeight="1">
      <c r="A419" s="56" t="s">
        <v>0</v>
      </c>
      <c r="B419" s="55"/>
      <c r="C419" s="55"/>
      <c r="D419" s="55"/>
      <c r="E419" s="55"/>
      <c r="F419" s="1"/>
    </row>
    <row r="420" spans="1:6" ht="11.25" customHeight="1">
      <c r="A420" s="57" t="s">
        <v>31</v>
      </c>
      <c r="B420" s="55"/>
      <c r="C420" s="55"/>
      <c r="D420" s="55"/>
      <c r="E420" s="55"/>
      <c r="F420" s="1"/>
    </row>
    <row r="421" spans="1:6" ht="11.25" customHeight="1">
      <c r="A421" s="72" t="str">
        <f>A3</f>
        <v>2000 - 2009</v>
      </c>
      <c r="B421" s="75"/>
      <c r="C421" s="55"/>
      <c r="D421" s="55"/>
      <c r="E421" s="55"/>
      <c r="F421" s="1"/>
    </row>
    <row r="422" spans="1:6" ht="11.25" customHeight="1">
      <c r="A422" s="117"/>
      <c r="B422" s="75"/>
      <c r="C422" s="55"/>
      <c r="D422" s="55"/>
      <c r="E422" s="55"/>
      <c r="F422" s="1"/>
    </row>
    <row r="423" spans="1:6" ht="11.25" customHeight="1">
      <c r="A423" s="60"/>
      <c r="B423" s="60"/>
      <c r="C423" s="55"/>
      <c r="D423" s="55"/>
      <c r="E423" s="55"/>
      <c r="F423" s="1"/>
    </row>
    <row r="424" spans="3:21" ht="11.25" customHeight="1">
      <c r="C424" s="124">
        <v>2000</v>
      </c>
      <c r="D424" s="125"/>
      <c r="E424" s="124">
        <v>2001</v>
      </c>
      <c r="G424" s="124">
        <v>2002</v>
      </c>
      <c r="I424" s="124">
        <v>2003</v>
      </c>
      <c r="K424" s="124">
        <v>2004</v>
      </c>
      <c r="M424" s="124">
        <v>2005</v>
      </c>
      <c r="O424" s="46">
        <v>2006</v>
      </c>
      <c r="P424" s="255"/>
      <c r="Q424" s="46">
        <v>2007</v>
      </c>
      <c r="S424" s="46">
        <v>2008</v>
      </c>
      <c r="U424" s="46">
        <v>2009</v>
      </c>
    </row>
    <row r="425" spans="1:11" ht="11.25" customHeight="1">
      <c r="A425" s="55"/>
      <c r="B425" s="55"/>
      <c r="C425" s="55"/>
      <c r="D425" s="55"/>
      <c r="E425" s="55"/>
      <c r="F425" s="1"/>
      <c r="G425" s="55"/>
      <c r="I425" s="55"/>
      <c r="K425" s="55"/>
    </row>
    <row r="426" spans="1:21" ht="11.25" customHeight="1">
      <c r="A426" s="129" t="s">
        <v>79</v>
      </c>
      <c r="B426" s="55"/>
      <c r="C426" s="209">
        <v>0.093</v>
      </c>
      <c r="D426" s="205"/>
      <c r="E426" s="209">
        <f>(E379-C379)/C379</f>
        <v>0.012</v>
      </c>
      <c r="F426" s="199"/>
      <c r="G426" s="209">
        <f>(G379-E379)/E379</f>
        <v>-0.054</v>
      </c>
      <c r="H426" s="234"/>
      <c r="I426" s="209">
        <f>(I379-G379)/G379</f>
        <v>0.009</v>
      </c>
      <c r="K426" s="209">
        <f>(K379-I379)/I379</f>
        <v>-0.042</v>
      </c>
      <c r="M426" s="209">
        <f>(M379-K379)/K379</f>
        <v>-0.018</v>
      </c>
      <c r="O426" s="209">
        <f>(O379-M379)/M379</f>
        <v>0.146</v>
      </c>
      <c r="P426" s="209"/>
      <c r="Q426" s="209">
        <f>(Q379-O379)/O379</f>
        <v>-0.079</v>
      </c>
      <c r="S426" s="209">
        <f>(S379-Q379)/Q379</f>
        <v>-0.188</v>
      </c>
      <c r="U426" s="209">
        <f>(U379-S379)/S379</f>
        <v>-0.228</v>
      </c>
    </row>
    <row r="427" spans="2:21" ht="11.25" customHeight="1">
      <c r="B427" s="55"/>
      <c r="C427" s="209"/>
      <c r="D427" s="205"/>
      <c r="E427" s="209"/>
      <c r="F427" s="199"/>
      <c r="G427" s="209"/>
      <c r="H427" s="234"/>
      <c r="I427" s="209"/>
      <c r="K427" s="209"/>
      <c r="M427" s="209"/>
      <c r="O427" s="209"/>
      <c r="P427" s="209"/>
      <c r="Q427" s="209"/>
      <c r="S427" s="209"/>
      <c r="U427" s="209"/>
    </row>
    <row r="428" spans="1:21" ht="11.25" customHeight="1">
      <c r="A428" s="118" t="s">
        <v>53</v>
      </c>
      <c r="B428" s="55"/>
      <c r="C428" s="209">
        <v>0.048</v>
      </c>
      <c r="D428" s="205"/>
      <c r="E428" s="209">
        <f>(E381-C381)/C381</f>
        <v>-0.001</v>
      </c>
      <c r="F428" s="199"/>
      <c r="G428" s="209">
        <f>(G381-E381)/E381</f>
        <v>0.016</v>
      </c>
      <c r="H428" s="234"/>
      <c r="I428" s="209">
        <f>(I381-G381)/G381</f>
        <v>0.28</v>
      </c>
      <c r="K428" s="209">
        <f>(K381-I381)/I381</f>
        <v>-0.048</v>
      </c>
      <c r="M428" s="209">
        <f>(M381-K381)/K381</f>
        <v>0</v>
      </c>
      <c r="O428" s="209">
        <f>(O381-M381)/M381</f>
        <v>0.051</v>
      </c>
      <c r="P428" s="209"/>
      <c r="Q428" s="209">
        <f>(Q381-O381)/O381</f>
        <v>-0.039</v>
      </c>
      <c r="S428" s="209">
        <f>(S381-Q381)/Q381</f>
        <v>-0.123</v>
      </c>
      <c r="U428" s="209">
        <f>(U381-S381)/S381</f>
        <v>-0.16</v>
      </c>
    </row>
    <row r="429" spans="2:21" ht="11.25" customHeight="1">
      <c r="B429" s="55"/>
      <c r="C429" s="209"/>
      <c r="D429" s="205"/>
      <c r="E429" s="209"/>
      <c r="F429" s="199"/>
      <c r="G429" s="209"/>
      <c r="H429" s="234"/>
      <c r="I429" s="209"/>
      <c r="K429" s="209"/>
      <c r="M429" s="209"/>
      <c r="O429" s="209"/>
      <c r="P429" s="209"/>
      <c r="Q429" s="209"/>
      <c r="S429" s="209"/>
      <c r="U429" s="209"/>
    </row>
    <row r="430" spans="1:21" ht="11.25" customHeight="1">
      <c r="A430" s="118" t="s">
        <v>86</v>
      </c>
      <c r="B430" s="55"/>
      <c r="C430" s="209" t="s">
        <v>85</v>
      </c>
      <c r="D430" s="205"/>
      <c r="E430" s="209" t="s">
        <v>85</v>
      </c>
      <c r="F430" s="199"/>
      <c r="G430" s="209" t="s">
        <v>85</v>
      </c>
      <c r="H430" s="234"/>
      <c r="I430" s="209" t="s">
        <v>85</v>
      </c>
      <c r="K430" s="209" t="s">
        <v>85</v>
      </c>
      <c r="M430" s="209">
        <f>(M383-K383)/K383</f>
        <v>0.118</v>
      </c>
      <c r="O430" s="209">
        <f>(O383-M383)/M383</f>
        <v>0.055</v>
      </c>
      <c r="P430" s="209"/>
      <c r="Q430" s="209">
        <f>(Q383-O383)/O383</f>
        <v>0.018</v>
      </c>
      <c r="S430" s="209">
        <f>(S383-Q383)/Q383</f>
        <v>-0.019</v>
      </c>
      <c r="U430" s="209">
        <f>(U383-S383)/S383</f>
        <v>-0.058</v>
      </c>
    </row>
    <row r="431" spans="2:21" ht="11.25" customHeight="1">
      <c r="B431" s="55"/>
      <c r="C431" s="209"/>
      <c r="D431" s="205"/>
      <c r="E431" s="209"/>
      <c r="F431" s="199"/>
      <c r="G431" s="209"/>
      <c r="H431" s="234"/>
      <c r="I431" s="209"/>
      <c r="K431" s="209"/>
      <c r="M431" s="209"/>
      <c r="O431" s="209"/>
      <c r="P431" s="209"/>
      <c r="Q431" s="209"/>
      <c r="S431" s="209"/>
      <c r="U431" s="209"/>
    </row>
    <row r="432" spans="1:21" ht="11.25" customHeight="1">
      <c r="A432" s="118" t="s">
        <v>2</v>
      </c>
      <c r="B432" s="55"/>
      <c r="C432" s="209">
        <v>0.044</v>
      </c>
      <c r="D432" s="205"/>
      <c r="E432" s="209">
        <f>(E385-C385)/C385</f>
        <v>0.019</v>
      </c>
      <c r="F432" s="199"/>
      <c r="G432" s="209">
        <f>(G385-E385)/E385</f>
        <v>0.081</v>
      </c>
      <c r="H432" s="234"/>
      <c r="I432" s="209">
        <f>(I385-G385)/G385</f>
        <v>-0.016</v>
      </c>
      <c r="K432" s="209">
        <f>(K385-I385)/I385</f>
        <v>-0.044</v>
      </c>
      <c r="M432" s="209">
        <f>(M385-K385)/K385</f>
        <v>0.059</v>
      </c>
      <c r="O432" s="209">
        <f>(O385-M385)/M385</f>
        <v>0.065</v>
      </c>
      <c r="P432" s="209"/>
      <c r="Q432" s="209">
        <f>(Q385-O385)/O385</f>
        <v>0.06</v>
      </c>
      <c r="S432" s="209">
        <f>(S385-Q385)/Q385</f>
        <v>-0.071</v>
      </c>
      <c r="U432" s="209">
        <f>(U385-S385)/S385</f>
        <v>-0.153</v>
      </c>
    </row>
    <row r="433" spans="2:21" ht="11.25" customHeight="1">
      <c r="B433" s="55"/>
      <c r="C433" s="209"/>
      <c r="D433" s="205"/>
      <c r="E433" s="209"/>
      <c r="F433" s="199"/>
      <c r="G433" s="209"/>
      <c r="H433" s="234"/>
      <c r="I433" s="209"/>
      <c r="K433" s="209"/>
      <c r="M433" s="209"/>
      <c r="O433" s="209"/>
      <c r="P433" s="209"/>
      <c r="Q433" s="209"/>
      <c r="S433" s="209"/>
      <c r="U433" s="209"/>
    </row>
    <row r="434" spans="1:21" ht="11.25" customHeight="1">
      <c r="A434" s="118" t="s">
        <v>54</v>
      </c>
      <c r="B434" s="55"/>
      <c r="C434" s="209">
        <v>0.001</v>
      </c>
      <c r="D434" s="205"/>
      <c r="E434" s="209">
        <f>(E387-C387)/C387</f>
        <v>-0.043</v>
      </c>
      <c r="F434" s="199"/>
      <c r="G434" s="209">
        <f>(G387-E387)/E387</f>
        <v>-0.013</v>
      </c>
      <c r="H434" s="234"/>
      <c r="I434" s="209" t="s">
        <v>85</v>
      </c>
      <c r="K434" s="209" t="s">
        <v>85</v>
      </c>
      <c r="M434" s="209" t="s">
        <v>85</v>
      </c>
      <c r="O434" s="209" t="s">
        <v>85</v>
      </c>
      <c r="P434" s="209"/>
      <c r="Q434" s="209" t="s">
        <v>85</v>
      </c>
      <c r="S434" s="209" t="s">
        <v>85</v>
      </c>
      <c r="U434" s="209" t="s">
        <v>85</v>
      </c>
    </row>
    <row r="435" spans="2:21" ht="11.25" customHeight="1">
      <c r="B435" s="55"/>
      <c r="C435" s="209"/>
      <c r="D435" s="205"/>
      <c r="E435" s="209"/>
      <c r="F435" s="199"/>
      <c r="G435" s="209"/>
      <c r="H435" s="234"/>
      <c r="I435" s="209"/>
      <c r="K435" s="209"/>
      <c r="M435" s="209"/>
      <c r="O435" s="209"/>
      <c r="P435" s="209"/>
      <c r="Q435" s="209"/>
      <c r="S435" s="209"/>
      <c r="U435" s="209"/>
    </row>
    <row r="436" spans="1:21" ht="11.25" customHeight="1">
      <c r="A436" s="118" t="s">
        <v>3</v>
      </c>
      <c r="B436" s="55"/>
      <c r="C436" s="209">
        <v>0.07</v>
      </c>
      <c r="D436" s="205"/>
      <c r="E436" s="209">
        <f>(E389-C389)/C389</f>
        <v>0.009</v>
      </c>
      <c r="F436" s="199"/>
      <c r="G436" s="209">
        <f>(G389-E389)/E389</f>
        <v>0.101</v>
      </c>
      <c r="H436" s="234"/>
      <c r="I436" s="209">
        <f>(I389-G389)/G389</f>
        <v>0.002</v>
      </c>
      <c r="K436" s="209">
        <f>(K389-I389)/I389</f>
        <v>0</v>
      </c>
      <c r="M436" s="209">
        <f>(M389-K389)/K389</f>
        <v>0.058</v>
      </c>
      <c r="O436" s="209">
        <f>(O389-M389)/M389</f>
        <v>0.068</v>
      </c>
      <c r="P436" s="209"/>
      <c r="Q436" s="209">
        <f>(Q389-O389)/O389</f>
        <v>0.02</v>
      </c>
      <c r="S436" s="209">
        <f>(S389-Q389)/Q389</f>
        <v>0.05</v>
      </c>
      <c r="U436" s="209">
        <f>(U389-S389)/S389</f>
        <v>-0.098</v>
      </c>
    </row>
    <row r="437" spans="2:21" ht="11.25" customHeight="1">
      <c r="B437" s="55"/>
      <c r="C437" s="209"/>
      <c r="D437" s="205"/>
      <c r="E437" s="209"/>
      <c r="F437" s="199"/>
      <c r="G437" s="209"/>
      <c r="H437" s="234"/>
      <c r="I437" s="209"/>
      <c r="K437" s="209"/>
      <c r="M437" s="209"/>
      <c r="O437" s="209"/>
      <c r="P437" s="209"/>
      <c r="Q437" s="209"/>
      <c r="S437" s="209"/>
      <c r="U437" s="209"/>
    </row>
    <row r="438" spans="1:21" ht="11.25" customHeight="1">
      <c r="A438" s="118" t="s">
        <v>4</v>
      </c>
      <c r="B438" s="55"/>
      <c r="C438" s="209">
        <f>(C391-221015)/221015</f>
        <v>0.067</v>
      </c>
      <c r="D438" s="205"/>
      <c r="E438" s="209">
        <f>(E391-C391)/C391</f>
        <v>0.022</v>
      </c>
      <c r="F438" s="199"/>
      <c r="G438" s="209">
        <f>(G391-E391)/E391</f>
        <v>0.075</v>
      </c>
      <c r="H438" s="234"/>
      <c r="I438" s="209">
        <f>(I391-G391)/G391</f>
        <v>-0.112</v>
      </c>
      <c r="K438" s="209">
        <f>(K391-I391)/I391</f>
        <v>0.077</v>
      </c>
      <c r="M438" s="209">
        <f>(M391-K391)/K391</f>
        <v>0.082</v>
      </c>
      <c r="O438" s="209">
        <f>(O391-M391)/M391</f>
        <v>0.044</v>
      </c>
      <c r="P438" s="209"/>
      <c r="Q438" s="209">
        <f>(Q391-O391)/O391</f>
        <v>-0.012</v>
      </c>
      <c r="S438" s="209">
        <f>(S391-Q391)/Q391</f>
        <v>-0.168</v>
      </c>
      <c r="U438" s="209">
        <f>(U391-S391)/S391</f>
        <v>-0.176</v>
      </c>
    </row>
    <row r="439" spans="2:21" ht="11.25" customHeight="1">
      <c r="B439" s="55"/>
      <c r="C439" s="209"/>
      <c r="D439" s="205"/>
      <c r="E439" s="209"/>
      <c r="F439" s="199"/>
      <c r="G439" s="209"/>
      <c r="H439" s="234"/>
      <c r="I439" s="209"/>
      <c r="K439" s="209"/>
      <c r="M439" s="209"/>
      <c r="O439" s="209"/>
      <c r="P439" s="209"/>
      <c r="Q439" s="209"/>
      <c r="S439" s="209"/>
      <c r="U439" s="209"/>
    </row>
    <row r="440" spans="1:21" ht="11.25" customHeight="1">
      <c r="A440" s="118" t="s">
        <v>90</v>
      </c>
      <c r="B440" s="55"/>
      <c r="C440" s="209">
        <v>0.01</v>
      </c>
      <c r="D440" s="205"/>
      <c r="E440" s="209">
        <f>(E393-C393)/C393</f>
        <v>0.011</v>
      </c>
      <c r="F440" s="199"/>
      <c r="G440" s="209">
        <f>(G393-E393)/E393</f>
        <v>-0.112</v>
      </c>
      <c r="H440" s="234"/>
      <c r="I440" s="209">
        <f>(I393-G393)/G393</f>
        <v>-0.113</v>
      </c>
      <c r="K440" s="209">
        <f>(K393-I393)/I393</f>
        <v>0.023</v>
      </c>
      <c r="M440" s="209">
        <f>(M393-K393)/K393</f>
        <v>-0.074</v>
      </c>
      <c r="O440" s="209">
        <f>(O393-M393)/M393</f>
        <v>-0.159</v>
      </c>
      <c r="P440" s="209"/>
      <c r="Q440" s="209" t="s">
        <v>85</v>
      </c>
      <c r="S440" s="209" t="s">
        <v>85</v>
      </c>
      <c r="U440" s="209" t="s">
        <v>85</v>
      </c>
    </row>
    <row r="441" spans="2:21" ht="11.25" customHeight="1">
      <c r="B441" s="55"/>
      <c r="C441" s="209"/>
      <c r="D441" s="205"/>
      <c r="E441" s="209"/>
      <c r="F441" s="199"/>
      <c r="G441" s="209"/>
      <c r="H441" s="234"/>
      <c r="I441" s="209"/>
      <c r="K441" s="209"/>
      <c r="M441" s="209"/>
      <c r="O441" s="209"/>
      <c r="P441" s="209"/>
      <c r="Q441" s="209"/>
      <c r="S441" s="209"/>
      <c r="U441" s="209"/>
    </row>
    <row r="442" spans="1:21" ht="11.25" customHeight="1">
      <c r="A442" s="118" t="s">
        <v>5</v>
      </c>
      <c r="B442" s="55"/>
      <c r="C442" s="209">
        <v>-0.02</v>
      </c>
      <c r="D442" s="205"/>
      <c r="E442" s="209">
        <f>(E395-C395)/C395</f>
        <v>0.012</v>
      </c>
      <c r="F442" s="199"/>
      <c r="G442" s="209">
        <f>(G395-E395)/E395</f>
        <v>0.049</v>
      </c>
      <c r="H442" s="234"/>
      <c r="I442" s="209">
        <f>(I395-G395)/G395</f>
        <v>0.021</v>
      </c>
      <c r="K442" s="209">
        <f>(K395-I395)/I395</f>
        <v>0.043</v>
      </c>
      <c r="M442" s="209">
        <f>(M395-K395)/K395</f>
        <v>0.057</v>
      </c>
      <c r="O442" s="209">
        <f>(O395-M395)/M395</f>
        <v>0.038</v>
      </c>
      <c r="P442" s="209"/>
      <c r="Q442" s="209">
        <f>(Q395-O395)/O395</f>
        <v>-0.051</v>
      </c>
      <c r="S442" s="209">
        <f>(S395-Q395)/Q395</f>
        <v>-0.111</v>
      </c>
      <c r="U442" s="209">
        <f>(U395-S395)/S395</f>
        <v>-0.123</v>
      </c>
    </row>
    <row r="443" spans="2:21" ht="11.25" customHeight="1">
      <c r="B443" s="55"/>
      <c r="C443" s="209"/>
      <c r="D443" s="205"/>
      <c r="E443" s="209"/>
      <c r="F443" s="199"/>
      <c r="G443" s="209"/>
      <c r="H443" s="234"/>
      <c r="I443" s="209"/>
      <c r="K443" s="209"/>
      <c r="M443" s="209"/>
      <c r="O443" s="209"/>
      <c r="P443" s="209"/>
      <c r="Q443" s="209"/>
      <c r="S443" s="209"/>
      <c r="U443" s="209"/>
    </row>
    <row r="444" spans="1:21" ht="11.25" customHeight="1">
      <c r="A444" s="129" t="s">
        <v>6</v>
      </c>
      <c r="B444" s="55"/>
      <c r="C444" s="209">
        <v>0.076</v>
      </c>
      <c r="D444" s="205"/>
      <c r="E444" s="209">
        <f>(E397-C397)/C397</f>
        <v>-0.023</v>
      </c>
      <c r="F444" s="199"/>
      <c r="G444" s="209">
        <f>(G397-E397)/E397</f>
        <v>-0.021</v>
      </c>
      <c r="H444" s="234"/>
      <c r="I444" s="209">
        <f>(I397-G397)/G397</f>
        <v>-0.079</v>
      </c>
      <c r="K444" s="209">
        <f>(K397-I397)/I397</f>
        <v>-0.023</v>
      </c>
      <c r="M444" s="209">
        <f>(M397-K397)/K397</f>
        <v>0.208</v>
      </c>
      <c r="O444" s="209">
        <f>(O397-M397)/M397</f>
        <v>0.033</v>
      </c>
      <c r="P444" s="209"/>
      <c r="Q444" s="209">
        <f>(Q397-O397)/O397</f>
        <v>-0.12</v>
      </c>
      <c r="S444" s="209">
        <f>(S397-Q397)/Q397</f>
        <v>-0.119</v>
      </c>
      <c r="U444" s="209">
        <f>(U397-S397)/S397</f>
        <v>-0.124</v>
      </c>
    </row>
    <row r="445" spans="1:21" ht="11.25" customHeight="1">
      <c r="A445" s="55"/>
      <c r="B445" s="55"/>
      <c r="C445" s="209"/>
      <c r="D445" s="205"/>
      <c r="E445" s="209"/>
      <c r="F445" s="199"/>
      <c r="G445" s="209"/>
      <c r="H445" s="234"/>
      <c r="I445" s="209"/>
      <c r="K445" s="209"/>
      <c r="M445" s="209"/>
      <c r="O445" s="209"/>
      <c r="P445" s="209"/>
      <c r="Q445" s="209"/>
      <c r="S445" s="209"/>
      <c r="U445" s="209"/>
    </row>
    <row r="446" spans="1:21" ht="11.25" customHeight="1">
      <c r="A446" s="56" t="s">
        <v>24</v>
      </c>
      <c r="B446" s="55"/>
      <c r="C446" s="209">
        <v>-0.007</v>
      </c>
      <c r="D446" s="205"/>
      <c r="E446" s="209">
        <f>(E399-C399)/C399</f>
        <v>-0.003</v>
      </c>
      <c r="F446" s="199"/>
      <c r="G446" s="209">
        <f>(G399-E399)/E399</f>
        <v>0.058</v>
      </c>
      <c r="H446" s="234"/>
      <c r="I446" s="209">
        <f>(I399-G399)/G399</f>
        <v>-0.083</v>
      </c>
      <c r="K446" s="209">
        <f>(K399-I399)/I399</f>
        <v>0.007</v>
      </c>
      <c r="M446" s="209">
        <f>(M399-K399)/K399</f>
        <v>-0.043</v>
      </c>
      <c r="O446" s="209">
        <f>(O399-M399)/M399</f>
        <v>0.026</v>
      </c>
      <c r="P446" s="209"/>
      <c r="Q446" s="209">
        <f>(Q399-O399)/O399</f>
        <v>-0.062</v>
      </c>
      <c r="S446" s="209">
        <f>(S399-Q399)/Q399</f>
        <v>-0.16</v>
      </c>
      <c r="U446" s="209">
        <f>(U399-S399)/S399</f>
        <v>-0.202</v>
      </c>
    </row>
    <row r="447" spans="1:21" ht="11.25" customHeight="1">
      <c r="A447" s="55"/>
      <c r="B447" s="55"/>
      <c r="C447" s="209"/>
      <c r="D447" s="205"/>
      <c r="E447" s="209"/>
      <c r="F447" s="199"/>
      <c r="G447" s="209"/>
      <c r="H447" s="234"/>
      <c r="I447" s="209"/>
      <c r="K447" s="209"/>
      <c r="M447" s="209"/>
      <c r="O447" s="209"/>
      <c r="P447" s="209"/>
      <c r="Q447" s="209"/>
      <c r="S447" s="209"/>
      <c r="U447" s="209"/>
    </row>
    <row r="448" spans="1:21" ht="11.25" customHeight="1">
      <c r="A448" s="56" t="s">
        <v>7</v>
      </c>
      <c r="B448" s="55"/>
      <c r="C448" s="209">
        <v>-0.097</v>
      </c>
      <c r="D448" s="205"/>
      <c r="E448" s="209">
        <f>(E401-C401)/C401</f>
        <v>0.013</v>
      </c>
      <c r="F448" s="199"/>
      <c r="G448" s="209">
        <f>(G401-E401)/E401</f>
        <v>0.037</v>
      </c>
      <c r="H448" s="234"/>
      <c r="I448" s="209">
        <f>(I401-G401)/G401</f>
        <v>-0.069</v>
      </c>
      <c r="K448" s="209">
        <f>(K401-I401)/I401</f>
        <v>-0.001</v>
      </c>
      <c r="M448" s="209">
        <f>(M401-K401)/K401</f>
        <v>-0.043</v>
      </c>
      <c r="O448" s="209">
        <f>(O401-M401)/M401</f>
        <v>-0.005</v>
      </c>
      <c r="P448" s="209"/>
      <c r="Q448" s="209">
        <f>(Q401-O401)/O401</f>
        <v>-0.068</v>
      </c>
      <c r="S448" s="209">
        <f>(S401-Q401)/Q401</f>
        <v>-0.069</v>
      </c>
      <c r="U448" s="209">
        <f>(U401-S401)/S401</f>
        <v>-0.228</v>
      </c>
    </row>
    <row r="449" spans="1:21" ht="11.25" customHeight="1">
      <c r="A449" s="55"/>
      <c r="B449" s="55"/>
      <c r="C449" s="209"/>
      <c r="D449" s="205"/>
      <c r="E449" s="209"/>
      <c r="F449" s="202"/>
      <c r="G449" s="209"/>
      <c r="H449" s="234"/>
      <c r="I449" s="209"/>
      <c r="K449" s="209"/>
      <c r="M449" s="209"/>
      <c r="O449" s="209"/>
      <c r="P449" s="209"/>
      <c r="Q449" s="209"/>
      <c r="S449" s="209"/>
      <c r="U449" s="209"/>
    </row>
    <row r="450" spans="1:21" ht="11.25" customHeight="1">
      <c r="A450" s="56" t="s">
        <v>8</v>
      </c>
      <c r="B450" s="55"/>
      <c r="C450" s="209">
        <v>0.049</v>
      </c>
      <c r="D450" s="207"/>
      <c r="E450" s="209">
        <f>(E403-C403)/C403</f>
        <v>-0.025</v>
      </c>
      <c r="F450" s="202"/>
      <c r="G450" s="209">
        <f>(G403-E403)/E403</f>
        <v>0.008</v>
      </c>
      <c r="H450" s="234"/>
      <c r="I450" s="209">
        <f>(I403-G403)/G403</f>
        <v>-0.033</v>
      </c>
      <c r="K450" s="209">
        <f>(K403-I403)/I403</f>
        <v>-0.03</v>
      </c>
      <c r="M450" s="209">
        <f>(M403-K403)/K403</f>
        <v>0.033</v>
      </c>
      <c r="O450" s="209">
        <f>(O403-M403)/M403</f>
        <v>0.025</v>
      </c>
      <c r="P450" s="209"/>
      <c r="Q450" s="209">
        <f>(Q403-O403)/O403</f>
        <v>-0.041</v>
      </c>
      <c r="S450" s="209">
        <f>(S403-Q403)/Q403</f>
        <v>-0.054</v>
      </c>
      <c r="U450" s="209">
        <f>(U403-S403)/S403</f>
        <v>-0.075</v>
      </c>
    </row>
    <row r="451" spans="1:21" ht="11.25" customHeight="1">
      <c r="A451" s="55"/>
      <c r="B451" s="55"/>
      <c r="C451" s="209"/>
      <c r="D451" s="208"/>
      <c r="E451" s="209"/>
      <c r="F451" s="202"/>
      <c r="G451" s="209"/>
      <c r="H451" s="234"/>
      <c r="I451" s="209"/>
      <c r="K451" s="209"/>
      <c r="M451" s="209"/>
      <c r="O451" s="209"/>
      <c r="P451" s="209"/>
      <c r="Q451" s="209"/>
      <c r="S451" s="209"/>
      <c r="U451" s="209"/>
    </row>
    <row r="452" spans="1:21" ht="11.25" customHeight="1">
      <c r="A452" s="118" t="s">
        <v>17</v>
      </c>
      <c r="B452" s="55"/>
      <c r="C452" s="209">
        <f>(C405-4093215)/4093215</f>
        <v>0.031</v>
      </c>
      <c r="D452" s="207"/>
      <c r="E452" s="209">
        <f>(E405-C405)/C405</f>
        <v>0</v>
      </c>
      <c r="F452" s="202"/>
      <c r="G452" s="209">
        <f>(G405-E405)/E405</f>
        <v>0.024</v>
      </c>
      <c r="H452" s="234"/>
      <c r="I452" s="209">
        <f>(I405-G405)/G405</f>
        <v>0.024</v>
      </c>
      <c r="K452" s="209">
        <f>(K405-I405)/I405</f>
        <v>0.071</v>
      </c>
      <c r="M452" s="209">
        <f>(M405-K405)/K405</f>
        <v>0.046</v>
      </c>
      <c r="O452" s="209">
        <f>(O405-M405)/M405</f>
        <v>0.042</v>
      </c>
      <c r="P452" s="209"/>
      <c r="Q452" s="209">
        <f>(Q405-O405)/O405</f>
        <v>-0.054</v>
      </c>
      <c r="S452" s="209">
        <f>(S405-Q405)/Q405</f>
        <v>-0.08</v>
      </c>
      <c r="U452" s="209">
        <f>(U405-S405)/S405</f>
        <v>-0.131</v>
      </c>
    </row>
    <row r="453" spans="1:6" ht="12" customHeight="1">
      <c r="A453" s="138" t="s">
        <v>75</v>
      </c>
      <c r="B453" s="55"/>
      <c r="C453" s="76"/>
      <c r="D453" s="75"/>
      <c r="E453" s="76"/>
      <c r="F453" s="17"/>
    </row>
    <row r="454" spans="1:6" ht="11.25" customHeight="1">
      <c r="A454" s="118" t="s">
        <v>56</v>
      </c>
      <c r="C454" s="55"/>
      <c r="D454" s="55"/>
      <c r="E454" s="55"/>
      <c r="F454" s="1"/>
    </row>
    <row r="455" spans="1:6" ht="11.25" customHeight="1">
      <c r="A455" s="52" t="s">
        <v>52</v>
      </c>
      <c r="B455" s="55"/>
      <c r="C455" s="55"/>
      <c r="D455" s="55"/>
      <c r="E455" s="55"/>
      <c r="F455" s="1"/>
    </row>
    <row r="456" spans="1:6" ht="11.25" customHeight="1">
      <c r="A456" s="55" t="s">
        <v>80</v>
      </c>
      <c r="B456" s="55"/>
      <c r="C456" s="55"/>
      <c r="D456" s="55"/>
      <c r="E456" s="55"/>
      <c r="F456" s="1"/>
    </row>
    <row r="457" spans="1:6" ht="11.25" customHeight="1">
      <c r="A457" s="56" t="s">
        <v>87</v>
      </c>
      <c r="B457" s="55"/>
      <c r="C457" s="55"/>
      <c r="D457" s="55"/>
      <c r="E457" s="55"/>
      <c r="F457" s="1"/>
    </row>
    <row r="458" spans="1:6" ht="12" customHeight="1">
      <c r="A458" s="56" t="s">
        <v>93</v>
      </c>
      <c r="B458" s="55"/>
      <c r="C458" s="55"/>
      <c r="D458" s="55"/>
      <c r="E458" s="55"/>
      <c r="F458" s="1"/>
    </row>
    <row r="459" spans="1:6" ht="12" customHeight="1">
      <c r="A459" s="56"/>
      <c r="B459" s="55"/>
      <c r="C459" s="55"/>
      <c r="D459" s="55"/>
      <c r="E459" s="55"/>
      <c r="F459" s="1"/>
    </row>
    <row r="460" spans="1:16" ht="11.25" customHeight="1">
      <c r="A460" s="83" t="s">
        <v>0</v>
      </c>
      <c r="B460" s="84"/>
      <c r="C460" s="84"/>
      <c r="D460" s="84"/>
      <c r="E460" s="84"/>
      <c r="F460" s="84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1:16" ht="11.25" customHeight="1">
      <c r="A461" t="s">
        <v>97</v>
      </c>
      <c r="B461" s="97"/>
      <c r="C461" s="97"/>
      <c r="D461" s="84"/>
      <c r="E461" s="84"/>
      <c r="F461" s="84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1:16" ht="11.25" customHeight="1">
      <c r="A462" s="85" t="str">
        <f>A3</f>
        <v>2000 - 2009</v>
      </c>
      <c r="B462" s="84"/>
      <c r="C462" s="84"/>
      <c r="D462" s="84"/>
      <c r="E462" s="84"/>
      <c r="F462" s="84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1:16" ht="11.25" customHeight="1">
      <c r="A463" s="41"/>
      <c r="B463" s="84"/>
      <c r="C463" s="84"/>
      <c r="D463" s="84"/>
      <c r="E463" s="84"/>
      <c r="F463" s="84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1:16" ht="11.25" customHeight="1">
      <c r="A464" s="41"/>
      <c r="B464" s="84"/>
      <c r="C464" s="84"/>
      <c r="D464" s="84"/>
      <c r="E464" s="84"/>
      <c r="F464" s="84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1:21" ht="11.25" customHeight="1">
      <c r="A465" s="84"/>
      <c r="B465" s="84"/>
      <c r="C465" s="86">
        <v>2000</v>
      </c>
      <c r="D465" s="84"/>
      <c r="E465" s="86">
        <v>2001</v>
      </c>
      <c r="F465" s="84"/>
      <c r="G465" s="86" t="s">
        <v>105</v>
      </c>
      <c r="H465" s="10"/>
      <c r="I465" s="86">
        <v>2003</v>
      </c>
      <c r="J465" s="10"/>
      <c r="K465" s="86">
        <v>2004</v>
      </c>
      <c r="L465"/>
      <c r="M465" s="86">
        <v>2005</v>
      </c>
      <c r="N465" s="10"/>
      <c r="O465" s="46">
        <v>2006</v>
      </c>
      <c r="P465" s="255"/>
      <c r="Q465" s="46">
        <v>2007</v>
      </c>
      <c r="S465" s="46">
        <v>2008</v>
      </c>
      <c r="U465" s="46">
        <v>2009</v>
      </c>
    </row>
    <row r="466" spans="1:16" ht="11.25" customHeight="1">
      <c r="A466" s="84"/>
      <c r="B466" s="84"/>
      <c r="C466" s="84"/>
      <c r="D466" s="84"/>
      <c r="E466" s="84"/>
      <c r="F466" s="84"/>
      <c r="G466" s="84"/>
      <c r="H466" s="10"/>
      <c r="I466" s="84"/>
      <c r="J466" s="10"/>
      <c r="K466" s="84"/>
      <c r="L466" s="10"/>
      <c r="M466" s="10"/>
      <c r="N466" s="10"/>
      <c r="O466" s="10"/>
      <c r="P466" s="10"/>
    </row>
    <row r="467" spans="1:21" ht="11.25" customHeight="1">
      <c r="A467" s="83" t="s">
        <v>81</v>
      </c>
      <c r="B467" s="84"/>
      <c r="C467" s="87">
        <v>0.086</v>
      </c>
      <c r="D467" s="88"/>
      <c r="E467" s="87">
        <v>0.101</v>
      </c>
      <c r="F467" s="88"/>
      <c r="G467" s="87">
        <v>0.105</v>
      </c>
      <c r="H467" s="10"/>
      <c r="I467" s="87">
        <v>0.097</v>
      </c>
      <c r="J467" s="10"/>
      <c r="K467" s="87">
        <v>0.093</v>
      </c>
      <c r="L467" s="10"/>
      <c r="M467" s="87">
        <v>0.085</v>
      </c>
      <c r="N467" s="10"/>
      <c r="O467" s="87">
        <v>0.069</v>
      </c>
      <c r="P467" s="87"/>
      <c r="Q467" s="266">
        <v>0.064</v>
      </c>
      <c r="S467" s="266">
        <v>0.074</v>
      </c>
      <c r="U467" s="266">
        <v>0.088</v>
      </c>
    </row>
    <row r="468" spans="1:21" ht="11.25" customHeight="1">
      <c r="A468" s="84"/>
      <c r="B468" s="84"/>
      <c r="C468" s="87"/>
      <c r="D468" s="88"/>
      <c r="E468" s="87"/>
      <c r="F468" s="88"/>
      <c r="G468" s="87"/>
      <c r="H468" s="10"/>
      <c r="I468" s="87"/>
      <c r="J468" s="10"/>
      <c r="K468" s="87"/>
      <c r="L468" s="10"/>
      <c r="M468" s="87"/>
      <c r="N468" s="10"/>
      <c r="O468" s="87" t="s">
        <v>10</v>
      </c>
      <c r="P468" s="87"/>
      <c r="Q468" s="266"/>
      <c r="S468" s="266"/>
      <c r="U468" s="266"/>
    </row>
    <row r="469" spans="1:21" ht="11.25" customHeight="1">
      <c r="A469" s="83" t="s">
        <v>101</v>
      </c>
      <c r="B469" s="84"/>
      <c r="C469" s="87">
        <v>0.097</v>
      </c>
      <c r="D469" s="88"/>
      <c r="E469" s="87">
        <v>0.107</v>
      </c>
      <c r="F469" s="88"/>
      <c r="G469" s="87">
        <v>0.083</v>
      </c>
      <c r="H469" s="10"/>
      <c r="I469" s="87">
        <v>0.1</v>
      </c>
      <c r="J469" s="10"/>
      <c r="K469" s="87">
        <v>0.104</v>
      </c>
      <c r="L469" s="10"/>
      <c r="M469" s="87">
        <v>0.101</v>
      </c>
      <c r="N469" s="10"/>
      <c r="O469" s="87">
        <v>0.095</v>
      </c>
      <c r="P469" s="87"/>
      <c r="Q469" s="266">
        <v>0.101</v>
      </c>
      <c r="S469" s="266">
        <v>0.105</v>
      </c>
      <c r="U469" s="266">
        <v>0.113</v>
      </c>
    </row>
    <row r="470" spans="1:21" ht="11.25" customHeight="1">
      <c r="A470" s="83"/>
      <c r="B470" s="84"/>
      <c r="C470" s="87"/>
      <c r="D470" s="88"/>
      <c r="E470" s="87"/>
      <c r="F470" s="88"/>
      <c r="G470" s="87"/>
      <c r="H470" s="10"/>
      <c r="I470" s="87"/>
      <c r="J470" s="10"/>
      <c r="K470" s="87"/>
      <c r="L470" s="10"/>
      <c r="M470" s="87"/>
      <c r="N470" s="10"/>
      <c r="O470" s="87"/>
      <c r="P470" s="87"/>
      <c r="Q470" s="266" t="s">
        <v>10</v>
      </c>
      <c r="S470" s="266" t="s">
        <v>10</v>
      </c>
      <c r="U470" s="266" t="s">
        <v>10</v>
      </c>
    </row>
    <row r="471" spans="1:21" ht="11.25" customHeight="1">
      <c r="A471" s="83" t="s">
        <v>86</v>
      </c>
      <c r="B471" s="84"/>
      <c r="C471" s="87" t="s">
        <v>96</v>
      </c>
      <c r="D471" s="88"/>
      <c r="E471" s="87" t="s">
        <v>96</v>
      </c>
      <c r="F471" s="88"/>
      <c r="G471" s="87" t="s">
        <v>96</v>
      </c>
      <c r="H471" s="10"/>
      <c r="I471" s="87">
        <v>0.167</v>
      </c>
      <c r="J471" s="10"/>
      <c r="K471" s="87">
        <v>0.168</v>
      </c>
      <c r="L471" s="10"/>
      <c r="M471" s="87">
        <v>0.164</v>
      </c>
      <c r="N471" s="10"/>
      <c r="O471" s="87">
        <v>0.174</v>
      </c>
      <c r="P471" s="87"/>
      <c r="Q471" s="266">
        <v>0.18</v>
      </c>
      <c r="S471" s="266">
        <v>0.196</v>
      </c>
      <c r="U471" s="266">
        <v>0.195</v>
      </c>
    </row>
    <row r="472" spans="1:21" ht="11.25" customHeight="1">
      <c r="A472" s="84"/>
      <c r="B472" s="84"/>
      <c r="C472" s="87"/>
      <c r="D472" s="88"/>
      <c r="E472" s="87"/>
      <c r="F472" s="88"/>
      <c r="G472" s="87"/>
      <c r="H472" s="10"/>
      <c r="I472" s="87"/>
      <c r="J472" s="10"/>
      <c r="K472" s="87"/>
      <c r="L472" s="10"/>
      <c r="M472" s="87"/>
      <c r="N472" s="10"/>
      <c r="O472" s="87"/>
      <c r="P472" s="87"/>
      <c r="Q472" s="266" t="s">
        <v>10</v>
      </c>
      <c r="S472" s="266" t="s">
        <v>10</v>
      </c>
      <c r="U472" s="266" t="s">
        <v>10</v>
      </c>
    </row>
    <row r="473" spans="1:21" ht="11.25" customHeight="1">
      <c r="A473" s="83" t="s">
        <v>2</v>
      </c>
      <c r="B473" s="84"/>
      <c r="C473" s="87">
        <v>0.097</v>
      </c>
      <c r="D473" s="88"/>
      <c r="E473" s="87">
        <v>0.101</v>
      </c>
      <c r="F473" s="88"/>
      <c r="G473" s="87">
        <v>0.092</v>
      </c>
      <c r="H473" s="10"/>
      <c r="I473" s="87">
        <v>0.086</v>
      </c>
      <c r="J473" s="10"/>
      <c r="K473" s="87">
        <v>0.086</v>
      </c>
      <c r="L473" s="10"/>
      <c r="M473" s="87">
        <v>0.081</v>
      </c>
      <c r="N473" s="10"/>
      <c r="O473" s="87">
        <v>0.071</v>
      </c>
      <c r="P473" s="87"/>
      <c r="Q473" s="266">
        <v>0.072</v>
      </c>
      <c r="S473" s="266">
        <v>0.082</v>
      </c>
      <c r="U473" s="266">
        <v>0.089</v>
      </c>
    </row>
    <row r="474" spans="1:21" ht="11.25" customHeight="1">
      <c r="A474" s="84"/>
      <c r="B474" s="84"/>
      <c r="C474" s="87"/>
      <c r="D474" s="88"/>
      <c r="E474" s="87"/>
      <c r="F474" s="88"/>
      <c r="G474" s="87"/>
      <c r="H474" s="10"/>
      <c r="I474" s="87"/>
      <c r="J474" s="10"/>
      <c r="K474" s="87"/>
      <c r="L474" s="10"/>
      <c r="M474" s="87"/>
      <c r="N474" s="10"/>
      <c r="O474" s="87"/>
      <c r="P474" s="87"/>
      <c r="Q474" s="266" t="s">
        <v>10</v>
      </c>
      <c r="S474" s="266" t="s">
        <v>10</v>
      </c>
      <c r="U474" s="266" t="s">
        <v>10</v>
      </c>
    </row>
    <row r="475" spans="1:21" ht="11.25" customHeight="1">
      <c r="A475" s="83" t="s">
        <v>102</v>
      </c>
      <c r="B475" s="84"/>
      <c r="C475" s="87">
        <v>0.061</v>
      </c>
      <c r="D475" s="88"/>
      <c r="E475" s="87">
        <v>0.07</v>
      </c>
      <c r="F475" s="171"/>
      <c r="G475" s="87">
        <v>0.082</v>
      </c>
      <c r="H475" s="10"/>
      <c r="I475" s="209" t="s">
        <v>85</v>
      </c>
      <c r="J475" s="209" t="s">
        <v>10</v>
      </c>
      <c r="K475" s="209" t="s">
        <v>85</v>
      </c>
      <c r="L475" s="209" t="s">
        <v>10</v>
      </c>
      <c r="M475" s="209" t="s">
        <v>85</v>
      </c>
      <c r="N475" s="209" t="s">
        <v>10</v>
      </c>
      <c r="O475" s="209" t="s">
        <v>85</v>
      </c>
      <c r="P475" s="209" t="s">
        <v>10</v>
      </c>
      <c r="Q475" s="267" t="s">
        <v>85</v>
      </c>
      <c r="S475" s="267" t="s">
        <v>85</v>
      </c>
      <c r="U475" s="267" t="s">
        <v>85</v>
      </c>
    </row>
    <row r="476" spans="1:21" ht="11.25" customHeight="1">
      <c r="A476" s="84"/>
      <c r="B476" s="84"/>
      <c r="C476" s="87"/>
      <c r="D476" s="88"/>
      <c r="E476" s="87"/>
      <c r="F476" s="88"/>
      <c r="G476" s="87"/>
      <c r="H476" s="10"/>
      <c r="I476" s="87"/>
      <c r="J476" s="10"/>
      <c r="K476" s="87"/>
      <c r="L476" s="10"/>
      <c r="M476" s="87"/>
      <c r="N476" s="10"/>
      <c r="O476" s="87"/>
      <c r="P476" s="87"/>
      <c r="Q476" s="266" t="s">
        <v>10</v>
      </c>
      <c r="S476" s="266" t="s">
        <v>10</v>
      </c>
      <c r="U476" s="266" t="s">
        <v>10</v>
      </c>
    </row>
    <row r="477" spans="1:21" ht="11.25" customHeight="1">
      <c r="A477" s="83" t="s">
        <v>3</v>
      </c>
      <c r="B477" s="84"/>
      <c r="C477" s="87">
        <v>0.064</v>
      </c>
      <c r="D477" s="88"/>
      <c r="E477" s="87">
        <v>0.072</v>
      </c>
      <c r="F477" s="88"/>
      <c r="G477" s="87">
        <v>0.072</v>
      </c>
      <c r="H477" s="10"/>
      <c r="I477" s="87">
        <v>0.069</v>
      </c>
      <c r="J477" s="10"/>
      <c r="K477" s="87">
        <v>0.074</v>
      </c>
      <c r="L477" s="10"/>
      <c r="M477" s="87">
        <v>0.071</v>
      </c>
      <c r="N477" s="10"/>
      <c r="O477" s="87">
        <v>0.068</v>
      </c>
      <c r="P477" s="87"/>
      <c r="Q477" s="266">
        <v>0.087</v>
      </c>
      <c r="S477" s="266">
        <v>0.121</v>
      </c>
      <c r="U477" s="266">
        <v>0.149</v>
      </c>
    </row>
    <row r="478" spans="1:21" ht="11.25" customHeight="1">
      <c r="A478" s="84"/>
      <c r="B478" s="84"/>
      <c r="C478" s="87"/>
      <c r="D478" s="88"/>
      <c r="E478" s="87"/>
      <c r="F478" s="88"/>
      <c r="G478" s="87"/>
      <c r="H478" s="10"/>
      <c r="I478" s="87"/>
      <c r="J478" s="10"/>
      <c r="K478" s="87"/>
      <c r="L478" s="10"/>
      <c r="M478" s="87"/>
      <c r="N478" s="10"/>
      <c r="O478" s="87"/>
      <c r="P478" s="87"/>
      <c r="Q478" s="266" t="s">
        <v>10</v>
      </c>
      <c r="S478" s="266" t="s">
        <v>10</v>
      </c>
      <c r="U478" s="266" t="s">
        <v>10</v>
      </c>
    </row>
    <row r="479" spans="1:21" ht="11.25" customHeight="1">
      <c r="A479" s="83" t="s">
        <v>4</v>
      </c>
      <c r="B479" s="84"/>
      <c r="C479" s="87">
        <v>0.083</v>
      </c>
      <c r="D479" s="88"/>
      <c r="E479" s="87">
        <v>0.074</v>
      </c>
      <c r="F479" s="88"/>
      <c r="G479" s="87">
        <v>0.064</v>
      </c>
      <c r="H479" s="10"/>
      <c r="I479" s="87">
        <v>0.062</v>
      </c>
      <c r="J479" s="10"/>
      <c r="K479" s="87">
        <v>0.08</v>
      </c>
      <c r="L479" s="10"/>
      <c r="M479" s="87">
        <v>0.082</v>
      </c>
      <c r="N479" s="10"/>
      <c r="O479" s="87">
        <v>0.074</v>
      </c>
      <c r="P479" s="87"/>
      <c r="Q479" s="266">
        <v>0.062</v>
      </c>
      <c r="S479" s="266">
        <v>0.07</v>
      </c>
      <c r="U479" s="266">
        <v>0.087</v>
      </c>
    </row>
    <row r="480" spans="1:21" ht="11.25" customHeight="1">
      <c r="A480" s="84"/>
      <c r="B480" s="84"/>
      <c r="C480" s="87"/>
      <c r="D480" s="88"/>
      <c r="E480" s="87"/>
      <c r="F480" s="88"/>
      <c r="G480" s="87"/>
      <c r="H480" s="10"/>
      <c r="I480" s="87"/>
      <c r="J480" s="10"/>
      <c r="K480" s="87"/>
      <c r="L480" s="10"/>
      <c r="M480" s="87"/>
      <c r="N480" s="10"/>
      <c r="O480" s="87"/>
      <c r="P480" s="87"/>
      <c r="Q480" s="266" t="s">
        <v>10</v>
      </c>
      <c r="S480" s="266" t="s">
        <v>10</v>
      </c>
      <c r="U480" s="266" t="s">
        <v>10</v>
      </c>
    </row>
    <row r="481" spans="1:21" ht="11.25" customHeight="1">
      <c r="A481" s="40" t="s">
        <v>91</v>
      </c>
      <c r="B481" s="84"/>
      <c r="C481" s="87">
        <v>0.073</v>
      </c>
      <c r="D481" s="88"/>
      <c r="E481" s="87">
        <v>0.09</v>
      </c>
      <c r="F481" s="88"/>
      <c r="G481" s="87">
        <v>0.095</v>
      </c>
      <c r="H481" s="10"/>
      <c r="I481" s="87">
        <v>0.091</v>
      </c>
      <c r="J481" s="10"/>
      <c r="K481" s="87">
        <v>0.092</v>
      </c>
      <c r="L481" s="10"/>
      <c r="M481" s="87">
        <v>0.095</v>
      </c>
      <c r="N481" s="10"/>
      <c r="O481" s="87">
        <v>0.094</v>
      </c>
      <c r="P481" s="87"/>
      <c r="Q481" s="267" t="s">
        <v>85</v>
      </c>
      <c r="S481" s="267" t="s">
        <v>85</v>
      </c>
      <c r="U481" s="267" t="s">
        <v>85</v>
      </c>
    </row>
    <row r="482" spans="1:21" ht="11.25" customHeight="1">
      <c r="A482" s="84"/>
      <c r="B482" s="84"/>
      <c r="C482" s="87"/>
      <c r="D482" s="88"/>
      <c r="E482" s="87"/>
      <c r="F482" s="88"/>
      <c r="G482" s="87"/>
      <c r="H482" s="10"/>
      <c r="I482" s="87"/>
      <c r="J482" s="10"/>
      <c r="K482" s="87"/>
      <c r="L482" s="10"/>
      <c r="M482" s="87"/>
      <c r="N482" s="10"/>
      <c r="O482" s="87"/>
      <c r="P482" s="87"/>
      <c r="Q482" s="266" t="s">
        <v>10</v>
      </c>
      <c r="S482" s="266" t="s">
        <v>10</v>
      </c>
      <c r="U482" s="266" t="s">
        <v>10</v>
      </c>
    </row>
    <row r="483" spans="1:21" ht="11.25" customHeight="1">
      <c r="A483" s="83" t="s">
        <v>5</v>
      </c>
      <c r="B483" s="84"/>
      <c r="C483" s="87">
        <v>0.063</v>
      </c>
      <c r="D483" s="88"/>
      <c r="E483" s="87">
        <v>0.067</v>
      </c>
      <c r="F483" s="88"/>
      <c r="G483" s="87">
        <v>0.066</v>
      </c>
      <c r="H483" s="10"/>
      <c r="I483" s="87">
        <v>0.072</v>
      </c>
      <c r="J483" s="10"/>
      <c r="K483" s="87">
        <v>0.075</v>
      </c>
      <c r="L483" s="10"/>
      <c r="M483" s="87">
        <v>0.077</v>
      </c>
      <c r="N483" s="10"/>
      <c r="O483" s="87">
        <v>0.076</v>
      </c>
      <c r="P483" s="87"/>
      <c r="Q483" s="266">
        <v>0.094</v>
      </c>
      <c r="S483" s="266">
        <v>0.113</v>
      </c>
      <c r="U483" s="266">
        <v>0.123</v>
      </c>
    </row>
    <row r="484" spans="1:21" ht="11.25" customHeight="1">
      <c r="A484" s="84"/>
      <c r="B484" s="84"/>
      <c r="C484" s="87"/>
      <c r="D484" s="88"/>
      <c r="E484" s="87"/>
      <c r="F484" s="88"/>
      <c r="G484" s="87"/>
      <c r="H484" s="10"/>
      <c r="I484" s="87"/>
      <c r="J484" s="10"/>
      <c r="K484" s="87"/>
      <c r="L484" s="10"/>
      <c r="M484" s="87"/>
      <c r="N484" s="10"/>
      <c r="O484" s="87"/>
      <c r="P484" s="87"/>
      <c r="Q484" s="266" t="s">
        <v>10</v>
      </c>
      <c r="S484" s="266" t="s">
        <v>10</v>
      </c>
      <c r="U484" s="266" t="s">
        <v>10</v>
      </c>
    </row>
    <row r="485" spans="1:21" ht="11.25" customHeight="1">
      <c r="A485" s="89" t="s">
        <v>6</v>
      </c>
      <c r="B485" s="84"/>
      <c r="C485" s="87">
        <v>0.106</v>
      </c>
      <c r="D485" s="88"/>
      <c r="E485" s="87">
        <v>0.118</v>
      </c>
      <c r="F485" s="88"/>
      <c r="G485" s="87">
        <v>0.127</v>
      </c>
      <c r="H485" s="10"/>
      <c r="I485" s="87">
        <v>0.134</v>
      </c>
      <c r="J485" s="10"/>
      <c r="K485" s="87">
        <v>0.133</v>
      </c>
      <c r="L485" s="10"/>
      <c r="M485" s="87">
        <v>0.166</v>
      </c>
      <c r="N485" s="10"/>
      <c r="O485" s="87">
        <v>0.171</v>
      </c>
      <c r="P485" s="87"/>
      <c r="Q485" s="266">
        <v>0.196</v>
      </c>
      <c r="S485" s="266">
        <v>0.19</v>
      </c>
      <c r="U485" s="266">
        <v>0.199</v>
      </c>
    </row>
    <row r="486" spans="1:21" ht="11.25" customHeight="1">
      <c r="A486" s="84"/>
      <c r="B486" s="84"/>
      <c r="C486" s="87"/>
      <c r="D486" s="88"/>
      <c r="E486" s="87"/>
      <c r="F486" s="88"/>
      <c r="G486" s="87"/>
      <c r="H486" s="10"/>
      <c r="I486" s="87"/>
      <c r="J486" s="10"/>
      <c r="K486" s="87"/>
      <c r="L486" s="10"/>
      <c r="M486" s="87"/>
      <c r="N486" s="10"/>
      <c r="O486" s="87"/>
      <c r="P486" s="87"/>
      <c r="Q486" s="266" t="s">
        <v>10</v>
      </c>
      <c r="S486" s="266" t="s">
        <v>10</v>
      </c>
      <c r="U486" s="266" t="s">
        <v>10</v>
      </c>
    </row>
    <row r="487" spans="1:21" ht="11.25" customHeight="1">
      <c r="A487" s="83" t="s">
        <v>24</v>
      </c>
      <c r="B487" s="84"/>
      <c r="C487" s="87">
        <v>0.086</v>
      </c>
      <c r="D487" s="88"/>
      <c r="E487" s="87">
        <v>0.096</v>
      </c>
      <c r="F487" s="88"/>
      <c r="G487" s="87">
        <v>0.097</v>
      </c>
      <c r="H487" s="10"/>
      <c r="I487" s="87">
        <v>0.105</v>
      </c>
      <c r="J487" s="10"/>
      <c r="K487" s="87">
        <v>0.11</v>
      </c>
      <c r="L487" s="10"/>
      <c r="M487" s="87">
        <v>0.107</v>
      </c>
      <c r="N487" s="10"/>
      <c r="O487" s="87">
        <v>0.107</v>
      </c>
      <c r="P487" s="87"/>
      <c r="Q487" s="266">
        <v>0.116</v>
      </c>
      <c r="S487" s="266">
        <v>0.129</v>
      </c>
      <c r="U487" s="266">
        <v>0.132</v>
      </c>
    </row>
    <row r="488" spans="1:21" ht="11.25" customHeight="1">
      <c r="A488" s="84"/>
      <c r="B488" s="84"/>
      <c r="C488" s="87"/>
      <c r="D488" s="88"/>
      <c r="E488" s="87"/>
      <c r="F488" s="88"/>
      <c r="G488" s="87"/>
      <c r="H488" s="10"/>
      <c r="I488" s="87"/>
      <c r="J488" s="10"/>
      <c r="K488" s="87"/>
      <c r="L488" s="10"/>
      <c r="M488" s="87"/>
      <c r="N488" s="10"/>
      <c r="O488" s="87"/>
      <c r="P488" s="87"/>
      <c r="Q488" s="266" t="s">
        <v>10</v>
      </c>
      <c r="S488" s="266" t="s">
        <v>10</v>
      </c>
      <c r="U488" s="266" t="s">
        <v>10</v>
      </c>
    </row>
    <row r="489" spans="1:21" ht="11.25" customHeight="1">
      <c r="A489" s="83" t="s">
        <v>7</v>
      </c>
      <c r="B489" s="84"/>
      <c r="C489" s="87">
        <v>0.073</v>
      </c>
      <c r="D489" s="88"/>
      <c r="E489" s="87">
        <v>0.076</v>
      </c>
      <c r="F489" s="88"/>
      <c r="G489" s="87">
        <v>0.079</v>
      </c>
      <c r="H489" s="10"/>
      <c r="I489" s="87">
        <v>0.083</v>
      </c>
      <c r="J489" s="10"/>
      <c r="K489" s="87">
        <v>0.087</v>
      </c>
      <c r="L489" s="10"/>
      <c r="M489" s="87">
        <v>0.083</v>
      </c>
      <c r="N489" s="10"/>
      <c r="O489" s="87">
        <v>0.093</v>
      </c>
      <c r="P489" s="87"/>
      <c r="Q489" s="266">
        <v>0.109</v>
      </c>
      <c r="S489" s="266">
        <v>0.114</v>
      </c>
      <c r="U489" s="266">
        <v>0.127</v>
      </c>
    </row>
    <row r="490" spans="1:21" ht="11.25" customHeight="1">
      <c r="A490" s="84"/>
      <c r="B490" s="84"/>
      <c r="C490" s="87"/>
      <c r="D490" s="88"/>
      <c r="E490" s="87"/>
      <c r="F490" s="88"/>
      <c r="G490" s="87"/>
      <c r="H490" s="10"/>
      <c r="I490" s="87"/>
      <c r="J490" s="10"/>
      <c r="K490" s="87"/>
      <c r="L490" s="10"/>
      <c r="M490" s="87"/>
      <c r="N490" s="10"/>
      <c r="O490" s="87"/>
      <c r="P490" s="87"/>
      <c r="Q490" s="266" t="s">
        <v>10</v>
      </c>
      <c r="S490" s="266" t="s">
        <v>10</v>
      </c>
      <c r="U490" s="266" t="s">
        <v>10</v>
      </c>
    </row>
    <row r="491" spans="1:21" ht="11.25" customHeight="1">
      <c r="A491" s="83" t="s">
        <v>8</v>
      </c>
      <c r="B491" s="84"/>
      <c r="C491" s="87">
        <v>0.085</v>
      </c>
      <c r="D491" s="90"/>
      <c r="E491" s="87">
        <v>0.094</v>
      </c>
      <c r="F491" s="90"/>
      <c r="G491" s="87">
        <v>0.098</v>
      </c>
      <c r="H491" s="19"/>
      <c r="I491" s="87">
        <v>0.092</v>
      </c>
      <c r="J491" s="19"/>
      <c r="K491" s="87">
        <v>0.096</v>
      </c>
      <c r="L491" s="19"/>
      <c r="M491" s="87">
        <v>0.088</v>
      </c>
      <c r="N491" s="19"/>
      <c r="O491" s="87">
        <v>0.1</v>
      </c>
      <c r="P491" s="87"/>
      <c r="Q491" s="266">
        <v>0.108</v>
      </c>
      <c r="S491" s="266">
        <v>0.12</v>
      </c>
      <c r="U491" s="266">
        <v>0.147</v>
      </c>
    </row>
    <row r="492" spans="1:21" ht="11.25" customHeight="1">
      <c r="A492" s="84"/>
      <c r="B492" s="84"/>
      <c r="C492" s="87"/>
      <c r="D492" s="90"/>
      <c r="E492" s="87"/>
      <c r="F492" s="90"/>
      <c r="G492" s="87"/>
      <c r="H492" s="19"/>
      <c r="I492" s="87"/>
      <c r="J492" s="19"/>
      <c r="K492" s="87"/>
      <c r="L492" s="19"/>
      <c r="M492" s="87"/>
      <c r="N492" s="19"/>
      <c r="O492" s="87"/>
      <c r="P492" s="87"/>
      <c r="Q492" s="266" t="s">
        <v>10</v>
      </c>
      <c r="S492" s="266" t="s">
        <v>10</v>
      </c>
      <c r="U492" s="266" t="s">
        <v>10</v>
      </c>
    </row>
    <row r="493" spans="1:21" ht="11.25" customHeight="1">
      <c r="A493" s="83" t="s">
        <v>17</v>
      </c>
      <c r="B493" s="84"/>
      <c r="C493" s="87">
        <v>0.084</v>
      </c>
      <c r="D493" s="90"/>
      <c r="E493" s="87">
        <v>0.092</v>
      </c>
      <c r="F493" s="90"/>
      <c r="G493" s="87">
        <v>0.089</v>
      </c>
      <c r="H493" s="19"/>
      <c r="I493" s="87">
        <v>0.096</v>
      </c>
      <c r="J493" s="19"/>
      <c r="K493" s="87">
        <v>0.105</v>
      </c>
      <c r="L493" s="19"/>
      <c r="M493" s="87">
        <v>0.107</v>
      </c>
      <c r="N493" s="19"/>
      <c r="O493" s="87">
        <v>0.107</v>
      </c>
      <c r="P493" s="87"/>
      <c r="Q493" s="266">
        <v>0.116</v>
      </c>
      <c r="S493" s="266">
        <v>0.129</v>
      </c>
      <c r="U493" s="266">
        <v>0.142</v>
      </c>
    </row>
    <row r="494" spans="1:16" ht="11.25" customHeight="1">
      <c r="A494" s="84"/>
      <c r="B494" s="84"/>
      <c r="C494" s="91"/>
      <c r="D494" s="90"/>
      <c r="E494" s="91"/>
      <c r="F494" s="90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1:16" ht="11.25" customHeight="1">
      <c r="A495" s="84" t="s">
        <v>98</v>
      </c>
      <c r="B495" s="84"/>
      <c r="C495" s="91"/>
      <c r="D495" s="90"/>
      <c r="E495" s="91"/>
      <c r="F495" s="90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1:16" ht="11.25" customHeight="1">
      <c r="A496" s="52" t="s">
        <v>99</v>
      </c>
      <c r="B496" s="84"/>
      <c r="C496" s="92"/>
      <c r="D496" s="84"/>
      <c r="E496" s="92"/>
      <c r="F496" s="84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1:16" ht="11.25" customHeight="1">
      <c r="A497" s="52" t="s">
        <v>73</v>
      </c>
      <c r="B497" s="84"/>
      <c r="C497" s="92"/>
      <c r="D497" s="84"/>
      <c r="E497" s="92"/>
      <c r="F497" s="84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1:16" ht="11.25" customHeight="1">
      <c r="A498" s="52" t="s">
        <v>100</v>
      </c>
      <c r="B498" s="84"/>
      <c r="C498" s="92"/>
      <c r="D498" s="84"/>
      <c r="E498" s="92"/>
      <c r="F498" s="84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1:16" ht="11.25" customHeight="1">
      <c r="A499" s="55" t="s">
        <v>82</v>
      </c>
      <c r="B499" s="84"/>
      <c r="C499" s="92"/>
      <c r="D499" s="84"/>
      <c r="E499" s="92"/>
      <c r="F499" s="84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1:16" ht="11.25" customHeight="1">
      <c r="A500" s="56" t="s">
        <v>87</v>
      </c>
      <c r="B500" s="84"/>
      <c r="C500" s="92"/>
      <c r="D500" s="84"/>
      <c r="E500" s="92"/>
      <c r="F500" s="84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1:16" ht="11.25" customHeight="1">
      <c r="A501" s="56" t="s">
        <v>103</v>
      </c>
      <c r="B501" s="84"/>
      <c r="C501" s="84"/>
      <c r="D501" s="84"/>
      <c r="E501" s="84"/>
      <c r="F501" s="84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1:16" ht="11.25" customHeight="1">
      <c r="A502" s="256" t="s">
        <v>104</v>
      </c>
      <c r="B502" s="84"/>
      <c r="C502" s="84"/>
      <c r="D502" s="84"/>
      <c r="E502" s="84"/>
      <c r="F502" s="84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1:16" ht="11.25" customHeight="1">
      <c r="A503" s="256" t="s">
        <v>64</v>
      </c>
      <c r="B503" s="84"/>
      <c r="C503" s="84"/>
      <c r="D503" s="84"/>
      <c r="E503" s="84"/>
      <c r="F503" s="84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1:16" ht="11.25" customHeight="1">
      <c r="A504" s="256" t="s">
        <v>67</v>
      </c>
      <c r="B504" s="84"/>
      <c r="C504" s="84"/>
      <c r="D504" s="84"/>
      <c r="E504" s="84"/>
      <c r="F504" s="84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1:16" ht="11.25" customHeight="1">
      <c r="A505" s="257" t="s">
        <v>66</v>
      </c>
      <c r="B505" s="84"/>
      <c r="C505" s="84"/>
      <c r="D505" s="84"/>
      <c r="E505" s="84"/>
      <c r="F505" s="84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1:16" ht="11.2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ht="11.25" customHeight="1">
      <c r="A507" s="56"/>
    </row>
    <row r="508" ht="11.25" customHeight="1">
      <c r="A508" s="118" t="s">
        <v>0</v>
      </c>
    </row>
    <row r="509" ht="11.25" customHeight="1">
      <c r="A509" s="118" t="s">
        <v>32</v>
      </c>
    </row>
    <row r="510" spans="1:2" ht="11.25" customHeight="1">
      <c r="A510" s="121" t="str">
        <f>A3</f>
        <v>2000 - 2009</v>
      </c>
      <c r="B510" s="140"/>
    </row>
    <row r="511" spans="1:2" ht="11.25" customHeight="1">
      <c r="A511" s="118" t="s">
        <v>1</v>
      </c>
      <c r="B511" s="126"/>
    </row>
    <row r="512" ht="11.25" customHeight="1">
      <c r="A512" s="41"/>
    </row>
    <row r="514" spans="3:21" ht="11.25" customHeight="1">
      <c r="C514" s="124">
        <v>2000</v>
      </c>
      <c r="D514" s="125"/>
      <c r="E514" s="124">
        <v>2001</v>
      </c>
      <c r="G514" s="124">
        <v>2002</v>
      </c>
      <c r="I514" s="124">
        <v>2003</v>
      </c>
      <c r="K514" s="124">
        <v>2004</v>
      </c>
      <c r="M514" s="124">
        <v>2005</v>
      </c>
      <c r="O514" s="46">
        <v>2006</v>
      </c>
      <c r="P514" s="255"/>
      <c r="Q514" s="46">
        <v>2007</v>
      </c>
      <c r="S514" s="46">
        <v>2008</v>
      </c>
      <c r="U514" s="46">
        <v>2009</v>
      </c>
    </row>
    <row r="515" spans="7:11" ht="11.25" customHeight="1">
      <c r="G515" s="120"/>
      <c r="I515" s="120"/>
      <c r="K515" s="120"/>
    </row>
    <row r="516" spans="1:21" ht="11.25" customHeight="1">
      <c r="A516" s="129" t="s">
        <v>79</v>
      </c>
      <c r="C516" s="79">
        <v>391073</v>
      </c>
      <c r="D516" s="193"/>
      <c r="E516" s="193">
        <v>396782</v>
      </c>
      <c r="F516" s="189"/>
      <c r="G516" s="193">
        <v>380380</v>
      </c>
      <c r="H516" s="189"/>
      <c r="I516" s="193">
        <v>381672</v>
      </c>
      <c r="K516" s="193">
        <v>364927</v>
      </c>
      <c r="M516" s="193">
        <v>359589</v>
      </c>
      <c r="O516" s="193">
        <v>407820</v>
      </c>
      <c r="P516" s="193"/>
      <c r="Q516" s="193">
        <v>377414</v>
      </c>
      <c r="S516" s="193">
        <v>310664</v>
      </c>
      <c r="U516" s="193">
        <v>237100</v>
      </c>
    </row>
    <row r="517" spans="3:11" ht="11.25" customHeight="1">
      <c r="C517" s="127"/>
      <c r="G517" s="120"/>
      <c r="I517" s="120"/>
      <c r="K517" s="120"/>
    </row>
    <row r="518" spans="1:21" ht="11.25" customHeight="1">
      <c r="A518" s="118" t="s">
        <v>53</v>
      </c>
      <c r="C518" s="127">
        <v>638792</v>
      </c>
      <c r="E518" s="120">
        <v>641086</v>
      </c>
      <c r="G518" s="120">
        <v>648462</v>
      </c>
      <c r="I518" s="120">
        <v>830996</v>
      </c>
      <c r="K518" s="120">
        <v>794896</v>
      </c>
      <c r="M518" s="120">
        <v>800476</v>
      </c>
      <c r="O518" s="120">
        <v>832865</v>
      </c>
      <c r="P518" s="120"/>
      <c r="Q518" s="120">
        <v>809647</v>
      </c>
      <c r="S518" s="120">
        <v>709187</v>
      </c>
      <c r="U518" s="120">
        <v>606167</v>
      </c>
    </row>
    <row r="519" spans="3:11" ht="11.25" customHeight="1">
      <c r="C519" s="127"/>
      <c r="G519" s="120"/>
      <c r="I519" s="120"/>
      <c r="K519" s="120"/>
    </row>
    <row r="520" spans="1:21" ht="11.25" customHeight="1">
      <c r="A520" s="118" t="s">
        <v>86</v>
      </c>
      <c r="C520" s="141" t="s">
        <v>85</v>
      </c>
      <c r="E520" s="141" t="s">
        <v>85</v>
      </c>
      <c r="G520" s="141" t="s">
        <v>85</v>
      </c>
      <c r="I520" s="120">
        <v>359948</v>
      </c>
      <c r="K520" s="120">
        <v>852281</v>
      </c>
      <c r="M520" s="120">
        <v>944705</v>
      </c>
      <c r="O520" s="120">
        <v>1009024</v>
      </c>
      <c r="P520" s="120"/>
      <c r="Q520" s="120">
        <v>1034679</v>
      </c>
      <c r="S520" s="120">
        <v>1044463</v>
      </c>
      <c r="U520" s="120">
        <v>990601</v>
      </c>
    </row>
    <row r="521" spans="3:21" ht="11.25" customHeight="1">
      <c r="C521" s="127"/>
      <c r="G521" s="120"/>
      <c r="I521" s="120"/>
      <c r="K521" s="120"/>
      <c r="M521" s="120"/>
      <c r="O521" s="120"/>
      <c r="P521" s="120"/>
      <c r="Q521" s="120"/>
      <c r="S521" s="120"/>
      <c r="U521" s="120"/>
    </row>
    <row r="522" spans="1:21" ht="11.25" customHeight="1">
      <c r="A522" s="118" t="s">
        <v>2</v>
      </c>
      <c r="C522" s="127">
        <v>593131</v>
      </c>
      <c r="E522" s="120">
        <v>610309</v>
      </c>
      <c r="G522" s="120">
        <v>656283</v>
      </c>
      <c r="I522" s="120">
        <v>637782</v>
      </c>
      <c r="K522" s="120">
        <v>602582</v>
      </c>
      <c r="M522" s="120">
        <v>635781</v>
      </c>
      <c r="O522" s="120">
        <v>669390</v>
      </c>
      <c r="P522" s="120"/>
      <c r="Q522" s="120">
        <v>700684</v>
      </c>
      <c r="S522" s="120">
        <v>654107</v>
      </c>
      <c r="U522" s="120">
        <v>562337</v>
      </c>
    </row>
    <row r="523" spans="3:21" ht="11.25" customHeight="1">
      <c r="C523" s="127"/>
      <c r="G523" s="120"/>
      <c r="I523" s="120"/>
      <c r="K523" s="120"/>
      <c r="M523" s="120"/>
      <c r="O523" s="120"/>
      <c r="P523" s="120"/>
      <c r="Q523" s="120"/>
      <c r="S523" s="120"/>
      <c r="U523" s="120"/>
    </row>
    <row r="524" spans="1:21" ht="11.25" customHeight="1">
      <c r="A524" s="118" t="s">
        <v>54</v>
      </c>
      <c r="C524" s="127">
        <v>197410</v>
      </c>
      <c r="E524" s="120">
        <f>79417+109651</f>
        <v>189068</v>
      </c>
      <c r="G524" s="120">
        <v>189475</v>
      </c>
      <c r="I524" s="141" t="s">
        <v>85</v>
      </c>
      <c r="K524" s="141" t="s">
        <v>85</v>
      </c>
      <c r="M524" s="141" t="s">
        <v>85</v>
      </c>
      <c r="O524" s="141" t="s">
        <v>85</v>
      </c>
      <c r="P524" s="141"/>
      <c r="Q524" s="141" t="s">
        <v>85</v>
      </c>
      <c r="S524" s="141" t="s">
        <v>85</v>
      </c>
      <c r="U524" s="141" t="s">
        <v>85</v>
      </c>
    </row>
    <row r="525" spans="3:21" ht="11.25" customHeight="1">
      <c r="C525" s="127"/>
      <c r="G525" s="120"/>
      <c r="I525" s="120"/>
      <c r="K525" s="120"/>
      <c r="M525" s="120"/>
      <c r="O525" s="120"/>
      <c r="P525" s="120"/>
      <c r="Q525" s="120"/>
      <c r="S525" s="120"/>
      <c r="U525" s="120"/>
    </row>
    <row r="526" spans="1:21" ht="11.25" customHeight="1">
      <c r="A526" s="118" t="s">
        <v>3</v>
      </c>
      <c r="C526" s="127">
        <v>481046</v>
      </c>
      <c r="E526" s="120">
        <v>488592</v>
      </c>
      <c r="G526" s="120">
        <v>541924</v>
      </c>
      <c r="I526" s="120">
        <v>551987</v>
      </c>
      <c r="K526" s="120">
        <v>555813</v>
      </c>
      <c r="M526" s="120">
        <v>586660</v>
      </c>
      <c r="O526" s="120">
        <v>623174</v>
      </c>
      <c r="P526" s="120"/>
      <c r="Q526" s="120">
        <v>659572</v>
      </c>
      <c r="S526" s="120">
        <v>708247</v>
      </c>
      <c r="U526" s="120">
        <v>661333</v>
      </c>
    </row>
    <row r="527" spans="3:21" ht="11.25" customHeight="1">
      <c r="C527" s="127"/>
      <c r="G527" s="120"/>
      <c r="I527" s="120"/>
      <c r="K527" s="120"/>
      <c r="M527" s="120"/>
      <c r="O527" s="120"/>
      <c r="P527" s="120"/>
      <c r="Q527" s="120"/>
      <c r="S527" s="120"/>
      <c r="U527" s="120"/>
    </row>
    <row r="528" spans="1:21" ht="11.25" customHeight="1">
      <c r="A528" s="118" t="s">
        <v>4</v>
      </c>
      <c r="C528" s="127">
        <v>283250</v>
      </c>
      <c r="E528" s="120">
        <v>285731</v>
      </c>
      <c r="G528" s="120">
        <v>303376</v>
      </c>
      <c r="I528" s="120">
        <v>269873</v>
      </c>
      <c r="K528" s="120">
        <v>298009</v>
      </c>
      <c r="M528" s="120">
        <v>321729</v>
      </c>
      <c r="O528" s="120">
        <v>341735</v>
      </c>
      <c r="P528" s="120"/>
      <c r="Q528" s="120">
        <v>335648</v>
      </c>
      <c r="S528" s="120">
        <v>282404</v>
      </c>
      <c r="U528" s="120">
        <v>230353</v>
      </c>
    </row>
    <row r="529" spans="3:21" ht="11.25" customHeight="1">
      <c r="C529" s="127"/>
      <c r="G529" s="120"/>
      <c r="I529" s="120"/>
      <c r="K529" s="120"/>
      <c r="M529" s="120"/>
      <c r="O529" s="120"/>
      <c r="P529" s="120"/>
      <c r="Q529" s="120"/>
      <c r="S529" s="120"/>
      <c r="U529" s="120"/>
    </row>
    <row r="530" spans="1:21" ht="11.25" customHeight="1">
      <c r="A530" s="118" t="s">
        <v>90</v>
      </c>
      <c r="C530" s="127">
        <v>272060</v>
      </c>
      <c r="E530" s="120">
        <v>278030</v>
      </c>
      <c r="G530" s="120">
        <v>244601</v>
      </c>
      <c r="I530" s="120">
        <v>219890</v>
      </c>
      <c r="K530" s="120">
        <v>224056</v>
      </c>
      <c r="M530" s="120">
        <v>210653</v>
      </c>
      <c r="O530" s="120">
        <v>176022</v>
      </c>
      <c r="P530" s="120"/>
      <c r="Q530" s="141" t="s">
        <v>85</v>
      </c>
      <c r="S530" s="141" t="s">
        <v>85</v>
      </c>
      <c r="U530" s="141" t="s">
        <v>85</v>
      </c>
    </row>
    <row r="531" spans="3:21" ht="11.25" customHeight="1">
      <c r="C531" s="127"/>
      <c r="G531" s="120"/>
      <c r="I531" s="120"/>
      <c r="K531" s="120"/>
      <c r="M531" s="120"/>
      <c r="O531" s="120"/>
      <c r="P531" s="120"/>
      <c r="Q531" s="120"/>
      <c r="S531" s="120"/>
      <c r="U531" s="120"/>
    </row>
    <row r="532" spans="1:21" ht="11.25" customHeight="1">
      <c r="A532" s="118" t="s">
        <v>5</v>
      </c>
      <c r="C532" s="127">
        <v>406368</v>
      </c>
      <c r="E532" s="120">
        <v>412135</v>
      </c>
      <c r="G532" s="120">
        <v>438349</v>
      </c>
      <c r="I532" s="120">
        <v>453958</v>
      </c>
      <c r="K532" s="120">
        <v>480389</v>
      </c>
      <c r="M532" s="120">
        <v>512451</v>
      </c>
      <c r="O532" s="120">
        <v>535542</v>
      </c>
      <c r="P532" s="120"/>
      <c r="Q532" s="120">
        <v>518182</v>
      </c>
      <c r="S532" s="120">
        <v>462285</v>
      </c>
      <c r="U532" s="120">
        <v>408952</v>
      </c>
    </row>
    <row r="533" spans="3:21" ht="11.25" customHeight="1">
      <c r="C533" s="127"/>
      <c r="G533" s="120"/>
      <c r="I533" s="120"/>
      <c r="K533" s="120"/>
      <c r="M533" s="120"/>
      <c r="O533" s="120"/>
      <c r="P533" s="120"/>
      <c r="Q533" s="120"/>
      <c r="S533" s="120"/>
      <c r="U533" s="120"/>
    </row>
    <row r="534" spans="1:21" ht="11.25" customHeight="1">
      <c r="A534" s="118" t="s">
        <v>6</v>
      </c>
      <c r="C534" s="127">
        <v>531229</v>
      </c>
      <c r="E534" s="120">
        <v>517748</v>
      </c>
      <c r="G534" s="120">
        <v>515886</v>
      </c>
      <c r="I534" s="120">
        <v>480585</v>
      </c>
      <c r="K534" s="120">
        <v>469501</v>
      </c>
      <c r="M534" s="120">
        <v>588460</v>
      </c>
      <c r="O534" s="120">
        <v>609349</v>
      </c>
      <c r="P534" s="120"/>
      <c r="Q534" s="120">
        <v>549876</v>
      </c>
      <c r="S534" s="120">
        <v>487575</v>
      </c>
      <c r="U534" s="120">
        <v>435482</v>
      </c>
    </row>
    <row r="535" spans="3:21" ht="11.25" customHeight="1">
      <c r="C535" s="127"/>
      <c r="G535" s="120"/>
      <c r="I535" s="120"/>
      <c r="K535" s="120"/>
      <c r="M535" s="120"/>
      <c r="O535" s="120"/>
      <c r="P535" s="120"/>
      <c r="Q535" s="120"/>
      <c r="S535" s="120"/>
      <c r="U535" s="120"/>
    </row>
    <row r="536" spans="1:21" ht="11.25" customHeight="1">
      <c r="A536" s="118" t="s">
        <v>24</v>
      </c>
      <c r="C536" s="127">
        <v>328945</v>
      </c>
      <c r="E536" s="120">
        <v>326892</v>
      </c>
      <c r="G536" s="120">
        <v>343537</v>
      </c>
      <c r="I536" s="120">
        <v>319040</v>
      </c>
      <c r="K536" s="120">
        <v>323235</v>
      </c>
      <c r="M536" s="120">
        <v>308023</v>
      </c>
      <c r="O536" s="120">
        <v>315287</v>
      </c>
      <c r="P536" s="120"/>
      <c r="Q536" s="120">
        <v>303545</v>
      </c>
      <c r="S536" s="120">
        <v>257430</v>
      </c>
      <c r="U536" s="120">
        <v>205356</v>
      </c>
    </row>
    <row r="537" spans="3:21" ht="11.25" customHeight="1">
      <c r="C537" s="127"/>
      <c r="G537" s="120"/>
      <c r="I537" s="120"/>
      <c r="K537" s="120"/>
      <c r="M537" s="120"/>
      <c r="O537" s="120"/>
      <c r="P537" s="120"/>
      <c r="Q537" s="120"/>
      <c r="S537" s="120"/>
      <c r="U537" s="120"/>
    </row>
    <row r="538" spans="1:21" ht="11.25" customHeight="1">
      <c r="A538" s="118" t="s">
        <v>7</v>
      </c>
      <c r="C538" s="127">
        <v>395495</v>
      </c>
      <c r="E538" s="120">
        <v>396792</v>
      </c>
      <c r="G538" s="120">
        <v>406300</v>
      </c>
      <c r="I538" s="120">
        <v>381628</v>
      </c>
      <c r="K538" s="120">
        <v>386459</v>
      </c>
      <c r="M538" s="120">
        <v>372189</v>
      </c>
      <c r="O538" s="120">
        <v>367312</v>
      </c>
      <c r="P538" s="120"/>
      <c r="Q538" s="120">
        <v>345171</v>
      </c>
      <c r="S538" s="120">
        <v>324991</v>
      </c>
      <c r="U538" s="120">
        <v>255898</v>
      </c>
    </row>
    <row r="539" spans="3:21" ht="11.25" customHeight="1">
      <c r="C539" s="127"/>
      <c r="G539" s="120"/>
      <c r="I539" s="120"/>
      <c r="K539" s="120"/>
      <c r="M539" s="120"/>
      <c r="O539" s="120"/>
      <c r="P539" s="120"/>
      <c r="Q539" s="120"/>
      <c r="S539" s="120"/>
      <c r="U539" s="120"/>
    </row>
    <row r="540" spans="1:21" ht="11.25" customHeight="1">
      <c r="A540" s="118" t="s">
        <v>8</v>
      </c>
      <c r="C540" s="131">
        <v>651390</v>
      </c>
      <c r="D540" s="140"/>
      <c r="E540" s="120">
        <v>633816</v>
      </c>
      <c r="F540" s="29"/>
      <c r="G540" s="120">
        <v>639316</v>
      </c>
      <c r="I540" s="120">
        <v>617192</v>
      </c>
      <c r="K540" s="120">
        <v>605721</v>
      </c>
      <c r="M540" s="120">
        <v>617600</v>
      </c>
      <c r="O540" s="254">
        <v>640464</v>
      </c>
      <c r="P540" s="140"/>
      <c r="Q540" s="254">
        <v>621620</v>
      </c>
      <c r="S540" s="254">
        <v>597784</v>
      </c>
      <c r="U540" s="254">
        <v>575699</v>
      </c>
    </row>
    <row r="541" spans="3:13" ht="11.25" customHeight="1">
      <c r="C541" s="168"/>
      <c r="D541" s="140"/>
      <c r="E541" s="168"/>
      <c r="F541" s="29"/>
      <c r="G541" s="168"/>
      <c r="I541" s="168"/>
      <c r="K541" s="168"/>
      <c r="M541" s="168"/>
    </row>
    <row r="542" spans="1:21" ht="11.25" customHeight="1" thickBot="1">
      <c r="A542" s="118" t="s">
        <v>17</v>
      </c>
      <c r="C542" s="169">
        <f>SUM(C516:C540)</f>
        <v>5170189</v>
      </c>
      <c r="D542" s="170"/>
      <c r="E542" s="169">
        <f>SUM(E516:E540)</f>
        <v>5176981</v>
      </c>
      <c r="F542" s="32"/>
      <c r="G542" s="169">
        <f>SUM(G516:G540)</f>
        <v>5307889</v>
      </c>
      <c r="I542" s="169">
        <f>SUM(I516:I540)</f>
        <v>5504551</v>
      </c>
      <c r="K542" s="169">
        <f>SUM(K516:K540)</f>
        <v>5957869</v>
      </c>
      <c r="M542" s="169">
        <f>SUM(M516:M540)</f>
        <v>6258316</v>
      </c>
      <c r="O542" s="169">
        <f>SUM(O516:O540)</f>
        <v>6527984</v>
      </c>
      <c r="P542" s="170"/>
      <c r="Q542" s="169">
        <f>SUM(Q516:Q540)</f>
        <v>6256038</v>
      </c>
      <c r="S542" s="169">
        <f>SUM(S516:S540)</f>
        <v>5839137</v>
      </c>
      <c r="U542" s="169">
        <f>SUM(U516:U540)</f>
        <v>5169278</v>
      </c>
    </row>
    <row r="543" ht="11.25" customHeight="1" thickTop="1">
      <c r="D543" s="140"/>
    </row>
    <row r="544" ht="11.25" customHeight="1">
      <c r="A544" s="138" t="s">
        <v>75</v>
      </c>
    </row>
    <row r="545" ht="11.25" customHeight="1">
      <c r="A545" s="118" t="s">
        <v>56</v>
      </c>
    </row>
    <row r="546" ht="11.25" customHeight="1">
      <c r="A546" s="52" t="s">
        <v>52</v>
      </c>
    </row>
    <row r="547" ht="11.25" customHeight="1">
      <c r="A547" s="55" t="s">
        <v>80</v>
      </c>
    </row>
    <row r="548" ht="11.25" customHeight="1">
      <c r="A548" s="56" t="s">
        <v>87</v>
      </c>
    </row>
    <row r="549" ht="11.25" customHeight="1">
      <c r="A549" s="56" t="s">
        <v>93</v>
      </c>
    </row>
    <row r="550" ht="11.25" customHeight="1">
      <c r="A550" s="56"/>
    </row>
    <row r="551" ht="11.25" customHeight="1">
      <c r="A551" s="118" t="s">
        <v>0</v>
      </c>
    </row>
    <row r="552" ht="11.25" customHeight="1">
      <c r="A552" s="129" t="s">
        <v>33</v>
      </c>
    </row>
    <row r="553" spans="1:2" ht="11.25" customHeight="1">
      <c r="A553" s="121" t="str">
        <f>A3</f>
        <v>2000 - 2009</v>
      </c>
      <c r="B553" s="140"/>
    </row>
    <row r="554" spans="1:2" ht="11.25" customHeight="1">
      <c r="A554" s="139"/>
      <c r="B554" s="140"/>
    </row>
    <row r="555" spans="1:2" ht="11.25" customHeight="1">
      <c r="A555" s="126"/>
      <c r="B555" s="126"/>
    </row>
    <row r="556" spans="3:21" ht="11.25" customHeight="1">
      <c r="C556" s="124">
        <v>2000</v>
      </c>
      <c r="D556" s="125"/>
      <c r="E556" s="124">
        <v>2001</v>
      </c>
      <c r="G556" s="124">
        <v>2002</v>
      </c>
      <c r="I556" s="124">
        <v>2003</v>
      </c>
      <c r="K556" s="124">
        <v>2004</v>
      </c>
      <c r="M556" s="124">
        <v>2005</v>
      </c>
      <c r="O556" s="46">
        <v>2006</v>
      </c>
      <c r="P556" s="255"/>
      <c r="Q556" s="46">
        <v>2007</v>
      </c>
      <c r="S556" s="46">
        <v>2008</v>
      </c>
      <c r="U556" s="46">
        <v>2009</v>
      </c>
    </row>
    <row r="557" spans="7:11" ht="11.25" customHeight="1">
      <c r="G557" s="120"/>
      <c r="I557" s="120"/>
      <c r="K557" s="120"/>
    </row>
    <row r="558" spans="1:21" ht="11.25" customHeight="1">
      <c r="A558" s="118" t="s">
        <v>79</v>
      </c>
      <c r="C558" s="232">
        <v>0.079</v>
      </c>
      <c r="D558" s="232"/>
      <c r="E558" s="232">
        <f>(E516-C516)/C516</f>
        <v>0.015</v>
      </c>
      <c r="F558" s="233"/>
      <c r="G558" s="232">
        <f>(G516-E516)/E516</f>
        <v>-0.041</v>
      </c>
      <c r="H558" s="234"/>
      <c r="I558" s="232">
        <f>(I516-G516)/G516</f>
        <v>0.003</v>
      </c>
      <c r="K558" s="232">
        <f>(K516-I516)/I516</f>
        <v>-0.044</v>
      </c>
      <c r="M558" s="232">
        <f>(M516-K516)/K516</f>
        <v>-0.015</v>
      </c>
      <c r="O558" s="232">
        <f>(O516-M516)/M516</f>
        <v>0.134</v>
      </c>
      <c r="P558" s="232"/>
      <c r="Q558" s="232">
        <f>(Q516-O516)/O516</f>
        <v>-0.075</v>
      </c>
      <c r="S558" s="232">
        <f>(S516-Q516)/Q516</f>
        <v>-0.177</v>
      </c>
      <c r="U558" s="232">
        <f>(U516-S516)/S516</f>
        <v>-0.237</v>
      </c>
    </row>
    <row r="559" spans="3:21" ht="11.25" customHeight="1">
      <c r="C559" s="232"/>
      <c r="D559" s="232"/>
      <c r="E559" s="232"/>
      <c r="F559" s="233"/>
      <c r="G559" s="232"/>
      <c r="H559" s="234"/>
      <c r="I559" s="232"/>
      <c r="K559" s="232"/>
      <c r="M559" s="232"/>
      <c r="O559" s="232"/>
      <c r="P559" s="232"/>
      <c r="Q559" s="232"/>
      <c r="S559" s="232"/>
      <c r="U559" s="232"/>
    </row>
    <row r="560" spans="1:21" ht="11.25" customHeight="1">
      <c r="A560" s="118" t="s">
        <v>53</v>
      </c>
      <c r="C560" s="232">
        <v>0.048</v>
      </c>
      <c r="D560" s="232"/>
      <c r="E560" s="232">
        <f>(E518-C518)/C518</f>
        <v>0.004</v>
      </c>
      <c r="F560" s="233"/>
      <c r="G560" s="232">
        <f>(G518-E518)/E518</f>
        <v>0.012</v>
      </c>
      <c r="H560" s="234"/>
      <c r="I560" s="232">
        <f>(I518-G518)/G518</f>
        <v>0.281</v>
      </c>
      <c r="K560" s="232">
        <f>(K518-I518)/I518</f>
        <v>-0.043</v>
      </c>
      <c r="M560" s="232">
        <f>(M518-K518)/K518</f>
        <v>0.007</v>
      </c>
      <c r="O560" s="232">
        <f>(O518-M518)/M518</f>
        <v>0.04</v>
      </c>
      <c r="P560" s="232"/>
      <c r="Q560" s="232">
        <f>(Q518-O518)/O518</f>
        <v>-0.028</v>
      </c>
      <c r="S560" s="232">
        <f>(S518-Q518)/Q518</f>
        <v>-0.124</v>
      </c>
      <c r="U560" s="232">
        <f>(U518-S518)/S518</f>
        <v>-0.145</v>
      </c>
    </row>
    <row r="561" spans="3:21" ht="11.25" customHeight="1">
      <c r="C561" s="232"/>
      <c r="D561" s="232"/>
      <c r="E561" s="232"/>
      <c r="F561" s="233"/>
      <c r="G561" s="232"/>
      <c r="H561" s="234"/>
      <c r="I561" s="232"/>
      <c r="K561" s="232"/>
      <c r="M561" s="232"/>
      <c r="O561" s="232"/>
      <c r="P561" s="232"/>
      <c r="Q561" s="232"/>
      <c r="S561" s="232"/>
      <c r="U561" s="232"/>
    </row>
    <row r="562" spans="1:21" ht="11.25" customHeight="1">
      <c r="A562" s="118" t="s">
        <v>88</v>
      </c>
      <c r="C562" s="141" t="s">
        <v>85</v>
      </c>
      <c r="D562" s="232"/>
      <c r="E562" s="141" t="s">
        <v>85</v>
      </c>
      <c r="F562" s="233"/>
      <c r="G562" s="141" t="s">
        <v>85</v>
      </c>
      <c r="H562" s="234"/>
      <c r="I562" s="141" t="s">
        <v>85</v>
      </c>
      <c r="K562" s="141" t="s">
        <v>85</v>
      </c>
      <c r="M562" s="232">
        <f>(M520-K520)/K520</f>
        <v>0.108</v>
      </c>
      <c r="O562" s="232">
        <f>(O520-M520)/M520</f>
        <v>0.068</v>
      </c>
      <c r="P562" s="232"/>
      <c r="Q562" s="232">
        <f>(Q520-O520)/O520</f>
        <v>0.025</v>
      </c>
      <c r="S562" s="232">
        <f>(S520-Q520)/Q520</f>
        <v>0.009</v>
      </c>
      <c r="U562" s="232">
        <f>(U520-S520)/S520</f>
        <v>-0.052</v>
      </c>
    </row>
    <row r="563" spans="3:21" ht="11.25" customHeight="1">
      <c r="C563" s="232"/>
      <c r="D563" s="232"/>
      <c r="E563" s="232"/>
      <c r="F563" s="233"/>
      <c r="G563" s="232"/>
      <c r="H563" s="234"/>
      <c r="I563" s="232"/>
      <c r="K563" s="232"/>
      <c r="M563" s="232"/>
      <c r="O563" s="232"/>
      <c r="P563" s="232"/>
      <c r="Q563" s="232"/>
      <c r="S563" s="232"/>
      <c r="U563" s="232"/>
    </row>
    <row r="564" spans="1:21" ht="11.25" customHeight="1">
      <c r="A564" s="118" t="s">
        <v>2</v>
      </c>
      <c r="C564" s="232">
        <v>0.052</v>
      </c>
      <c r="D564" s="232"/>
      <c r="E564" s="232">
        <f>(E522-C522)/C522</f>
        <v>0.029</v>
      </c>
      <c r="F564" s="233"/>
      <c r="G564" s="232">
        <f>(G522-E522)/E522</f>
        <v>0.075</v>
      </c>
      <c r="H564" s="234"/>
      <c r="I564" s="232">
        <f>(I522-G522)/G522</f>
        <v>-0.028</v>
      </c>
      <c r="K564" s="232">
        <f>(K522-I522)/I522</f>
        <v>-0.055</v>
      </c>
      <c r="M564" s="232">
        <f>(M522-K522)/K522</f>
        <v>0.055</v>
      </c>
      <c r="O564" s="232">
        <f>(O522-M522)/M522</f>
        <v>0.053</v>
      </c>
      <c r="P564" s="232"/>
      <c r="Q564" s="232">
        <f>(Q522-O522)/O522</f>
        <v>0.047</v>
      </c>
      <c r="S564" s="232">
        <f>(S522-Q522)/Q522</f>
        <v>-0.066</v>
      </c>
      <c r="U564" s="232">
        <f>(U522-S522)/S522</f>
        <v>-0.14</v>
      </c>
    </row>
    <row r="565" spans="3:21" ht="11.25" customHeight="1">
      <c r="C565" s="232"/>
      <c r="D565" s="232"/>
      <c r="E565" s="232"/>
      <c r="F565" s="233"/>
      <c r="G565" s="232"/>
      <c r="H565" s="234"/>
      <c r="I565" s="232"/>
      <c r="K565" s="232"/>
      <c r="M565" s="232"/>
      <c r="O565" s="232"/>
      <c r="P565" s="232"/>
      <c r="Q565" s="232"/>
      <c r="S565" s="232"/>
      <c r="U565" s="232"/>
    </row>
    <row r="566" spans="1:21" ht="11.25" customHeight="1">
      <c r="A566" s="118" t="s">
        <v>54</v>
      </c>
      <c r="C566" s="232">
        <v>0.012</v>
      </c>
      <c r="D566" s="232"/>
      <c r="E566" s="232">
        <f>(E524-C524)/C524</f>
        <v>-0.042</v>
      </c>
      <c r="F566" s="235"/>
      <c r="G566" s="232">
        <f>(G524-E524)/E524</f>
        <v>0.002</v>
      </c>
      <c r="H566" s="234"/>
      <c r="I566" s="141" t="s">
        <v>85</v>
      </c>
      <c r="K566" s="141" t="s">
        <v>85</v>
      </c>
      <c r="M566" s="141" t="s">
        <v>85</v>
      </c>
      <c r="O566" s="141" t="s">
        <v>85</v>
      </c>
      <c r="P566" s="141"/>
      <c r="Q566" s="141" t="s">
        <v>85</v>
      </c>
      <c r="S566" s="141" t="s">
        <v>85</v>
      </c>
      <c r="U566" s="141" t="s">
        <v>85</v>
      </c>
    </row>
    <row r="567" spans="3:21" ht="11.25" customHeight="1">
      <c r="C567" s="232"/>
      <c r="D567" s="232"/>
      <c r="E567" s="232"/>
      <c r="F567" s="233"/>
      <c r="G567" s="232"/>
      <c r="H567" s="234"/>
      <c r="I567" s="232"/>
      <c r="K567" s="232"/>
      <c r="M567" s="232"/>
      <c r="O567" s="232"/>
      <c r="P567" s="232"/>
      <c r="Q567" s="232"/>
      <c r="S567" s="232"/>
      <c r="U567" s="232"/>
    </row>
    <row r="568" spans="1:21" ht="11.25" customHeight="1">
      <c r="A568" s="118" t="s">
        <v>3</v>
      </c>
      <c r="C568" s="232">
        <v>0.056</v>
      </c>
      <c r="D568" s="232"/>
      <c r="E568" s="232">
        <f>(E526-C526)/C526</f>
        <v>0.016</v>
      </c>
      <c r="F568" s="233"/>
      <c r="G568" s="232">
        <f>(G526-E526)/E526</f>
        <v>0.109</v>
      </c>
      <c r="H568" s="234"/>
      <c r="I568" s="232">
        <f>(I526-G526)/G526</f>
        <v>0.019</v>
      </c>
      <c r="K568" s="232">
        <f>(K526-I526)/I526</f>
        <v>0.007</v>
      </c>
      <c r="M568" s="232">
        <f>(M526-K526)/K526</f>
        <v>0.055</v>
      </c>
      <c r="O568" s="232">
        <f>(O526-M526)/M526</f>
        <v>0.062</v>
      </c>
      <c r="P568" s="232"/>
      <c r="Q568" s="232">
        <f>(Q526-O526)/O526</f>
        <v>0.058</v>
      </c>
      <c r="S568" s="232">
        <f>(S526-Q526)/Q526</f>
        <v>0.074</v>
      </c>
      <c r="U568" s="232">
        <f>(U526-S526)/S526</f>
        <v>-0.066</v>
      </c>
    </row>
    <row r="569" spans="3:21" ht="11.25" customHeight="1">
      <c r="C569" s="232"/>
      <c r="D569" s="232"/>
      <c r="E569" s="232"/>
      <c r="F569" s="233"/>
      <c r="G569" s="232"/>
      <c r="H569" s="234"/>
      <c r="I569" s="232"/>
      <c r="K569" s="232"/>
      <c r="M569" s="232"/>
      <c r="O569" s="232"/>
      <c r="P569" s="232"/>
      <c r="Q569" s="232"/>
      <c r="S569" s="232"/>
      <c r="U569" s="232"/>
    </row>
    <row r="570" spans="1:21" ht="11.25" customHeight="1">
      <c r="A570" s="118" t="s">
        <v>4</v>
      </c>
      <c r="C570" s="232">
        <f>(C528-269763)/269763</f>
        <v>0.05</v>
      </c>
      <c r="D570" s="232"/>
      <c r="E570" s="232">
        <f>(E528-C528)/C528</f>
        <v>0.009</v>
      </c>
      <c r="F570" s="233"/>
      <c r="G570" s="232">
        <f>(G528-E528)/E528</f>
        <v>0.062</v>
      </c>
      <c r="H570" s="234"/>
      <c r="I570" s="232">
        <f>(I528-G528)/G528</f>
        <v>-0.11</v>
      </c>
      <c r="K570" s="232">
        <f>(K528-I528)/I528</f>
        <v>0.104</v>
      </c>
      <c r="M570" s="232">
        <f>(M528-K528)/K528</f>
        <v>0.08</v>
      </c>
      <c r="O570" s="232">
        <f>(O528-M528)/M528</f>
        <v>0.062</v>
      </c>
      <c r="P570" s="232"/>
      <c r="Q570" s="232">
        <f>(Q528-O528)/O528</f>
        <v>-0.018</v>
      </c>
      <c r="S570" s="232">
        <f>(S528-Q528)/Q528</f>
        <v>-0.159</v>
      </c>
      <c r="U570" s="232">
        <f>(U528-S528)/S528</f>
        <v>-0.184</v>
      </c>
    </row>
    <row r="571" spans="3:21" ht="11.25" customHeight="1">
      <c r="C571" s="232"/>
      <c r="D571" s="232"/>
      <c r="E571" s="232"/>
      <c r="F571" s="233"/>
      <c r="G571" s="232"/>
      <c r="H571" s="234"/>
      <c r="I571" s="232"/>
      <c r="K571" s="232"/>
      <c r="M571" s="232"/>
      <c r="O571" s="232"/>
      <c r="P571" s="232"/>
      <c r="Q571" s="232"/>
      <c r="S571" s="232"/>
      <c r="U571" s="232"/>
    </row>
    <row r="572" spans="1:21" ht="11.25" customHeight="1">
      <c r="A572" s="118" t="s">
        <v>90</v>
      </c>
      <c r="C572" s="232">
        <v>0.005</v>
      </c>
      <c r="D572" s="232"/>
      <c r="E572" s="232">
        <f>(E530-C530)/C530</f>
        <v>0.022</v>
      </c>
      <c r="F572" s="233"/>
      <c r="G572" s="232">
        <f>(G530-E530)/E530</f>
        <v>-0.12</v>
      </c>
      <c r="H572" s="234"/>
      <c r="I572" s="232">
        <f>(I530-G530)/G530</f>
        <v>-0.101</v>
      </c>
      <c r="K572" s="232">
        <f>(K530-I530)/I530</f>
        <v>0.019</v>
      </c>
      <c r="M572" s="232">
        <f>(M530-K530)/K530</f>
        <v>-0.06</v>
      </c>
      <c r="O572" s="232">
        <f>(O530-M530)/M530</f>
        <v>-0.164</v>
      </c>
      <c r="P572" s="232"/>
      <c r="Q572" s="141" t="s">
        <v>85</v>
      </c>
      <c r="S572" s="141" t="s">
        <v>85</v>
      </c>
      <c r="U572" s="141" t="s">
        <v>85</v>
      </c>
    </row>
    <row r="573" spans="3:21" ht="11.25" customHeight="1">
      <c r="C573" s="232"/>
      <c r="D573" s="232"/>
      <c r="E573" s="232"/>
      <c r="F573" s="233"/>
      <c r="G573" s="232"/>
      <c r="H573" s="234"/>
      <c r="I573" s="232"/>
      <c r="K573" s="232"/>
      <c r="M573" s="232"/>
      <c r="O573" s="232"/>
      <c r="P573" s="232"/>
      <c r="Q573" s="232"/>
      <c r="S573" s="232"/>
      <c r="U573" s="232"/>
    </row>
    <row r="574" spans="1:21" ht="11.25" customHeight="1">
      <c r="A574" s="118" t="s">
        <v>5</v>
      </c>
      <c r="C574" s="232">
        <v>-0.015</v>
      </c>
      <c r="D574" s="232"/>
      <c r="E574" s="232">
        <f>(E532-C532)/C532</f>
        <v>0.014</v>
      </c>
      <c r="F574" s="233"/>
      <c r="G574" s="232">
        <f>(G532-E532)/E532</f>
        <v>0.064</v>
      </c>
      <c r="H574" s="234"/>
      <c r="I574" s="232">
        <f>(I532-G532)/G532</f>
        <v>0.036</v>
      </c>
      <c r="K574" s="232">
        <f>(K532-I532)/I532</f>
        <v>0.058</v>
      </c>
      <c r="M574" s="232">
        <f>(M532-K532)/K532</f>
        <v>0.067</v>
      </c>
      <c r="O574" s="232">
        <f>(O532-M532)/M532</f>
        <v>0.045</v>
      </c>
      <c r="P574" s="232"/>
      <c r="Q574" s="232">
        <f>(Q532-O532)/O532</f>
        <v>-0.032</v>
      </c>
      <c r="S574" s="232">
        <f>(S532-Q532)/Q532</f>
        <v>-0.108</v>
      </c>
      <c r="U574" s="232">
        <f>(U532-S532)/S532</f>
        <v>-0.115</v>
      </c>
    </row>
    <row r="575" spans="3:21" ht="11.25" customHeight="1">
      <c r="C575" s="232"/>
      <c r="D575" s="232"/>
      <c r="E575" s="232"/>
      <c r="F575" s="233"/>
      <c r="G575" s="232"/>
      <c r="H575" s="234"/>
      <c r="I575" s="232"/>
      <c r="K575" s="232"/>
      <c r="M575" s="232"/>
      <c r="O575" s="232"/>
      <c r="P575" s="232"/>
      <c r="Q575" s="232"/>
      <c r="S575" s="232"/>
      <c r="U575" s="232"/>
    </row>
    <row r="576" spans="1:21" ht="11.25" customHeight="1">
      <c r="A576" s="129" t="s">
        <v>6</v>
      </c>
      <c r="C576" s="232">
        <v>0.076</v>
      </c>
      <c r="D576" s="232"/>
      <c r="E576" s="232">
        <f>(E534-C534)/C534</f>
        <v>-0.025</v>
      </c>
      <c r="F576" s="233"/>
      <c r="G576" s="232">
        <f>(G534-E534)/E534</f>
        <v>-0.004</v>
      </c>
      <c r="H576" s="234"/>
      <c r="I576" s="232">
        <f>(I534-G534)/G534</f>
        <v>-0.068</v>
      </c>
      <c r="K576" s="232">
        <f>(K534-I534)/I534</f>
        <v>-0.023</v>
      </c>
      <c r="M576" s="232">
        <f>(M534-K534)/K534</f>
        <v>0.253</v>
      </c>
      <c r="O576" s="232">
        <f>(O534-M534)/M534</f>
        <v>0.035</v>
      </c>
      <c r="P576" s="232"/>
      <c r="Q576" s="232">
        <f>(Q534-O534)/O534</f>
        <v>-0.098</v>
      </c>
      <c r="S576" s="232">
        <f>(S534-Q534)/Q534</f>
        <v>-0.113</v>
      </c>
      <c r="U576" s="232">
        <f>(U534-S534)/S534</f>
        <v>-0.107</v>
      </c>
    </row>
    <row r="577" spans="3:21" ht="11.25" customHeight="1">
      <c r="C577" s="232"/>
      <c r="D577" s="232"/>
      <c r="E577" s="232"/>
      <c r="F577" s="233"/>
      <c r="G577" s="232"/>
      <c r="H577" s="234"/>
      <c r="I577" s="232"/>
      <c r="K577" s="232"/>
      <c r="M577" s="232"/>
      <c r="O577" s="232"/>
      <c r="P577" s="232"/>
      <c r="Q577" s="232"/>
      <c r="S577" s="232"/>
      <c r="U577" s="232"/>
    </row>
    <row r="578" spans="1:21" ht="11.25" customHeight="1">
      <c r="A578" s="118" t="s">
        <v>24</v>
      </c>
      <c r="C578" s="232">
        <v>-0.005</v>
      </c>
      <c r="D578" s="232"/>
      <c r="E578" s="232">
        <f>(E536-C536)/C536</f>
        <v>-0.006</v>
      </c>
      <c r="F578" s="233"/>
      <c r="G578" s="232">
        <f>(G536-E536)/E536</f>
        <v>0.051</v>
      </c>
      <c r="H578" s="234"/>
      <c r="I578" s="232">
        <f>(I536-G536)/G536</f>
        <v>-0.071</v>
      </c>
      <c r="K578" s="232">
        <f>(K536-I536)/I536</f>
        <v>0.013</v>
      </c>
      <c r="M578" s="232">
        <f>(M536-K536)/K536</f>
        <v>-0.047</v>
      </c>
      <c r="O578" s="232">
        <f>(O536-M536)/M536</f>
        <v>0.024</v>
      </c>
      <c r="P578" s="232"/>
      <c r="Q578" s="232">
        <f>(Q536-O536)/O536</f>
        <v>-0.037</v>
      </c>
      <c r="S578" s="232">
        <f>(S536-Q536)/Q536</f>
        <v>-0.152</v>
      </c>
      <c r="U578" s="232">
        <f>(U536-S536)/S536</f>
        <v>-0.202</v>
      </c>
    </row>
    <row r="579" spans="3:21" ht="11.25" customHeight="1">
      <c r="C579" s="232"/>
      <c r="D579" s="232"/>
      <c r="E579" s="232"/>
      <c r="F579" s="233"/>
      <c r="G579" s="232"/>
      <c r="H579" s="234"/>
      <c r="I579" s="232"/>
      <c r="K579" s="232"/>
      <c r="M579" s="232"/>
      <c r="O579" s="232"/>
      <c r="P579" s="232"/>
      <c r="Q579" s="232"/>
      <c r="S579" s="232"/>
      <c r="U579" s="232"/>
    </row>
    <row r="580" spans="1:21" ht="11.25" customHeight="1">
      <c r="A580" s="118" t="s">
        <v>7</v>
      </c>
      <c r="C580" s="232">
        <v>-0.126</v>
      </c>
      <c r="D580" s="232"/>
      <c r="E580" s="232">
        <f>(E538-C538)/C538</f>
        <v>0.003</v>
      </c>
      <c r="F580" s="233"/>
      <c r="G580" s="232">
        <f>(G538-E538)/E538</f>
        <v>0.024</v>
      </c>
      <c r="H580" s="234"/>
      <c r="I580" s="232">
        <f>(I538-G538)/G538</f>
        <v>-0.061</v>
      </c>
      <c r="K580" s="232">
        <f>(K538-I538)/I538</f>
        <v>0.013</v>
      </c>
      <c r="M580" s="232">
        <f>(M538-K538)/K538</f>
        <v>-0.037</v>
      </c>
      <c r="O580" s="232">
        <f>(O538-M538)/M538</f>
        <v>-0.013</v>
      </c>
      <c r="P580" s="232"/>
      <c r="Q580" s="232">
        <f>(Q538-O538)/O538</f>
        <v>-0.06</v>
      </c>
      <c r="S580" s="232">
        <f>(S538-Q538)/Q538</f>
        <v>-0.058</v>
      </c>
      <c r="U580" s="232">
        <f>(U538-S538)/S538</f>
        <v>-0.213</v>
      </c>
    </row>
    <row r="581" spans="3:21" ht="11.25" customHeight="1">
      <c r="C581" s="232"/>
      <c r="D581" s="236"/>
      <c r="E581" s="232"/>
      <c r="F581" s="237"/>
      <c r="G581" s="232"/>
      <c r="H581" s="234"/>
      <c r="I581" s="232"/>
      <c r="K581" s="232"/>
      <c r="M581" s="232"/>
      <c r="O581" s="232"/>
      <c r="P581" s="232"/>
      <c r="Q581" s="232"/>
      <c r="S581" s="232"/>
      <c r="U581" s="232"/>
    </row>
    <row r="582" spans="1:21" ht="11.25" customHeight="1">
      <c r="A582" s="118" t="s">
        <v>8</v>
      </c>
      <c r="C582" s="232">
        <v>0.036</v>
      </c>
      <c r="D582" s="236"/>
      <c r="E582" s="232">
        <f>(E540-C540)/C540</f>
        <v>-0.027</v>
      </c>
      <c r="F582" s="237"/>
      <c r="G582" s="232">
        <f>(G540-E540)/E540</f>
        <v>0.009</v>
      </c>
      <c r="H582" s="234"/>
      <c r="I582" s="232">
        <f>(I540-G540)/G540</f>
        <v>-0.035</v>
      </c>
      <c r="K582" s="232">
        <f>(K540-I540)/I540</f>
        <v>-0.019</v>
      </c>
      <c r="M582" s="232">
        <f>(M540-K540)/K540</f>
        <v>0.02</v>
      </c>
      <c r="O582" s="232">
        <f>(O540-M540)/M540</f>
        <v>0.037</v>
      </c>
      <c r="P582" s="232"/>
      <c r="Q582" s="232">
        <f>(Q540-O540)/O540</f>
        <v>-0.029</v>
      </c>
      <c r="S582" s="232">
        <f>(S540-Q540)/Q540</f>
        <v>-0.038</v>
      </c>
      <c r="U582" s="232">
        <f>(U540-S540)/S540</f>
        <v>-0.037</v>
      </c>
    </row>
    <row r="583" spans="3:21" ht="11.25" customHeight="1">
      <c r="C583" s="232"/>
      <c r="D583" s="238"/>
      <c r="E583" s="232"/>
      <c r="F583" s="237"/>
      <c r="G583" s="232"/>
      <c r="H583" s="234"/>
      <c r="I583" s="232"/>
      <c r="K583" s="232"/>
      <c r="M583" s="232"/>
      <c r="O583" s="232"/>
      <c r="P583" s="232"/>
      <c r="Q583" s="232"/>
      <c r="S583" s="232"/>
      <c r="U583" s="232"/>
    </row>
    <row r="584" spans="1:21" ht="11.25" customHeight="1">
      <c r="A584" s="118" t="s">
        <v>17</v>
      </c>
      <c r="C584" s="232">
        <v>0.023</v>
      </c>
      <c r="D584" s="236"/>
      <c r="E584" s="232">
        <f>(E542-C542)/C542</f>
        <v>0.001</v>
      </c>
      <c r="F584" s="239"/>
      <c r="G584" s="232">
        <f>(G542-E542)/E542</f>
        <v>0.025</v>
      </c>
      <c r="H584" s="234"/>
      <c r="I584" s="232">
        <f>(I542-G542)/G542</f>
        <v>0.037</v>
      </c>
      <c r="K584" s="232">
        <f>(K542-I542)/I542</f>
        <v>0.082</v>
      </c>
      <c r="M584" s="232">
        <f>(M542-K542)/K542</f>
        <v>0.05</v>
      </c>
      <c r="O584" s="232">
        <f>(O542-M542)/M542</f>
        <v>0.043</v>
      </c>
      <c r="P584" s="232"/>
      <c r="Q584" s="232">
        <f>(Q542-O542)/O542</f>
        <v>-0.042</v>
      </c>
      <c r="S584" s="232">
        <f>(S542-Q542)/Q542</f>
        <v>-0.067</v>
      </c>
      <c r="U584" s="232">
        <f>(U542-S542)/S542</f>
        <v>-0.115</v>
      </c>
    </row>
    <row r="585" spans="3:6" ht="11.25" customHeight="1">
      <c r="C585" s="143"/>
      <c r="D585" s="140"/>
      <c r="E585" s="143"/>
      <c r="F585" s="29"/>
    </row>
    <row r="586" spans="1:5" ht="11.25" customHeight="1">
      <c r="A586" s="138" t="s">
        <v>75</v>
      </c>
      <c r="C586" s="126"/>
      <c r="D586" s="140"/>
      <c r="E586" s="126"/>
    </row>
    <row r="587" ht="11.25" customHeight="1">
      <c r="A587" s="118" t="s">
        <v>55</v>
      </c>
    </row>
    <row r="588" ht="11.25" customHeight="1">
      <c r="A588" s="52" t="s">
        <v>52</v>
      </c>
    </row>
    <row r="589" ht="11.25" customHeight="1">
      <c r="A589" s="55" t="s">
        <v>80</v>
      </c>
    </row>
    <row r="590" ht="11.25" customHeight="1">
      <c r="A590" s="56" t="s">
        <v>87</v>
      </c>
    </row>
    <row r="591" ht="11.25" customHeight="1">
      <c r="A591" s="56" t="s">
        <v>93</v>
      </c>
    </row>
    <row r="592" ht="11.25" customHeight="1">
      <c r="A592" s="56"/>
    </row>
    <row r="593" ht="11.25" customHeight="1">
      <c r="A593" s="129" t="s">
        <v>0</v>
      </c>
    </row>
    <row r="594" ht="11.25" customHeight="1">
      <c r="A594" s="118" t="s">
        <v>78</v>
      </c>
    </row>
    <row r="595" spans="1:5" ht="11.25" customHeight="1">
      <c r="A595" s="121" t="str">
        <f>A3</f>
        <v>2000 - 2009</v>
      </c>
      <c r="B595" s="140"/>
      <c r="C595" s="140"/>
      <c r="D595" s="140"/>
      <c r="E595" s="140"/>
    </row>
    <row r="596" spans="1:2" ht="11.25" customHeight="1">
      <c r="A596" s="118"/>
      <c r="B596" s="126"/>
    </row>
    <row r="597" ht="11.25" customHeight="1">
      <c r="A597" s="41"/>
    </row>
    <row r="598" ht="11.25" customHeight="1">
      <c r="A598" s="123"/>
    </row>
    <row r="599" spans="3:21" ht="11.25" customHeight="1">
      <c r="C599" s="124">
        <v>2000</v>
      </c>
      <c r="D599" s="125"/>
      <c r="E599" s="124">
        <v>2001</v>
      </c>
      <c r="G599" s="124">
        <v>2002</v>
      </c>
      <c r="I599" s="124">
        <v>2003</v>
      </c>
      <c r="K599" s="124">
        <v>2004</v>
      </c>
      <c r="M599" s="124">
        <v>2005</v>
      </c>
      <c r="O599" s="46">
        <v>2006</v>
      </c>
      <c r="P599" s="255"/>
      <c r="Q599" s="46">
        <v>2007</v>
      </c>
      <c r="S599" s="46">
        <v>2008</v>
      </c>
      <c r="U599" s="46">
        <v>2009</v>
      </c>
    </row>
    <row r="600" spans="7:11" ht="11.25" customHeight="1">
      <c r="G600" s="120"/>
      <c r="I600" s="120"/>
      <c r="K600" s="120"/>
    </row>
    <row r="601" spans="1:21" ht="11.25" customHeight="1">
      <c r="A601" s="129" t="s">
        <v>79</v>
      </c>
      <c r="C601" s="153">
        <f>C379/C516</f>
        <v>0.805</v>
      </c>
      <c r="D601" s="145"/>
      <c r="E601" s="153">
        <f>E379/E516</f>
        <v>0.803</v>
      </c>
      <c r="F601" s="153"/>
      <c r="G601" s="153">
        <f>G379/G516</f>
        <v>0.793</v>
      </c>
      <c r="H601" s="153"/>
      <c r="I601" s="153">
        <f>I379/I516</f>
        <v>0.797</v>
      </c>
      <c r="J601" s="153"/>
      <c r="K601" s="153">
        <f>K379/K516</f>
        <v>0.798</v>
      </c>
      <c r="M601" s="153">
        <f>M379/M516</f>
        <v>0.795</v>
      </c>
      <c r="O601" s="153">
        <f>O379/O516</f>
        <v>0.803</v>
      </c>
      <c r="P601" s="153"/>
      <c r="Q601" s="153">
        <f>Q379/Q516</f>
        <v>0.799</v>
      </c>
      <c r="S601" s="153">
        <f>S379/S516</f>
        <v>0.789</v>
      </c>
      <c r="U601" s="153">
        <f>U379/U516</f>
        <v>0.798</v>
      </c>
    </row>
    <row r="602" spans="3:21" ht="11.25" customHeight="1">
      <c r="C602" s="153"/>
      <c r="D602" s="145"/>
      <c r="E602" s="153"/>
      <c r="F602" s="153"/>
      <c r="G602" s="153"/>
      <c r="H602" s="153"/>
      <c r="I602" s="153"/>
      <c r="J602" s="153"/>
      <c r="K602" s="153"/>
      <c r="M602" s="153"/>
      <c r="O602" s="153"/>
      <c r="P602" s="153"/>
      <c r="Q602" s="153"/>
      <c r="S602" s="153"/>
      <c r="U602" s="153"/>
    </row>
    <row r="603" spans="1:21" ht="11.25" customHeight="1">
      <c r="A603" s="118" t="s">
        <v>53</v>
      </c>
      <c r="C603" s="153">
        <f>C381/C518</f>
        <v>0.806</v>
      </c>
      <c r="D603" s="145"/>
      <c r="E603" s="153">
        <f>E381/E518</f>
        <v>0.803</v>
      </c>
      <c r="F603" s="153"/>
      <c r="G603" s="153">
        <f>G381/G518</f>
        <v>0.807</v>
      </c>
      <c r="H603" s="153"/>
      <c r="I603" s="153">
        <f>I381/I518</f>
        <v>0.806</v>
      </c>
      <c r="J603" s="153"/>
      <c r="K603" s="153">
        <f>K381/K518</f>
        <v>0.802</v>
      </c>
      <c r="M603" s="153">
        <f>M381/M518</f>
        <v>0.797</v>
      </c>
      <c r="O603" s="153">
        <f>O381/O518</f>
        <v>0.804</v>
      </c>
      <c r="P603" s="153"/>
      <c r="Q603" s="153">
        <f>Q381/Q518</f>
        <v>0.795</v>
      </c>
      <c r="S603" s="153">
        <f>S381/S518</f>
        <v>0.796</v>
      </c>
      <c r="U603" s="153">
        <f>U381/U518</f>
        <v>0.783</v>
      </c>
    </row>
    <row r="604" spans="3:21" ht="11.25" customHeight="1">
      <c r="C604" s="153"/>
      <c r="D604" s="145"/>
      <c r="E604" s="153"/>
      <c r="F604" s="153"/>
      <c r="G604" s="153"/>
      <c r="H604" s="153"/>
      <c r="I604" s="153"/>
      <c r="J604" s="153"/>
      <c r="K604" s="153"/>
      <c r="M604" s="153"/>
      <c r="O604" s="153"/>
      <c r="P604" s="153"/>
      <c r="Q604" s="153"/>
      <c r="S604" s="153"/>
      <c r="U604" s="153"/>
    </row>
    <row r="605" spans="1:21" ht="11.25" customHeight="1">
      <c r="A605" s="118" t="s">
        <v>88</v>
      </c>
      <c r="C605" s="141" t="s">
        <v>85</v>
      </c>
      <c r="D605" s="145"/>
      <c r="E605" s="141" t="s">
        <v>85</v>
      </c>
      <c r="F605" s="153"/>
      <c r="G605" s="141" t="s">
        <v>85</v>
      </c>
      <c r="H605" s="153"/>
      <c r="I605" s="153">
        <f>I383/I520</f>
        <v>0.718</v>
      </c>
      <c r="J605" s="153"/>
      <c r="K605" s="153">
        <f>K383/K520</f>
        <v>0.731</v>
      </c>
      <c r="M605" s="153">
        <f>M383/M520</f>
        <v>0.738</v>
      </c>
      <c r="O605" s="153">
        <f>O383/O520</f>
        <v>0.729</v>
      </c>
      <c r="P605" s="153"/>
      <c r="Q605" s="153">
        <f>Q383/Q520</f>
        <v>0.724</v>
      </c>
      <c r="S605" s="153">
        <f>S383/S520</f>
        <v>0.703</v>
      </c>
      <c r="U605" s="153">
        <f>U383/U520</f>
        <v>0.698</v>
      </c>
    </row>
    <row r="606" spans="3:21" ht="11.25" customHeight="1">
      <c r="C606" s="153"/>
      <c r="D606" s="145"/>
      <c r="E606" s="153"/>
      <c r="F606" s="153"/>
      <c r="G606" s="153"/>
      <c r="H606" s="153"/>
      <c r="I606" s="153"/>
      <c r="J606" s="153"/>
      <c r="K606" s="153"/>
      <c r="M606" s="153"/>
      <c r="O606" s="153"/>
      <c r="P606" s="153"/>
      <c r="Q606" s="153"/>
      <c r="S606" s="153"/>
      <c r="U606" s="153"/>
    </row>
    <row r="607" spans="1:21" ht="11.25" customHeight="1">
      <c r="A607" s="118" t="s">
        <v>2</v>
      </c>
      <c r="C607" s="153">
        <f>C385/C522</f>
        <v>0.795</v>
      </c>
      <c r="D607" s="145"/>
      <c r="E607" s="153">
        <f>E385/E522</f>
        <v>0.788</v>
      </c>
      <c r="F607" s="153"/>
      <c r="G607" s="153">
        <f>G385/G522</f>
        <v>0.792</v>
      </c>
      <c r="H607" s="153"/>
      <c r="I607" s="153">
        <f>I385/I522</f>
        <v>0.802</v>
      </c>
      <c r="J607" s="153"/>
      <c r="K607" s="153">
        <f>K385/K522</f>
        <v>0.811</v>
      </c>
      <c r="M607" s="153">
        <f>M385/M522</f>
        <v>0.814</v>
      </c>
      <c r="O607" s="153">
        <f>O385/O522</f>
        <v>0.824</v>
      </c>
      <c r="P607" s="153"/>
      <c r="Q607" s="153">
        <f>Q385/Q522</f>
        <v>0.834</v>
      </c>
      <c r="S607" s="153">
        <f>S385/S522</f>
        <v>0.83</v>
      </c>
      <c r="U607" s="153">
        <f>U385/U522</f>
        <v>0.818</v>
      </c>
    </row>
    <row r="608" spans="3:21" ht="11.25" customHeight="1">
      <c r="C608" s="153"/>
      <c r="D608" s="145"/>
      <c r="E608" s="153"/>
      <c r="F608" s="153"/>
      <c r="G608" s="153"/>
      <c r="H608" s="153"/>
      <c r="I608" s="153"/>
      <c r="J608" s="153"/>
      <c r="K608" s="153"/>
      <c r="M608" s="153"/>
      <c r="O608" s="153"/>
      <c r="P608" s="153"/>
      <c r="Q608" s="153"/>
      <c r="S608" s="153"/>
      <c r="U608" s="153"/>
    </row>
    <row r="609" spans="1:21" ht="11.25" customHeight="1">
      <c r="A609" s="118" t="s">
        <v>54</v>
      </c>
      <c r="C609" s="153">
        <f>C387/C524</f>
        <v>0.83</v>
      </c>
      <c r="D609" s="145"/>
      <c r="E609" s="153">
        <f>E387/E524</f>
        <v>0.83</v>
      </c>
      <c r="F609" s="153"/>
      <c r="G609" s="153">
        <f>G387/G524</f>
        <v>0.817</v>
      </c>
      <c r="H609" s="153"/>
      <c r="I609" s="141" t="s">
        <v>85</v>
      </c>
      <c r="J609" s="153"/>
      <c r="K609" s="141" t="s">
        <v>85</v>
      </c>
      <c r="M609" s="141" t="s">
        <v>85</v>
      </c>
      <c r="O609" s="141" t="s">
        <v>85</v>
      </c>
      <c r="P609" s="141"/>
      <c r="Q609" s="141" t="s">
        <v>85</v>
      </c>
      <c r="S609" s="141" t="s">
        <v>85</v>
      </c>
      <c r="U609" s="141" t="s">
        <v>85</v>
      </c>
    </row>
    <row r="610" spans="3:21" ht="11.25" customHeight="1">
      <c r="C610" s="153"/>
      <c r="D610" s="145"/>
      <c r="E610" s="153"/>
      <c r="F610" s="153"/>
      <c r="G610" s="153"/>
      <c r="H610" s="153"/>
      <c r="I610" s="153"/>
      <c r="J610" s="153"/>
      <c r="K610" s="153"/>
      <c r="M610" s="153"/>
      <c r="O610" s="153"/>
      <c r="P610" s="153"/>
      <c r="Q610" s="153"/>
      <c r="S610" s="153"/>
      <c r="U610" s="153"/>
    </row>
    <row r="611" spans="1:21" ht="11.25" customHeight="1">
      <c r="A611" s="118" t="s">
        <v>3</v>
      </c>
      <c r="C611" s="153">
        <f>C389/C526</f>
        <v>0.832</v>
      </c>
      <c r="D611" s="145"/>
      <c r="E611" s="153">
        <f>E389/E526</f>
        <v>0.827</v>
      </c>
      <c r="F611" s="153"/>
      <c r="G611" s="153">
        <f>G389/G526</f>
        <v>0.82</v>
      </c>
      <c r="H611" s="153"/>
      <c r="I611" s="153">
        <f>I389/I526</f>
        <v>0.807</v>
      </c>
      <c r="J611" s="153"/>
      <c r="K611" s="153">
        <f>K389/K526</f>
        <v>0.801</v>
      </c>
      <c r="M611" s="153">
        <f>M389/M526</f>
        <v>0.803</v>
      </c>
      <c r="O611" s="153">
        <f>O389/O526</f>
        <v>0.808</v>
      </c>
      <c r="P611" s="153"/>
      <c r="Q611" s="153">
        <f>Q389/Q526</f>
        <v>0.778</v>
      </c>
      <c r="S611" s="153">
        <f>S389/S526</f>
        <v>0.761</v>
      </c>
      <c r="U611" s="153">
        <f>U389/U526</f>
        <v>0.735</v>
      </c>
    </row>
    <row r="612" spans="3:21" ht="11.25" customHeight="1">
      <c r="C612" s="153"/>
      <c r="D612" s="145"/>
      <c r="E612" s="153"/>
      <c r="F612" s="153"/>
      <c r="G612" s="153"/>
      <c r="H612" s="153"/>
      <c r="I612" s="153"/>
      <c r="J612" s="153"/>
      <c r="K612" s="153"/>
      <c r="M612" s="153"/>
      <c r="O612" s="153"/>
      <c r="P612" s="153"/>
      <c r="Q612" s="153"/>
      <c r="S612" s="153"/>
      <c r="U612" s="153"/>
    </row>
    <row r="613" spans="1:21" ht="11.25" customHeight="1">
      <c r="A613" s="118" t="s">
        <v>4</v>
      </c>
      <c r="C613" s="153">
        <f>C391/C528</f>
        <v>0.833</v>
      </c>
      <c r="D613" s="145"/>
      <c r="E613" s="153">
        <f>E391/E528</f>
        <v>0.844</v>
      </c>
      <c r="F613" s="153"/>
      <c r="G613" s="153">
        <f>G391/G528</f>
        <v>0.854</v>
      </c>
      <c r="H613" s="153"/>
      <c r="I613" s="153">
        <f>I391/I528</f>
        <v>0.853</v>
      </c>
      <c r="J613" s="153"/>
      <c r="K613" s="153">
        <f>K391/K528</f>
        <v>0.832</v>
      </c>
      <c r="M613" s="153">
        <f>M391/M528</f>
        <v>0.833</v>
      </c>
      <c r="O613" s="153">
        <f>O391/O528</f>
        <v>0.819</v>
      </c>
      <c r="P613" s="153"/>
      <c r="Q613" s="153">
        <f>Q391/Q528</f>
        <v>0.823</v>
      </c>
      <c r="S613" s="153">
        <f>S391/S528</f>
        <v>0.814</v>
      </c>
      <c r="U613" s="153">
        <f>U391/U528</f>
        <v>0.822</v>
      </c>
    </row>
    <row r="614" spans="3:21" ht="11.25" customHeight="1">
      <c r="C614" s="153"/>
      <c r="D614" s="145"/>
      <c r="E614" s="153"/>
      <c r="F614" s="153"/>
      <c r="G614" s="153"/>
      <c r="H614" s="153"/>
      <c r="I614" s="153"/>
      <c r="J614" s="153"/>
      <c r="K614" s="153"/>
      <c r="M614" s="153"/>
      <c r="O614" s="153"/>
      <c r="P614" s="153"/>
      <c r="Q614" s="153"/>
      <c r="S614" s="153"/>
      <c r="U614" s="153"/>
    </row>
    <row r="615" spans="1:21" ht="11.25" customHeight="1">
      <c r="A615" s="118" t="s">
        <v>90</v>
      </c>
      <c r="C615" s="153">
        <f>C393/C530</f>
        <v>0.845</v>
      </c>
      <c r="D615" s="145"/>
      <c r="E615" s="153">
        <f>E393/E530</f>
        <v>0.836</v>
      </c>
      <c r="F615" s="153"/>
      <c r="G615" s="153">
        <f>G393/G530</f>
        <v>0.844</v>
      </c>
      <c r="H615" s="153"/>
      <c r="I615" s="153">
        <f>I393/I530</f>
        <v>0.832</v>
      </c>
      <c r="J615" s="153"/>
      <c r="K615" s="153">
        <f>K393/K530</f>
        <v>0.836</v>
      </c>
      <c r="M615" s="153">
        <f>M393/M530</f>
        <v>0.823</v>
      </c>
      <c r="O615" s="153">
        <f>O393/O530</f>
        <v>0.829</v>
      </c>
      <c r="P615" s="153"/>
      <c r="Q615" s="141" t="s">
        <v>85</v>
      </c>
      <c r="S615" s="141" t="s">
        <v>85</v>
      </c>
      <c r="U615" s="141" t="s">
        <v>85</v>
      </c>
    </row>
    <row r="616" spans="3:21" ht="11.25" customHeight="1">
      <c r="C616" s="153"/>
      <c r="D616" s="145"/>
      <c r="E616" s="153"/>
      <c r="F616" s="153"/>
      <c r="G616" s="153"/>
      <c r="H616" s="153"/>
      <c r="I616" s="153"/>
      <c r="J616" s="153"/>
      <c r="K616" s="153"/>
      <c r="M616" s="153"/>
      <c r="O616" s="153"/>
      <c r="P616" s="153"/>
      <c r="Q616" s="153"/>
      <c r="S616" s="153"/>
      <c r="U616" s="153"/>
    </row>
    <row r="617" spans="1:21" ht="11.25" customHeight="1">
      <c r="A617" s="118" t="s">
        <v>5</v>
      </c>
      <c r="C617" s="153">
        <f>C395/C532</f>
        <v>0.842</v>
      </c>
      <c r="D617" s="145"/>
      <c r="E617" s="153">
        <f>E395/E532</f>
        <v>0.841</v>
      </c>
      <c r="F617" s="153"/>
      <c r="G617" s="153">
        <f>G395/G532</f>
        <v>0.829</v>
      </c>
      <c r="H617" s="153"/>
      <c r="I617" s="153">
        <f>I395/I532</f>
        <v>0.817</v>
      </c>
      <c r="J617" s="153"/>
      <c r="K617" s="153">
        <f>K395/K532</f>
        <v>0.806</v>
      </c>
      <c r="M617" s="153">
        <f>M395/M532</f>
        <v>0.799</v>
      </c>
      <c r="O617" s="153">
        <f>O395/O532</f>
        <v>0.793</v>
      </c>
      <c r="P617" s="153"/>
      <c r="Q617" s="153">
        <f>Q395/Q532</f>
        <v>0.778</v>
      </c>
      <c r="S617" s="153">
        <f>S395/S532</f>
        <v>0.775</v>
      </c>
      <c r="U617" s="153">
        <f>U395/U532</f>
        <v>0.769</v>
      </c>
    </row>
    <row r="618" spans="3:21" ht="11.25" customHeight="1">
      <c r="C618" s="153"/>
      <c r="D618" s="145"/>
      <c r="E618" s="153"/>
      <c r="F618" s="153"/>
      <c r="G618" s="153"/>
      <c r="H618" s="153"/>
      <c r="I618" s="153"/>
      <c r="J618" s="153"/>
      <c r="K618" s="153"/>
      <c r="M618" s="153"/>
      <c r="O618" s="153"/>
      <c r="P618" s="153"/>
      <c r="Q618" s="153"/>
      <c r="S618" s="153"/>
      <c r="U618" s="153"/>
    </row>
    <row r="619" spans="1:21" ht="11.25" customHeight="1">
      <c r="A619" s="118" t="s">
        <v>6</v>
      </c>
      <c r="C619" s="153">
        <f>C397/C534</f>
        <v>0.789</v>
      </c>
      <c r="D619" s="145"/>
      <c r="E619" s="153">
        <f>E397/E534</f>
        <v>0.79</v>
      </c>
      <c r="F619" s="153"/>
      <c r="G619" s="153">
        <f>G397/G534</f>
        <v>0.776</v>
      </c>
      <c r="H619" s="153"/>
      <c r="I619" s="153">
        <f>I397/I534</f>
        <v>0.767</v>
      </c>
      <c r="J619" s="153"/>
      <c r="K619" s="153">
        <f>K397/K534</f>
        <v>0.767</v>
      </c>
      <c r="M619" s="153">
        <f>M397/M534</f>
        <v>0.74</v>
      </c>
      <c r="O619" s="153">
        <f>O397/O534</f>
        <v>0.738</v>
      </c>
      <c r="P619" s="153"/>
      <c r="Q619" s="153">
        <f>Q397/Q534</f>
        <v>0.719</v>
      </c>
      <c r="S619" s="153">
        <f>S397/S534</f>
        <v>0.715</v>
      </c>
      <c r="U619" s="153">
        <f>U397/U534</f>
        <v>0.701</v>
      </c>
    </row>
    <row r="620" spans="3:21" ht="11.25" customHeight="1">
      <c r="C620" s="153"/>
      <c r="D620" s="145"/>
      <c r="E620" s="153"/>
      <c r="F620" s="153"/>
      <c r="G620" s="153"/>
      <c r="H620" s="153"/>
      <c r="I620" s="153"/>
      <c r="J620" s="153"/>
      <c r="K620" s="153"/>
      <c r="M620" s="153"/>
      <c r="O620" s="153"/>
      <c r="P620" s="153"/>
      <c r="Q620" s="153"/>
      <c r="S620" s="153"/>
      <c r="U620" s="153"/>
    </row>
    <row r="621" spans="1:21" ht="11.25" customHeight="1">
      <c r="A621" s="118" t="s">
        <v>24</v>
      </c>
      <c r="C621" s="153">
        <f>C399/C536</f>
        <v>0.813</v>
      </c>
      <c r="D621" s="145"/>
      <c r="E621" s="153">
        <f>E399/E536</f>
        <v>0.815</v>
      </c>
      <c r="F621" s="153"/>
      <c r="G621" s="153">
        <f>G399/G536</f>
        <v>0.821</v>
      </c>
      <c r="H621" s="153"/>
      <c r="I621" s="153">
        <f>I399/I536</f>
        <v>0.81</v>
      </c>
      <c r="J621" s="153"/>
      <c r="K621" s="153">
        <f>K399/K536</f>
        <v>0.805</v>
      </c>
      <c r="M621" s="153">
        <f>M399/M536</f>
        <v>0.809</v>
      </c>
      <c r="O621" s="153">
        <f>O399/O536</f>
        <v>0.811</v>
      </c>
      <c r="P621" s="153"/>
      <c r="Q621" s="153">
        <f>Q399/Q536</f>
        <v>0.79</v>
      </c>
      <c r="S621" s="153">
        <f>S399/S536</f>
        <v>0.782</v>
      </c>
      <c r="U621" s="153">
        <f>U399/U536</f>
        <v>0.782</v>
      </c>
    </row>
    <row r="622" spans="3:21" ht="11.25" customHeight="1">
      <c r="C622" s="153"/>
      <c r="D622" s="145"/>
      <c r="E622" s="153"/>
      <c r="F622" s="153"/>
      <c r="G622" s="153"/>
      <c r="H622" s="153"/>
      <c r="I622" s="153"/>
      <c r="J622" s="153"/>
      <c r="K622" s="153"/>
      <c r="M622" s="153"/>
      <c r="O622" s="153"/>
      <c r="P622" s="153"/>
      <c r="Q622" s="153"/>
      <c r="S622" s="153"/>
      <c r="U622" s="153"/>
    </row>
    <row r="623" spans="1:21" ht="11.25" customHeight="1">
      <c r="A623" s="118" t="s">
        <v>7</v>
      </c>
      <c r="C623" s="153">
        <f>C401/C538</f>
        <v>0.809</v>
      </c>
      <c r="D623" s="145"/>
      <c r="E623" s="153">
        <f>E401/E538</f>
        <v>0.817</v>
      </c>
      <c r="F623" s="153"/>
      <c r="G623" s="153">
        <f>G401/G538</f>
        <v>0.828</v>
      </c>
      <c r="H623" s="153"/>
      <c r="I623" s="153">
        <f>I401/I538</f>
        <v>0.821</v>
      </c>
      <c r="J623" s="153"/>
      <c r="K623" s="153">
        <f>K401/K538</f>
        <v>0.81</v>
      </c>
      <c r="M623" s="153">
        <f>M401/M538</f>
        <v>0.805</v>
      </c>
      <c r="O623" s="153">
        <f>O401/O538</f>
        <v>0.812</v>
      </c>
      <c r="P623" s="153"/>
      <c r="Q623" s="153">
        <f>Q401/Q538</f>
        <v>0.805</v>
      </c>
      <c r="S623" s="153">
        <f>S401/S538</f>
        <v>0.796</v>
      </c>
      <c r="U623" s="153">
        <f>U401/U538</f>
        <v>0.781</v>
      </c>
    </row>
    <row r="624" spans="3:21" ht="11.25" customHeight="1">
      <c r="C624" s="153"/>
      <c r="D624" s="145"/>
      <c r="E624" s="153"/>
      <c r="F624" s="153"/>
      <c r="G624" s="153"/>
      <c r="H624" s="153"/>
      <c r="I624" s="153"/>
      <c r="J624" s="153"/>
      <c r="K624" s="153"/>
      <c r="M624" s="153"/>
      <c r="O624" s="153"/>
      <c r="P624" s="153"/>
      <c r="Q624" s="153"/>
      <c r="S624" s="153"/>
      <c r="U624" s="153"/>
    </row>
    <row r="625" spans="1:21" ht="11.25" customHeight="1">
      <c r="A625" s="130" t="s">
        <v>8</v>
      </c>
      <c r="B625" s="140"/>
      <c r="C625" s="153">
        <f>C403/C540</f>
        <v>0.826</v>
      </c>
      <c r="D625" s="147"/>
      <c r="E625" s="153">
        <f>E403/E540</f>
        <v>0.828</v>
      </c>
      <c r="F625" s="153"/>
      <c r="G625" s="153">
        <f>G403/G540</f>
        <v>0.828</v>
      </c>
      <c r="H625" s="153"/>
      <c r="I625" s="153">
        <f>I403/I540</f>
        <v>0.829</v>
      </c>
      <c r="J625" s="153"/>
      <c r="K625" s="153">
        <f>K403/K540</f>
        <v>0.819</v>
      </c>
      <c r="M625" s="153">
        <f>M403/M540</f>
        <v>0.83</v>
      </c>
      <c r="O625" s="153">
        <f>O403/O540</f>
        <v>0.82</v>
      </c>
      <c r="P625" s="153"/>
      <c r="Q625" s="153">
        <f>Q403/Q540</f>
        <v>0.811</v>
      </c>
      <c r="S625" s="153">
        <f>S403/S540</f>
        <v>0.797</v>
      </c>
      <c r="U625" s="153">
        <f>U403/U540</f>
        <v>0.766</v>
      </c>
    </row>
    <row r="626" spans="1:21" ht="11.25" customHeight="1">
      <c r="A626" s="140"/>
      <c r="B626" s="140"/>
      <c r="C626" s="153"/>
      <c r="D626" s="147"/>
      <c r="E626" s="153"/>
      <c r="F626" s="153"/>
      <c r="G626" s="153"/>
      <c r="H626" s="153"/>
      <c r="I626" s="153"/>
      <c r="J626" s="153"/>
      <c r="K626" s="153"/>
      <c r="M626" s="153"/>
      <c r="O626" s="153"/>
      <c r="P626" s="153"/>
      <c r="Q626" s="153"/>
      <c r="S626" s="153"/>
      <c r="U626" s="153"/>
    </row>
    <row r="627" spans="1:21" ht="11.25" customHeight="1">
      <c r="A627" s="118" t="s">
        <v>17</v>
      </c>
      <c r="B627" s="140"/>
      <c r="C627" s="153">
        <f>C405/C542</f>
        <v>0.816</v>
      </c>
      <c r="D627" s="147"/>
      <c r="E627" s="153">
        <f>E405/E542</f>
        <v>0.815</v>
      </c>
      <c r="F627" s="153"/>
      <c r="G627" s="153">
        <f>G405/G542</f>
        <v>0.814</v>
      </c>
      <c r="H627" s="153"/>
      <c r="I627" s="153">
        <f>I405/I542</f>
        <v>0.804</v>
      </c>
      <c r="J627" s="153"/>
      <c r="K627" s="153">
        <f>K405/K542</f>
        <v>0.795</v>
      </c>
      <c r="M627" s="153">
        <f>M405/M542</f>
        <v>0.792</v>
      </c>
      <c r="O627" s="153">
        <f>O405/O542</f>
        <v>0.791</v>
      </c>
      <c r="P627" s="153"/>
      <c r="Q627" s="153">
        <f>Q405/Q542</f>
        <v>0.781</v>
      </c>
      <c r="S627" s="153">
        <f>S405/S542</f>
        <v>0.771</v>
      </c>
      <c r="U627" s="153">
        <f>U405/U542</f>
        <v>0.757</v>
      </c>
    </row>
    <row r="628" spans="2:6" ht="11.25" customHeight="1">
      <c r="B628" s="140"/>
      <c r="C628" s="143"/>
      <c r="D628" s="140"/>
      <c r="E628" s="143"/>
      <c r="F628" s="29"/>
    </row>
    <row r="629" ht="11.25" customHeight="1">
      <c r="A629" s="152"/>
    </row>
    <row r="630" ht="11.25" customHeight="1">
      <c r="A630" s="138" t="s">
        <v>75</v>
      </c>
    </row>
    <row r="631" ht="11.25" customHeight="1">
      <c r="A631" s="118" t="s">
        <v>56</v>
      </c>
    </row>
    <row r="632" ht="11.25" customHeight="1">
      <c r="A632" s="52" t="s">
        <v>52</v>
      </c>
    </row>
    <row r="633" ht="11.25" customHeight="1">
      <c r="A633" s="55" t="s">
        <v>80</v>
      </c>
    </row>
    <row r="634" ht="11.25" customHeight="1">
      <c r="A634" s="56" t="s">
        <v>87</v>
      </c>
    </row>
    <row r="635" ht="11.25" customHeight="1">
      <c r="A635" s="56" t="s">
        <v>93</v>
      </c>
    </row>
  </sheetData>
  <printOptions/>
  <pageMargins left="0.81" right="0.25" top="0.87" bottom="0" header="0.5" footer="0.5"/>
  <pageSetup fitToHeight="18" horizontalDpi="600" verticalDpi="600" orientation="landscape" scale="83" r:id="rId1"/>
  <headerFooter alignWithMargins="0">
    <oddFooter>&amp;L&amp;D</oddFooter>
  </headerFooter>
  <rowBreaks count="13" manualBreakCount="13">
    <brk id="47" max="255" man="1"/>
    <brk id="93" max="255" man="1"/>
    <brk id="140" max="255" man="1"/>
    <brk id="182" max="255" man="1"/>
    <brk id="230" max="255" man="1"/>
    <brk id="276" max="255" man="1"/>
    <brk id="324" max="255" man="1"/>
    <brk id="370" max="255" man="1"/>
    <brk id="418" max="255" man="1"/>
    <brk id="459" max="255" man="1"/>
    <brk id="507" max="255" man="1"/>
    <brk id="550" max="255" man="1"/>
    <brk id="59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S501"/>
  <sheetViews>
    <sheetView showGridLines="0" workbookViewId="0" topLeftCell="A1">
      <selection activeCell="Q192" sqref="Q192"/>
    </sheetView>
  </sheetViews>
  <sheetFormatPr defaultColWidth="12.57421875" defaultRowHeight="11.25" customHeight="1"/>
  <cols>
    <col min="1" max="1" width="16.421875" style="21" customWidth="1"/>
    <col min="2" max="2" width="5.28125" style="21" customWidth="1"/>
    <col min="3" max="3" width="11.7109375" style="21" customWidth="1"/>
    <col min="4" max="4" width="2.421875" style="21" customWidth="1"/>
    <col min="5" max="5" width="11.7109375" style="21" customWidth="1"/>
    <col min="6" max="6" width="2.421875" style="21" customWidth="1"/>
    <col min="7" max="7" width="11.7109375" style="21" customWidth="1"/>
    <col min="8" max="8" width="2.421875" style="21" customWidth="1"/>
    <col min="9" max="9" width="11.7109375" style="21" customWidth="1"/>
    <col min="10" max="10" width="2.421875" style="21" customWidth="1"/>
    <col min="11" max="11" width="11.7109375" style="21" customWidth="1"/>
    <col min="12" max="12" width="2.421875" style="21" customWidth="1"/>
    <col min="13" max="13" width="11.7109375" style="21" customWidth="1"/>
    <col min="14" max="14" width="2.421875" style="21" customWidth="1"/>
    <col min="15" max="15" width="11.7109375" style="21" customWidth="1"/>
    <col min="16" max="16" width="2.421875" style="21" customWidth="1"/>
    <col min="17" max="17" width="11.7109375" style="21" customWidth="1"/>
    <col min="18" max="18" width="2.421875" style="21" customWidth="1"/>
    <col min="19" max="19" width="11.7109375" style="21" customWidth="1"/>
    <col min="20" max="20" width="2.421875" style="21" customWidth="1"/>
    <col min="21" max="23" width="11.7109375" style="21" customWidth="1"/>
    <col min="24" max="24" width="5.57421875" style="21" customWidth="1"/>
    <col min="25" max="25" width="11.7109375" style="21" customWidth="1"/>
    <col min="26" max="26" width="2.421875" style="21" customWidth="1"/>
    <col min="27" max="27" width="11.7109375" style="21" customWidth="1"/>
    <col min="28" max="28" width="2.421875" style="21" customWidth="1"/>
    <col min="29" max="29" width="11.7109375" style="21" customWidth="1"/>
    <col min="30" max="30" width="2.421875" style="21" customWidth="1"/>
    <col min="31" max="31" width="11.7109375" style="21" customWidth="1"/>
    <col min="32" max="32" width="2.421875" style="21" customWidth="1"/>
    <col min="33" max="33" width="11.7109375" style="21" customWidth="1"/>
    <col min="34" max="34" width="2.421875" style="21" customWidth="1"/>
    <col min="35" max="35" width="11.7109375" style="21" customWidth="1"/>
    <col min="36" max="36" width="2.421875" style="21" customWidth="1"/>
    <col min="37" max="37" width="11.7109375" style="21" customWidth="1"/>
    <col min="38" max="38" width="2.421875" style="21" customWidth="1"/>
    <col min="39" max="39" width="12.57421875" style="21" customWidth="1"/>
    <col min="40" max="40" width="2.421875" style="21" customWidth="1"/>
    <col min="41" max="41" width="12.57421875" style="21" customWidth="1"/>
    <col min="42" max="42" width="2.7109375" style="21" customWidth="1"/>
    <col min="43" max="16384" width="12.57421875" style="21" customWidth="1"/>
  </cols>
  <sheetData>
    <row r="1" spans="1:5" ht="11.25" customHeight="1">
      <c r="A1" s="118" t="s">
        <v>0</v>
      </c>
      <c r="B1" s="120"/>
      <c r="C1" s="120"/>
      <c r="D1" s="120"/>
      <c r="E1" s="120"/>
    </row>
    <row r="2" spans="1:5" ht="11.25" customHeight="1">
      <c r="A2" s="118" t="s">
        <v>34</v>
      </c>
      <c r="B2" s="120"/>
      <c r="C2" s="120"/>
      <c r="D2" s="120"/>
      <c r="E2" s="120"/>
    </row>
    <row r="3" spans="1:5" ht="11.25" customHeight="1">
      <c r="A3" s="172" t="s">
        <v>120</v>
      </c>
      <c r="B3" s="140"/>
      <c r="C3" s="120"/>
      <c r="D3" s="120"/>
      <c r="E3" s="120"/>
    </row>
    <row r="4" spans="1:5" ht="11.25" customHeight="1">
      <c r="A4" s="118" t="s">
        <v>1</v>
      </c>
      <c r="B4" s="126"/>
      <c r="C4" s="120"/>
      <c r="D4" s="120"/>
      <c r="E4" s="120"/>
    </row>
    <row r="5" spans="1:5" ht="11.25" customHeight="1">
      <c r="A5" s="41"/>
      <c r="B5" s="120"/>
      <c r="C5" s="120"/>
      <c r="D5" s="120"/>
      <c r="E5" s="120"/>
    </row>
    <row r="6" spans="1:5" ht="11.25" customHeight="1">
      <c r="A6" s="123"/>
      <c r="B6" s="120"/>
      <c r="C6" s="120"/>
      <c r="D6" s="120"/>
      <c r="E6" s="120"/>
    </row>
    <row r="7" spans="1:22" ht="11.25" customHeight="1">
      <c r="A7" s="120"/>
      <c r="B7" s="120"/>
      <c r="C7" s="124">
        <v>2000</v>
      </c>
      <c r="D7" s="173"/>
      <c r="E7" s="124">
        <v>2001</v>
      </c>
      <c r="F7" s="29"/>
      <c r="G7" s="124" t="s">
        <v>77</v>
      </c>
      <c r="H7" s="182"/>
      <c r="I7" s="124">
        <v>2003</v>
      </c>
      <c r="J7" s="182"/>
      <c r="K7" s="124">
        <v>2004</v>
      </c>
      <c r="M7" s="124">
        <v>2005</v>
      </c>
      <c r="O7" s="46">
        <v>2006</v>
      </c>
      <c r="P7" s="255"/>
      <c r="Q7" s="46">
        <v>2007</v>
      </c>
      <c r="R7" s="255"/>
      <c r="S7" s="46">
        <v>2008</v>
      </c>
      <c r="T7" s="255"/>
      <c r="U7" s="46">
        <v>2009</v>
      </c>
      <c r="V7" s="255"/>
    </row>
    <row r="8" spans="1:11" ht="11.25" customHeight="1">
      <c r="A8" s="120"/>
      <c r="B8" s="120"/>
      <c r="C8" s="126"/>
      <c r="D8" s="140"/>
      <c r="E8" s="126"/>
      <c r="F8" s="29"/>
      <c r="G8" s="126"/>
      <c r="H8" s="126"/>
      <c r="I8" s="126"/>
      <c r="J8" s="126"/>
      <c r="K8" s="126"/>
    </row>
    <row r="9" spans="1:22" ht="11.25" customHeight="1">
      <c r="A9" s="118" t="s">
        <v>81</v>
      </c>
      <c r="B9" s="120"/>
      <c r="C9" s="187">
        <v>46420</v>
      </c>
      <c r="D9" s="188"/>
      <c r="E9" s="188">
        <v>47676</v>
      </c>
      <c r="F9" s="189"/>
      <c r="G9" s="188">
        <v>88568</v>
      </c>
      <c r="H9" s="188"/>
      <c r="I9" s="188">
        <v>85919</v>
      </c>
      <c r="J9" s="145"/>
      <c r="K9" s="188">
        <v>84509</v>
      </c>
      <c r="M9" s="188">
        <v>94519</v>
      </c>
      <c r="O9" s="260">
        <v>113549</v>
      </c>
      <c r="P9" s="188"/>
      <c r="Q9" s="188">
        <v>109800</v>
      </c>
      <c r="R9" s="188"/>
      <c r="S9" s="188">
        <v>93744</v>
      </c>
      <c r="T9" s="188"/>
      <c r="U9" s="188">
        <v>71870</v>
      </c>
      <c r="V9" s="188"/>
    </row>
    <row r="10" spans="1:15" ht="11.25" customHeight="1">
      <c r="A10" s="120"/>
      <c r="B10" s="120"/>
      <c r="C10" s="144"/>
      <c r="D10" s="145"/>
      <c r="E10" s="145"/>
      <c r="G10" s="145"/>
      <c r="H10" s="145"/>
      <c r="I10" s="145"/>
      <c r="J10" s="145"/>
      <c r="K10" s="145"/>
      <c r="O10" s="261"/>
    </row>
    <row r="11" spans="1:22" ht="11.25" customHeight="1">
      <c r="A11" s="118" t="s">
        <v>53</v>
      </c>
      <c r="B11" s="120"/>
      <c r="C11" s="144">
        <v>68058</v>
      </c>
      <c r="D11" s="145"/>
      <c r="E11" s="145">
        <v>70238</v>
      </c>
      <c r="G11" s="145">
        <v>115806</v>
      </c>
      <c r="H11" s="145"/>
      <c r="I11" s="145">
        <v>164149</v>
      </c>
      <c r="J11" s="145"/>
      <c r="K11" s="145">
        <v>162907</v>
      </c>
      <c r="M11" s="145">
        <v>166955</v>
      </c>
      <c r="O11" s="262">
        <v>173907</v>
      </c>
      <c r="P11" s="145"/>
      <c r="Q11" s="145">
        <v>187299</v>
      </c>
      <c r="R11" s="145"/>
      <c r="S11" s="145">
        <v>159649</v>
      </c>
      <c r="T11" s="145"/>
      <c r="U11" s="145">
        <v>145465</v>
      </c>
      <c r="V11" s="145"/>
    </row>
    <row r="12" spans="1:22" ht="11.25" customHeight="1">
      <c r="A12" s="118"/>
      <c r="B12" s="120"/>
      <c r="C12" s="144"/>
      <c r="D12" s="145"/>
      <c r="E12" s="145"/>
      <c r="G12" s="145"/>
      <c r="H12" s="145"/>
      <c r="I12" s="145"/>
      <c r="J12" s="145"/>
      <c r="K12" s="145"/>
      <c r="M12" s="145"/>
      <c r="O12" s="262"/>
      <c r="P12" s="145"/>
      <c r="Q12" s="145"/>
      <c r="R12" s="145"/>
      <c r="S12" s="145"/>
      <c r="T12" s="145"/>
      <c r="U12" s="145"/>
      <c r="V12" s="145"/>
    </row>
    <row r="13" spans="1:22" ht="11.25" customHeight="1">
      <c r="A13" s="118" t="s">
        <v>86</v>
      </c>
      <c r="B13" s="120"/>
      <c r="C13" s="141" t="s">
        <v>85</v>
      </c>
      <c r="D13" s="145"/>
      <c r="E13" s="141" t="s">
        <v>85</v>
      </c>
      <c r="G13" s="141" t="s">
        <v>85</v>
      </c>
      <c r="H13" s="145"/>
      <c r="I13" s="145">
        <v>68445</v>
      </c>
      <c r="J13" s="145"/>
      <c r="K13" s="145">
        <v>175862</v>
      </c>
      <c r="M13" s="145">
        <v>180722</v>
      </c>
      <c r="O13" s="262">
        <v>195759</v>
      </c>
      <c r="P13" s="145"/>
      <c r="Q13" s="145">
        <v>196036</v>
      </c>
      <c r="R13" s="145"/>
      <c r="S13" s="145">
        <v>213974</v>
      </c>
      <c r="T13" s="145"/>
      <c r="U13" s="145">
        <v>213193</v>
      </c>
      <c r="V13" s="145"/>
    </row>
    <row r="14" spans="1:22" ht="11.25" customHeight="1">
      <c r="A14" s="120"/>
      <c r="B14" s="120"/>
      <c r="C14" s="144"/>
      <c r="D14" s="145"/>
      <c r="E14" s="145"/>
      <c r="G14" s="145"/>
      <c r="H14" s="145"/>
      <c r="I14" s="145"/>
      <c r="J14" s="145"/>
      <c r="K14" s="145"/>
      <c r="M14" s="145"/>
      <c r="O14" s="262"/>
      <c r="P14" s="145"/>
      <c r="Q14" s="145"/>
      <c r="R14" s="145"/>
      <c r="S14" s="145"/>
      <c r="T14" s="145"/>
      <c r="U14" s="145"/>
      <c r="V14" s="145"/>
    </row>
    <row r="15" spans="1:22" ht="11.25" customHeight="1">
      <c r="A15" s="118" t="s">
        <v>2</v>
      </c>
      <c r="B15" s="120"/>
      <c r="C15" s="144">
        <v>70701</v>
      </c>
      <c r="D15" s="145"/>
      <c r="E15" s="145">
        <v>80499</v>
      </c>
      <c r="G15" s="145">
        <v>139225</v>
      </c>
      <c r="H15" s="145"/>
      <c r="I15" s="145">
        <v>131981</v>
      </c>
      <c r="J15" s="145"/>
      <c r="K15" s="145">
        <v>117049</v>
      </c>
      <c r="M15" s="145">
        <v>128449</v>
      </c>
      <c r="O15" s="262">
        <v>136867</v>
      </c>
      <c r="P15" s="145"/>
      <c r="Q15" s="145">
        <v>148166</v>
      </c>
      <c r="R15" s="145"/>
      <c r="S15" s="145">
        <v>135945</v>
      </c>
      <c r="T15" s="145"/>
      <c r="U15" s="145">
        <v>133162</v>
      </c>
      <c r="V15" s="145"/>
    </row>
    <row r="16" spans="1:22" ht="11.25" customHeight="1">
      <c r="A16" s="120"/>
      <c r="B16" s="120"/>
      <c r="C16" s="144"/>
      <c r="D16" s="145"/>
      <c r="E16" s="145"/>
      <c r="G16" s="145"/>
      <c r="H16" s="145"/>
      <c r="I16" s="145"/>
      <c r="J16" s="145"/>
      <c r="K16" s="145"/>
      <c r="M16" s="145"/>
      <c r="O16" s="262"/>
      <c r="P16" s="145"/>
      <c r="Q16" s="145"/>
      <c r="R16" s="145"/>
      <c r="S16" s="145"/>
      <c r="T16" s="145"/>
      <c r="U16" s="145"/>
      <c r="V16" s="145"/>
    </row>
    <row r="17" spans="1:22" ht="11.25" customHeight="1">
      <c r="A17" s="129" t="s">
        <v>54</v>
      </c>
      <c r="B17" s="120"/>
      <c r="C17" s="144">
        <v>22929</v>
      </c>
      <c r="D17" s="145"/>
      <c r="E17" s="145">
        <f>8794+13659</f>
        <v>22453</v>
      </c>
      <c r="G17" s="145">
        <v>42071</v>
      </c>
      <c r="H17" s="145"/>
      <c r="I17" s="141" t="s">
        <v>85</v>
      </c>
      <c r="J17" s="145"/>
      <c r="K17" s="141" t="s">
        <v>85</v>
      </c>
      <c r="M17" s="141" t="s">
        <v>85</v>
      </c>
      <c r="O17" s="263" t="s">
        <v>85</v>
      </c>
      <c r="P17" s="141"/>
      <c r="Q17" s="141" t="s">
        <v>85</v>
      </c>
      <c r="R17" s="141"/>
      <c r="S17" s="141" t="s">
        <v>85</v>
      </c>
      <c r="T17" s="141"/>
      <c r="U17" s="141" t="s">
        <v>85</v>
      </c>
      <c r="V17" s="141"/>
    </row>
    <row r="18" spans="1:22" ht="11.25" customHeight="1">
      <c r="A18" s="120"/>
      <c r="B18" s="120"/>
      <c r="C18" s="144"/>
      <c r="D18" s="145"/>
      <c r="E18" s="145"/>
      <c r="G18" s="145"/>
      <c r="H18" s="145"/>
      <c r="I18" s="145"/>
      <c r="J18" s="145"/>
      <c r="K18" s="145"/>
      <c r="M18" s="145"/>
      <c r="O18" s="262"/>
      <c r="P18" s="145"/>
      <c r="Q18" s="145"/>
      <c r="R18" s="145"/>
      <c r="S18" s="145"/>
      <c r="T18" s="145"/>
      <c r="U18" s="145"/>
      <c r="V18" s="145"/>
    </row>
    <row r="19" spans="1:22" ht="11.25" customHeight="1">
      <c r="A19" s="118" t="s">
        <v>3</v>
      </c>
      <c r="B19" s="120"/>
      <c r="C19" s="144">
        <v>53146</v>
      </c>
      <c r="D19" s="145"/>
      <c r="E19" s="145">
        <v>56518</v>
      </c>
      <c r="G19" s="145">
        <v>107754</v>
      </c>
      <c r="H19" s="145"/>
      <c r="I19" s="145">
        <v>121651</v>
      </c>
      <c r="J19" s="145"/>
      <c r="K19" s="145">
        <v>135244</v>
      </c>
      <c r="M19" s="145">
        <v>140009</v>
      </c>
      <c r="O19" s="262">
        <v>152960</v>
      </c>
      <c r="P19" s="145"/>
      <c r="Q19" s="145">
        <v>165260</v>
      </c>
      <c r="R19" s="145"/>
      <c r="S19" s="145">
        <v>172137</v>
      </c>
      <c r="T19" s="145"/>
      <c r="U19" s="145">
        <v>167420</v>
      </c>
      <c r="V19" s="145"/>
    </row>
    <row r="20" spans="1:22" ht="11.25" customHeight="1">
      <c r="A20" s="120"/>
      <c r="B20" s="120"/>
      <c r="C20" s="144"/>
      <c r="D20" s="145"/>
      <c r="E20" s="145"/>
      <c r="G20" s="145"/>
      <c r="H20" s="145"/>
      <c r="I20" s="145"/>
      <c r="J20" s="145"/>
      <c r="K20" s="145"/>
      <c r="M20" s="145"/>
      <c r="O20" s="262"/>
      <c r="P20" s="145"/>
      <c r="Q20" s="145"/>
      <c r="R20" s="145"/>
      <c r="S20" s="145"/>
      <c r="T20" s="145"/>
      <c r="U20" s="145"/>
      <c r="V20" s="145"/>
    </row>
    <row r="21" spans="1:22" ht="11.25" customHeight="1">
      <c r="A21" s="118" t="s">
        <v>4</v>
      </c>
      <c r="B21" s="120"/>
      <c r="C21" s="144">
        <v>27071</v>
      </c>
      <c r="D21" s="145"/>
      <c r="E21" s="145">
        <v>28208</v>
      </c>
      <c r="G21" s="145">
        <v>68856</v>
      </c>
      <c r="H21" s="145"/>
      <c r="I21" s="145">
        <v>56209</v>
      </c>
      <c r="J21" s="145"/>
      <c r="K21" s="145">
        <v>68643</v>
      </c>
      <c r="M21" s="145">
        <v>75372</v>
      </c>
      <c r="O21" s="262">
        <v>89454</v>
      </c>
      <c r="P21" s="145"/>
      <c r="Q21" s="145">
        <v>86638</v>
      </c>
      <c r="R21" s="145"/>
      <c r="S21" s="145">
        <v>70895</v>
      </c>
      <c r="T21" s="145"/>
      <c r="U21" s="145">
        <v>69128</v>
      </c>
      <c r="V21" s="145"/>
    </row>
    <row r="22" spans="1:22" ht="11.25" customHeight="1">
      <c r="A22" s="120"/>
      <c r="B22" s="120"/>
      <c r="C22" s="144"/>
      <c r="D22" s="145"/>
      <c r="E22" s="145"/>
      <c r="G22" s="145"/>
      <c r="H22" s="145"/>
      <c r="I22" s="145"/>
      <c r="J22" s="145"/>
      <c r="K22" s="145"/>
      <c r="M22" s="145"/>
      <c r="O22" s="262"/>
      <c r="P22" s="145"/>
      <c r="Q22" s="145"/>
      <c r="R22" s="145"/>
      <c r="S22" s="145"/>
      <c r="T22" s="145"/>
      <c r="U22" s="145"/>
      <c r="V22" s="145"/>
    </row>
    <row r="23" spans="1:22" ht="11.25" customHeight="1">
      <c r="A23" s="118" t="s">
        <v>91</v>
      </c>
      <c r="B23" s="120"/>
      <c r="C23" s="144">
        <v>24283</v>
      </c>
      <c r="D23" s="145"/>
      <c r="E23" s="145">
        <v>26217</v>
      </c>
      <c r="G23" s="145">
        <v>51127</v>
      </c>
      <c r="H23" s="145"/>
      <c r="I23" s="145">
        <v>49632</v>
      </c>
      <c r="J23" s="145"/>
      <c r="K23" s="145">
        <v>50678</v>
      </c>
      <c r="M23" s="145">
        <v>48314</v>
      </c>
      <c r="O23" s="262">
        <v>37646</v>
      </c>
      <c r="P23" s="145"/>
      <c r="Q23" s="141" t="s">
        <v>85</v>
      </c>
      <c r="R23" s="141"/>
      <c r="S23" s="141" t="s">
        <v>85</v>
      </c>
      <c r="T23" s="141"/>
      <c r="U23" s="141" t="s">
        <v>85</v>
      </c>
      <c r="V23" s="145"/>
    </row>
    <row r="24" spans="1:22" ht="11.25" customHeight="1">
      <c r="A24" s="120"/>
      <c r="B24" s="120"/>
      <c r="C24" s="144"/>
      <c r="D24" s="145"/>
      <c r="E24" s="145"/>
      <c r="G24" s="145"/>
      <c r="H24" s="145"/>
      <c r="I24" s="145"/>
      <c r="J24" s="145"/>
      <c r="K24" s="145"/>
      <c r="M24" s="145"/>
      <c r="O24" s="262"/>
      <c r="P24" s="145"/>
      <c r="Q24" s="145"/>
      <c r="R24" s="145"/>
      <c r="S24" s="145"/>
      <c r="T24" s="145"/>
      <c r="U24" s="145"/>
      <c r="V24" s="145"/>
    </row>
    <row r="25" spans="1:22" ht="11.25" customHeight="1">
      <c r="A25" s="118" t="s">
        <v>5</v>
      </c>
      <c r="B25" s="120"/>
      <c r="C25" s="144">
        <v>41118</v>
      </c>
      <c r="D25" s="145"/>
      <c r="E25" s="145">
        <v>44259</v>
      </c>
      <c r="G25" s="145">
        <v>101111</v>
      </c>
      <c r="H25" s="145"/>
      <c r="I25" s="145">
        <v>109197</v>
      </c>
      <c r="J25" s="145"/>
      <c r="K25" s="145">
        <v>125569</v>
      </c>
      <c r="M25" s="145">
        <v>132076</v>
      </c>
      <c r="O25" s="262">
        <v>144099</v>
      </c>
      <c r="P25" s="145"/>
      <c r="Q25" s="145">
        <v>142451</v>
      </c>
      <c r="R25" s="145"/>
      <c r="S25" s="145">
        <v>126315</v>
      </c>
      <c r="T25" s="145"/>
      <c r="U25" s="145">
        <v>125134</v>
      </c>
      <c r="V25" s="145"/>
    </row>
    <row r="26" spans="1:22" ht="11.25" customHeight="1">
      <c r="A26" s="120"/>
      <c r="B26" s="120"/>
      <c r="C26" s="144"/>
      <c r="D26" s="145"/>
      <c r="E26" s="145"/>
      <c r="G26" s="145"/>
      <c r="H26" s="145"/>
      <c r="I26" s="145"/>
      <c r="J26" s="145"/>
      <c r="K26" s="145"/>
      <c r="M26" s="145"/>
      <c r="O26" s="262"/>
      <c r="P26" s="145"/>
      <c r="Q26" s="145"/>
      <c r="R26" s="145"/>
      <c r="S26" s="145"/>
      <c r="T26" s="145"/>
      <c r="U26" s="145"/>
      <c r="V26" s="145"/>
    </row>
    <row r="27" spans="1:22" ht="11.25" customHeight="1">
      <c r="A27" s="129" t="s">
        <v>6</v>
      </c>
      <c r="B27" s="120"/>
      <c r="C27" s="144">
        <v>62365</v>
      </c>
      <c r="D27" s="145"/>
      <c r="E27" s="145">
        <v>58577</v>
      </c>
      <c r="G27" s="145">
        <v>92830</v>
      </c>
      <c r="H27" s="145"/>
      <c r="I27" s="145">
        <v>86319</v>
      </c>
      <c r="J27" s="145"/>
      <c r="K27" s="145">
        <v>85614</v>
      </c>
      <c r="M27" s="145">
        <v>111234</v>
      </c>
      <c r="O27" s="262">
        <v>122132</v>
      </c>
      <c r="P27" s="145"/>
      <c r="Q27" s="145">
        <v>117593</v>
      </c>
      <c r="R27" s="145"/>
      <c r="S27" s="145">
        <v>117206</v>
      </c>
      <c r="T27" s="145"/>
      <c r="U27" s="145">
        <v>113853</v>
      </c>
      <c r="V27" s="145"/>
    </row>
    <row r="28" spans="1:22" ht="11.25" customHeight="1">
      <c r="A28" s="120"/>
      <c r="B28" s="120"/>
      <c r="C28" s="144"/>
      <c r="D28" s="145"/>
      <c r="E28" s="145"/>
      <c r="F28" s="9"/>
      <c r="G28" s="145"/>
      <c r="H28" s="145"/>
      <c r="I28" s="145"/>
      <c r="J28" s="145"/>
      <c r="K28" s="145"/>
      <c r="M28" s="145"/>
      <c r="O28" s="262"/>
      <c r="P28" s="145"/>
      <c r="Q28" s="145"/>
      <c r="R28" s="145"/>
      <c r="S28" s="145"/>
      <c r="T28" s="145"/>
      <c r="U28" s="145"/>
      <c r="V28" s="145"/>
    </row>
    <row r="29" spans="1:22" ht="11.25" customHeight="1">
      <c r="A29" s="118" t="s">
        <v>24</v>
      </c>
      <c r="B29" s="120"/>
      <c r="C29" s="144">
        <v>36303</v>
      </c>
      <c r="D29" s="145"/>
      <c r="E29" s="145">
        <v>36116</v>
      </c>
      <c r="F29" s="9"/>
      <c r="G29" s="145">
        <v>73288</v>
      </c>
      <c r="H29" s="145"/>
      <c r="I29" s="145">
        <v>68609</v>
      </c>
      <c r="J29" s="145"/>
      <c r="K29" s="145">
        <v>75090</v>
      </c>
      <c r="M29" s="145">
        <v>66896</v>
      </c>
      <c r="O29" s="262">
        <v>70540</v>
      </c>
      <c r="P29" s="145"/>
      <c r="Q29" s="145">
        <v>72541</v>
      </c>
      <c r="R29" s="145"/>
      <c r="S29" s="145">
        <v>62875</v>
      </c>
      <c r="T29" s="145"/>
      <c r="U29" s="145">
        <v>49569</v>
      </c>
      <c r="V29" s="145"/>
    </row>
    <row r="30" spans="1:22" ht="11.25" customHeight="1">
      <c r="A30" s="120"/>
      <c r="B30" s="120"/>
      <c r="C30" s="144"/>
      <c r="D30" s="145"/>
      <c r="E30" s="145"/>
      <c r="F30" s="9"/>
      <c r="G30" s="145"/>
      <c r="H30" s="145"/>
      <c r="I30" s="145"/>
      <c r="J30" s="145"/>
      <c r="K30" s="145"/>
      <c r="M30" s="145"/>
      <c r="O30" s="262"/>
      <c r="P30" s="145"/>
      <c r="Q30" s="145"/>
      <c r="R30" s="145"/>
      <c r="S30" s="145"/>
      <c r="T30" s="145"/>
      <c r="U30" s="145"/>
      <c r="V30" s="145"/>
    </row>
    <row r="31" spans="1:22" ht="11.25" customHeight="1">
      <c r="A31" s="118" t="s">
        <v>7</v>
      </c>
      <c r="B31" s="120"/>
      <c r="C31" s="144">
        <v>50027</v>
      </c>
      <c r="D31" s="145"/>
      <c r="E31" s="145">
        <v>49541</v>
      </c>
      <c r="F31" s="9"/>
      <c r="G31" s="145">
        <v>90138</v>
      </c>
      <c r="H31" s="145"/>
      <c r="I31" s="145">
        <v>90242</v>
      </c>
      <c r="J31" s="145"/>
      <c r="K31" s="145">
        <v>101696</v>
      </c>
      <c r="M31" s="145">
        <v>98798</v>
      </c>
      <c r="O31" s="262">
        <v>88469</v>
      </c>
      <c r="P31" s="145"/>
      <c r="Q31" s="145">
        <v>77453</v>
      </c>
      <c r="R31" s="145"/>
      <c r="S31" s="145">
        <v>72226</v>
      </c>
      <c r="T31" s="145"/>
      <c r="U31" s="145">
        <v>59171</v>
      </c>
      <c r="V31" s="145"/>
    </row>
    <row r="32" spans="1:22" ht="11.25" customHeight="1">
      <c r="A32" s="120"/>
      <c r="B32" s="120"/>
      <c r="C32" s="144"/>
      <c r="D32" s="145"/>
      <c r="E32" s="145"/>
      <c r="F32" s="9"/>
      <c r="G32" s="145"/>
      <c r="H32" s="145"/>
      <c r="I32" s="145"/>
      <c r="J32" s="145"/>
      <c r="K32" s="145"/>
      <c r="M32" s="145"/>
      <c r="O32" s="262"/>
      <c r="P32" s="145"/>
      <c r="Q32" s="145"/>
      <c r="R32" s="145"/>
      <c r="S32" s="145"/>
      <c r="T32" s="145"/>
      <c r="U32" s="145"/>
      <c r="V32" s="145"/>
    </row>
    <row r="33" spans="1:22" ht="11.25" customHeight="1">
      <c r="A33" s="118" t="s">
        <v>8</v>
      </c>
      <c r="B33" s="120"/>
      <c r="C33" s="146">
        <v>63043</v>
      </c>
      <c r="D33" s="147"/>
      <c r="E33" s="148">
        <v>61393</v>
      </c>
      <c r="F33" s="29"/>
      <c r="G33" s="148">
        <v>123404</v>
      </c>
      <c r="H33" s="147"/>
      <c r="I33" s="148">
        <v>129899</v>
      </c>
      <c r="J33" s="147"/>
      <c r="K33" s="148">
        <v>135691</v>
      </c>
      <c r="M33" s="148">
        <v>139897</v>
      </c>
      <c r="O33" s="264">
        <v>137773</v>
      </c>
      <c r="P33" s="147"/>
      <c r="Q33" s="148">
        <v>132107</v>
      </c>
      <c r="R33" s="147"/>
      <c r="S33" s="148">
        <v>137096</v>
      </c>
      <c r="T33" s="147"/>
      <c r="U33" s="148">
        <v>136064</v>
      </c>
      <c r="V33" s="147"/>
    </row>
    <row r="34" spans="1:15" ht="11.25" customHeight="1">
      <c r="A34" s="120"/>
      <c r="B34" s="120"/>
      <c r="C34" s="126"/>
      <c r="D34" s="140"/>
      <c r="E34" s="126"/>
      <c r="F34" s="29"/>
      <c r="G34" s="126"/>
      <c r="H34" s="126"/>
      <c r="I34" s="126"/>
      <c r="J34" s="126"/>
      <c r="K34" s="126"/>
      <c r="O34" s="261"/>
    </row>
    <row r="35" spans="1:22" ht="11.25" customHeight="1" thickBot="1">
      <c r="A35" s="118" t="s">
        <v>17</v>
      </c>
      <c r="B35" s="120"/>
      <c r="C35" s="150">
        <f>SUM(C9:C33)</f>
        <v>565464</v>
      </c>
      <c r="D35" s="151"/>
      <c r="E35" s="150">
        <f>SUM(E9:E33)</f>
        <v>581695</v>
      </c>
      <c r="F35" s="32"/>
      <c r="G35" s="150">
        <f>SUM(G9:G33)</f>
        <v>1094178</v>
      </c>
      <c r="H35" s="151"/>
      <c r="I35" s="150">
        <f>SUM(I9:I33)</f>
        <v>1162252</v>
      </c>
      <c r="J35" s="151"/>
      <c r="K35" s="150">
        <f>SUM(K9:K33)</f>
        <v>1318552</v>
      </c>
      <c r="M35" s="150">
        <f>SUM(M9:M33)</f>
        <v>1383241</v>
      </c>
      <c r="O35" s="265">
        <f>SUM(O9:O33)</f>
        <v>1463155</v>
      </c>
      <c r="P35" s="151"/>
      <c r="Q35" s="150">
        <f>SUM(Q9:Q33)</f>
        <v>1435344</v>
      </c>
      <c r="R35" s="151"/>
      <c r="S35" s="150">
        <f>SUM(S9:S33)</f>
        <v>1362062</v>
      </c>
      <c r="T35" s="151"/>
      <c r="U35" s="150">
        <f>SUM(U9:U33)</f>
        <v>1284029</v>
      </c>
      <c r="V35" s="151"/>
    </row>
    <row r="36" spans="1:6" ht="11.25" customHeight="1" thickTop="1">
      <c r="A36" s="120"/>
      <c r="B36" s="120"/>
      <c r="C36" s="126"/>
      <c r="D36" s="140"/>
      <c r="E36" s="126"/>
      <c r="F36" s="29"/>
    </row>
    <row r="37" spans="1:6" ht="11.25" customHeight="1">
      <c r="A37" s="138" t="s">
        <v>75</v>
      </c>
      <c r="B37" s="120"/>
      <c r="C37" s="126"/>
      <c r="D37" s="140"/>
      <c r="E37" s="126"/>
      <c r="F37" s="29"/>
    </row>
    <row r="38" spans="1:6" ht="11.25" customHeight="1">
      <c r="A38" s="118" t="s">
        <v>56</v>
      </c>
      <c r="B38" s="120"/>
      <c r="C38" s="126"/>
      <c r="D38" s="140"/>
      <c r="E38" s="126"/>
      <c r="F38" s="29"/>
    </row>
    <row r="39" spans="1:6" ht="11.25" customHeight="1">
      <c r="A39" s="118" t="s">
        <v>52</v>
      </c>
      <c r="B39" s="120"/>
      <c r="C39" s="126"/>
      <c r="D39" s="140"/>
      <c r="E39" s="126"/>
      <c r="F39" s="29"/>
    </row>
    <row r="40" spans="1:6" ht="11.25" customHeight="1">
      <c r="A40" s="118" t="s">
        <v>60</v>
      </c>
      <c r="B40" s="120"/>
      <c r="C40" s="126"/>
      <c r="D40" s="140"/>
      <c r="E40" s="126"/>
      <c r="F40" s="29"/>
    </row>
    <row r="41" spans="1:6" ht="11.25" customHeight="1">
      <c r="A41" s="118" t="s">
        <v>57</v>
      </c>
      <c r="B41" s="120"/>
      <c r="C41" s="126"/>
      <c r="D41" s="140"/>
      <c r="E41" s="126"/>
      <c r="F41" s="29"/>
    </row>
    <row r="42" spans="1:5" ht="11.25" customHeight="1">
      <c r="A42" s="118" t="s">
        <v>58</v>
      </c>
      <c r="B42" s="120"/>
      <c r="C42" s="126"/>
      <c r="D42" s="140"/>
      <c r="E42" s="126"/>
    </row>
    <row r="43" spans="1:5" ht="11.25" customHeight="1">
      <c r="A43" s="120" t="s">
        <v>59</v>
      </c>
      <c r="B43" s="120"/>
      <c r="C43" s="126"/>
      <c r="D43" s="140"/>
      <c r="E43" s="126"/>
    </row>
    <row r="44" spans="1:5" ht="11.25" customHeight="1">
      <c r="A44" s="55" t="s">
        <v>82</v>
      </c>
      <c r="B44" s="120"/>
      <c r="C44" s="126"/>
      <c r="D44" s="140"/>
      <c r="E44" s="126"/>
    </row>
    <row r="45" spans="1:5" ht="11.25" customHeight="1">
      <c r="A45" s="56" t="s">
        <v>87</v>
      </c>
      <c r="B45" s="120"/>
      <c r="C45" s="126"/>
      <c r="D45" s="140"/>
      <c r="E45" s="126"/>
    </row>
    <row r="46" spans="1:5" ht="11.25" customHeight="1">
      <c r="A46" s="56" t="s">
        <v>92</v>
      </c>
      <c r="B46" s="120"/>
      <c r="C46" s="120"/>
      <c r="D46" s="120"/>
      <c r="E46" s="120"/>
    </row>
    <row r="47" spans="1:5" ht="11.25" customHeight="1">
      <c r="A47" s="56"/>
      <c r="B47" s="120"/>
      <c r="C47" s="120"/>
      <c r="D47" s="120"/>
      <c r="E47" s="120"/>
    </row>
    <row r="48" spans="1:29" ht="11.25" customHeight="1">
      <c r="A48" s="118" t="s">
        <v>0</v>
      </c>
      <c r="B48" s="120"/>
      <c r="C48" s="120"/>
      <c r="D48" s="120"/>
      <c r="E48" s="120"/>
      <c r="W48" s="118" t="s">
        <v>0</v>
      </c>
      <c r="X48" s="120"/>
      <c r="Y48" s="120"/>
      <c r="Z48" s="120"/>
      <c r="AA48" s="120"/>
      <c r="AB48" s="120"/>
      <c r="AC48" s="120"/>
    </row>
    <row r="49" spans="1:29" ht="11.25" customHeight="1">
      <c r="A49" s="118" t="s">
        <v>35</v>
      </c>
      <c r="B49" s="120"/>
      <c r="C49" s="120"/>
      <c r="D49" s="120"/>
      <c r="E49" s="120"/>
      <c r="W49" s="118" t="s">
        <v>36</v>
      </c>
      <c r="X49" s="120"/>
      <c r="Y49" s="120"/>
      <c r="Z49" s="120"/>
      <c r="AA49" s="120"/>
      <c r="AB49" s="120"/>
      <c r="AC49" s="120"/>
    </row>
    <row r="50" spans="1:29" ht="11.25" customHeight="1">
      <c r="A50" s="121" t="str">
        <f>A3</f>
        <v>2000 - 2009</v>
      </c>
      <c r="B50" s="140"/>
      <c r="C50" s="140"/>
      <c r="D50" s="140"/>
      <c r="E50" s="140"/>
      <c r="F50" s="29"/>
      <c r="G50" s="29"/>
      <c r="W50" s="121" t="str">
        <f>+A3</f>
        <v>2000 - 2009</v>
      </c>
      <c r="X50" s="140"/>
      <c r="Y50" s="120"/>
      <c r="Z50" s="120"/>
      <c r="AA50" s="120"/>
      <c r="AB50" s="120"/>
      <c r="AC50" s="120"/>
    </row>
    <row r="51" spans="1:29" ht="11.25" customHeight="1">
      <c r="A51" s="118"/>
      <c r="B51" s="126"/>
      <c r="C51" s="120"/>
      <c r="D51" s="120"/>
      <c r="E51" s="120"/>
      <c r="W51" s="118"/>
      <c r="X51" s="126"/>
      <c r="Y51" s="120"/>
      <c r="Z51" s="120"/>
      <c r="AA51" s="120"/>
      <c r="AB51" s="120"/>
      <c r="AC51" s="120"/>
    </row>
    <row r="52" spans="1:29" ht="11.25" customHeight="1">
      <c r="A52" s="41"/>
      <c r="B52" s="120"/>
      <c r="C52" s="120"/>
      <c r="D52" s="120"/>
      <c r="E52" s="120"/>
      <c r="W52" s="41"/>
      <c r="X52" s="120"/>
      <c r="Y52" s="120"/>
      <c r="Z52" s="120"/>
      <c r="AA52" s="120"/>
      <c r="AB52" s="120"/>
      <c r="AC52" s="120"/>
    </row>
    <row r="53" spans="1:29" ht="11.25" customHeight="1">
      <c r="A53" s="123"/>
      <c r="B53" s="120"/>
      <c r="C53" s="120"/>
      <c r="D53" s="120"/>
      <c r="E53" s="120"/>
      <c r="W53" s="123"/>
      <c r="X53" s="120"/>
      <c r="Y53" s="120"/>
      <c r="Z53" s="120"/>
      <c r="AA53" s="120"/>
      <c r="AB53" s="120"/>
      <c r="AC53" s="120"/>
    </row>
    <row r="54" spans="1:43" ht="11.25" customHeight="1">
      <c r="A54" s="120"/>
      <c r="B54" s="120"/>
      <c r="C54" s="124">
        <v>2000</v>
      </c>
      <c r="D54" s="173"/>
      <c r="E54" s="124">
        <v>2001</v>
      </c>
      <c r="F54" s="29"/>
      <c r="G54" s="124" t="s">
        <v>77</v>
      </c>
      <c r="I54" s="124">
        <v>2003</v>
      </c>
      <c r="K54" s="124">
        <v>2004</v>
      </c>
      <c r="M54" s="124">
        <v>2005</v>
      </c>
      <c r="O54" s="46">
        <v>2006</v>
      </c>
      <c r="P54" s="255"/>
      <c r="Q54" s="46">
        <v>2007</v>
      </c>
      <c r="R54" s="255"/>
      <c r="S54" s="46">
        <v>2008</v>
      </c>
      <c r="T54" s="255"/>
      <c r="U54" s="46">
        <v>2009</v>
      </c>
      <c r="V54" s="255"/>
      <c r="W54" s="120"/>
      <c r="X54" s="120"/>
      <c r="Y54" s="124">
        <v>2000</v>
      </c>
      <c r="Z54" s="173"/>
      <c r="AA54" s="124">
        <v>2001</v>
      </c>
      <c r="AB54" s="140"/>
      <c r="AC54" s="124" t="s">
        <v>77</v>
      </c>
      <c r="AE54" s="124">
        <v>2003</v>
      </c>
      <c r="AG54" s="124">
        <v>2004</v>
      </c>
      <c r="AI54" s="124">
        <v>2005</v>
      </c>
      <c r="AK54" s="46">
        <v>2006</v>
      </c>
      <c r="AM54" s="46">
        <v>2007</v>
      </c>
      <c r="AO54" s="46">
        <v>2008</v>
      </c>
      <c r="AQ54" s="46">
        <v>2009</v>
      </c>
    </row>
    <row r="55" spans="1:33" ht="11.25" customHeight="1">
      <c r="A55" s="120"/>
      <c r="B55" s="120"/>
      <c r="C55" s="134"/>
      <c r="D55" s="134"/>
      <c r="E55" s="134"/>
      <c r="F55" s="23"/>
      <c r="G55" s="134"/>
      <c r="I55" s="134"/>
      <c r="K55" s="134"/>
      <c r="W55" s="120"/>
      <c r="X55" s="120"/>
      <c r="Y55" s="134"/>
      <c r="Z55" s="134"/>
      <c r="AA55" s="134"/>
      <c r="AB55" s="134"/>
      <c r="AC55" s="134"/>
      <c r="AE55" s="134"/>
      <c r="AG55" s="134"/>
    </row>
    <row r="56" spans="1:43" ht="11.25" customHeight="1">
      <c r="A56" s="118" t="s">
        <v>81</v>
      </c>
      <c r="B56" s="120"/>
      <c r="C56" s="141">
        <f>C9/'INCOME STMT STATS'!C9</f>
        <v>0.135</v>
      </c>
      <c r="D56" s="141"/>
      <c r="E56" s="141">
        <f>E9/'INCOME STMT STATS'!E9</f>
        <v>0.137</v>
      </c>
      <c r="F56" s="30"/>
      <c r="G56" s="141">
        <f>G9/'INCOME STMT STATS'!G9</f>
        <v>0.304</v>
      </c>
      <c r="I56" s="141">
        <f>I9/'INCOME STMT STATS'!I9</f>
        <v>0.291</v>
      </c>
      <c r="K56" s="141">
        <f>K9/'INCOME STMT STATS'!K9</f>
        <v>0.301</v>
      </c>
      <c r="M56" s="141">
        <f>M9/'INCOME STMT STATS'!M9</f>
        <v>0.357</v>
      </c>
      <c r="O56" s="141">
        <f>O9/'INCOME STMT STATS'!O9</f>
        <v>0.386</v>
      </c>
      <c r="P56" s="141"/>
      <c r="Q56" s="141">
        <f>Q9/'INCOME STMT STATS'!Q9</f>
        <v>0.41</v>
      </c>
      <c r="R56" s="141"/>
      <c r="S56" s="141">
        <f>S9/'INCOME STMT STATS'!S9</f>
        <v>0.432</v>
      </c>
      <c r="T56" s="141"/>
      <c r="U56" s="141">
        <f>U9/'INCOME STMT STATS'!U9</f>
        <v>0.435</v>
      </c>
      <c r="V56" s="141"/>
      <c r="W56" s="118" t="s">
        <v>81</v>
      </c>
      <c r="X56" s="120"/>
      <c r="Y56" s="141">
        <f>C9/'INCOME STMT STATS'!C516</f>
        <v>0.119</v>
      </c>
      <c r="Z56" s="141"/>
      <c r="AA56" s="141">
        <f>E9/'INCOME STMT STATS'!E516</f>
        <v>0.12</v>
      </c>
      <c r="AB56" s="141"/>
      <c r="AC56" s="141">
        <f>G9/'INCOME STMT STATS'!G516</f>
        <v>0.233</v>
      </c>
      <c r="AE56" s="141">
        <f>I9/'INCOME STMT STATS'!I516</f>
        <v>0.225</v>
      </c>
      <c r="AG56" s="141">
        <f>K9/'INCOME STMT STATS'!K516</f>
        <v>0.232</v>
      </c>
      <c r="AI56" s="141">
        <f>M9/'INCOME STMT STATS'!M516</f>
        <v>0.263</v>
      </c>
      <c r="AK56" s="141">
        <f>O9/'INCOME STMT STATS'!O516</f>
        <v>0.278</v>
      </c>
      <c r="AM56" s="141">
        <f>Q9/'INCOME STMT STATS'!Q516</f>
        <v>0.291</v>
      </c>
      <c r="AO56" s="141">
        <f>S9/'INCOME STMT STATS'!S516</f>
        <v>0.302</v>
      </c>
      <c r="AQ56" s="141">
        <f>U9/'INCOME STMT STATS'!U516</f>
        <v>0.303</v>
      </c>
    </row>
    <row r="57" spans="1:43" ht="11.25" customHeight="1">
      <c r="A57" s="120"/>
      <c r="B57" s="120"/>
      <c r="C57" s="141"/>
      <c r="D57" s="128"/>
      <c r="E57" s="141"/>
      <c r="F57" s="18"/>
      <c r="G57" s="141"/>
      <c r="I57" s="141"/>
      <c r="K57" s="141"/>
      <c r="M57" s="141"/>
      <c r="O57" s="141"/>
      <c r="P57" s="141"/>
      <c r="Q57" s="141"/>
      <c r="R57" s="141"/>
      <c r="S57" s="141"/>
      <c r="T57" s="141"/>
      <c r="U57" s="141"/>
      <c r="V57" s="141"/>
      <c r="W57" s="120"/>
      <c r="X57" s="120"/>
      <c r="Y57" s="141"/>
      <c r="Z57" s="128"/>
      <c r="AA57" s="141"/>
      <c r="AB57" s="128"/>
      <c r="AC57" s="141"/>
      <c r="AE57" s="141"/>
      <c r="AG57" s="141"/>
      <c r="AI57" s="141"/>
      <c r="AK57" s="141"/>
      <c r="AM57" s="141"/>
      <c r="AO57" s="141"/>
      <c r="AQ57" s="141"/>
    </row>
    <row r="58" spans="1:43" ht="11.25" customHeight="1">
      <c r="A58" s="118" t="s">
        <v>53</v>
      </c>
      <c r="B58" s="120"/>
      <c r="C58" s="141">
        <f>C11/'INCOME STMT STATS'!C11</f>
        <v>0.119</v>
      </c>
      <c r="D58" s="128"/>
      <c r="E58" s="141">
        <f>E11/'INCOME STMT STATS'!E11</f>
        <v>0.123</v>
      </c>
      <c r="F58" s="18"/>
      <c r="G58" s="141">
        <f>G11/'INCOME STMT STATS'!G11</f>
        <v>0.217</v>
      </c>
      <c r="I58" s="141">
        <f>I11/'INCOME STMT STATS'!I11</f>
        <v>0.246</v>
      </c>
      <c r="K58" s="141">
        <f>K11/'INCOME STMT STATS'!K11</f>
        <v>0.258</v>
      </c>
      <c r="M58" s="141">
        <f>M11/'INCOME STMT STATS'!M11</f>
        <v>0.264</v>
      </c>
      <c r="O58" s="141">
        <f>O11/'INCOME STMT STATS'!O11</f>
        <v>0.264</v>
      </c>
      <c r="P58" s="141"/>
      <c r="Q58" s="141">
        <f>Q11/'INCOME STMT STATS'!Q11</f>
        <v>0.301</v>
      </c>
      <c r="R58" s="141"/>
      <c r="S58" s="141">
        <f>S11/'INCOME STMT STATS'!S11</f>
        <v>0.291</v>
      </c>
      <c r="T58" s="141"/>
      <c r="U58" s="141">
        <f>U11/'INCOME STMT STATS'!U11</f>
        <v>0.316</v>
      </c>
      <c r="V58" s="141"/>
      <c r="W58" s="118" t="s">
        <v>53</v>
      </c>
      <c r="X58" s="120"/>
      <c r="Y58" s="141">
        <f>C11/'INCOME STMT STATS'!C518</f>
        <v>0.107</v>
      </c>
      <c r="Z58" s="141"/>
      <c r="AA58" s="141">
        <f>E11/'INCOME STMT STATS'!E518</f>
        <v>0.11</v>
      </c>
      <c r="AB58" s="141"/>
      <c r="AC58" s="141">
        <f>G11/'INCOME STMT STATS'!G518</f>
        <v>0.179</v>
      </c>
      <c r="AE58" s="141">
        <f>I11/'INCOME STMT STATS'!I518</f>
        <v>0.198</v>
      </c>
      <c r="AG58" s="141">
        <f>K11/'INCOME STMT STATS'!K518</f>
        <v>0.205</v>
      </c>
      <c r="AI58" s="141">
        <f>M11/'INCOME STMT STATS'!M518</f>
        <v>0.209</v>
      </c>
      <c r="AK58" s="141">
        <f>O11/'INCOME STMT STATS'!O518</f>
        <v>0.209</v>
      </c>
      <c r="AM58" s="141">
        <f>Q11/'INCOME STMT STATS'!Q518</f>
        <v>0.231</v>
      </c>
      <c r="AO58" s="141">
        <f>S11/'INCOME STMT STATS'!S518</f>
        <v>0.225</v>
      </c>
      <c r="AQ58" s="141">
        <f>U11/'INCOME STMT STATS'!U518</f>
        <v>0.24</v>
      </c>
    </row>
    <row r="59" spans="1:43" ht="11.25" customHeight="1">
      <c r="A59" s="118"/>
      <c r="B59" s="120"/>
      <c r="C59" s="141"/>
      <c r="D59" s="128"/>
      <c r="E59" s="141"/>
      <c r="F59" s="18"/>
      <c r="G59" s="141"/>
      <c r="I59" s="141"/>
      <c r="K59" s="141"/>
      <c r="M59" s="141"/>
      <c r="O59" s="141"/>
      <c r="P59" s="141"/>
      <c r="Q59" s="141"/>
      <c r="R59" s="141"/>
      <c r="S59" s="141"/>
      <c r="T59" s="141"/>
      <c r="U59" s="141"/>
      <c r="V59" s="141"/>
      <c r="W59" s="118"/>
      <c r="X59" s="120"/>
      <c r="Y59" s="141"/>
      <c r="Z59" s="141"/>
      <c r="AA59" s="141"/>
      <c r="AB59" s="141"/>
      <c r="AC59" s="141"/>
      <c r="AE59" s="141"/>
      <c r="AG59" s="141"/>
      <c r="AI59" s="141"/>
      <c r="AK59" s="141"/>
      <c r="AM59" s="141"/>
      <c r="AO59" s="141"/>
      <c r="AQ59" s="141"/>
    </row>
    <row r="60" spans="1:43" ht="11.25" customHeight="1">
      <c r="A60" s="118" t="s">
        <v>88</v>
      </c>
      <c r="B60" s="120"/>
      <c r="C60" s="141" t="s">
        <v>85</v>
      </c>
      <c r="D60" s="128"/>
      <c r="E60" s="141" t="s">
        <v>85</v>
      </c>
      <c r="F60" s="18"/>
      <c r="G60" s="141" t="s">
        <v>85</v>
      </c>
      <c r="I60" s="141">
        <f>I13/'INCOME STMT STATS'!I13</f>
        <v>0.235</v>
      </c>
      <c r="K60" s="141">
        <f>K13/'INCOME STMT STATS'!K13</f>
        <v>0.26</v>
      </c>
      <c r="M60" s="141">
        <f>M13/'INCOME STMT STATS'!M13</f>
        <v>0.237</v>
      </c>
      <c r="O60" s="141">
        <f>O13/'INCOME STMT STATS'!O13</f>
        <v>0.241</v>
      </c>
      <c r="P60" s="141"/>
      <c r="Q60" s="141">
        <f>Q13/'INCOME STMT STATS'!Q13</f>
        <v>0.234</v>
      </c>
      <c r="R60" s="141"/>
      <c r="S60" s="141">
        <f>S13/'INCOME STMT STATS'!S13</f>
        <v>0.258</v>
      </c>
      <c r="T60" s="141"/>
      <c r="U60" s="141">
        <f>U13/'INCOME STMT STATS'!U13</f>
        <v>0.274</v>
      </c>
      <c r="V60" s="141"/>
      <c r="W60" s="118" t="s">
        <v>86</v>
      </c>
      <c r="X60" s="120"/>
      <c r="Y60" s="141" t="s">
        <v>85</v>
      </c>
      <c r="Z60" s="141"/>
      <c r="AA60" s="141" t="s">
        <v>85</v>
      </c>
      <c r="AB60" s="141"/>
      <c r="AC60" s="141" t="s">
        <v>85</v>
      </c>
      <c r="AE60" s="141">
        <f>I13/'INCOME STMT STATS'!I520</f>
        <v>0.19</v>
      </c>
      <c r="AG60" s="141">
        <f>K13/'INCOME STMT STATS'!K520</f>
        <v>0.206</v>
      </c>
      <c r="AI60" s="141">
        <f>M13/'INCOME STMT STATS'!M520</f>
        <v>0.191</v>
      </c>
      <c r="AK60" s="141">
        <f>O13/'INCOME STMT STATS'!O520</f>
        <v>0.194</v>
      </c>
      <c r="AM60" s="141">
        <f>Q13/'INCOME STMT STATS'!Q520</f>
        <v>0.189</v>
      </c>
      <c r="AO60" s="141">
        <f>S13/'INCOME STMT STATS'!S520</f>
        <v>0.205</v>
      </c>
      <c r="AQ60" s="141">
        <f>U13/'INCOME STMT STATS'!U520</f>
        <v>0.215</v>
      </c>
    </row>
    <row r="61" spans="1:43" ht="11.25" customHeight="1">
      <c r="A61" s="120"/>
      <c r="B61" s="120"/>
      <c r="C61" s="141"/>
      <c r="D61" s="128"/>
      <c r="E61" s="141"/>
      <c r="F61" s="18"/>
      <c r="G61" s="141"/>
      <c r="I61" s="141"/>
      <c r="K61" s="141"/>
      <c r="M61" s="141"/>
      <c r="O61" s="141"/>
      <c r="P61" s="141"/>
      <c r="Q61" s="141"/>
      <c r="R61" s="141"/>
      <c r="S61" s="141"/>
      <c r="T61" s="141"/>
      <c r="U61" s="141"/>
      <c r="V61" s="141"/>
      <c r="W61" s="120"/>
      <c r="X61" s="120"/>
      <c r="Y61" s="141"/>
      <c r="Z61" s="141"/>
      <c r="AA61" s="141"/>
      <c r="AB61" s="141"/>
      <c r="AC61" s="141"/>
      <c r="AE61" s="141"/>
      <c r="AG61" s="141"/>
      <c r="AI61" s="141"/>
      <c r="AK61" s="141"/>
      <c r="AM61" s="141"/>
      <c r="AO61" s="141"/>
      <c r="AQ61" s="141"/>
    </row>
    <row r="62" spans="1:43" ht="11.25" customHeight="1">
      <c r="A62" s="118" t="s">
        <v>2</v>
      </c>
      <c r="B62" s="120"/>
      <c r="C62" s="141">
        <f>C15/'INCOME STMT STATS'!C15</f>
        <v>0.135</v>
      </c>
      <c r="D62" s="128"/>
      <c r="E62" s="141">
        <f>E15/'INCOME STMT STATS'!E15</f>
        <v>0.152</v>
      </c>
      <c r="F62" s="18"/>
      <c r="G62" s="141">
        <f>G15/'INCOME STMT STATS'!G15</f>
        <v>0.269</v>
      </c>
      <c r="I62" s="141">
        <f>I15/'INCOME STMT STATS'!I15</f>
        <v>0.261</v>
      </c>
      <c r="K62" s="141">
        <f>K15/'INCOME STMT STATS'!K15</f>
        <v>0.241</v>
      </c>
      <c r="M62" s="141">
        <f>M15/'INCOME STMT STATS'!M15</f>
        <v>0.253</v>
      </c>
      <c r="O62" s="141">
        <f>O15/'INCOME STMT STATS'!O15</f>
        <v>0.257</v>
      </c>
      <c r="P62" s="141"/>
      <c r="Q62" s="141">
        <f>Q15/'INCOME STMT STATS'!Q15</f>
        <v>0.268</v>
      </c>
      <c r="R62" s="141"/>
      <c r="S62" s="141">
        <f>S15/'INCOME STMT STATS'!S15</f>
        <v>0.262</v>
      </c>
      <c r="T62" s="141"/>
      <c r="U62" s="141">
        <f>U15/'INCOME STMT STATS'!U15</f>
        <v>0.31</v>
      </c>
      <c r="V62" s="141"/>
      <c r="W62" s="118" t="s">
        <v>2</v>
      </c>
      <c r="X62" s="120"/>
      <c r="Y62" s="141">
        <f>C15/'INCOME STMT STATS'!C522</f>
        <v>0.119</v>
      </c>
      <c r="Z62" s="141"/>
      <c r="AA62" s="141">
        <f>E15/'INCOME STMT STATS'!E522</f>
        <v>0.132</v>
      </c>
      <c r="AB62" s="141"/>
      <c r="AC62" s="141">
        <f>G15/'INCOME STMT STATS'!G522</f>
        <v>0.212</v>
      </c>
      <c r="AE62" s="141">
        <f>I15/'INCOME STMT STATS'!I522</f>
        <v>0.207</v>
      </c>
      <c r="AG62" s="141">
        <f>K15/'INCOME STMT STATS'!K522</f>
        <v>0.194</v>
      </c>
      <c r="AI62" s="141">
        <f>M15/'INCOME STMT STATS'!M522</f>
        <v>0.202</v>
      </c>
      <c r="AK62" s="141">
        <f>O15/'INCOME STMT STATS'!O522</f>
        <v>0.204</v>
      </c>
      <c r="AM62" s="141">
        <f>Q15/'INCOME STMT STATS'!Q522</f>
        <v>0.211</v>
      </c>
      <c r="AO62" s="141">
        <f>S15/'INCOME STMT STATS'!S522</f>
        <v>0.208</v>
      </c>
      <c r="AQ62" s="141">
        <f>U15/'INCOME STMT STATS'!U522</f>
        <v>0.237</v>
      </c>
    </row>
    <row r="63" spans="1:43" ht="11.25" customHeight="1">
      <c r="A63" s="120"/>
      <c r="B63" s="120"/>
      <c r="C63" s="141"/>
      <c r="D63" s="128"/>
      <c r="E63" s="141"/>
      <c r="F63" s="18"/>
      <c r="G63" s="141"/>
      <c r="I63" s="141"/>
      <c r="K63" s="141"/>
      <c r="M63" s="141"/>
      <c r="O63" s="141"/>
      <c r="P63" s="141"/>
      <c r="Q63" s="141"/>
      <c r="R63" s="141"/>
      <c r="S63" s="141"/>
      <c r="T63" s="141"/>
      <c r="U63" s="141"/>
      <c r="V63" s="141"/>
      <c r="W63" s="120"/>
      <c r="X63" s="120"/>
      <c r="Y63" s="141"/>
      <c r="Z63" s="141"/>
      <c r="AA63" s="141"/>
      <c r="AB63" s="141"/>
      <c r="AC63" s="141"/>
      <c r="AE63" s="141"/>
      <c r="AG63" s="141"/>
      <c r="AI63" s="141"/>
      <c r="AK63" s="141"/>
      <c r="AM63" s="141"/>
      <c r="AO63" s="141"/>
      <c r="AQ63" s="141"/>
    </row>
    <row r="64" spans="1:43" ht="11.25" customHeight="1">
      <c r="A64" s="129" t="s">
        <v>54</v>
      </c>
      <c r="B64" s="120"/>
      <c r="C64" s="141">
        <f>C17/'INCOME STMT STATS'!C17</f>
        <v>0.131</v>
      </c>
      <c r="D64" s="128"/>
      <c r="E64" s="141">
        <f>E17/'INCOME STMT STATS'!E17</f>
        <v>0.135</v>
      </c>
      <c r="G64" s="141">
        <f>G17/'INCOME STMT STATS'!G17</f>
        <v>0.285</v>
      </c>
      <c r="I64" s="141" t="s">
        <v>85</v>
      </c>
      <c r="K64" s="141" t="s">
        <v>85</v>
      </c>
      <c r="M64" s="141" t="s">
        <v>85</v>
      </c>
      <c r="O64" s="141" t="s">
        <v>85</v>
      </c>
      <c r="P64" s="141"/>
      <c r="Q64" s="141" t="s">
        <v>85</v>
      </c>
      <c r="R64" s="141"/>
      <c r="S64" s="141" t="s">
        <v>85</v>
      </c>
      <c r="T64" s="141"/>
      <c r="U64" s="141" t="s">
        <v>85</v>
      </c>
      <c r="V64" s="141"/>
      <c r="W64" s="129" t="s">
        <v>54</v>
      </c>
      <c r="X64" s="120"/>
      <c r="Y64" s="141">
        <f>C17/'INCOME STMT STATS'!C524</f>
        <v>0.116</v>
      </c>
      <c r="Z64" s="141"/>
      <c r="AA64" s="141">
        <f>E17/'INCOME STMT STATS'!E524</f>
        <v>0.119</v>
      </c>
      <c r="AC64" s="141">
        <f>G17/'INCOME STMT STATS'!G524</f>
        <v>0.222</v>
      </c>
      <c r="AE64" s="141" t="s">
        <v>85</v>
      </c>
      <c r="AG64" s="141" t="s">
        <v>85</v>
      </c>
      <c r="AI64" s="141" t="s">
        <v>85</v>
      </c>
      <c r="AK64" s="141" t="s">
        <v>85</v>
      </c>
      <c r="AM64" s="141" t="s">
        <v>85</v>
      </c>
      <c r="AO64" s="141" t="s">
        <v>85</v>
      </c>
      <c r="AQ64" s="141" t="s">
        <v>85</v>
      </c>
    </row>
    <row r="65" spans="1:43" ht="11.25" customHeight="1">
      <c r="A65" s="120"/>
      <c r="B65" s="120"/>
      <c r="C65" s="141"/>
      <c r="D65" s="128"/>
      <c r="E65" s="141"/>
      <c r="F65" s="18"/>
      <c r="G65" s="141"/>
      <c r="I65" s="141"/>
      <c r="K65" s="141"/>
      <c r="M65" s="141"/>
      <c r="O65" s="141"/>
      <c r="P65" s="141"/>
      <c r="Q65" s="141"/>
      <c r="R65" s="141"/>
      <c r="S65" s="141"/>
      <c r="T65" s="141"/>
      <c r="U65" s="141"/>
      <c r="V65" s="141"/>
      <c r="W65" s="120"/>
      <c r="X65" s="120"/>
      <c r="Y65" s="141"/>
      <c r="Z65" s="141"/>
      <c r="AA65" s="141"/>
      <c r="AB65" s="141"/>
      <c r="AC65" s="141"/>
      <c r="AE65" s="141"/>
      <c r="AG65" s="141"/>
      <c r="AI65" s="141"/>
      <c r="AK65" s="141"/>
      <c r="AM65" s="141"/>
      <c r="AO65" s="141"/>
      <c r="AQ65" s="141"/>
    </row>
    <row r="66" spans="1:43" ht="11.25" customHeight="1">
      <c r="A66" s="118" t="s">
        <v>3</v>
      </c>
      <c r="B66" s="120"/>
      <c r="C66" s="141">
        <f>C19/'INCOME STMT STATS'!C19</f>
        <v>0.124</v>
      </c>
      <c r="D66" s="128"/>
      <c r="E66" s="141">
        <f>E19/'INCOME STMT STATS'!E19</f>
        <v>0.131</v>
      </c>
      <c r="F66" s="18"/>
      <c r="G66" s="141">
        <f>G19/'INCOME STMT STATS'!G19</f>
        <v>0.248</v>
      </c>
      <c r="I66" s="141">
        <f>I19/'INCOME STMT STATS'!I19</f>
        <v>0.283</v>
      </c>
      <c r="K66" s="141">
        <f>K19/'INCOME STMT STATS'!K19</f>
        <v>0.322</v>
      </c>
      <c r="M66" s="141">
        <f>M19/'INCOME STMT STATS'!M19</f>
        <v>0.313</v>
      </c>
      <c r="O66" s="141">
        <f>O19/'INCOME STMT STATS'!O19</f>
        <v>0.325</v>
      </c>
      <c r="P66" s="141"/>
      <c r="Q66" s="141">
        <f>Q19/'INCOME STMT STATS'!Q19</f>
        <v>0.334</v>
      </c>
      <c r="R66" s="141"/>
      <c r="S66" s="141">
        <f>S19/'INCOME STMT STATS'!S19</f>
        <v>0.321</v>
      </c>
      <c r="T66" s="141"/>
      <c r="U66" s="141">
        <f>U19/'INCOME STMT STATS'!U19</f>
        <v>0.339</v>
      </c>
      <c r="V66" s="141"/>
      <c r="W66" s="118" t="s">
        <v>3</v>
      </c>
      <c r="X66" s="120"/>
      <c r="Y66" s="141">
        <f>C19/'INCOME STMT STATS'!C526</f>
        <v>0.11</v>
      </c>
      <c r="Z66" s="141"/>
      <c r="AA66" s="141">
        <f>E19/'INCOME STMT STATS'!E526</f>
        <v>0.116</v>
      </c>
      <c r="AB66" s="141"/>
      <c r="AC66" s="141">
        <f>G19/'INCOME STMT STATS'!G526</f>
        <v>0.199</v>
      </c>
      <c r="AE66" s="141">
        <f>I19/'INCOME STMT STATS'!I526</f>
        <v>0.22</v>
      </c>
      <c r="AG66" s="141">
        <f>K19/'INCOME STMT STATS'!K526</f>
        <v>0.243</v>
      </c>
      <c r="AI66" s="141">
        <f>M19/'INCOME STMT STATS'!M526</f>
        <v>0.239</v>
      </c>
      <c r="AK66" s="141">
        <f>O19/'INCOME STMT STATS'!O526</f>
        <v>0.245</v>
      </c>
      <c r="AM66" s="141">
        <f>Q19/'INCOME STMT STATS'!Q526</f>
        <v>0.251</v>
      </c>
      <c r="AO66" s="141">
        <f>S19/'INCOME STMT STATS'!S526</f>
        <v>0.243</v>
      </c>
      <c r="AQ66" s="141">
        <f>U19/'INCOME STMT STATS'!U526</f>
        <v>0.253</v>
      </c>
    </row>
    <row r="67" spans="1:43" ht="11.25" customHeight="1">
      <c r="A67" s="120"/>
      <c r="B67" s="120"/>
      <c r="C67" s="141"/>
      <c r="D67" s="128"/>
      <c r="E67" s="141"/>
      <c r="F67" s="18"/>
      <c r="G67" s="141"/>
      <c r="I67" s="141"/>
      <c r="K67" s="141"/>
      <c r="M67" s="141"/>
      <c r="O67" s="141"/>
      <c r="P67" s="141"/>
      <c r="Q67" s="141"/>
      <c r="R67" s="141"/>
      <c r="S67" s="141"/>
      <c r="T67" s="141"/>
      <c r="U67" s="141"/>
      <c r="V67" s="141"/>
      <c r="W67" s="120"/>
      <c r="X67" s="120"/>
      <c r="Y67" s="141"/>
      <c r="Z67" s="141"/>
      <c r="AA67" s="141"/>
      <c r="AB67" s="141"/>
      <c r="AC67" s="141"/>
      <c r="AE67" s="141"/>
      <c r="AG67" s="141"/>
      <c r="AI67" s="141"/>
      <c r="AK67" s="141"/>
      <c r="AM67" s="141"/>
      <c r="AO67" s="141"/>
      <c r="AQ67" s="141"/>
    </row>
    <row r="68" spans="1:43" ht="11.25" customHeight="1">
      <c r="A68" s="118" t="s">
        <v>4</v>
      </c>
      <c r="B68" s="120"/>
      <c r="C68" s="141">
        <f>C21/'INCOME STMT STATS'!C21</f>
        <v>0.106</v>
      </c>
      <c r="D68" s="128"/>
      <c r="E68" s="141">
        <f>E21/'INCOME STMT STATS'!E21</f>
        <v>0.11</v>
      </c>
      <c r="F68" s="18"/>
      <c r="G68" s="141">
        <f>G21/'INCOME STMT STATS'!G21</f>
        <v>0.294</v>
      </c>
      <c r="I68" s="141">
        <f>I21/'INCOME STMT STATS'!I21</f>
        <v>0.263</v>
      </c>
      <c r="K68" s="141">
        <f>K21/'INCOME STMT STATS'!K21</f>
        <v>0.299</v>
      </c>
      <c r="M68" s="141">
        <f>M21/'INCOME STMT STATS'!M21</f>
        <v>0.306</v>
      </c>
      <c r="O68" s="141">
        <f>O21/'INCOME STMT STATS'!O21</f>
        <v>0.355</v>
      </c>
      <c r="P68" s="141"/>
      <c r="Q68" s="141">
        <f>Q21/'INCOME STMT STATS'!Q21</f>
        <v>0.348</v>
      </c>
      <c r="R68" s="141"/>
      <c r="S68" s="141">
        <f>S21/'INCOME STMT STATS'!S21</f>
        <v>0.335</v>
      </c>
      <c r="T68" s="141"/>
      <c r="U68" s="141">
        <f>U21/'INCOME STMT STATS'!U21</f>
        <v>0.429</v>
      </c>
      <c r="V68" s="141"/>
      <c r="W68" s="118" t="s">
        <v>4</v>
      </c>
      <c r="X68" s="120"/>
      <c r="Y68" s="141">
        <f>C21/'INCOME STMT STATS'!C528</f>
        <v>0.096</v>
      </c>
      <c r="Z68" s="141"/>
      <c r="AA68" s="141">
        <f>E21/'INCOME STMT STATS'!E528</f>
        <v>0.099</v>
      </c>
      <c r="AB68" s="141"/>
      <c r="AC68" s="141">
        <f>G21/'INCOME STMT STATS'!G528</f>
        <v>0.227</v>
      </c>
      <c r="AE68" s="141">
        <f>I21/'INCOME STMT STATS'!I528</f>
        <v>0.208</v>
      </c>
      <c r="AG68" s="141">
        <f>K21/'INCOME STMT STATS'!K528</f>
        <v>0.23</v>
      </c>
      <c r="AI68" s="141">
        <f>M21/'INCOME STMT STATS'!M528</f>
        <v>0.234</v>
      </c>
      <c r="AK68" s="141">
        <f>O21/'INCOME STMT STATS'!O528</f>
        <v>0.262</v>
      </c>
      <c r="AM68" s="141">
        <f>Q21/'INCOME STMT STATS'!Q528</f>
        <v>0.258</v>
      </c>
      <c r="AO68" s="141">
        <f>S21/'INCOME STMT STATS'!S528</f>
        <v>0.251</v>
      </c>
      <c r="AQ68" s="141">
        <f>U21/'INCOME STMT STATS'!U528</f>
        <v>0.3</v>
      </c>
    </row>
    <row r="69" spans="1:43" ht="11.25" customHeight="1">
      <c r="A69" s="120"/>
      <c r="B69" s="120"/>
      <c r="C69" s="141"/>
      <c r="D69" s="128"/>
      <c r="E69" s="141"/>
      <c r="F69" s="18"/>
      <c r="G69" s="141"/>
      <c r="I69" s="141"/>
      <c r="K69" s="141"/>
      <c r="M69" s="141"/>
      <c r="O69" s="141"/>
      <c r="P69" s="141"/>
      <c r="Q69" s="141"/>
      <c r="R69" s="141"/>
      <c r="S69" s="141"/>
      <c r="T69" s="141"/>
      <c r="U69" s="141"/>
      <c r="V69" s="141"/>
      <c r="W69" s="120"/>
      <c r="X69" s="120"/>
      <c r="Y69" s="141"/>
      <c r="Z69" s="141"/>
      <c r="AA69" s="141"/>
      <c r="AB69" s="141"/>
      <c r="AC69" s="141"/>
      <c r="AE69" s="141"/>
      <c r="AG69" s="141"/>
      <c r="AI69" s="141"/>
      <c r="AK69" s="141"/>
      <c r="AM69" s="141"/>
      <c r="AO69" s="141"/>
      <c r="AQ69" s="141"/>
    </row>
    <row r="70" spans="1:43" ht="11.25" customHeight="1">
      <c r="A70" s="118" t="s">
        <v>91</v>
      </c>
      <c r="B70" s="120"/>
      <c r="C70" s="141">
        <f>C23/'INCOME STMT STATS'!C23</f>
        <v>0.098</v>
      </c>
      <c r="D70" s="128"/>
      <c r="E70" s="141">
        <f>E23/'INCOME STMT STATS'!E23</f>
        <v>0.104</v>
      </c>
      <c r="F70" s="18"/>
      <c r="G70" s="141">
        <f>G23/'INCOME STMT STATS'!G23</f>
        <v>0.264</v>
      </c>
      <c r="I70" s="141">
        <f>I23/'INCOME STMT STATS'!I23</f>
        <v>0.292</v>
      </c>
      <c r="K70" s="141">
        <f>K23/'INCOME STMT STATS'!K23</f>
        <v>0.292</v>
      </c>
      <c r="M70" s="141">
        <f>M23/'INCOME STMT STATS'!M23</f>
        <v>0.298</v>
      </c>
      <c r="O70" s="141">
        <f>O23/'INCOME STMT STATS'!O23</f>
        <v>0.272</v>
      </c>
      <c r="P70" s="141"/>
      <c r="Q70" s="141" t="s">
        <v>85</v>
      </c>
      <c r="R70" s="141"/>
      <c r="S70" s="141" t="s">
        <v>85</v>
      </c>
      <c r="T70" s="141"/>
      <c r="U70" s="141" t="s">
        <v>85</v>
      </c>
      <c r="V70" s="141"/>
      <c r="W70" s="118" t="s">
        <v>91</v>
      </c>
      <c r="X70" s="120"/>
      <c r="Y70" s="141">
        <f>C23/'INCOME STMT STATS'!C530</f>
        <v>0.089</v>
      </c>
      <c r="Z70" s="141"/>
      <c r="AA70" s="141">
        <f>E23/'INCOME STMT STATS'!E530</f>
        <v>0.094</v>
      </c>
      <c r="AB70" s="141"/>
      <c r="AC70" s="141">
        <f>G23/'INCOME STMT STATS'!G530</f>
        <v>0.209</v>
      </c>
      <c r="AE70" s="141">
        <f>I23/'INCOME STMT STATS'!I530</f>
        <v>0.226</v>
      </c>
      <c r="AG70" s="141">
        <f>K23/'INCOME STMT STATS'!K530</f>
        <v>0.226</v>
      </c>
      <c r="AI70" s="141">
        <f>M23/'INCOME STMT STATS'!M530</f>
        <v>0.229</v>
      </c>
      <c r="AK70" s="141">
        <f>O23/'INCOME STMT STATS'!O530</f>
        <v>0.214</v>
      </c>
      <c r="AM70" s="141" t="s">
        <v>85</v>
      </c>
      <c r="AO70" s="141" t="s">
        <v>85</v>
      </c>
      <c r="AQ70" s="141" t="s">
        <v>85</v>
      </c>
    </row>
    <row r="71" spans="1:43" ht="11.25" customHeight="1">
      <c r="A71" s="120"/>
      <c r="B71" s="120"/>
      <c r="C71" s="141"/>
      <c r="D71" s="128"/>
      <c r="E71" s="141"/>
      <c r="F71" s="18"/>
      <c r="G71" s="141"/>
      <c r="I71" s="141"/>
      <c r="K71" s="141"/>
      <c r="M71" s="141"/>
      <c r="O71" s="141"/>
      <c r="P71" s="141"/>
      <c r="Q71" s="141"/>
      <c r="R71" s="141"/>
      <c r="S71" s="141"/>
      <c r="T71" s="141"/>
      <c r="U71" s="141"/>
      <c r="V71" s="141"/>
      <c r="W71" s="120"/>
      <c r="X71" s="120"/>
      <c r="Y71" s="141"/>
      <c r="Z71" s="141"/>
      <c r="AA71" s="141"/>
      <c r="AB71" s="141"/>
      <c r="AC71" s="141"/>
      <c r="AE71" s="141"/>
      <c r="AG71" s="141"/>
      <c r="AI71" s="141"/>
      <c r="AK71" s="141"/>
      <c r="AM71" s="141"/>
      <c r="AO71" s="141"/>
      <c r="AQ71" s="141"/>
    </row>
    <row r="72" spans="1:43" ht="11.25" customHeight="1">
      <c r="A72" s="118" t="s">
        <v>5</v>
      </c>
      <c r="B72" s="120"/>
      <c r="C72" s="141">
        <f>C25/'INCOME STMT STATS'!C25</f>
        <v>0.113</v>
      </c>
      <c r="D72" s="128"/>
      <c r="E72" s="141">
        <f>E25/'INCOME STMT STATS'!E25</f>
        <v>0.12</v>
      </c>
      <c r="F72" s="18"/>
      <c r="G72" s="141">
        <f>G25/'INCOME STMT STATS'!G25</f>
        <v>0.3</v>
      </c>
      <c r="I72" s="141">
        <f>I25/'INCOME STMT STATS'!I25</f>
        <v>0.317</v>
      </c>
      <c r="K72" s="141">
        <f>K25/'INCOME STMT STATS'!K25</f>
        <v>0.354</v>
      </c>
      <c r="M72" s="141">
        <f>M25/'INCOME STMT STATS'!M25</f>
        <v>0.347</v>
      </c>
      <c r="O72" s="141">
        <f>O25/'INCOME STMT STATS'!O25</f>
        <v>0.368</v>
      </c>
      <c r="P72" s="141"/>
      <c r="Q72" s="141">
        <f>Q25/'INCOME STMT STATS'!Q25</f>
        <v>0.379</v>
      </c>
      <c r="R72" s="141"/>
      <c r="S72" s="141">
        <f>S25/'INCOME STMT STATS'!S25</f>
        <v>0.376</v>
      </c>
      <c r="T72" s="141"/>
      <c r="U72" s="141">
        <f>U25/'INCOME STMT STATS'!U25</f>
        <v>0.441</v>
      </c>
      <c r="V72" s="141"/>
      <c r="W72" s="118" t="s">
        <v>5</v>
      </c>
      <c r="X72" s="120"/>
      <c r="Y72" s="141">
        <f>C25/'INCOME STMT STATS'!C532</f>
        <v>0.101</v>
      </c>
      <c r="Z72" s="141"/>
      <c r="AA72" s="141">
        <f>E25/'INCOME STMT STATS'!E532</f>
        <v>0.107</v>
      </c>
      <c r="AB72" s="141"/>
      <c r="AC72" s="141">
        <f>G25/'INCOME STMT STATS'!G532</f>
        <v>0.231</v>
      </c>
      <c r="AE72" s="141">
        <f>I25/'INCOME STMT STATS'!I532</f>
        <v>0.241</v>
      </c>
      <c r="AG72" s="141">
        <f>K25/'INCOME STMT STATS'!K532</f>
        <v>0.261</v>
      </c>
      <c r="AI72" s="141">
        <f>M25/'INCOME STMT STATS'!M532</f>
        <v>0.258</v>
      </c>
      <c r="AK72" s="141">
        <f>O25/'INCOME STMT STATS'!O532</f>
        <v>0.269</v>
      </c>
      <c r="AM72" s="141">
        <f>Q25/'INCOME STMT STATS'!Q532</f>
        <v>0.275</v>
      </c>
      <c r="AO72" s="141">
        <f>S25/'INCOME STMT STATS'!S532</f>
        <v>0.273</v>
      </c>
      <c r="AQ72" s="141">
        <f>U25/'INCOME STMT STATS'!U532</f>
        <v>0.306</v>
      </c>
    </row>
    <row r="73" spans="1:43" ht="11.25" customHeight="1">
      <c r="A73" s="120"/>
      <c r="B73" s="120"/>
      <c r="C73" s="141"/>
      <c r="D73" s="128"/>
      <c r="E73" s="141"/>
      <c r="F73" s="18"/>
      <c r="G73" s="141"/>
      <c r="I73" s="141"/>
      <c r="K73" s="141"/>
      <c r="M73" s="141"/>
      <c r="O73" s="141"/>
      <c r="P73" s="141"/>
      <c r="Q73" s="141"/>
      <c r="R73" s="141"/>
      <c r="S73" s="141"/>
      <c r="T73" s="141"/>
      <c r="U73" s="141"/>
      <c r="V73" s="141"/>
      <c r="W73" s="120"/>
      <c r="X73" s="120"/>
      <c r="Y73" s="141"/>
      <c r="Z73" s="141"/>
      <c r="AA73" s="141"/>
      <c r="AB73" s="141"/>
      <c r="AC73" s="141"/>
      <c r="AE73" s="141"/>
      <c r="AG73" s="141"/>
      <c r="AI73" s="141"/>
      <c r="AK73" s="141"/>
      <c r="AM73" s="141"/>
      <c r="AO73" s="141"/>
      <c r="AQ73" s="141"/>
    </row>
    <row r="74" spans="1:43" ht="11.25" customHeight="1">
      <c r="A74" s="129" t="s">
        <v>6</v>
      </c>
      <c r="B74" s="120"/>
      <c r="C74" s="141">
        <f>C27/'INCOME STMT STATS'!C27</f>
        <v>0.133</v>
      </c>
      <c r="D74" s="128"/>
      <c r="E74" s="141">
        <f>E27/'INCOME STMT STATS'!E27</f>
        <v>0.128</v>
      </c>
      <c r="F74" s="18"/>
      <c r="G74" s="141">
        <f>G27/'INCOME STMT STATS'!G27</f>
        <v>0.219</v>
      </c>
      <c r="I74" s="141">
        <f>I27/'INCOME STMT STATS'!I27</f>
        <v>0.219</v>
      </c>
      <c r="K74" s="141">
        <f>K27/'INCOME STMT STATS'!K27</f>
        <v>0.223</v>
      </c>
      <c r="M74" s="141">
        <f>M27/'INCOME STMT STATS'!M27</f>
        <v>0.233</v>
      </c>
      <c r="O74" s="141">
        <f>O27/'INCOME STMT STATS'!O27</f>
        <v>0.251</v>
      </c>
      <c r="P74" s="141"/>
      <c r="Q74" s="141">
        <f>Q27/'INCOME STMT STATS'!Q27</f>
        <v>0.272</v>
      </c>
      <c r="R74" s="141"/>
      <c r="S74" s="141">
        <f>S27/'INCOME STMT STATS'!S27</f>
        <v>0.316</v>
      </c>
      <c r="T74" s="141"/>
      <c r="U74" s="141">
        <f>U27/'INCOME STMT STATS'!U27</f>
        <v>0.354</v>
      </c>
      <c r="V74" s="141"/>
      <c r="W74" s="129" t="s">
        <v>6</v>
      </c>
      <c r="X74" s="120"/>
      <c r="Y74" s="141">
        <f>C27/'INCOME STMT STATS'!C534</f>
        <v>0.117</v>
      </c>
      <c r="Z74" s="141"/>
      <c r="AA74" s="141">
        <f>E27/'INCOME STMT STATS'!E534</f>
        <v>0.113</v>
      </c>
      <c r="AB74" s="141"/>
      <c r="AC74" s="141">
        <f>G27/'INCOME STMT STATS'!G534</f>
        <v>0.18</v>
      </c>
      <c r="AE74" s="141">
        <f>I27/'INCOME STMT STATS'!I534</f>
        <v>0.18</v>
      </c>
      <c r="AG74" s="141">
        <f>K27/'INCOME STMT STATS'!K534</f>
        <v>0.182</v>
      </c>
      <c r="AI74" s="141">
        <f>M27/'INCOME STMT STATS'!M534</f>
        <v>0.189</v>
      </c>
      <c r="AK74" s="141">
        <f>O27/'INCOME STMT STATS'!O534</f>
        <v>0.2</v>
      </c>
      <c r="AM74" s="141">
        <f>Q27/'INCOME STMT STATS'!Q534</f>
        <v>0.214</v>
      </c>
      <c r="AO74" s="141">
        <f>S27/'INCOME STMT STATS'!S534</f>
        <v>0.24</v>
      </c>
      <c r="AQ74" s="141">
        <f>U27/'INCOME STMT STATS'!U534</f>
        <v>0.261</v>
      </c>
    </row>
    <row r="75" spans="1:43" ht="11.25" customHeight="1">
      <c r="A75" s="120"/>
      <c r="B75" s="120"/>
      <c r="C75" s="141"/>
      <c r="D75" s="128"/>
      <c r="E75" s="141"/>
      <c r="F75" s="18"/>
      <c r="G75" s="141"/>
      <c r="I75" s="141"/>
      <c r="K75" s="141"/>
      <c r="M75" s="141"/>
      <c r="O75" s="141"/>
      <c r="P75" s="141"/>
      <c r="Q75" s="141"/>
      <c r="R75" s="141"/>
      <c r="S75" s="141"/>
      <c r="T75" s="141"/>
      <c r="U75" s="141"/>
      <c r="V75" s="141"/>
      <c r="W75" s="120"/>
      <c r="X75" s="120"/>
      <c r="Y75" s="141"/>
      <c r="Z75" s="141"/>
      <c r="AA75" s="141"/>
      <c r="AB75" s="141"/>
      <c r="AC75" s="141"/>
      <c r="AE75" s="141"/>
      <c r="AG75" s="141"/>
      <c r="AI75" s="141"/>
      <c r="AK75" s="141"/>
      <c r="AM75" s="141"/>
      <c r="AO75" s="141"/>
      <c r="AQ75" s="141"/>
    </row>
    <row r="76" spans="1:43" ht="11.25" customHeight="1">
      <c r="A76" s="118" t="s">
        <v>24</v>
      </c>
      <c r="B76" s="120"/>
      <c r="C76" s="141">
        <f>C29/'INCOME STMT STATS'!C29</f>
        <v>0.124</v>
      </c>
      <c r="D76" s="128"/>
      <c r="E76" s="141">
        <f>E29/'INCOME STMT STATS'!E29</f>
        <v>0.124</v>
      </c>
      <c r="F76" s="18"/>
      <c r="G76" s="141">
        <f>G29/'INCOME STMT STATS'!G29</f>
        <v>0.271</v>
      </c>
      <c r="I76" s="141">
        <f>I29/'INCOME STMT STATS'!I29</f>
        <v>0.274</v>
      </c>
      <c r="K76" s="141">
        <f>K29/'INCOME STMT STATS'!K29</f>
        <v>0.303</v>
      </c>
      <c r="M76" s="141">
        <f>M29/'INCOME STMT STATS'!M29</f>
        <v>0.277</v>
      </c>
      <c r="O76" s="141">
        <f>O29/'INCOME STMT STATS'!O29</f>
        <v>0.288</v>
      </c>
      <c r="P76" s="141"/>
      <c r="Q76" s="141">
        <f>Q29/'INCOME STMT STATS'!Q29</f>
        <v>0.314</v>
      </c>
      <c r="R76" s="141"/>
      <c r="S76" s="141">
        <f>S29/'INCOME STMT STATS'!S29</f>
        <v>0.323</v>
      </c>
      <c r="T76" s="141"/>
      <c r="U76" s="141">
        <f>U29/'INCOME STMT STATS'!U29</f>
        <v>0.318</v>
      </c>
      <c r="V76" s="141"/>
      <c r="W76" s="118" t="s">
        <v>24</v>
      </c>
      <c r="X76" s="120"/>
      <c r="Y76" s="141">
        <f>C29/'INCOME STMT STATS'!C536</f>
        <v>0.11</v>
      </c>
      <c r="Z76" s="141"/>
      <c r="AA76" s="141">
        <f>E29/'INCOME STMT STATS'!E536</f>
        <v>0.11</v>
      </c>
      <c r="AB76" s="141"/>
      <c r="AC76" s="141">
        <f>G29/'INCOME STMT STATS'!G536</f>
        <v>0.213</v>
      </c>
      <c r="AE76" s="141">
        <f>I29/'INCOME STMT STATS'!I536</f>
        <v>0.215</v>
      </c>
      <c r="AG76" s="141">
        <f>K29/'INCOME STMT STATS'!K536</f>
        <v>0.232</v>
      </c>
      <c r="AI76" s="141">
        <f>M29/'INCOME STMT STATS'!M536</f>
        <v>0.217</v>
      </c>
      <c r="AK76" s="141">
        <f>O29/'INCOME STMT STATS'!O536</f>
        <v>0.224</v>
      </c>
      <c r="AM76" s="141">
        <f>Q29/'INCOME STMT STATS'!Q536</f>
        <v>0.239</v>
      </c>
      <c r="AO76" s="141">
        <f>S29/'INCOME STMT STATS'!S536</f>
        <v>0.244</v>
      </c>
      <c r="AQ76" s="141">
        <f>U29/'INCOME STMT STATS'!U536</f>
        <v>0.241</v>
      </c>
    </row>
    <row r="77" spans="1:43" ht="11.25" customHeight="1">
      <c r="A77" s="120"/>
      <c r="B77" s="120"/>
      <c r="C77" s="141"/>
      <c r="D77" s="128"/>
      <c r="E77" s="141"/>
      <c r="F77" s="18"/>
      <c r="G77" s="141"/>
      <c r="I77" s="141"/>
      <c r="K77" s="141"/>
      <c r="M77" s="141"/>
      <c r="O77" s="141"/>
      <c r="P77" s="141"/>
      <c r="Q77" s="141"/>
      <c r="R77" s="141"/>
      <c r="S77" s="141"/>
      <c r="T77" s="141"/>
      <c r="U77" s="141"/>
      <c r="V77" s="141"/>
      <c r="W77" s="120"/>
      <c r="X77" s="120"/>
      <c r="Y77" s="141"/>
      <c r="Z77" s="141"/>
      <c r="AA77" s="141"/>
      <c r="AB77" s="141"/>
      <c r="AC77" s="141"/>
      <c r="AE77" s="141"/>
      <c r="AG77" s="141"/>
      <c r="AI77" s="141"/>
      <c r="AK77" s="141"/>
      <c r="AM77" s="141"/>
      <c r="AO77" s="141"/>
      <c r="AQ77" s="141"/>
    </row>
    <row r="78" spans="1:43" ht="11.25" customHeight="1">
      <c r="A78" s="118" t="s">
        <v>7</v>
      </c>
      <c r="B78" s="120"/>
      <c r="C78" s="141">
        <f>C31/'INCOME STMT STATS'!C31</f>
        <v>0.145</v>
      </c>
      <c r="D78" s="174"/>
      <c r="E78" s="141">
        <f>E31/'INCOME STMT STATS'!E31</f>
        <v>0.143</v>
      </c>
      <c r="F78" s="24"/>
      <c r="G78" s="141">
        <f>G31/'INCOME STMT STATS'!G31</f>
        <v>0.285</v>
      </c>
      <c r="H78" s="29"/>
      <c r="I78" s="141">
        <f>I31/'INCOME STMT STATS'!I31</f>
        <v>0.31</v>
      </c>
      <c r="J78" s="29"/>
      <c r="K78" s="141">
        <f>K31/'INCOME STMT STATS'!K31</f>
        <v>0.357</v>
      </c>
      <c r="M78" s="141">
        <f>M31/'INCOME STMT STATS'!M31</f>
        <v>0.361</v>
      </c>
      <c r="O78" s="141">
        <f>O31/'INCOME STMT STATS'!O31</f>
        <v>0.317</v>
      </c>
      <c r="P78" s="141"/>
      <c r="Q78" s="141">
        <f>Q31/'INCOME STMT STATS'!Q31</f>
        <v>0.289</v>
      </c>
      <c r="R78" s="141"/>
      <c r="S78" s="141">
        <f>S31/'INCOME STMT STATS'!S31</f>
        <v>0.286</v>
      </c>
      <c r="T78" s="141"/>
      <c r="U78" s="141">
        <f>U31/'INCOME STMT STATS'!U31</f>
        <v>0.301</v>
      </c>
      <c r="V78" s="141"/>
      <c r="W78" s="130" t="s">
        <v>7</v>
      </c>
      <c r="X78" s="140"/>
      <c r="Y78" s="141">
        <f>C31/'INCOME STMT STATS'!C538</f>
        <v>0.126</v>
      </c>
      <c r="Z78" s="141"/>
      <c r="AA78" s="141">
        <f>E31/'INCOME STMT STATS'!E538</f>
        <v>0.125</v>
      </c>
      <c r="AB78" s="141"/>
      <c r="AC78" s="141">
        <f>G31/'INCOME STMT STATS'!G538</f>
        <v>0.222</v>
      </c>
      <c r="AE78" s="141">
        <f>I31/'INCOME STMT STATS'!I538</f>
        <v>0.236</v>
      </c>
      <c r="AG78" s="141">
        <f>K31/'INCOME STMT STATS'!K538</f>
        <v>0.263</v>
      </c>
      <c r="AI78" s="141">
        <f>M31/'INCOME STMT STATS'!M538</f>
        <v>0.265</v>
      </c>
      <c r="AK78" s="141">
        <f>O31/'INCOME STMT STATS'!O538</f>
        <v>0.241</v>
      </c>
      <c r="AM78" s="141">
        <f>Q31/'INCOME STMT STATS'!Q538</f>
        <v>0.224</v>
      </c>
      <c r="AO78" s="141">
        <f>S31/'INCOME STMT STATS'!S538</f>
        <v>0.222</v>
      </c>
      <c r="AQ78" s="141">
        <f>U31/'INCOME STMT STATS'!U538</f>
        <v>0.231</v>
      </c>
    </row>
    <row r="79" spans="1:43" ht="11.25" customHeight="1">
      <c r="A79" s="118"/>
      <c r="B79" s="120"/>
      <c r="C79" s="141"/>
      <c r="D79" s="174"/>
      <c r="E79" s="141"/>
      <c r="F79" s="24"/>
      <c r="G79" s="141"/>
      <c r="I79" s="141"/>
      <c r="K79" s="141"/>
      <c r="M79" s="141"/>
      <c r="O79" s="141"/>
      <c r="P79" s="141"/>
      <c r="Q79" s="141"/>
      <c r="R79" s="141"/>
      <c r="S79" s="141"/>
      <c r="T79" s="141"/>
      <c r="U79" s="141"/>
      <c r="V79" s="141"/>
      <c r="W79" s="118"/>
      <c r="X79" s="120"/>
      <c r="Y79" s="141"/>
      <c r="Z79" s="141"/>
      <c r="AA79" s="141"/>
      <c r="AB79" s="141"/>
      <c r="AC79" s="141"/>
      <c r="AD79" s="29"/>
      <c r="AE79" s="141"/>
      <c r="AF79" s="29"/>
      <c r="AG79" s="141"/>
      <c r="AH79" s="29"/>
      <c r="AI79" s="141"/>
      <c r="AJ79" s="29"/>
      <c r="AK79" s="141"/>
      <c r="AL79" s="29"/>
      <c r="AM79" s="141"/>
      <c r="AO79" s="141"/>
      <c r="AQ79" s="141"/>
    </row>
    <row r="80" spans="1:43" ht="11.25" customHeight="1">
      <c r="A80" s="118" t="s">
        <v>8</v>
      </c>
      <c r="B80" s="120"/>
      <c r="C80" s="141">
        <f>C33/'INCOME STMT STATS'!C33</f>
        <v>0.107</v>
      </c>
      <c r="D80" s="174"/>
      <c r="E80" s="141">
        <f>E33/'INCOME STMT STATS'!E33</f>
        <v>0.107</v>
      </c>
      <c r="F80" s="24"/>
      <c r="G80" s="141">
        <f>G33/'INCOME STMT STATS'!G33</f>
        <v>0.239</v>
      </c>
      <c r="I80" s="141">
        <f>I33/'INCOME STMT STATS'!I33</f>
        <v>0.267</v>
      </c>
      <c r="K80" s="141">
        <f>K33/'INCOME STMT STATS'!K33</f>
        <v>0.289</v>
      </c>
      <c r="M80" s="141">
        <f>M33/'INCOME STMT STATS'!M33</f>
        <v>0.293</v>
      </c>
      <c r="O80" s="141">
        <f>O33/'INCOME STMT STATS'!O33</f>
        <v>0.274</v>
      </c>
      <c r="P80" s="141"/>
      <c r="Q80" s="141">
        <f>Q33/'INCOME STMT STATS'!Q33</f>
        <v>0.27</v>
      </c>
      <c r="R80" s="141"/>
      <c r="S80" s="141">
        <f>S33/'INCOME STMT STATS'!S33</f>
        <v>0.298</v>
      </c>
      <c r="T80" s="141"/>
      <c r="U80" s="141">
        <f>U33/'INCOME STMT STATS'!U33</f>
        <v>0.309</v>
      </c>
      <c r="V80" s="141"/>
      <c r="W80" s="118" t="s">
        <v>8</v>
      </c>
      <c r="X80" s="120"/>
      <c r="Y80" s="141">
        <f>C33/'INCOME STMT STATS'!C540</f>
        <v>0.097</v>
      </c>
      <c r="Z80" s="141"/>
      <c r="AA80" s="141">
        <f>E33/'INCOME STMT STATS'!E540</f>
        <v>0.097</v>
      </c>
      <c r="AB80" s="141"/>
      <c r="AC80" s="141">
        <f>G33/'INCOME STMT STATS'!G540</f>
        <v>0.193</v>
      </c>
      <c r="AD80" s="29"/>
      <c r="AE80" s="141">
        <f>I33/'INCOME STMT STATS'!I540</f>
        <v>0.21</v>
      </c>
      <c r="AF80" s="29"/>
      <c r="AG80" s="141">
        <f>K33/'INCOME STMT STATS'!K540</f>
        <v>0.224</v>
      </c>
      <c r="AH80" s="29"/>
      <c r="AI80" s="141">
        <f>M33/'INCOME STMT STATS'!M540</f>
        <v>0.227</v>
      </c>
      <c r="AJ80" s="29"/>
      <c r="AK80" s="141">
        <f>O33/'INCOME STMT STATS'!O540</f>
        <v>0.215</v>
      </c>
      <c r="AL80" s="29"/>
      <c r="AM80" s="141">
        <f>Q33/'INCOME STMT STATS'!Q540</f>
        <v>0.213</v>
      </c>
      <c r="AO80" s="141">
        <f>S33/'INCOME STMT STATS'!S540</f>
        <v>0.229</v>
      </c>
      <c r="AQ80" s="141">
        <f>U33/'INCOME STMT STATS'!U540</f>
        <v>0.236</v>
      </c>
    </row>
    <row r="81" spans="1:43" ht="11.25" customHeight="1">
      <c r="A81" s="120"/>
      <c r="B81" s="120"/>
      <c r="C81" s="141"/>
      <c r="D81" s="174"/>
      <c r="E81" s="141"/>
      <c r="F81" s="24"/>
      <c r="G81" s="141"/>
      <c r="I81" s="141"/>
      <c r="K81" s="141"/>
      <c r="M81" s="141"/>
      <c r="O81" s="141"/>
      <c r="P81" s="141"/>
      <c r="Q81" s="141"/>
      <c r="R81" s="141"/>
      <c r="S81" s="141"/>
      <c r="T81" s="141"/>
      <c r="U81" s="141"/>
      <c r="V81" s="141"/>
      <c r="W81" s="120"/>
      <c r="X81" s="120"/>
      <c r="Y81" s="141"/>
      <c r="Z81" s="141"/>
      <c r="AA81" s="141"/>
      <c r="AB81" s="141"/>
      <c r="AC81" s="141"/>
      <c r="AD81" s="29"/>
      <c r="AE81" s="141"/>
      <c r="AF81" s="29"/>
      <c r="AG81" s="141"/>
      <c r="AH81" s="29"/>
      <c r="AI81" s="141"/>
      <c r="AJ81" s="29"/>
      <c r="AK81" s="141"/>
      <c r="AL81" s="29"/>
      <c r="AM81" s="141"/>
      <c r="AO81" s="141"/>
      <c r="AQ81" s="141"/>
    </row>
    <row r="82" spans="1:43" ht="11.25" customHeight="1">
      <c r="A82" s="118" t="s">
        <v>17</v>
      </c>
      <c r="B82" s="120"/>
      <c r="C82" s="141">
        <f>C35/'INCOME STMT STATS'!C35</f>
        <v>0.123</v>
      </c>
      <c r="D82" s="174"/>
      <c r="E82" s="141">
        <f>E35/'INCOME STMT STATS'!E35</f>
        <v>0.127</v>
      </c>
      <c r="F82" s="24"/>
      <c r="G82" s="141">
        <f>G35/'INCOME STMT STATS'!G35</f>
        <v>0.26</v>
      </c>
      <c r="I82" s="141">
        <f>I35/'INCOME STMT STATS'!I35</f>
        <v>0.268</v>
      </c>
      <c r="K82" s="141">
        <f>K35/'INCOME STMT STATS'!K35</f>
        <v>0.284</v>
      </c>
      <c r="M82" s="141">
        <f>M35/'INCOME STMT STATS'!M35</f>
        <v>0.284</v>
      </c>
      <c r="O82" s="141">
        <f>O35/'INCOME STMT STATS'!O35</f>
        <v>0.289</v>
      </c>
      <c r="P82" s="141"/>
      <c r="Q82" s="141">
        <f>Q35/'INCOME STMT STATS'!Q35</f>
        <v>0.298</v>
      </c>
      <c r="R82" s="141"/>
      <c r="S82" s="141">
        <f>S35/'INCOME STMT STATS'!S35</f>
        <v>0.304</v>
      </c>
      <c r="T82" s="141"/>
      <c r="U82" s="141">
        <f>U35/'INCOME STMT STATS'!U35</f>
        <v>0.33</v>
      </c>
      <c r="V82" s="141"/>
      <c r="W82" s="118" t="s">
        <v>17</v>
      </c>
      <c r="X82" s="120"/>
      <c r="Y82" s="141">
        <f>C35/'INCOME STMT STATS'!C542</f>
        <v>0.109</v>
      </c>
      <c r="Z82" s="141"/>
      <c r="AA82" s="141">
        <f>E35/'INCOME STMT STATS'!E542</f>
        <v>0.112</v>
      </c>
      <c r="AB82" s="141"/>
      <c r="AC82" s="141">
        <f>G35/'INCOME STMT STATS'!G542</f>
        <v>0.206</v>
      </c>
      <c r="AD82" s="29"/>
      <c r="AE82" s="141">
        <f>I35/'INCOME STMT STATS'!I542</f>
        <v>0.211</v>
      </c>
      <c r="AF82" s="29"/>
      <c r="AG82" s="141">
        <f>K35/'INCOME STMT STATS'!K542</f>
        <v>0.221</v>
      </c>
      <c r="AH82" s="29"/>
      <c r="AI82" s="141">
        <f>M35/'INCOME STMT STATS'!M542</f>
        <v>0.221</v>
      </c>
      <c r="AJ82" s="29"/>
      <c r="AK82" s="141">
        <f>O35/'INCOME STMT STATS'!O542</f>
        <v>0.224</v>
      </c>
      <c r="AL82" s="29"/>
      <c r="AM82" s="141">
        <f>Q35/'INCOME STMT STATS'!Q542</f>
        <v>0.229</v>
      </c>
      <c r="AO82" s="141">
        <f>S35/'INCOME STMT STATS'!S542</f>
        <v>0.233</v>
      </c>
      <c r="AQ82" s="141">
        <f>U35/'INCOME STMT STATS'!U542</f>
        <v>0.248</v>
      </c>
    </row>
    <row r="83" spans="1:41" ht="11.25" customHeight="1">
      <c r="A83" s="120"/>
      <c r="B83" s="120"/>
      <c r="C83" s="175"/>
      <c r="D83" s="140"/>
      <c r="E83" s="175"/>
      <c r="F83" s="29"/>
      <c r="G83" s="29"/>
      <c r="H83" s="29"/>
      <c r="I83" s="29"/>
      <c r="J83" s="29"/>
      <c r="K83" s="29"/>
      <c r="W83" s="120"/>
      <c r="X83" s="120"/>
      <c r="Y83" s="175"/>
      <c r="Z83" s="140"/>
      <c r="AA83" s="175"/>
      <c r="AB83" s="140"/>
      <c r="AC83" s="140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1:5" ht="11.25" customHeight="1">
      <c r="A84" s="138" t="s">
        <v>75</v>
      </c>
      <c r="B84" s="120"/>
      <c r="C84" s="120"/>
      <c r="D84" s="120"/>
      <c r="E84" s="120"/>
    </row>
    <row r="85" spans="1:23" ht="11.25" customHeight="1">
      <c r="A85" s="118" t="s">
        <v>56</v>
      </c>
      <c r="B85" s="120"/>
      <c r="C85" s="120"/>
      <c r="D85" s="120"/>
      <c r="E85" s="120"/>
      <c r="W85" s="138" t="s">
        <v>75</v>
      </c>
    </row>
    <row r="86" spans="1:23" ht="11.25" customHeight="1">
      <c r="A86" s="118" t="s">
        <v>52</v>
      </c>
      <c r="B86" s="120"/>
      <c r="C86" s="120"/>
      <c r="D86" s="120"/>
      <c r="E86" s="120"/>
      <c r="W86" s="118" t="s">
        <v>56</v>
      </c>
    </row>
    <row r="87" spans="1:23" ht="11.25" customHeight="1">
      <c r="A87" s="118" t="s">
        <v>60</v>
      </c>
      <c r="B87" s="120"/>
      <c r="C87" s="120"/>
      <c r="D87" s="120"/>
      <c r="E87" s="120"/>
      <c r="W87" s="118" t="s">
        <v>52</v>
      </c>
    </row>
    <row r="88" spans="1:23" ht="11.25" customHeight="1">
      <c r="A88" s="118" t="s">
        <v>57</v>
      </c>
      <c r="B88" s="120"/>
      <c r="C88" s="120"/>
      <c r="D88" s="120"/>
      <c r="E88" s="120"/>
      <c r="W88" s="118" t="s">
        <v>60</v>
      </c>
    </row>
    <row r="89" spans="1:23" ht="11.25" customHeight="1">
      <c r="A89" s="118" t="s">
        <v>58</v>
      </c>
      <c r="B89" s="120"/>
      <c r="C89" s="120"/>
      <c r="D89" s="120"/>
      <c r="E89" s="120"/>
      <c r="W89" s="118" t="s">
        <v>57</v>
      </c>
    </row>
    <row r="90" spans="1:23" ht="11.25" customHeight="1">
      <c r="A90" s="120" t="s">
        <v>59</v>
      </c>
      <c r="B90" s="120"/>
      <c r="C90" s="120"/>
      <c r="D90" s="120"/>
      <c r="E90" s="120"/>
      <c r="W90" s="118" t="s">
        <v>58</v>
      </c>
    </row>
    <row r="91" spans="1:23" ht="11.25" customHeight="1">
      <c r="A91" s="55" t="s">
        <v>82</v>
      </c>
      <c r="B91" s="120"/>
      <c r="C91" s="120"/>
      <c r="D91" s="120"/>
      <c r="E91" s="120"/>
      <c r="W91" s="120" t="s">
        <v>59</v>
      </c>
    </row>
    <row r="92" spans="1:23" ht="11.25" customHeight="1">
      <c r="A92" s="56" t="s">
        <v>87</v>
      </c>
      <c r="B92" s="120"/>
      <c r="C92" s="120"/>
      <c r="D92" s="120"/>
      <c r="E92" s="120"/>
      <c r="L92" s="118"/>
      <c r="W92" s="55" t="s">
        <v>82</v>
      </c>
    </row>
    <row r="93" spans="1:23" ht="11.25" customHeight="1">
      <c r="A93" s="56" t="s">
        <v>92</v>
      </c>
      <c r="B93" s="120"/>
      <c r="C93" s="120"/>
      <c r="D93" s="120"/>
      <c r="E93" s="120"/>
      <c r="W93" s="56" t="s">
        <v>87</v>
      </c>
    </row>
    <row r="94" spans="1:23" ht="11.25" customHeight="1">
      <c r="A94" s="56"/>
      <c r="B94" s="120"/>
      <c r="C94" s="120"/>
      <c r="D94" s="120"/>
      <c r="E94" s="120"/>
      <c r="W94" s="56" t="s">
        <v>92</v>
      </c>
    </row>
    <row r="95" spans="1:5" ht="11.25" customHeight="1">
      <c r="A95" s="129" t="s">
        <v>0</v>
      </c>
      <c r="B95" s="120"/>
      <c r="C95" s="120"/>
      <c r="D95" s="120"/>
      <c r="E95" s="120"/>
    </row>
    <row r="96" spans="1:5" ht="11.25" customHeight="1">
      <c r="A96" s="118" t="s">
        <v>37</v>
      </c>
      <c r="B96" s="120"/>
      <c r="C96" s="120"/>
      <c r="D96" s="120"/>
      <c r="E96" s="120"/>
    </row>
    <row r="97" spans="1:5" ht="11.25" customHeight="1">
      <c r="A97" s="121" t="str">
        <f>A3</f>
        <v>2000 - 2009</v>
      </c>
      <c r="B97" s="140"/>
      <c r="C97" s="120"/>
      <c r="D97" s="120"/>
      <c r="E97" s="120"/>
    </row>
    <row r="98" spans="1:5" ht="11.25" customHeight="1">
      <c r="A98" s="118" t="s">
        <v>1</v>
      </c>
      <c r="B98" s="126"/>
      <c r="C98" s="120"/>
      <c r="D98" s="120"/>
      <c r="E98" s="120"/>
    </row>
    <row r="99" spans="1:5" ht="11.25" customHeight="1">
      <c r="A99" s="41"/>
      <c r="B99" s="120"/>
      <c r="C99" s="120"/>
      <c r="D99" s="120"/>
      <c r="E99" s="120"/>
    </row>
    <row r="100" spans="1:5" ht="11.25" customHeight="1">
      <c r="A100" s="123"/>
      <c r="B100" s="120"/>
      <c r="C100" s="120"/>
      <c r="D100" s="120"/>
      <c r="E100" s="120"/>
    </row>
    <row r="101" spans="1:22" ht="11.25" customHeight="1">
      <c r="A101" s="120"/>
      <c r="B101" s="120"/>
      <c r="C101" s="124">
        <v>2000</v>
      </c>
      <c r="D101" s="173"/>
      <c r="E101" s="124">
        <v>2001</v>
      </c>
      <c r="F101" s="29"/>
      <c r="G101" s="124" t="s">
        <v>77</v>
      </c>
      <c r="I101" s="124">
        <v>2003</v>
      </c>
      <c r="K101" s="124">
        <v>2004</v>
      </c>
      <c r="M101" s="124">
        <v>2005</v>
      </c>
      <c r="O101" s="46">
        <v>2006</v>
      </c>
      <c r="P101" s="255"/>
      <c r="Q101" s="46">
        <v>2007</v>
      </c>
      <c r="R101" s="255"/>
      <c r="S101" s="46">
        <v>2008</v>
      </c>
      <c r="T101" s="255"/>
      <c r="U101" s="46">
        <v>2009</v>
      </c>
      <c r="V101" s="255"/>
    </row>
    <row r="102" spans="1:11" ht="11.25" customHeight="1">
      <c r="A102" s="118"/>
      <c r="B102" s="118"/>
      <c r="C102" s="118"/>
      <c r="D102" s="130"/>
      <c r="E102" s="118"/>
      <c r="F102" s="25"/>
      <c r="G102" s="118"/>
      <c r="I102" s="118"/>
      <c r="K102" s="118"/>
    </row>
    <row r="103" spans="1:21" ht="11.25" customHeight="1">
      <c r="A103" s="118" t="s">
        <v>81</v>
      </c>
      <c r="B103" s="120"/>
      <c r="C103" s="79">
        <v>55017</v>
      </c>
      <c r="D103" s="137"/>
      <c r="E103" s="136">
        <v>57838</v>
      </c>
      <c r="F103" s="194"/>
      <c r="G103" s="136">
        <v>10407</v>
      </c>
      <c r="H103" s="189"/>
      <c r="I103" s="136">
        <v>9433</v>
      </c>
      <c r="K103" s="136">
        <v>12640</v>
      </c>
      <c r="M103" s="136">
        <v>12414</v>
      </c>
      <c r="O103" s="136">
        <v>10699</v>
      </c>
      <c r="Q103" s="136">
        <v>10776</v>
      </c>
      <c r="R103" s="136"/>
      <c r="S103" s="136">
        <v>15186</v>
      </c>
      <c r="T103" s="136"/>
      <c r="U103" s="136">
        <v>4794</v>
      </c>
    </row>
    <row r="104" spans="1:11" ht="11.25" customHeight="1">
      <c r="A104" s="120"/>
      <c r="B104" s="120"/>
      <c r="C104" s="127"/>
      <c r="D104" s="174"/>
      <c r="E104" s="128"/>
      <c r="F104" s="26"/>
      <c r="G104" s="128"/>
      <c r="I104" s="128"/>
      <c r="K104" s="128"/>
    </row>
    <row r="105" spans="1:21" ht="11.25" customHeight="1">
      <c r="A105" s="118" t="s">
        <v>53</v>
      </c>
      <c r="B105" s="120"/>
      <c r="C105" s="144">
        <v>62466</v>
      </c>
      <c r="D105" s="174"/>
      <c r="E105" s="128">
        <v>54376</v>
      </c>
      <c r="F105" s="26"/>
      <c r="G105" s="128">
        <v>17413</v>
      </c>
      <c r="I105" s="128">
        <v>22912</v>
      </c>
      <c r="K105" s="128">
        <v>20104</v>
      </c>
      <c r="M105" s="128">
        <v>22210</v>
      </c>
      <c r="O105" s="128">
        <v>20831</v>
      </c>
      <c r="Q105" s="128">
        <v>8124</v>
      </c>
      <c r="R105" s="128"/>
      <c r="S105" s="128">
        <v>7289</v>
      </c>
      <c r="T105" s="128"/>
      <c r="U105" s="128">
        <v>6151</v>
      </c>
    </row>
    <row r="106" spans="1:21" ht="11.25" customHeight="1">
      <c r="A106" s="118"/>
      <c r="B106" s="120"/>
      <c r="C106" s="144"/>
      <c r="D106" s="174"/>
      <c r="E106" s="128"/>
      <c r="F106" s="26"/>
      <c r="G106" s="128"/>
      <c r="I106" s="128"/>
      <c r="K106" s="128"/>
      <c r="M106" s="128"/>
      <c r="O106" s="128"/>
      <c r="Q106" s="128"/>
      <c r="R106" s="128"/>
      <c r="S106" s="128"/>
      <c r="T106" s="128"/>
      <c r="U106" s="128"/>
    </row>
    <row r="107" spans="1:21" ht="11.25" customHeight="1">
      <c r="A107" s="118" t="s">
        <v>86</v>
      </c>
      <c r="B107" s="120"/>
      <c r="C107" s="141" t="s">
        <v>85</v>
      </c>
      <c r="D107" s="174"/>
      <c r="E107" s="141" t="s">
        <v>85</v>
      </c>
      <c r="F107" s="26"/>
      <c r="G107" s="141" t="s">
        <v>85</v>
      </c>
      <c r="I107" s="128">
        <v>10165</v>
      </c>
      <c r="K107" s="128">
        <v>23944</v>
      </c>
      <c r="M107" s="128">
        <v>33435</v>
      </c>
      <c r="O107" s="128">
        <v>37653</v>
      </c>
      <c r="Q107" s="128">
        <v>38819</v>
      </c>
      <c r="R107" s="128"/>
      <c r="S107" s="128">
        <v>35577</v>
      </c>
      <c r="T107" s="128"/>
      <c r="U107" s="128">
        <v>28673</v>
      </c>
    </row>
    <row r="108" spans="1:21" ht="11.25" customHeight="1">
      <c r="A108" s="120"/>
      <c r="B108" s="120"/>
      <c r="C108" s="144"/>
      <c r="D108" s="174"/>
      <c r="E108" s="128"/>
      <c r="F108" s="26"/>
      <c r="G108" s="128"/>
      <c r="I108" s="128"/>
      <c r="K108" s="128"/>
      <c r="M108" s="128"/>
      <c r="O108" s="128"/>
      <c r="Q108" s="128"/>
      <c r="R108" s="128"/>
      <c r="S108" s="128"/>
      <c r="T108" s="128"/>
      <c r="U108" s="128"/>
    </row>
    <row r="109" spans="1:21" ht="11.25" customHeight="1">
      <c r="A109" s="118" t="s">
        <v>2</v>
      </c>
      <c r="B109" s="120"/>
      <c r="C109" s="144">
        <v>65118</v>
      </c>
      <c r="D109" s="174"/>
      <c r="E109" s="128">
        <v>60574</v>
      </c>
      <c r="F109" s="26"/>
      <c r="G109" s="128">
        <v>16819</v>
      </c>
      <c r="I109" s="128">
        <v>14525</v>
      </c>
      <c r="K109" s="128">
        <v>24206</v>
      </c>
      <c r="M109" s="128">
        <v>27594</v>
      </c>
      <c r="O109" s="128">
        <v>33308</v>
      </c>
      <c r="Q109" s="128">
        <v>22770</v>
      </c>
      <c r="R109" s="128"/>
      <c r="S109" s="128">
        <v>27279</v>
      </c>
      <c r="T109" s="128"/>
      <c r="U109" s="128">
        <v>25157</v>
      </c>
    </row>
    <row r="110" spans="1:21" ht="11.25" customHeight="1">
      <c r="A110" s="120"/>
      <c r="B110" s="120"/>
      <c r="C110" s="144"/>
      <c r="D110" s="174"/>
      <c r="E110" s="128"/>
      <c r="F110" s="26"/>
      <c r="G110" s="128"/>
      <c r="I110" s="128"/>
      <c r="K110" s="128"/>
      <c r="M110" s="128"/>
      <c r="O110" s="128"/>
      <c r="Q110" s="128"/>
      <c r="R110" s="128"/>
      <c r="S110" s="128"/>
      <c r="T110" s="128"/>
      <c r="U110" s="128"/>
    </row>
    <row r="111" spans="1:21" ht="11.25" customHeight="1">
      <c r="A111" s="129" t="s">
        <v>54</v>
      </c>
      <c r="B111" s="120"/>
      <c r="C111" s="144">
        <v>28392</v>
      </c>
      <c r="D111" s="174"/>
      <c r="E111" s="128">
        <f>11725+12295</f>
        <v>24020</v>
      </c>
      <c r="G111" s="128">
        <v>4970</v>
      </c>
      <c r="I111" s="141" t="s">
        <v>85</v>
      </c>
      <c r="K111" s="141" t="s">
        <v>85</v>
      </c>
      <c r="M111" s="141" t="s">
        <v>85</v>
      </c>
      <c r="O111" s="141" t="s">
        <v>85</v>
      </c>
      <c r="Q111" s="141" t="s">
        <v>85</v>
      </c>
      <c r="R111" s="141"/>
      <c r="S111" s="141" t="s">
        <v>85</v>
      </c>
      <c r="T111" s="141"/>
      <c r="U111" s="141" t="s">
        <v>85</v>
      </c>
    </row>
    <row r="112" spans="1:21" ht="11.25" customHeight="1">
      <c r="A112" s="120"/>
      <c r="B112" s="120"/>
      <c r="C112" s="144"/>
      <c r="D112" s="174"/>
      <c r="E112" s="128"/>
      <c r="F112" s="26"/>
      <c r="G112" s="128"/>
      <c r="I112" s="128"/>
      <c r="K112" s="128"/>
      <c r="M112" s="128"/>
      <c r="O112" s="128"/>
      <c r="Q112" s="128"/>
      <c r="R112" s="128"/>
      <c r="S112" s="128"/>
      <c r="T112" s="128"/>
      <c r="U112" s="128"/>
    </row>
    <row r="113" spans="1:21" ht="11.25" customHeight="1">
      <c r="A113" s="118" t="s">
        <v>3</v>
      </c>
      <c r="B113" s="120"/>
      <c r="C113" s="144">
        <v>46938</v>
      </c>
      <c r="D113" s="174"/>
      <c r="E113" s="128">
        <v>45777</v>
      </c>
      <c r="F113" s="26"/>
      <c r="G113" s="128">
        <v>7105</v>
      </c>
      <c r="I113" s="128">
        <v>5943</v>
      </c>
      <c r="K113" s="128">
        <v>9438</v>
      </c>
      <c r="M113" s="128">
        <v>11071</v>
      </c>
      <c r="O113" s="128">
        <v>13268</v>
      </c>
      <c r="Q113" s="128">
        <v>14567</v>
      </c>
      <c r="R113" s="128"/>
      <c r="S113" s="128">
        <v>16451</v>
      </c>
      <c r="T113" s="128"/>
      <c r="U113" s="128">
        <v>13058</v>
      </c>
    </row>
    <row r="114" spans="1:21" ht="11.25" customHeight="1">
      <c r="A114" s="120"/>
      <c r="B114" s="120"/>
      <c r="C114" s="144"/>
      <c r="D114" s="174"/>
      <c r="E114" s="128"/>
      <c r="F114" s="26"/>
      <c r="G114" s="128"/>
      <c r="I114" s="128"/>
      <c r="K114" s="128"/>
      <c r="M114" s="128"/>
      <c r="O114" s="128"/>
      <c r="Q114" s="128"/>
      <c r="R114" s="128"/>
      <c r="S114" s="128" t="s">
        <v>10</v>
      </c>
      <c r="T114" s="128"/>
      <c r="U114" s="128"/>
    </row>
    <row r="115" spans="1:21" ht="11.25" customHeight="1">
      <c r="A115" s="118" t="s">
        <v>4</v>
      </c>
      <c r="B115" s="120"/>
      <c r="C115" s="144">
        <v>46410</v>
      </c>
      <c r="D115" s="174"/>
      <c r="E115" s="128">
        <v>39350</v>
      </c>
      <c r="F115" s="26"/>
      <c r="G115" s="128">
        <v>3734</v>
      </c>
      <c r="I115" s="128">
        <v>3389</v>
      </c>
      <c r="K115" s="128">
        <v>3423</v>
      </c>
      <c r="M115" s="128">
        <v>5071</v>
      </c>
      <c r="O115" s="128">
        <v>20507</v>
      </c>
      <c r="Q115" s="128">
        <v>24075</v>
      </c>
      <c r="R115" s="128"/>
      <c r="S115" s="128">
        <v>22063</v>
      </c>
      <c r="T115" s="128"/>
      <c r="U115" s="128">
        <v>10197</v>
      </c>
    </row>
    <row r="116" spans="1:21" ht="11.25" customHeight="1">
      <c r="A116" s="120"/>
      <c r="B116" s="120"/>
      <c r="C116" s="144"/>
      <c r="D116" s="174"/>
      <c r="E116" s="128"/>
      <c r="F116" s="26"/>
      <c r="G116" s="128"/>
      <c r="I116" s="128"/>
      <c r="K116" s="128"/>
      <c r="M116" s="128"/>
      <c r="O116" s="128"/>
      <c r="Q116" s="128"/>
      <c r="R116" s="128"/>
      <c r="S116" s="128"/>
      <c r="T116" s="128"/>
      <c r="U116" s="128"/>
    </row>
    <row r="117" spans="1:21" ht="11.25" customHeight="1">
      <c r="A117" s="118" t="s">
        <v>91</v>
      </c>
      <c r="B117" s="120"/>
      <c r="C117" s="144">
        <v>48314</v>
      </c>
      <c r="D117" s="174"/>
      <c r="E117" s="128">
        <v>44874</v>
      </c>
      <c r="F117" s="26"/>
      <c r="G117" s="128">
        <v>6705</v>
      </c>
      <c r="I117" s="128">
        <v>5869</v>
      </c>
      <c r="K117" s="128">
        <v>6342</v>
      </c>
      <c r="M117" s="128">
        <v>7455</v>
      </c>
      <c r="O117" s="128">
        <v>6257</v>
      </c>
      <c r="Q117" s="141" t="s">
        <v>85</v>
      </c>
      <c r="R117" s="141"/>
      <c r="S117" s="141" t="s">
        <v>85</v>
      </c>
      <c r="T117" s="141"/>
      <c r="U117" s="141" t="s">
        <v>85</v>
      </c>
    </row>
    <row r="118" spans="1:21" ht="11.25" customHeight="1">
      <c r="A118" s="120"/>
      <c r="B118" s="120"/>
      <c r="C118" s="144"/>
      <c r="D118" s="174"/>
      <c r="E118" s="128"/>
      <c r="F118" s="26"/>
      <c r="G118" s="128"/>
      <c r="I118" s="128"/>
      <c r="K118" s="128"/>
      <c r="M118" s="128"/>
      <c r="O118" s="128"/>
      <c r="Q118" s="128"/>
      <c r="R118" s="128"/>
      <c r="S118" s="128"/>
      <c r="T118" s="128"/>
      <c r="U118" s="128"/>
    </row>
    <row r="119" spans="1:21" ht="11.25" customHeight="1">
      <c r="A119" s="118" t="s">
        <v>5</v>
      </c>
      <c r="B119" s="120"/>
      <c r="C119" s="144">
        <v>57204</v>
      </c>
      <c r="D119" s="174"/>
      <c r="E119" s="128">
        <v>54135</v>
      </c>
      <c r="F119" s="26"/>
      <c r="G119" s="128">
        <v>2790</v>
      </c>
      <c r="I119" s="128">
        <v>1961</v>
      </c>
      <c r="K119" s="128">
        <v>1207</v>
      </c>
      <c r="M119" s="128">
        <v>2790</v>
      </c>
      <c r="O119" s="128">
        <v>4866</v>
      </c>
      <c r="Q119" s="128">
        <v>3584</v>
      </c>
      <c r="R119" s="128"/>
      <c r="S119" s="128">
        <v>3474</v>
      </c>
      <c r="T119" s="128"/>
      <c r="U119" s="128">
        <v>2655</v>
      </c>
    </row>
    <row r="120" spans="1:21" ht="11.25" customHeight="1">
      <c r="A120" s="120"/>
      <c r="B120" s="120"/>
      <c r="C120" s="144"/>
      <c r="D120" s="174"/>
      <c r="E120" s="128"/>
      <c r="F120" s="26"/>
      <c r="G120" s="128"/>
      <c r="I120" s="128"/>
      <c r="K120" s="128"/>
      <c r="M120" s="128"/>
      <c r="O120" s="128"/>
      <c r="Q120" s="128"/>
      <c r="R120" s="128"/>
      <c r="S120" s="128"/>
      <c r="T120" s="128"/>
      <c r="U120" s="128"/>
    </row>
    <row r="121" spans="1:21" ht="11.25" customHeight="1">
      <c r="A121" s="129" t="s">
        <v>6</v>
      </c>
      <c r="B121" s="120"/>
      <c r="C121" s="144">
        <v>49874</v>
      </c>
      <c r="D121" s="174"/>
      <c r="E121" s="128">
        <v>42077</v>
      </c>
      <c r="F121" s="26"/>
      <c r="G121" s="128">
        <v>8883</v>
      </c>
      <c r="I121" s="128">
        <v>8024</v>
      </c>
      <c r="K121" s="128">
        <v>8952</v>
      </c>
      <c r="M121" s="128">
        <v>14985</v>
      </c>
      <c r="O121" s="128">
        <v>13483</v>
      </c>
      <c r="Q121" s="128">
        <v>11381</v>
      </c>
      <c r="R121" s="128"/>
      <c r="S121" s="128">
        <v>12844</v>
      </c>
      <c r="T121" s="128"/>
      <c r="U121" s="128">
        <v>10628</v>
      </c>
    </row>
    <row r="122" spans="1:21" ht="11.25" customHeight="1">
      <c r="A122" s="120"/>
      <c r="B122" s="120"/>
      <c r="C122" s="144"/>
      <c r="D122" s="174"/>
      <c r="E122" s="128"/>
      <c r="F122" s="24"/>
      <c r="G122" s="128"/>
      <c r="I122" s="128"/>
      <c r="K122" s="128"/>
      <c r="M122" s="128"/>
      <c r="O122" s="128"/>
      <c r="Q122" s="128"/>
      <c r="R122" s="128"/>
      <c r="S122" s="128"/>
      <c r="T122" s="128"/>
      <c r="U122" s="128"/>
    </row>
    <row r="123" spans="1:21" ht="11.25" customHeight="1">
      <c r="A123" s="118" t="s">
        <v>24</v>
      </c>
      <c r="B123" s="120"/>
      <c r="C123" s="144">
        <v>40595</v>
      </c>
      <c r="D123" s="174"/>
      <c r="E123" s="128">
        <v>43413</v>
      </c>
      <c r="F123" s="24"/>
      <c r="G123" s="128">
        <v>5576</v>
      </c>
      <c r="I123" s="128">
        <v>5230</v>
      </c>
      <c r="K123" s="128">
        <v>4298</v>
      </c>
      <c r="M123" s="128">
        <v>10337</v>
      </c>
      <c r="O123" s="128">
        <v>11428</v>
      </c>
      <c r="Q123" s="128">
        <v>15242</v>
      </c>
      <c r="R123" s="128"/>
      <c r="S123" s="128">
        <v>14385</v>
      </c>
      <c r="T123" s="128"/>
      <c r="U123" s="128">
        <v>7715</v>
      </c>
    </row>
    <row r="124" spans="1:21" ht="11.25" customHeight="1">
      <c r="A124" s="120"/>
      <c r="B124" s="120"/>
      <c r="C124" s="144"/>
      <c r="D124" s="174"/>
      <c r="E124" s="128"/>
      <c r="F124" s="24"/>
      <c r="G124" s="128"/>
      <c r="I124" s="128"/>
      <c r="K124" s="128"/>
      <c r="M124" s="128"/>
      <c r="O124" s="128"/>
      <c r="Q124" s="128"/>
      <c r="R124" s="128"/>
      <c r="S124" s="128"/>
      <c r="T124" s="128"/>
      <c r="U124" s="128"/>
    </row>
    <row r="125" spans="1:21" ht="11.25" customHeight="1">
      <c r="A125" s="118" t="s">
        <v>7</v>
      </c>
      <c r="B125" s="120"/>
      <c r="C125" s="144">
        <v>55767</v>
      </c>
      <c r="D125" s="174"/>
      <c r="E125" s="128">
        <v>49953</v>
      </c>
      <c r="F125" s="24"/>
      <c r="G125" s="128">
        <v>3566</v>
      </c>
      <c r="I125" s="128">
        <v>3532</v>
      </c>
      <c r="K125" s="128">
        <v>4053</v>
      </c>
      <c r="M125" s="128">
        <v>16470</v>
      </c>
      <c r="O125" s="128">
        <v>17203</v>
      </c>
      <c r="Q125" s="128">
        <v>19520</v>
      </c>
      <c r="R125" s="128"/>
      <c r="S125" s="128">
        <v>18115</v>
      </c>
      <c r="T125" s="128"/>
      <c r="U125" s="128">
        <v>14487</v>
      </c>
    </row>
    <row r="126" spans="1:21" ht="11.25" customHeight="1">
      <c r="A126" s="120"/>
      <c r="B126" s="120"/>
      <c r="C126" s="144"/>
      <c r="D126" s="174"/>
      <c r="E126" s="128"/>
      <c r="F126" s="24"/>
      <c r="G126" s="128"/>
      <c r="I126" s="128"/>
      <c r="K126" s="128"/>
      <c r="M126" s="128"/>
      <c r="O126" s="128"/>
      <c r="Q126" s="128"/>
      <c r="R126" s="128"/>
      <c r="S126" s="128"/>
      <c r="T126" s="128"/>
      <c r="U126" s="128"/>
    </row>
    <row r="127" spans="1:21" ht="11.25" customHeight="1">
      <c r="A127" s="118" t="s">
        <v>8</v>
      </c>
      <c r="B127" s="120"/>
      <c r="C127" s="146">
        <v>88720</v>
      </c>
      <c r="D127" s="174"/>
      <c r="E127" s="132">
        <v>87973</v>
      </c>
      <c r="F127" s="26"/>
      <c r="G127" s="132">
        <v>15289</v>
      </c>
      <c r="I127" s="132">
        <v>15071</v>
      </c>
      <c r="K127" s="132">
        <v>15730</v>
      </c>
      <c r="M127" s="132">
        <v>17522</v>
      </c>
      <c r="O127" s="132">
        <v>22306</v>
      </c>
      <c r="Q127" s="132">
        <v>27206</v>
      </c>
      <c r="R127" s="174"/>
      <c r="S127" s="132">
        <v>25757</v>
      </c>
      <c r="T127" s="174"/>
      <c r="U127" s="132">
        <v>22268</v>
      </c>
    </row>
    <row r="128" spans="1:11" ht="11.25" customHeight="1">
      <c r="A128" s="120"/>
      <c r="B128" s="120"/>
      <c r="C128" s="126"/>
      <c r="D128" s="140"/>
      <c r="E128" s="126"/>
      <c r="F128" s="29"/>
      <c r="G128" s="126"/>
      <c r="I128" s="126"/>
      <c r="K128" s="126"/>
    </row>
    <row r="129" spans="1:21" ht="11.25" customHeight="1" thickBot="1">
      <c r="A129" s="118" t="s">
        <v>17</v>
      </c>
      <c r="B129" s="120"/>
      <c r="C129" s="169">
        <f>SUM(C103:C127)</f>
        <v>644815</v>
      </c>
      <c r="D129" s="147"/>
      <c r="E129" s="169">
        <f>SUM(E103:E127)</f>
        <v>604360</v>
      </c>
      <c r="F129" s="29"/>
      <c r="G129" s="169">
        <f>SUM(G103:G127)</f>
        <v>103257</v>
      </c>
      <c r="I129" s="169">
        <f>SUM(I103:I127)</f>
        <v>106054</v>
      </c>
      <c r="K129" s="169">
        <f>SUM(K103:K127)</f>
        <v>134337</v>
      </c>
      <c r="M129" s="169">
        <f>SUM(M103:M127)</f>
        <v>181354</v>
      </c>
      <c r="O129" s="169">
        <f>SUM(O103:O127)</f>
        <v>211809</v>
      </c>
      <c r="Q129" s="169">
        <f>SUM(Q103:Q127)</f>
        <v>196064</v>
      </c>
      <c r="R129" s="170"/>
      <c r="S129" s="169">
        <f>SUM(S103:S127)</f>
        <v>198420</v>
      </c>
      <c r="T129" s="170"/>
      <c r="U129" s="169">
        <f>SUM(U103:U127)</f>
        <v>145783</v>
      </c>
    </row>
    <row r="130" spans="1:5" ht="11.25" customHeight="1" thickTop="1">
      <c r="A130" s="120"/>
      <c r="B130" s="120"/>
      <c r="C130" s="126"/>
      <c r="D130" s="140"/>
      <c r="E130" s="126"/>
    </row>
    <row r="131" spans="1:5" ht="11.25" customHeight="1">
      <c r="A131" s="138" t="s">
        <v>75</v>
      </c>
      <c r="B131" s="120"/>
      <c r="C131" s="120"/>
      <c r="D131" s="120"/>
      <c r="E131" s="120"/>
    </row>
    <row r="132" spans="1:5" ht="11.25" customHeight="1">
      <c r="A132" s="118" t="s">
        <v>56</v>
      </c>
      <c r="B132" s="120"/>
      <c r="C132" s="120"/>
      <c r="D132" s="120"/>
      <c r="E132" s="120"/>
    </row>
    <row r="133" spans="1:5" ht="11.25" customHeight="1">
      <c r="A133" s="118" t="s">
        <v>52</v>
      </c>
      <c r="B133" s="120"/>
      <c r="C133" s="120"/>
      <c r="D133" s="120"/>
      <c r="E133" s="120"/>
    </row>
    <row r="134" spans="1:5" ht="11.25" customHeight="1">
      <c r="A134" s="118" t="s">
        <v>60</v>
      </c>
      <c r="B134" s="120"/>
      <c r="C134" s="120"/>
      <c r="D134" s="120"/>
      <c r="E134" s="120"/>
    </row>
    <row r="135" spans="1:5" ht="11.25" customHeight="1">
      <c r="A135" s="118" t="s">
        <v>57</v>
      </c>
      <c r="B135" s="120"/>
      <c r="C135" s="120"/>
      <c r="D135" s="120"/>
      <c r="E135" s="120"/>
    </row>
    <row r="136" spans="1:5" ht="11.25" customHeight="1">
      <c r="A136" s="118" t="s">
        <v>58</v>
      </c>
      <c r="B136" s="120"/>
      <c r="C136" s="120"/>
      <c r="D136" s="120"/>
      <c r="E136" s="120"/>
    </row>
    <row r="137" spans="1:5" ht="11.25" customHeight="1">
      <c r="A137" s="120" t="s">
        <v>59</v>
      </c>
      <c r="B137" s="120"/>
      <c r="C137" s="120"/>
      <c r="D137" s="120"/>
      <c r="E137" s="120"/>
    </row>
    <row r="138" spans="1:5" ht="11.25" customHeight="1">
      <c r="A138" s="55" t="s">
        <v>82</v>
      </c>
      <c r="B138" s="120"/>
      <c r="C138" s="120"/>
      <c r="D138" s="120"/>
      <c r="E138" s="120"/>
    </row>
    <row r="139" spans="1:5" ht="11.25" customHeight="1">
      <c r="A139" s="56" t="s">
        <v>87</v>
      </c>
      <c r="B139" s="120"/>
      <c r="C139" s="120"/>
      <c r="D139" s="120"/>
      <c r="E139" s="120"/>
    </row>
    <row r="140" spans="1:5" ht="11.25" customHeight="1">
      <c r="A140" s="56" t="s">
        <v>92</v>
      </c>
      <c r="B140" s="120"/>
      <c r="C140" s="120"/>
      <c r="D140" s="120"/>
      <c r="E140" s="120"/>
    </row>
    <row r="141" spans="1:5" ht="11.25" customHeight="1">
      <c r="A141" s="56"/>
      <c r="B141" s="120"/>
      <c r="C141" s="120"/>
      <c r="D141" s="120"/>
      <c r="E141" s="120"/>
    </row>
    <row r="142" spans="1:27" ht="11.25" customHeight="1">
      <c r="A142" s="118" t="s">
        <v>0</v>
      </c>
      <c r="B142" s="120"/>
      <c r="C142" s="120"/>
      <c r="D142" s="120"/>
      <c r="E142" s="120"/>
      <c r="W142" s="118" t="s">
        <v>0</v>
      </c>
      <c r="X142" s="120"/>
      <c r="Y142" s="120"/>
      <c r="Z142" s="120"/>
      <c r="AA142" s="120"/>
    </row>
    <row r="143" spans="1:27" ht="11.25" customHeight="1">
      <c r="A143" s="118" t="s">
        <v>38</v>
      </c>
      <c r="B143" s="120"/>
      <c r="C143" s="120"/>
      <c r="D143" s="120"/>
      <c r="E143" s="120"/>
      <c r="W143" s="118" t="s">
        <v>39</v>
      </c>
      <c r="X143" s="120"/>
      <c r="Y143" s="120"/>
      <c r="Z143" s="120"/>
      <c r="AA143" s="120"/>
    </row>
    <row r="144" spans="1:28" ht="11.25" customHeight="1">
      <c r="A144" s="121" t="str">
        <f>A3</f>
        <v>2000 - 2009</v>
      </c>
      <c r="B144" s="140"/>
      <c r="C144" s="140"/>
      <c r="D144" s="140"/>
      <c r="E144" s="140"/>
      <c r="F144" s="29"/>
      <c r="G144" s="29"/>
      <c r="W144" s="121" t="str">
        <f>+A97</f>
        <v>2000 - 2009</v>
      </c>
      <c r="X144" s="140"/>
      <c r="Y144" s="140"/>
      <c r="Z144" s="140"/>
      <c r="AA144" s="140"/>
      <c r="AB144" s="29"/>
    </row>
    <row r="145" spans="1:27" ht="11.25" customHeight="1">
      <c r="A145" s="118"/>
      <c r="B145" s="120"/>
      <c r="C145" s="120"/>
      <c r="D145" s="120"/>
      <c r="E145" s="120"/>
      <c r="W145" s="118"/>
      <c r="X145" s="120"/>
      <c r="Y145" s="120"/>
      <c r="Z145" s="120"/>
      <c r="AA145" s="120"/>
    </row>
    <row r="146" spans="1:27" ht="11.25" customHeight="1">
      <c r="A146" s="118"/>
      <c r="B146" s="120"/>
      <c r="C146" s="120"/>
      <c r="D146" s="120"/>
      <c r="E146" s="120"/>
      <c r="W146" s="118"/>
      <c r="X146" s="120"/>
      <c r="Y146" s="120"/>
      <c r="Z146" s="120"/>
      <c r="AA146" s="120"/>
    </row>
    <row r="147" spans="1:43" ht="11.25" customHeight="1">
      <c r="A147" s="118"/>
      <c r="B147" s="120"/>
      <c r="C147" s="124">
        <v>2000</v>
      </c>
      <c r="D147" s="173"/>
      <c r="E147" s="124">
        <v>2001</v>
      </c>
      <c r="F147" s="29"/>
      <c r="G147" s="124" t="s">
        <v>51</v>
      </c>
      <c r="I147" s="124">
        <v>2003</v>
      </c>
      <c r="K147" s="124">
        <v>2004</v>
      </c>
      <c r="M147" s="124">
        <v>2005</v>
      </c>
      <c r="O147" s="46">
        <v>2006</v>
      </c>
      <c r="P147" s="255"/>
      <c r="Q147" s="46">
        <v>2007</v>
      </c>
      <c r="R147" s="255"/>
      <c r="S147" s="46">
        <v>2008</v>
      </c>
      <c r="T147" s="255"/>
      <c r="U147" s="46">
        <v>2009</v>
      </c>
      <c r="V147" s="255"/>
      <c r="W147" s="118"/>
      <c r="X147" s="120"/>
      <c r="Y147" s="124">
        <v>2000</v>
      </c>
      <c r="Z147" s="173"/>
      <c r="AA147" s="124">
        <v>2001</v>
      </c>
      <c r="AB147" s="29"/>
      <c r="AC147" s="124" t="s">
        <v>51</v>
      </c>
      <c r="AE147" s="124">
        <v>2003</v>
      </c>
      <c r="AG147" s="124">
        <v>2004</v>
      </c>
      <c r="AI147" s="124">
        <v>2005</v>
      </c>
      <c r="AK147" s="46">
        <v>2006</v>
      </c>
      <c r="AM147" s="46">
        <v>2007</v>
      </c>
      <c r="AO147" s="46">
        <v>2008</v>
      </c>
      <c r="AQ147" s="46">
        <v>2009</v>
      </c>
    </row>
    <row r="148" spans="1:33" ht="11.25" customHeight="1">
      <c r="A148" s="118"/>
      <c r="B148" s="120"/>
      <c r="C148" s="126"/>
      <c r="D148" s="120"/>
      <c r="E148" s="126"/>
      <c r="F148" s="29"/>
      <c r="G148" s="126"/>
      <c r="I148" s="126"/>
      <c r="K148" s="126"/>
      <c r="W148" s="118"/>
      <c r="X148" s="120"/>
      <c r="Y148" s="126"/>
      <c r="Z148" s="120"/>
      <c r="AA148" s="126"/>
      <c r="AC148" s="126"/>
      <c r="AE148" s="126"/>
      <c r="AG148" s="126"/>
    </row>
    <row r="149" spans="1:43" ht="11.25" customHeight="1">
      <c r="A149" s="118" t="s">
        <v>81</v>
      </c>
      <c r="B149" s="120"/>
      <c r="C149" s="141">
        <f>C103/'INCOME STMT STATS'!C9</f>
        <v>0.16</v>
      </c>
      <c r="D149" s="128"/>
      <c r="E149" s="141">
        <f>E103/'INCOME STMT STATS'!E9</f>
        <v>0.166</v>
      </c>
      <c r="F149" s="30"/>
      <c r="G149" s="141">
        <f>G103/'INCOME STMT STATS'!G9</f>
        <v>0.036</v>
      </c>
      <c r="I149" s="141">
        <f>I103/'INCOME STMT STATS'!I9</f>
        <v>0.032</v>
      </c>
      <c r="K149" s="141">
        <f>K103/'INCOME STMT STATS'!K9</f>
        <v>0.045</v>
      </c>
      <c r="M149" s="141">
        <f>M103/'INCOME STMT STATS'!M9</f>
        <v>0.047</v>
      </c>
      <c r="O149" s="141">
        <f>O103/'INCOME STMT STATS'!O9</f>
        <v>0.036</v>
      </c>
      <c r="Q149" s="141">
        <f>Q103/'INCOME STMT STATS'!Q9</f>
        <v>0.04</v>
      </c>
      <c r="R149" s="141"/>
      <c r="S149" s="141">
        <f>S103/'INCOME STMT STATS'!S9</f>
        <v>0.07</v>
      </c>
      <c r="T149" s="141"/>
      <c r="U149" s="141">
        <f>U103/'INCOME STMT STATS'!U9</f>
        <v>0.029</v>
      </c>
      <c r="W149" s="118" t="s">
        <v>81</v>
      </c>
      <c r="X149" s="120"/>
      <c r="Y149" s="141">
        <f>C103/'INCOME STMT STATS'!C516</f>
        <v>0.141</v>
      </c>
      <c r="Z149" s="141"/>
      <c r="AA149" s="141">
        <f>E103/'INCOME STMT STATS'!E516</f>
        <v>0.146</v>
      </c>
      <c r="AB149" s="30"/>
      <c r="AC149" s="141">
        <f>G103/'INCOME STMT STATS'!G516</f>
        <v>0.027</v>
      </c>
      <c r="AE149" s="141">
        <f>I103/'INCOME STMT STATS'!I516</f>
        <v>0.025</v>
      </c>
      <c r="AG149" s="141">
        <f>K103/'INCOME STMT STATS'!K516</f>
        <v>0.035</v>
      </c>
      <c r="AI149" s="141">
        <f>M103/'INCOME STMT STATS'!M516</f>
        <v>0.035</v>
      </c>
      <c r="AK149" s="141">
        <f>O103/'INCOME STMT STATS'!O516</f>
        <v>0.026</v>
      </c>
      <c r="AM149" s="141">
        <f>Q103/'INCOME STMT STATS'!Q516</f>
        <v>0.029</v>
      </c>
      <c r="AO149" s="141">
        <f>S103/'INCOME STMT STATS'!S516</f>
        <v>0.049</v>
      </c>
      <c r="AQ149" s="141">
        <f>U103/'INCOME STMT STATS'!U516</f>
        <v>0.02</v>
      </c>
    </row>
    <row r="150" spans="1:43" ht="11.25" customHeight="1">
      <c r="A150" s="120"/>
      <c r="B150" s="120"/>
      <c r="C150" s="141"/>
      <c r="D150" s="128"/>
      <c r="E150" s="141"/>
      <c r="F150" s="18"/>
      <c r="G150" s="141"/>
      <c r="I150" s="141"/>
      <c r="K150" s="141"/>
      <c r="M150" s="141"/>
      <c r="O150" s="141"/>
      <c r="Q150" s="141"/>
      <c r="R150" s="141"/>
      <c r="S150" s="141"/>
      <c r="T150" s="141"/>
      <c r="U150" s="141"/>
      <c r="W150" s="120"/>
      <c r="X150" s="120"/>
      <c r="Y150" s="141"/>
      <c r="Z150" s="128"/>
      <c r="AA150" s="141"/>
      <c r="AB150" s="18"/>
      <c r="AC150" s="141"/>
      <c r="AE150" s="141"/>
      <c r="AG150" s="141"/>
      <c r="AI150" s="141"/>
      <c r="AK150" s="141"/>
      <c r="AM150" s="141"/>
      <c r="AO150" s="141"/>
      <c r="AQ150" s="141"/>
    </row>
    <row r="151" spans="1:43" ht="11.25" customHeight="1">
      <c r="A151" s="118" t="s">
        <v>53</v>
      </c>
      <c r="B151" s="120"/>
      <c r="C151" s="141">
        <f>C105/'INCOME STMT STATS'!C11</f>
        <v>0.109</v>
      </c>
      <c r="D151" s="141"/>
      <c r="E151" s="141">
        <f>E105/'INCOME STMT STATS'!E11</f>
        <v>0.095</v>
      </c>
      <c r="F151" s="30"/>
      <c r="G151" s="141">
        <f>G105/'INCOME STMT STATS'!G11</f>
        <v>0.033</v>
      </c>
      <c r="I151" s="141">
        <f>I105/'INCOME STMT STATS'!I11</f>
        <v>0.034</v>
      </c>
      <c r="K151" s="141">
        <f>K105/'INCOME STMT STATS'!K11</f>
        <v>0.032</v>
      </c>
      <c r="M151" s="141">
        <f>M105/'INCOME STMT STATS'!M11</f>
        <v>0.035</v>
      </c>
      <c r="O151" s="141">
        <f>O105/'INCOME STMT STATS'!O11</f>
        <v>0.032</v>
      </c>
      <c r="Q151" s="141">
        <f>Q105/'INCOME STMT STATS'!Q11</f>
        <v>0.013</v>
      </c>
      <c r="R151" s="141"/>
      <c r="S151" s="141">
        <f>S105/'INCOME STMT STATS'!S11</f>
        <v>0.013</v>
      </c>
      <c r="T151" s="141"/>
      <c r="U151" s="141">
        <f>U105/'INCOME STMT STATS'!U11</f>
        <v>0.013</v>
      </c>
      <c r="W151" s="118" t="s">
        <v>53</v>
      </c>
      <c r="X151" s="120"/>
      <c r="Y151" s="141">
        <f>C105/'INCOME STMT STATS'!C518</f>
        <v>0.098</v>
      </c>
      <c r="Z151" s="141"/>
      <c r="AA151" s="141">
        <f>E105/'INCOME STMT STATS'!E518</f>
        <v>0.085</v>
      </c>
      <c r="AB151" s="30"/>
      <c r="AC151" s="141">
        <f>G105/'INCOME STMT STATS'!G518</f>
        <v>0.027</v>
      </c>
      <c r="AE151" s="141">
        <f>I105/'INCOME STMT STATS'!I518</f>
        <v>0.028</v>
      </c>
      <c r="AG151" s="141">
        <f>K105/'INCOME STMT STATS'!K518</f>
        <v>0.025</v>
      </c>
      <c r="AI151" s="141">
        <f>M105/'INCOME STMT STATS'!M518</f>
        <v>0.028</v>
      </c>
      <c r="AK151" s="141">
        <f>O105/'INCOME STMT STATS'!O518</f>
        <v>0.025</v>
      </c>
      <c r="AM151" s="141">
        <f>Q105/'INCOME STMT STATS'!Q518</f>
        <v>0.01</v>
      </c>
      <c r="AO151" s="141">
        <f>S105/'INCOME STMT STATS'!S518</f>
        <v>0.01</v>
      </c>
      <c r="AQ151" s="141">
        <f>U105/'INCOME STMT STATS'!U518</f>
        <v>0.01</v>
      </c>
    </row>
    <row r="152" spans="1:43" ht="11.25" customHeight="1">
      <c r="A152" s="118"/>
      <c r="B152" s="120"/>
      <c r="C152" s="141"/>
      <c r="D152" s="141"/>
      <c r="E152" s="141"/>
      <c r="F152" s="30"/>
      <c r="G152" s="141"/>
      <c r="I152" s="141"/>
      <c r="K152" s="141"/>
      <c r="M152" s="141"/>
      <c r="O152" s="141"/>
      <c r="Q152" s="141"/>
      <c r="R152" s="141"/>
      <c r="S152" s="141"/>
      <c r="T152" s="141"/>
      <c r="U152" s="141"/>
      <c r="W152" s="118"/>
      <c r="X152" s="120"/>
      <c r="Y152" s="141"/>
      <c r="Z152" s="141"/>
      <c r="AA152" s="141"/>
      <c r="AB152" s="30"/>
      <c r="AC152" s="141"/>
      <c r="AE152" s="141"/>
      <c r="AG152" s="141"/>
      <c r="AI152" s="141"/>
      <c r="AK152" s="141"/>
      <c r="AM152" s="141"/>
      <c r="AO152" s="141"/>
      <c r="AQ152" s="141"/>
    </row>
    <row r="153" spans="1:43" ht="11.25" customHeight="1">
      <c r="A153" s="118" t="s">
        <v>86</v>
      </c>
      <c r="B153" s="120"/>
      <c r="C153" s="141" t="s">
        <v>85</v>
      </c>
      <c r="D153" s="141"/>
      <c r="E153" s="141" t="s">
        <v>85</v>
      </c>
      <c r="F153" s="30"/>
      <c r="G153" s="141" t="s">
        <v>85</v>
      </c>
      <c r="I153" s="141">
        <f>I107/'INCOME STMT STATS'!I13</f>
        <v>0.035</v>
      </c>
      <c r="K153" s="141">
        <f>K107/'INCOME STMT STATS'!K13</f>
        <v>0.035</v>
      </c>
      <c r="M153" s="141">
        <f>M107/'INCOME STMT STATS'!M13</f>
        <v>0.044</v>
      </c>
      <c r="O153" s="141">
        <f>O107/'INCOME STMT STATS'!O13</f>
        <v>0.046</v>
      </c>
      <c r="Q153" s="141">
        <f>Q107/'INCOME STMT STATS'!Q13</f>
        <v>0.046</v>
      </c>
      <c r="R153" s="141"/>
      <c r="S153" s="141">
        <f>S107/'INCOME STMT STATS'!S13</f>
        <v>0.043</v>
      </c>
      <c r="T153" s="141"/>
      <c r="U153" s="141">
        <f>U107/'INCOME STMT STATS'!U13</f>
        <v>0.037</v>
      </c>
      <c r="W153" s="118" t="s">
        <v>88</v>
      </c>
      <c r="X153" s="120"/>
      <c r="Y153" s="141" t="s">
        <v>85</v>
      </c>
      <c r="Z153" s="141"/>
      <c r="AA153" s="141" t="s">
        <v>85</v>
      </c>
      <c r="AB153" s="30"/>
      <c r="AC153" s="141" t="s">
        <v>85</v>
      </c>
      <c r="AE153" s="141">
        <f>I107/'INCOME STMT STATS'!I520</f>
        <v>0.028</v>
      </c>
      <c r="AG153" s="141">
        <f>K107/'INCOME STMT STATS'!K520</f>
        <v>0.028</v>
      </c>
      <c r="AI153" s="141">
        <f>M107/'INCOME STMT STATS'!M520</f>
        <v>0.035</v>
      </c>
      <c r="AK153" s="141">
        <f>O107/'INCOME STMT STATS'!O520</f>
        <v>0.037</v>
      </c>
      <c r="AM153" s="141">
        <f>Q107/'INCOME STMT STATS'!Q520</f>
        <v>0.038</v>
      </c>
      <c r="AO153" s="141">
        <f>S107/'INCOME STMT STATS'!S520</f>
        <v>0.034</v>
      </c>
      <c r="AQ153" s="141">
        <f>U107/'INCOME STMT STATS'!U520</f>
        <v>0.029</v>
      </c>
    </row>
    <row r="154" spans="1:43" ht="11.25" customHeight="1">
      <c r="A154" s="120"/>
      <c r="B154" s="120"/>
      <c r="C154" s="141"/>
      <c r="D154" s="128"/>
      <c r="E154" s="141"/>
      <c r="F154" s="18"/>
      <c r="G154" s="141"/>
      <c r="I154" s="141"/>
      <c r="K154" s="141"/>
      <c r="M154" s="141"/>
      <c r="O154" s="141"/>
      <c r="Q154" s="141"/>
      <c r="R154" s="141"/>
      <c r="S154" s="141"/>
      <c r="T154" s="141"/>
      <c r="U154" s="141"/>
      <c r="W154" s="120"/>
      <c r="X154" s="120"/>
      <c r="Y154" s="141"/>
      <c r="Z154" s="128"/>
      <c r="AA154" s="141"/>
      <c r="AB154" s="18"/>
      <c r="AC154" s="141"/>
      <c r="AE154" s="141"/>
      <c r="AG154" s="141"/>
      <c r="AI154" s="141"/>
      <c r="AK154" s="141"/>
      <c r="AM154" s="141"/>
      <c r="AO154" s="141"/>
      <c r="AQ154" s="141"/>
    </row>
    <row r="155" spans="1:43" ht="11.25" customHeight="1">
      <c r="A155" s="118" t="s">
        <v>2</v>
      </c>
      <c r="B155" s="120"/>
      <c r="C155" s="141">
        <f>C109/'INCOME STMT STATS'!C15</f>
        <v>0.125</v>
      </c>
      <c r="D155" s="141"/>
      <c r="E155" s="141">
        <f>E109/'INCOME STMT STATS'!E15</f>
        <v>0.114</v>
      </c>
      <c r="F155" s="30"/>
      <c r="G155" s="141">
        <f>G109/'INCOME STMT STATS'!G15</f>
        <v>0.033</v>
      </c>
      <c r="I155" s="141">
        <f>I109/'INCOME STMT STATS'!I15</f>
        <v>0.029</v>
      </c>
      <c r="K155" s="141">
        <f>K109/'INCOME STMT STATS'!K15</f>
        <v>0.05</v>
      </c>
      <c r="M155" s="141">
        <f>M109/'INCOME STMT STATS'!M15</f>
        <v>0.054</v>
      </c>
      <c r="O155" s="141">
        <f>O109/'INCOME STMT STATS'!O15</f>
        <v>0.063</v>
      </c>
      <c r="Q155" s="141">
        <f>Q109/'INCOME STMT STATS'!Q15</f>
        <v>0.041</v>
      </c>
      <c r="R155" s="141"/>
      <c r="S155" s="141">
        <f>S109/'INCOME STMT STATS'!S15</f>
        <v>0.053</v>
      </c>
      <c r="T155" s="141"/>
      <c r="U155" s="141">
        <f>U109/'INCOME STMT STATS'!U15</f>
        <v>0.059</v>
      </c>
      <c r="W155" s="118" t="s">
        <v>2</v>
      </c>
      <c r="X155" s="120"/>
      <c r="Y155" s="141">
        <f>C109/'INCOME STMT STATS'!C522</f>
        <v>0.11</v>
      </c>
      <c r="Z155" s="141"/>
      <c r="AA155" s="141">
        <f>E109/'INCOME STMT STATS'!E522</f>
        <v>0.099</v>
      </c>
      <c r="AB155" s="30"/>
      <c r="AC155" s="141">
        <f>G109/'INCOME STMT STATS'!G522</f>
        <v>0.026</v>
      </c>
      <c r="AE155" s="141">
        <f>I109/'INCOME STMT STATS'!I522</f>
        <v>0.023</v>
      </c>
      <c r="AG155" s="141">
        <f>K109/'INCOME STMT STATS'!K522</f>
        <v>0.04</v>
      </c>
      <c r="AI155" s="141">
        <f>M109/'INCOME STMT STATS'!M522</f>
        <v>0.043</v>
      </c>
      <c r="AK155" s="141">
        <f>O109/'INCOME STMT STATS'!O522</f>
        <v>0.05</v>
      </c>
      <c r="AM155" s="141">
        <f>Q109/'INCOME STMT STATS'!Q522</f>
        <v>0.032</v>
      </c>
      <c r="AO155" s="141">
        <f>S109/'INCOME STMT STATS'!S522</f>
        <v>0.042</v>
      </c>
      <c r="AQ155" s="141">
        <f>U109/'INCOME STMT STATS'!U522</f>
        <v>0.045</v>
      </c>
    </row>
    <row r="156" spans="1:43" ht="11.25" customHeight="1">
      <c r="A156" s="120"/>
      <c r="B156" s="120"/>
      <c r="C156" s="141"/>
      <c r="D156" s="128"/>
      <c r="E156" s="141"/>
      <c r="F156" s="18"/>
      <c r="G156" s="141"/>
      <c r="I156" s="141"/>
      <c r="K156" s="141"/>
      <c r="M156" s="141"/>
      <c r="O156" s="141"/>
      <c r="Q156" s="141"/>
      <c r="R156" s="141"/>
      <c r="S156" s="141"/>
      <c r="T156" s="141"/>
      <c r="U156" s="141"/>
      <c r="W156" s="120"/>
      <c r="X156" s="120"/>
      <c r="Y156" s="141"/>
      <c r="Z156" s="128"/>
      <c r="AA156" s="141"/>
      <c r="AB156" s="18"/>
      <c r="AC156" s="141"/>
      <c r="AE156" s="141"/>
      <c r="AG156" s="141"/>
      <c r="AI156" s="141"/>
      <c r="AK156" s="141"/>
      <c r="AM156" s="141"/>
      <c r="AO156" s="141"/>
      <c r="AQ156" s="141"/>
    </row>
    <row r="157" spans="1:43" ht="11.25" customHeight="1">
      <c r="A157" s="129" t="s">
        <v>54</v>
      </c>
      <c r="B157" s="120"/>
      <c r="C157" s="141">
        <f>C111/'INCOME STMT STATS'!C17</f>
        <v>0.163</v>
      </c>
      <c r="D157" s="141"/>
      <c r="E157" s="141">
        <f>E111/'INCOME STMT STATS'!E17</f>
        <v>0.144</v>
      </c>
      <c r="G157" s="141">
        <f>G111/'INCOME STMT STATS'!G17</f>
        <v>0.034</v>
      </c>
      <c r="I157" s="141" t="s">
        <v>85</v>
      </c>
      <c r="K157" s="141" t="s">
        <v>85</v>
      </c>
      <c r="M157" s="141" t="s">
        <v>85</v>
      </c>
      <c r="O157" s="141" t="s">
        <v>85</v>
      </c>
      <c r="Q157" s="141" t="s">
        <v>85</v>
      </c>
      <c r="R157" s="141"/>
      <c r="S157" s="141" t="s">
        <v>85</v>
      </c>
      <c r="T157" s="141"/>
      <c r="U157" s="141" t="s">
        <v>85</v>
      </c>
      <c r="W157" s="129" t="s">
        <v>54</v>
      </c>
      <c r="X157" s="120"/>
      <c r="Y157" s="141">
        <f>C111/'INCOME STMT STATS'!C524</f>
        <v>0.144</v>
      </c>
      <c r="Z157" s="141"/>
      <c r="AA157" s="141">
        <f>E111/'INCOME STMT STATS'!E524</f>
        <v>0.127</v>
      </c>
      <c r="AB157" s="30"/>
      <c r="AC157" s="141">
        <f>G111/'INCOME STMT STATS'!G524</f>
        <v>0.026</v>
      </c>
      <c r="AE157" s="141" t="s">
        <v>85</v>
      </c>
      <c r="AG157" s="141" t="s">
        <v>85</v>
      </c>
      <c r="AI157" s="141" t="s">
        <v>85</v>
      </c>
      <c r="AK157" s="141" t="s">
        <v>85</v>
      </c>
      <c r="AM157" s="141" t="s">
        <v>85</v>
      </c>
      <c r="AO157" s="141" t="s">
        <v>85</v>
      </c>
      <c r="AQ157" s="141" t="s">
        <v>85</v>
      </c>
    </row>
    <row r="158" spans="1:43" ht="11.25" customHeight="1">
      <c r="A158" s="120"/>
      <c r="B158" s="120"/>
      <c r="C158" s="141"/>
      <c r="D158" s="141"/>
      <c r="E158" s="141"/>
      <c r="F158" s="30"/>
      <c r="G158" s="141"/>
      <c r="I158" s="141"/>
      <c r="K158" s="141"/>
      <c r="M158" s="141"/>
      <c r="O158" s="141"/>
      <c r="Q158" s="141"/>
      <c r="R158" s="141"/>
      <c r="S158" s="141"/>
      <c r="T158" s="141"/>
      <c r="U158" s="141"/>
      <c r="W158" s="120"/>
      <c r="X158" s="120"/>
      <c r="Y158" s="141"/>
      <c r="Z158" s="128"/>
      <c r="AA158" s="141"/>
      <c r="AB158" s="18"/>
      <c r="AC158" s="141"/>
      <c r="AE158" s="141"/>
      <c r="AG158" s="141"/>
      <c r="AI158" s="141"/>
      <c r="AK158" s="141"/>
      <c r="AM158" s="141"/>
      <c r="AO158" s="141"/>
      <c r="AQ158" s="141"/>
    </row>
    <row r="159" spans="1:43" ht="11.25" customHeight="1">
      <c r="A159" s="118" t="s">
        <v>3</v>
      </c>
      <c r="B159" s="120"/>
      <c r="C159" s="141">
        <f>C113/'INCOME STMT STATS'!C19</f>
        <v>0.11</v>
      </c>
      <c r="D159" s="141"/>
      <c r="E159" s="141">
        <f>E113/'INCOME STMT STATS'!E19</f>
        <v>0.106</v>
      </c>
      <c r="F159" s="30"/>
      <c r="G159" s="141">
        <f>G113/'INCOME STMT STATS'!G19</f>
        <v>0.016</v>
      </c>
      <c r="I159" s="141">
        <f>I113/'INCOME STMT STATS'!I19</f>
        <v>0.014</v>
      </c>
      <c r="K159" s="141">
        <f>K113/'INCOME STMT STATS'!K19</f>
        <v>0.022</v>
      </c>
      <c r="M159" s="141">
        <f>M113/'INCOME STMT STATS'!M19</f>
        <v>0.025</v>
      </c>
      <c r="O159" s="141">
        <f>O113/'INCOME STMT STATS'!O19</f>
        <v>0.028</v>
      </c>
      <c r="Q159" s="141">
        <f>Q113/'INCOME STMT STATS'!Q19</f>
        <v>0.029</v>
      </c>
      <c r="R159" s="141"/>
      <c r="S159" s="141">
        <f>S113/'INCOME STMT STATS'!S19</f>
        <v>0.031</v>
      </c>
      <c r="T159" s="141"/>
      <c r="U159" s="141">
        <f>U113/'INCOME STMT STATS'!U19</f>
        <v>0.026</v>
      </c>
      <c r="W159" s="118" t="s">
        <v>3</v>
      </c>
      <c r="X159" s="120"/>
      <c r="Y159" s="141">
        <f>C113/'INCOME STMT STATS'!C526</f>
        <v>0.098</v>
      </c>
      <c r="Z159" s="141"/>
      <c r="AA159" s="141">
        <f>E113/'INCOME STMT STATS'!E526</f>
        <v>0.094</v>
      </c>
      <c r="AB159" s="30"/>
      <c r="AC159" s="141">
        <f>G113/'INCOME STMT STATS'!G526</f>
        <v>0.013</v>
      </c>
      <c r="AE159" s="141">
        <f>I113/'INCOME STMT STATS'!I526</f>
        <v>0.011</v>
      </c>
      <c r="AG159" s="141">
        <f>K113/'INCOME STMT STATS'!K526</f>
        <v>0.017</v>
      </c>
      <c r="AI159" s="141">
        <f>M113/'INCOME STMT STATS'!M526</f>
        <v>0.019</v>
      </c>
      <c r="AK159" s="141">
        <f>O113/'INCOME STMT STATS'!O526</f>
        <v>0.021</v>
      </c>
      <c r="AM159" s="141">
        <f>Q113/'INCOME STMT STATS'!Q526</f>
        <v>0.022</v>
      </c>
      <c r="AO159" s="141">
        <f>S113/'INCOME STMT STATS'!S526</f>
        <v>0.023</v>
      </c>
      <c r="AQ159" s="141">
        <f>U113/'INCOME STMT STATS'!U526</f>
        <v>0.02</v>
      </c>
    </row>
    <row r="160" spans="1:43" ht="11.25" customHeight="1">
      <c r="A160" s="120"/>
      <c r="B160" s="120"/>
      <c r="C160" s="141"/>
      <c r="D160" s="128"/>
      <c r="E160" s="141"/>
      <c r="F160" s="18"/>
      <c r="G160" s="141"/>
      <c r="I160" s="141"/>
      <c r="K160" s="141"/>
      <c r="M160" s="141"/>
      <c r="O160" s="141"/>
      <c r="Q160" s="141"/>
      <c r="R160" s="141"/>
      <c r="S160" s="141"/>
      <c r="T160" s="141"/>
      <c r="U160" s="141"/>
      <c r="W160" s="120"/>
      <c r="X160" s="120"/>
      <c r="Y160" s="141"/>
      <c r="Z160" s="128"/>
      <c r="AA160" s="141"/>
      <c r="AB160" s="18"/>
      <c r="AC160" s="141"/>
      <c r="AE160" s="141"/>
      <c r="AG160" s="141"/>
      <c r="AI160" s="141"/>
      <c r="AK160" s="141"/>
      <c r="AM160" s="141"/>
      <c r="AO160" s="141"/>
      <c r="AQ160" s="141"/>
    </row>
    <row r="161" spans="1:43" ht="11.25" customHeight="1">
      <c r="A161" s="118" t="s">
        <v>4</v>
      </c>
      <c r="B161" s="120"/>
      <c r="C161" s="141">
        <f>C115/'INCOME STMT STATS'!C21</f>
        <v>0.181</v>
      </c>
      <c r="D161" s="141"/>
      <c r="E161" s="141">
        <f>E115/'INCOME STMT STATS'!E21</f>
        <v>0.153</v>
      </c>
      <c r="F161" s="30"/>
      <c r="G161" s="141">
        <f>G115/'INCOME STMT STATS'!G21</f>
        <v>0.016</v>
      </c>
      <c r="I161" s="141">
        <f>I115/'INCOME STMT STATS'!I21</f>
        <v>0.016</v>
      </c>
      <c r="K161" s="141">
        <f>K115/'INCOME STMT STATS'!K21</f>
        <v>0.015</v>
      </c>
      <c r="M161" s="141">
        <f>M115/'INCOME STMT STATS'!M21</f>
        <v>0.021</v>
      </c>
      <c r="O161" s="141">
        <f>O115/'INCOME STMT STATS'!O21</f>
        <v>0.081</v>
      </c>
      <c r="Q161" s="141">
        <f>Q115/'INCOME STMT STATS'!Q21</f>
        <v>0.097</v>
      </c>
      <c r="R161" s="141"/>
      <c r="S161" s="141">
        <f>S115/'INCOME STMT STATS'!S21</f>
        <v>0.104</v>
      </c>
      <c r="T161" s="141"/>
      <c r="U161" s="141">
        <f>U115/'INCOME STMT STATS'!U21</f>
        <v>0.063</v>
      </c>
      <c r="W161" s="118" t="s">
        <v>4</v>
      </c>
      <c r="X161" s="120"/>
      <c r="Y161" s="141">
        <f>C115/'INCOME STMT STATS'!C528</f>
        <v>0.164</v>
      </c>
      <c r="Z161" s="141"/>
      <c r="AA161" s="141">
        <f>E115/'INCOME STMT STATS'!E528</f>
        <v>0.138</v>
      </c>
      <c r="AB161" s="30"/>
      <c r="AC161" s="141">
        <f>G115/'INCOME STMT STATS'!G528</f>
        <v>0.012</v>
      </c>
      <c r="AE161" s="141">
        <f>I115/'INCOME STMT STATS'!I528</f>
        <v>0.013</v>
      </c>
      <c r="AG161" s="141">
        <f>K115/'INCOME STMT STATS'!K528</f>
        <v>0.011</v>
      </c>
      <c r="AI161" s="141">
        <f>M115/'INCOME STMT STATS'!M528</f>
        <v>0.016</v>
      </c>
      <c r="AK161" s="141">
        <f>O115/'INCOME STMT STATS'!O528</f>
        <v>0.06</v>
      </c>
      <c r="AM161" s="141">
        <f>Q115/'INCOME STMT STATS'!Q528</f>
        <v>0.072</v>
      </c>
      <c r="AO161" s="141">
        <f>S115/'INCOME STMT STATS'!S528</f>
        <v>0.078</v>
      </c>
      <c r="AQ161" s="141">
        <f>U115/'INCOME STMT STATS'!U528</f>
        <v>0.044</v>
      </c>
    </row>
    <row r="162" spans="1:43" ht="11.25" customHeight="1">
      <c r="A162" s="120"/>
      <c r="B162" s="120"/>
      <c r="C162" s="141"/>
      <c r="D162" s="128"/>
      <c r="E162" s="141"/>
      <c r="F162" s="18"/>
      <c r="G162" s="141"/>
      <c r="I162" s="141"/>
      <c r="K162" s="141"/>
      <c r="M162" s="141"/>
      <c r="O162" s="141"/>
      <c r="Q162" s="141"/>
      <c r="R162" s="141"/>
      <c r="S162" s="141"/>
      <c r="T162" s="141"/>
      <c r="U162" s="141"/>
      <c r="W162" s="120"/>
      <c r="X162" s="120"/>
      <c r="Y162" s="141"/>
      <c r="Z162" s="128"/>
      <c r="AA162" s="141"/>
      <c r="AB162" s="18"/>
      <c r="AC162" s="141"/>
      <c r="AE162" s="141"/>
      <c r="AG162" s="141"/>
      <c r="AI162" s="141"/>
      <c r="AK162" s="141"/>
      <c r="AM162" s="141"/>
      <c r="AO162" s="141"/>
      <c r="AQ162" s="141"/>
    </row>
    <row r="163" spans="1:43" ht="11.25" customHeight="1">
      <c r="A163" s="118" t="s">
        <v>91</v>
      </c>
      <c r="B163" s="120"/>
      <c r="C163" s="141">
        <f>C117/'INCOME STMT STATS'!C23</f>
        <v>0.195</v>
      </c>
      <c r="D163" s="141"/>
      <c r="E163" s="141">
        <f>E117/'INCOME STMT STATS'!E23</f>
        <v>0.178</v>
      </c>
      <c r="F163" s="30"/>
      <c r="G163" s="141">
        <f>G117/'INCOME STMT STATS'!G23</f>
        <v>0.035</v>
      </c>
      <c r="I163" s="141">
        <f>I117/'INCOME STMT STATS'!I23</f>
        <v>0.034</v>
      </c>
      <c r="K163" s="141">
        <f>K117/'INCOME STMT STATS'!K23</f>
        <v>0.037</v>
      </c>
      <c r="M163" s="141">
        <f>M117/'INCOME STMT STATS'!M23</f>
        <v>0.046</v>
      </c>
      <c r="O163" s="141">
        <f>O117/'INCOME STMT STATS'!O23</f>
        <v>0.045</v>
      </c>
      <c r="Q163" s="141" t="s">
        <v>85</v>
      </c>
      <c r="R163" s="141"/>
      <c r="S163" s="141" t="s">
        <v>85</v>
      </c>
      <c r="T163" s="141"/>
      <c r="U163" s="141" t="s">
        <v>85</v>
      </c>
      <c r="W163" s="118" t="s">
        <v>91</v>
      </c>
      <c r="X163" s="120"/>
      <c r="Y163" s="141">
        <f>C117/'INCOME STMT STATS'!C530</f>
        <v>0.178</v>
      </c>
      <c r="Z163" s="141"/>
      <c r="AA163" s="141">
        <f>E117/'INCOME STMT STATS'!E530</f>
        <v>0.161</v>
      </c>
      <c r="AB163" s="30"/>
      <c r="AC163" s="141">
        <f>G117/'INCOME STMT STATS'!G530</f>
        <v>0.027</v>
      </c>
      <c r="AE163" s="141">
        <f>I117/'INCOME STMT STATS'!I530</f>
        <v>0.027</v>
      </c>
      <c r="AG163" s="141">
        <f>K117/'INCOME STMT STATS'!K530</f>
        <v>0.028</v>
      </c>
      <c r="AI163" s="141">
        <f>M117/'INCOME STMT STATS'!M530</f>
        <v>0.035</v>
      </c>
      <c r="AK163" s="141">
        <f>O117/'INCOME STMT STATS'!O530</f>
        <v>0.036</v>
      </c>
      <c r="AM163" s="141" t="s">
        <v>85</v>
      </c>
      <c r="AO163" s="141" t="s">
        <v>85</v>
      </c>
      <c r="AQ163" s="141" t="s">
        <v>85</v>
      </c>
    </row>
    <row r="164" spans="1:43" ht="11.25" customHeight="1">
      <c r="A164" s="120"/>
      <c r="B164" s="120"/>
      <c r="C164" s="141"/>
      <c r="D164" s="128"/>
      <c r="E164" s="141"/>
      <c r="F164" s="18"/>
      <c r="G164" s="141"/>
      <c r="I164" s="141"/>
      <c r="K164" s="141"/>
      <c r="M164" s="141"/>
      <c r="O164" s="141"/>
      <c r="Q164" s="141"/>
      <c r="R164" s="141"/>
      <c r="S164" s="141"/>
      <c r="T164" s="141"/>
      <c r="U164" s="141"/>
      <c r="W164" s="120"/>
      <c r="X164" s="120"/>
      <c r="Y164" s="141"/>
      <c r="Z164" s="128"/>
      <c r="AA164" s="141"/>
      <c r="AB164" s="18"/>
      <c r="AC164" s="141"/>
      <c r="AE164" s="141"/>
      <c r="AG164" s="141"/>
      <c r="AI164" s="141"/>
      <c r="AK164" s="141"/>
      <c r="AM164" s="141"/>
      <c r="AO164" s="141"/>
      <c r="AQ164" s="141"/>
    </row>
    <row r="165" spans="1:43" ht="11.25" customHeight="1">
      <c r="A165" s="118" t="s">
        <v>5</v>
      </c>
      <c r="B165" s="120"/>
      <c r="C165" s="141">
        <f>C119/'INCOME STMT STATS'!C25</f>
        <v>0.157</v>
      </c>
      <c r="D165" s="141"/>
      <c r="E165" s="141">
        <f>E119/'INCOME STMT STATS'!E25</f>
        <v>0.147</v>
      </c>
      <c r="F165" s="30"/>
      <c r="G165" s="141">
        <f>G119/'INCOME STMT STATS'!G25</f>
        <v>0.008</v>
      </c>
      <c r="I165" s="141">
        <f>I119/'INCOME STMT STATS'!I25</f>
        <v>0.006</v>
      </c>
      <c r="K165" s="141">
        <f>K119/'INCOME STMT STATS'!K25</f>
        <v>0.003</v>
      </c>
      <c r="M165" s="141">
        <f>M119/'INCOME STMT STATS'!M25</f>
        <v>0.007</v>
      </c>
      <c r="O165" s="141">
        <f>O119/'INCOME STMT STATS'!O25</f>
        <v>0.012</v>
      </c>
      <c r="Q165" s="141">
        <f>Q119/'INCOME STMT STATS'!Q25</f>
        <v>0.01</v>
      </c>
      <c r="R165" s="141"/>
      <c r="S165" s="141">
        <f>S119/'INCOME STMT STATS'!S25</f>
        <v>0.01</v>
      </c>
      <c r="T165" s="141"/>
      <c r="U165" s="141">
        <f>U119/'INCOME STMT STATS'!U25</f>
        <v>0.009</v>
      </c>
      <c r="W165" s="118" t="s">
        <v>5</v>
      </c>
      <c r="X165" s="120"/>
      <c r="Y165" s="141">
        <f>C119/'INCOME STMT STATS'!C532</f>
        <v>0.141</v>
      </c>
      <c r="Z165" s="141"/>
      <c r="AA165" s="141">
        <f>E119/'INCOME STMT STATS'!E532</f>
        <v>0.131</v>
      </c>
      <c r="AB165" s="30"/>
      <c r="AC165" s="141">
        <f>G119/'INCOME STMT STATS'!G532</f>
        <v>0.006</v>
      </c>
      <c r="AE165" s="141">
        <f>I119/'INCOME STMT STATS'!I532</f>
        <v>0.004</v>
      </c>
      <c r="AG165" s="141">
        <f>K119/'INCOME STMT STATS'!K532</f>
        <v>0.003</v>
      </c>
      <c r="AI165" s="141">
        <f>M119/'INCOME STMT STATS'!M532</f>
        <v>0.005</v>
      </c>
      <c r="AK165" s="141">
        <f>O119/'INCOME STMT STATS'!O532</f>
        <v>0.009</v>
      </c>
      <c r="AM165" s="141">
        <f>Q119/'INCOME STMT STATS'!Q532</f>
        <v>0.007</v>
      </c>
      <c r="AO165" s="141">
        <f>S119/'INCOME STMT STATS'!S532</f>
        <v>0.008</v>
      </c>
      <c r="AQ165" s="141">
        <f>U119/'INCOME STMT STATS'!U532</f>
        <v>0.006</v>
      </c>
    </row>
    <row r="166" spans="1:43" ht="11.25" customHeight="1">
      <c r="A166" s="120"/>
      <c r="B166" s="120"/>
      <c r="C166" s="141"/>
      <c r="D166" s="128"/>
      <c r="E166" s="141"/>
      <c r="F166" s="18"/>
      <c r="G166" s="141"/>
      <c r="I166" s="141"/>
      <c r="K166" s="141"/>
      <c r="M166" s="141"/>
      <c r="O166" s="141"/>
      <c r="Q166" s="141"/>
      <c r="R166" s="141"/>
      <c r="S166" s="141"/>
      <c r="T166" s="141"/>
      <c r="U166" s="141"/>
      <c r="W166" s="120"/>
      <c r="X166" s="120"/>
      <c r="Y166" s="141"/>
      <c r="Z166" s="128"/>
      <c r="AA166" s="141"/>
      <c r="AB166" s="18"/>
      <c r="AC166" s="141"/>
      <c r="AE166" s="141"/>
      <c r="AG166" s="141"/>
      <c r="AI166" s="141"/>
      <c r="AK166" s="141"/>
      <c r="AM166" s="141"/>
      <c r="AO166" s="141"/>
      <c r="AQ166" s="141"/>
    </row>
    <row r="167" spans="1:43" ht="11.25" customHeight="1">
      <c r="A167" s="129" t="s">
        <v>6</v>
      </c>
      <c r="B167" s="120"/>
      <c r="C167" s="141">
        <f>C121/'INCOME STMT STATS'!C27</f>
        <v>0.106</v>
      </c>
      <c r="D167" s="141"/>
      <c r="E167" s="141">
        <f>E121/'INCOME STMT STATS'!E27</f>
        <v>0.092</v>
      </c>
      <c r="F167" s="30"/>
      <c r="G167" s="141">
        <f>G121/'INCOME STMT STATS'!G27</f>
        <v>0.021</v>
      </c>
      <c r="I167" s="141">
        <f>I121/'INCOME STMT STATS'!I27</f>
        <v>0.02</v>
      </c>
      <c r="K167" s="141">
        <f>K121/'INCOME STMT STATS'!K27</f>
        <v>0.023</v>
      </c>
      <c r="M167" s="141">
        <f>M121/'INCOME STMT STATS'!M27</f>
        <v>0.031</v>
      </c>
      <c r="O167" s="141">
        <f>O121/'INCOME STMT STATS'!O27</f>
        <v>0.028</v>
      </c>
      <c r="Q167" s="141">
        <f>Q121/'INCOME STMT STATS'!Q27</f>
        <v>0.026</v>
      </c>
      <c r="R167" s="141"/>
      <c r="S167" s="141">
        <f>S121/'INCOME STMT STATS'!S27</f>
        <v>0.035</v>
      </c>
      <c r="T167" s="141"/>
      <c r="U167" s="141">
        <f>U121/'INCOME STMT STATS'!U27</f>
        <v>0.033</v>
      </c>
      <c r="W167" s="129" t="s">
        <v>6</v>
      </c>
      <c r="X167" s="120"/>
      <c r="Y167" s="141">
        <f>C121/'INCOME STMT STATS'!C534</f>
        <v>0.094</v>
      </c>
      <c r="Z167" s="141"/>
      <c r="AA167" s="141">
        <f>E121/'INCOME STMT STATS'!E534</f>
        <v>0.081</v>
      </c>
      <c r="AB167" s="30"/>
      <c r="AC167" s="141">
        <f>G121/'INCOME STMT STATS'!G534</f>
        <v>0.017</v>
      </c>
      <c r="AE167" s="141">
        <f>I121/'INCOME STMT STATS'!I534</f>
        <v>0.017</v>
      </c>
      <c r="AG167" s="141">
        <f>K121/'INCOME STMT STATS'!K534</f>
        <v>0.019</v>
      </c>
      <c r="AI167" s="141">
        <f>M121/'INCOME STMT STATS'!M534</f>
        <v>0.025</v>
      </c>
      <c r="AK167" s="141">
        <f>O121/'INCOME STMT STATS'!O534</f>
        <v>0.022</v>
      </c>
      <c r="AM167" s="141">
        <f>Q121/'INCOME STMT STATS'!Q534</f>
        <v>0.021</v>
      </c>
      <c r="AO167" s="141">
        <f>S121/'INCOME STMT STATS'!S534</f>
        <v>0.026</v>
      </c>
      <c r="AQ167" s="141">
        <f>U121/'INCOME STMT STATS'!U534</f>
        <v>0.024</v>
      </c>
    </row>
    <row r="168" spans="1:43" ht="11.25" customHeight="1">
      <c r="A168" s="118"/>
      <c r="B168" s="120"/>
      <c r="C168" s="141"/>
      <c r="D168" s="128"/>
      <c r="E168" s="141"/>
      <c r="F168" s="18"/>
      <c r="G168" s="141"/>
      <c r="I168" s="141"/>
      <c r="K168" s="141"/>
      <c r="M168" s="141"/>
      <c r="O168" s="141"/>
      <c r="Q168" s="141"/>
      <c r="R168" s="141"/>
      <c r="S168" s="141"/>
      <c r="T168" s="141"/>
      <c r="U168" s="141"/>
      <c r="W168" s="118"/>
      <c r="X168" s="120"/>
      <c r="Y168" s="141"/>
      <c r="Z168" s="128"/>
      <c r="AA168" s="141"/>
      <c r="AB168" s="18"/>
      <c r="AC168" s="141"/>
      <c r="AE168" s="141"/>
      <c r="AG168" s="141"/>
      <c r="AI168" s="141"/>
      <c r="AK168" s="141"/>
      <c r="AM168" s="141"/>
      <c r="AO168" s="141"/>
      <c r="AQ168" s="141"/>
    </row>
    <row r="169" spans="1:43" ht="11.25" customHeight="1">
      <c r="A169" s="118" t="s">
        <v>24</v>
      </c>
      <c r="B169" s="120"/>
      <c r="C169" s="141">
        <f>C123/'INCOME STMT STATS'!C29</f>
        <v>0.139</v>
      </c>
      <c r="D169" s="141"/>
      <c r="E169" s="141">
        <f>E123/'INCOME STMT STATS'!E29</f>
        <v>0.149</v>
      </c>
      <c r="F169" s="30"/>
      <c r="G169" s="141">
        <f>G123/'INCOME STMT STATS'!G29</f>
        <v>0.021</v>
      </c>
      <c r="I169" s="141">
        <f>I123/'INCOME STMT STATS'!I29</f>
        <v>0.021</v>
      </c>
      <c r="K169" s="141">
        <f>K123/'INCOME STMT STATS'!K29</f>
        <v>0.017</v>
      </c>
      <c r="M169" s="141">
        <f>M123/'INCOME STMT STATS'!M29</f>
        <v>0.043</v>
      </c>
      <c r="O169" s="141">
        <f>O123/'INCOME STMT STATS'!O29</f>
        <v>0.047</v>
      </c>
      <c r="Q169" s="141">
        <f>Q123/'INCOME STMT STATS'!Q29</f>
        <v>0.066</v>
      </c>
      <c r="R169" s="141"/>
      <c r="S169" s="141">
        <f>S123/'INCOME STMT STATS'!S29</f>
        <v>0.074</v>
      </c>
      <c r="T169" s="141"/>
      <c r="U169" s="141">
        <f>U123/'INCOME STMT STATS'!U29</f>
        <v>0.05</v>
      </c>
      <c r="W169" s="118" t="s">
        <v>24</v>
      </c>
      <c r="X169" s="120"/>
      <c r="Y169" s="141">
        <f>C123/'INCOME STMT STATS'!C536</f>
        <v>0.123</v>
      </c>
      <c r="Z169" s="141"/>
      <c r="AA169" s="141">
        <f>E123/'INCOME STMT STATS'!E536</f>
        <v>0.133</v>
      </c>
      <c r="AB169" s="30"/>
      <c r="AC169" s="141">
        <f>G123/'INCOME STMT STATS'!G536</f>
        <v>0.016</v>
      </c>
      <c r="AE169" s="141">
        <f>I123/'INCOME STMT STATS'!I536</f>
        <v>0.016</v>
      </c>
      <c r="AG169" s="141">
        <f>K123/'INCOME STMT STATS'!K536</f>
        <v>0.013</v>
      </c>
      <c r="AI169" s="141">
        <f>M123/'INCOME STMT STATS'!M536</f>
        <v>0.034</v>
      </c>
      <c r="AK169" s="141">
        <f>O123/'INCOME STMT STATS'!O536</f>
        <v>0.036</v>
      </c>
      <c r="AM169" s="141">
        <f>Q123/'INCOME STMT STATS'!Q536</f>
        <v>0.05</v>
      </c>
      <c r="AO169" s="141">
        <f>S123/'INCOME STMT STATS'!S536</f>
        <v>0.056</v>
      </c>
      <c r="AQ169" s="141">
        <f>U123/'INCOME STMT STATS'!U536</f>
        <v>0.038</v>
      </c>
    </row>
    <row r="170" spans="1:43" ht="11.25" customHeight="1">
      <c r="A170" s="118"/>
      <c r="B170" s="120"/>
      <c r="C170" s="141"/>
      <c r="D170" s="128"/>
      <c r="E170" s="141"/>
      <c r="F170" s="18"/>
      <c r="G170" s="141"/>
      <c r="I170" s="141"/>
      <c r="K170" s="141"/>
      <c r="M170" s="141"/>
      <c r="O170" s="141"/>
      <c r="Q170" s="141"/>
      <c r="R170" s="141"/>
      <c r="S170" s="141"/>
      <c r="T170" s="141"/>
      <c r="U170" s="141"/>
      <c r="W170" s="118"/>
      <c r="X170" s="120"/>
      <c r="Y170" s="141"/>
      <c r="Z170" s="128"/>
      <c r="AA170" s="141"/>
      <c r="AB170" s="18"/>
      <c r="AC170" s="141"/>
      <c r="AE170" s="141"/>
      <c r="AG170" s="141"/>
      <c r="AI170" s="141"/>
      <c r="AK170" s="141"/>
      <c r="AM170" s="141"/>
      <c r="AO170" s="141"/>
      <c r="AQ170" s="141"/>
    </row>
    <row r="171" spans="1:43" ht="11.25" customHeight="1">
      <c r="A171" s="118" t="s">
        <v>7</v>
      </c>
      <c r="B171" s="120"/>
      <c r="C171" s="141">
        <f>C125/'INCOME STMT STATS'!C31</f>
        <v>0.161</v>
      </c>
      <c r="D171" s="141"/>
      <c r="E171" s="141">
        <f>E125/'INCOME STMT STATS'!E31</f>
        <v>0.144</v>
      </c>
      <c r="F171" s="30"/>
      <c r="G171" s="141">
        <f>G125/'INCOME STMT STATS'!G31</f>
        <v>0.011</v>
      </c>
      <c r="I171" s="141">
        <f>I125/'INCOME STMT STATS'!I31</f>
        <v>0.012</v>
      </c>
      <c r="K171" s="141">
        <f>K125/'INCOME STMT STATS'!K31</f>
        <v>0.014</v>
      </c>
      <c r="M171" s="141">
        <f>M125/'INCOME STMT STATS'!M31</f>
        <v>0.06</v>
      </c>
      <c r="O171" s="141">
        <f>O125/'INCOME STMT STATS'!O31</f>
        <v>0.062</v>
      </c>
      <c r="Q171" s="141">
        <f>Q125/'INCOME STMT STATS'!Q31</f>
        <v>0.073</v>
      </c>
      <c r="R171" s="141"/>
      <c r="S171" s="141">
        <f>S125/'INCOME STMT STATS'!S31</f>
        <v>0.072</v>
      </c>
      <c r="T171" s="141"/>
      <c r="U171" s="141">
        <f>U125/'INCOME STMT STATS'!U31</f>
        <v>0.074</v>
      </c>
      <c r="W171" s="118" t="s">
        <v>7</v>
      </c>
      <c r="X171" s="120"/>
      <c r="Y171" s="141">
        <f>C125/'INCOME STMT STATS'!C538</f>
        <v>0.141</v>
      </c>
      <c r="Z171" s="141"/>
      <c r="AA171" s="141">
        <f>E125/'INCOME STMT STATS'!E538</f>
        <v>0.126</v>
      </c>
      <c r="AB171" s="30"/>
      <c r="AC171" s="141">
        <f>G125/'INCOME STMT STATS'!G538</f>
        <v>0.009</v>
      </c>
      <c r="AE171" s="141">
        <f>I125/'INCOME STMT STATS'!I538</f>
        <v>0.009</v>
      </c>
      <c r="AG171" s="141">
        <f>K125/'INCOME STMT STATS'!K538</f>
        <v>0.01</v>
      </c>
      <c r="AI171" s="141">
        <f>M125/'INCOME STMT STATS'!M538</f>
        <v>0.044</v>
      </c>
      <c r="AK171" s="141">
        <f>O125/'INCOME STMT STATS'!O538</f>
        <v>0.047</v>
      </c>
      <c r="AM171" s="141">
        <f>Q125/'INCOME STMT STATS'!Q538</f>
        <v>0.057</v>
      </c>
      <c r="AO171" s="141">
        <f>S125/'INCOME STMT STATS'!S538</f>
        <v>0.056</v>
      </c>
      <c r="AQ171" s="141">
        <f>U125/'INCOME STMT STATS'!U538</f>
        <v>0.057</v>
      </c>
    </row>
    <row r="172" spans="1:43" ht="11.25" customHeight="1">
      <c r="A172" s="118"/>
      <c r="B172" s="120"/>
      <c r="C172" s="141"/>
      <c r="D172" s="174"/>
      <c r="E172" s="141"/>
      <c r="F172" s="24"/>
      <c r="G172" s="141"/>
      <c r="I172" s="141"/>
      <c r="K172" s="141"/>
      <c r="M172" s="141"/>
      <c r="O172" s="141"/>
      <c r="Q172" s="141"/>
      <c r="R172" s="141"/>
      <c r="S172" s="141"/>
      <c r="T172" s="141"/>
      <c r="U172" s="141"/>
      <c r="W172" s="118"/>
      <c r="X172" s="120"/>
      <c r="Y172" s="141"/>
      <c r="Z172" s="174"/>
      <c r="AA172" s="141"/>
      <c r="AB172" s="24"/>
      <c r="AC172" s="141"/>
      <c r="AD172" s="29"/>
      <c r="AE172" s="141"/>
      <c r="AF172" s="29"/>
      <c r="AG172" s="141"/>
      <c r="AH172" s="29"/>
      <c r="AI172" s="141"/>
      <c r="AJ172" s="29"/>
      <c r="AK172" s="141"/>
      <c r="AL172" s="29"/>
      <c r="AM172" s="141"/>
      <c r="AN172" s="29"/>
      <c r="AO172" s="141"/>
      <c r="AP172" s="29"/>
      <c r="AQ172" s="141"/>
    </row>
    <row r="173" spans="1:43" ht="11.25" customHeight="1">
      <c r="A173" s="130" t="s">
        <v>8</v>
      </c>
      <c r="B173" s="140"/>
      <c r="C173" s="141">
        <f>C127/'INCOME STMT STATS'!C33</f>
        <v>0.151</v>
      </c>
      <c r="D173" s="141"/>
      <c r="E173" s="141">
        <f>E127/'INCOME STMT STATS'!E33</f>
        <v>0.154</v>
      </c>
      <c r="F173" s="30"/>
      <c r="G173" s="141">
        <f>G127/'INCOME STMT STATS'!G33</f>
        <v>0.03</v>
      </c>
      <c r="I173" s="141">
        <f>I127/'INCOME STMT STATS'!I33</f>
        <v>0.031</v>
      </c>
      <c r="K173" s="141">
        <f>K127/'INCOME STMT STATS'!K33</f>
        <v>0.033</v>
      </c>
      <c r="M173" s="141">
        <f>M127/'INCOME STMT STATS'!M33</f>
        <v>0.037</v>
      </c>
      <c r="O173" s="141">
        <f>O127/'INCOME STMT STATS'!O33</f>
        <v>0.044</v>
      </c>
      <c r="Q173" s="141">
        <f>Q127/'INCOME STMT STATS'!Q33</f>
        <v>0.056</v>
      </c>
      <c r="R173" s="141"/>
      <c r="S173" s="141">
        <f>S127/'INCOME STMT STATS'!S33</f>
        <v>0.056</v>
      </c>
      <c r="T173" s="141"/>
      <c r="U173" s="141">
        <f>U127/'INCOME STMT STATS'!U33</f>
        <v>0.051</v>
      </c>
      <c r="W173" s="130" t="s">
        <v>8</v>
      </c>
      <c r="X173" s="140"/>
      <c r="Y173" s="141">
        <f>C127/'INCOME STMT STATS'!C540</f>
        <v>0.136</v>
      </c>
      <c r="Z173" s="141"/>
      <c r="AA173" s="141">
        <f>E127/'INCOME STMT STATS'!E540</f>
        <v>0.139</v>
      </c>
      <c r="AB173" s="30"/>
      <c r="AC173" s="141">
        <f>G127/'INCOME STMT STATS'!G540</f>
        <v>0.024</v>
      </c>
      <c r="AD173" s="29"/>
      <c r="AE173" s="141">
        <f>I127/'INCOME STMT STATS'!I540</f>
        <v>0.024</v>
      </c>
      <c r="AF173" s="29"/>
      <c r="AG173" s="141">
        <f>K127/'INCOME STMT STATS'!K540</f>
        <v>0.026</v>
      </c>
      <c r="AH173" s="29"/>
      <c r="AI173" s="141">
        <f>M127/'INCOME STMT STATS'!M540</f>
        <v>0.028</v>
      </c>
      <c r="AJ173" s="29"/>
      <c r="AK173" s="141">
        <f>O127/'INCOME STMT STATS'!O540</f>
        <v>0.035</v>
      </c>
      <c r="AL173" s="29"/>
      <c r="AM173" s="141">
        <f>Q127/'INCOME STMT STATS'!Q540</f>
        <v>0.044</v>
      </c>
      <c r="AN173" s="29"/>
      <c r="AO173" s="141">
        <f>S127/'INCOME STMT STATS'!S540</f>
        <v>0.043</v>
      </c>
      <c r="AP173" s="29"/>
      <c r="AQ173" s="141">
        <f>U127/'INCOME STMT STATS'!U540</f>
        <v>0.039</v>
      </c>
    </row>
    <row r="174" spans="1:43" ht="11.25" customHeight="1">
      <c r="A174" s="130"/>
      <c r="B174" s="140"/>
      <c r="C174" s="141"/>
      <c r="D174" s="142"/>
      <c r="E174" s="141"/>
      <c r="F174" s="26"/>
      <c r="G174" s="141"/>
      <c r="I174" s="141"/>
      <c r="K174" s="141"/>
      <c r="M174" s="141"/>
      <c r="O174" s="141"/>
      <c r="Q174" s="141"/>
      <c r="R174" s="141"/>
      <c r="S174" s="141"/>
      <c r="T174" s="141"/>
      <c r="U174" s="141"/>
      <c r="W174" s="130"/>
      <c r="X174" s="140"/>
      <c r="Y174" s="141"/>
      <c r="Z174" s="142"/>
      <c r="AA174" s="141"/>
      <c r="AB174" s="26"/>
      <c r="AC174" s="141"/>
      <c r="AD174" s="29"/>
      <c r="AE174" s="141"/>
      <c r="AF174" s="29"/>
      <c r="AG174" s="141"/>
      <c r="AH174" s="29"/>
      <c r="AI174" s="141"/>
      <c r="AJ174" s="29"/>
      <c r="AK174" s="141"/>
      <c r="AL174" s="29"/>
      <c r="AM174" s="141"/>
      <c r="AN174" s="29"/>
      <c r="AO174" s="141"/>
      <c r="AP174" s="29"/>
      <c r="AQ174" s="141"/>
    </row>
    <row r="175" spans="1:43" ht="11.25" customHeight="1">
      <c r="A175" s="130" t="s">
        <v>17</v>
      </c>
      <c r="B175" s="140"/>
      <c r="C175" s="141">
        <f>C129/'INCOME STMT STATS'!C35</f>
        <v>0.14</v>
      </c>
      <c r="D175" s="141"/>
      <c r="E175" s="141">
        <f>E129/'INCOME STMT STATS'!E35</f>
        <v>0.132</v>
      </c>
      <c r="F175" s="30"/>
      <c r="G175" s="141">
        <f>G129/'INCOME STMT STATS'!G35</f>
        <v>0.025</v>
      </c>
      <c r="I175" s="141">
        <f>I129/'INCOME STMT STATS'!I35</f>
        <v>0.024</v>
      </c>
      <c r="K175" s="141">
        <f>K129/'INCOME STMT STATS'!K35</f>
        <v>0.029</v>
      </c>
      <c r="M175" s="141">
        <f>M129/'INCOME STMT STATS'!M35</f>
        <v>0.037</v>
      </c>
      <c r="O175" s="141">
        <f>O129/'INCOME STMT STATS'!O35</f>
        <v>0.042</v>
      </c>
      <c r="Q175" s="141">
        <f>Q129/'INCOME STMT STATS'!Q35</f>
        <v>0.041</v>
      </c>
      <c r="R175" s="141"/>
      <c r="S175" s="141">
        <f>S129/'INCOME STMT STATS'!S35</f>
        <v>0.044</v>
      </c>
      <c r="T175" s="141"/>
      <c r="U175" s="141">
        <f>U129/'INCOME STMT STATS'!U35</f>
        <v>0.038</v>
      </c>
      <c r="W175" s="130" t="s">
        <v>17</v>
      </c>
      <c r="X175" s="140"/>
      <c r="Y175" s="141">
        <f>C129/'INCOME STMT STATS'!C542</f>
        <v>0.125</v>
      </c>
      <c r="Z175" s="141"/>
      <c r="AA175" s="141">
        <f>E129/'INCOME STMT STATS'!E542</f>
        <v>0.117</v>
      </c>
      <c r="AB175" s="30"/>
      <c r="AC175" s="141">
        <f>G129/'INCOME STMT STATS'!G542</f>
        <v>0.019</v>
      </c>
      <c r="AD175" s="29"/>
      <c r="AE175" s="141">
        <f>I129/'INCOME STMT STATS'!I542</f>
        <v>0.019</v>
      </c>
      <c r="AF175" s="29"/>
      <c r="AG175" s="141">
        <f>K129/'INCOME STMT STATS'!K542</f>
        <v>0.023</v>
      </c>
      <c r="AH175" s="29"/>
      <c r="AI175" s="141">
        <f>M129/'INCOME STMT STATS'!M542</f>
        <v>0.029</v>
      </c>
      <c r="AJ175" s="29"/>
      <c r="AK175" s="141">
        <f>O129/'INCOME STMT STATS'!O542</f>
        <v>0.032</v>
      </c>
      <c r="AL175" s="29"/>
      <c r="AM175" s="141">
        <f>Q129/'INCOME STMT STATS'!Q542</f>
        <v>0.031</v>
      </c>
      <c r="AN175" s="29"/>
      <c r="AO175" s="141">
        <f>S129/'INCOME STMT STATS'!S542</f>
        <v>0.034</v>
      </c>
      <c r="AP175" s="29"/>
      <c r="AQ175" s="141">
        <f>U129/'INCOME STMT STATS'!U542</f>
        <v>0.028</v>
      </c>
    </row>
    <row r="176" spans="1:45" ht="11.25" customHeight="1">
      <c r="A176" s="118"/>
      <c r="B176" s="120"/>
      <c r="C176" s="141"/>
      <c r="D176" s="141"/>
      <c r="E176" s="141"/>
      <c r="F176" s="30"/>
      <c r="G176" s="29"/>
      <c r="H176" s="29"/>
      <c r="I176" s="29"/>
      <c r="J176" s="29"/>
      <c r="K176" s="29"/>
      <c r="W176" s="140"/>
      <c r="X176" s="140"/>
      <c r="Y176" s="140"/>
      <c r="Z176" s="140"/>
      <c r="AA176" s="140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</row>
    <row r="177" spans="1:45" ht="11.25" customHeight="1">
      <c r="A177" s="138" t="s">
        <v>75</v>
      </c>
      <c r="B177" s="120"/>
      <c r="C177" s="140"/>
      <c r="D177" s="140"/>
      <c r="E177" s="140"/>
      <c r="F177" s="29"/>
      <c r="G177" s="29"/>
      <c r="H177" s="29"/>
      <c r="I177" s="29"/>
      <c r="J177" s="29"/>
      <c r="K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</row>
    <row r="178" spans="1:23" ht="11.25" customHeight="1">
      <c r="A178" s="118" t="s">
        <v>56</v>
      </c>
      <c r="B178" s="120"/>
      <c r="C178" s="120"/>
      <c r="D178" s="120"/>
      <c r="E178" s="120"/>
      <c r="W178" s="138" t="s">
        <v>75</v>
      </c>
    </row>
    <row r="179" spans="1:23" ht="11.25" customHeight="1">
      <c r="A179" s="118" t="s">
        <v>52</v>
      </c>
      <c r="B179" s="120"/>
      <c r="C179" s="120"/>
      <c r="D179" s="120"/>
      <c r="E179" s="120"/>
      <c r="W179" s="118" t="s">
        <v>56</v>
      </c>
    </row>
    <row r="180" spans="1:23" ht="11.25" customHeight="1">
      <c r="A180" s="118" t="s">
        <v>60</v>
      </c>
      <c r="B180" s="120"/>
      <c r="C180" s="120"/>
      <c r="D180" s="120"/>
      <c r="E180" s="120"/>
      <c r="W180" s="118" t="s">
        <v>52</v>
      </c>
    </row>
    <row r="181" spans="1:23" ht="11.25" customHeight="1">
      <c r="A181" s="118" t="s">
        <v>57</v>
      </c>
      <c r="B181" s="120"/>
      <c r="C181" s="120"/>
      <c r="D181" s="120"/>
      <c r="E181" s="120"/>
      <c r="W181" s="118" t="s">
        <v>60</v>
      </c>
    </row>
    <row r="182" spans="1:23" ht="11.25" customHeight="1">
      <c r="A182" s="118" t="s">
        <v>58</v>
      </c>
      <c r="B182" s="120"/>
      <c r="C182" s="120"/>
      <c r="D182" s="120"/>
      <c r="E182" s="120"/>
      <c r="W182" s="118" t="s">
        <v>57</v>
      </c>
    </row>
    <row r="183" spans="1:23" ht="11.25" customHeight="1">
      <c r="A183" s="120" t="s">
        <v>59</v>
      </c>
      <c r="B183" s="120"/>
      <c r="C183" s="120"/>
      <c r="D183" s="120"/>
      <c r="E183" s="120"/>
      <c r="W183" s="118" t="s">
        <v>58</v>
      </c>
    </row>
    <row r="184" spans="1:23" ht="11.25" customHeight="1">
      <c r="A184" s="55" t="s">
        <v>82</v>
      </c>
      <c r="B184" s="120"/>
      <c r="C184" s="120"/>
      <c r="D184" s="120"/>
      <c r="E184" s="120"/>
      <c r="W184" s="120" t="s">
        <v>59</v>
      </c>
    </row>
    <row r="185" spans="1:23" ht="11.25" customHeight="1">
      <c r="A185" s="56" t="s">
        <v>87</v>
      </c>
      <c r="B185" s="120"/>
      <c r="C185" s="120"/>
      <c r="D185" s="120"/>
      <c r="E185" s="120"/>
      <c r="W185" s="55" t="s">
        <v>82</v>
      </c>
    </row>
    <row r="186" spans="1:23" ht="11.25" customHeight="1">
      <c r="A186" s="56" t="s">
        <v>92</v>
      </c>
      <c r="B186" s="120"/>
      <c r="C186" s="120"/>
      <c r="D186" s="120"/>
      <c r="E186" s="120"/>
      <c r="L186" s="118"/>
      <c r="W186" s="56" t="s">
        <v>87</v>
      </c>
    </row>
    <row r="187" spans="1:23" ht="11.25" customHeight="1">
      <c r="A187" s="56"/>
      <c r="B187" s="120"/>
      <c r="C187" s="120"/>
      <c r="D187" s="120"/>
      <c r="E187" s="120"/>
      <c r="L187" s="118"/>
      <c r="W187" s="56" t="s">
        <v>92</v>
      </c>
    </row>
    <row r="188" spans="1:5" ht="11.25" customHeight="1">
      <c r="A188" s="118" t="s">
        <v>0</v>
      </c>
      <c r="B188" s="120"/>
      <c r="C188" s="120"/>
      <c r="D188" s="120"/>
      <c r="E188" s="120"/>
    </row>
    <row r="189" spans="1:5" ht="11.25" customHeight="1">
      <c r="A189" s="118" t="s">
        <v>40</v>
      </c>
      <c r="B189" s="120"/>
      <c r="C189" s="120"/>
      <c r="D189" s="120"/>
      <c r="E189" s="120"/>
    </row>
    <row r="190" spans="1:7" ht="11.25" customHeight="1">
      <c r="A190" s="121" t="str">
        <f>A3</f>
        <v>2000 - 2009</v>
      </c>
      <c r="B190" s="140"/>
      <c r="C190" s="140"/>
      <c r="D190" s="140"/>
      <c r="E190" s="140"/>
      <c r="F190" s="29"/>
      <c r="G190" s="29"/>
    </row>
    <row r="191" spans="1:5" ht="11.25" customHeight="1">
      <c r="A191" s="118" t="s">
        <v>1</v>
      </c>
      <c r="B191" s="120"/>
      <c r="C191" s="120"/>
      <c r="D191" s="120"/>
      <c r="E191" s="120"/>
    </row>
    <row r="192" spans="1:5" ht="11.25" customHeight="1">
      <c r="A192" s="118"/>
      <c r="B192" s="120"/>
      <c r="C192" s="120"/>
      <c r="D192" s="120"/>
      <c r="E192" s="120"/>
    </row>
    <row r="193" spans="1:5" ht="11.25" customHeight="1">
      <c r="A193" s="118"/>
      <c r="B193" s="120"/>
      <c r="C193" s="120"/>
      <c r="D193" s="120"/>
      <c r="E193" s="120"/>
    </row>
    <row r="194" spans="1:22" ht="11.25" customHeight="1">
      <c r="A194" s="118"/>
      <c r="B194" s="120"/>
      <c r="C194" s="124">
        <v>2000</v>
      </c>
      <c r="D194" s="173"/>
      <c r="E194" s="124">
        <v>2001</v>
      </c>
      <c r="F194" s="29"/>
      <c r="G194" s="124">
        <v>2002</v>
      </c>
      <c r="I194" s="124">
        <v>2003</v>
      </c>
      <c r="K194" s="124">
        <v>2004</v>
      </c>
      <c r="M194" s="124">
        <v>2005</v>
      </c>
      <c r="O194" s="46">
        <v>2006</v>
      </c>
      <c r="P194" s="255"/>
      <c r="Q194" s="46">
        <v>2007</v>
      </c>
      <c r="R194" s="255"/>
      <c r="S194" s="46">
        <v>2008</v>
      </c>
      <c r="T194" s="255"/>
      <c r="U194" s="46">
        <v>2009</v>
      </c>
      <c r="V194" s="255"/>
    </row>
    <row r="195" spans="1:11" ht="11.25" customHeight="1">
      <c r="A195" s="118"/>
      <c r="B195" s="120"/>
      <c r="C195" s="120"/>
      <c r="D195" s="120"/>
      <c r="E195" s="120"/>
      <c r="G195" s="120"/>
      <c r="I195" s="120"/>
      <c r="K195" s="120"/>
    </row>
    <row r="196" spans="1:21" ht="11.25" customHeight="1">
      <c r="A196" s="118" t="s">
        <v>79</v>
      </c>
      <c r="B196" s="120"/>
      <c r="C196" s="136">
        <f>C9+C103</f>
        <v>101437</v>
      </c>
      <c r="D196" s="136"/>
      <c r="E196" s="136">
        <f>E9+E103</f>
        <v>105514</v>
      </c>
      <c r="F196" s="195"/>
      <c r="G196" s="136">
        <f>G9+G103</f>
        <v>98975</v>
      </c>
      <c r="H196" s="189"/>
      <c r="I196" s="136">
        <f>I9+I103</f>
        <v>95352</v>
      </c>
      <c r="K196" s="136">
        <f>K9+K103</f>
        <v>97149</v>
      </c>
      <c r="M196" s="136">
        <f>M9+M103</f>
        <v>106933</v>
      </c>
      <c r="O196" s="136">
        <f>O9+O103</f>
        <v>124248</v>
      </c>
      <c r="Q196" s="136">
        <f>Q9+Q103</f>
        <v>120576</v>
      </c>
      <c r="R196" s="136"/>
      <c r="S196" s="136">
        <f>S9+S103</f>
        <v>108930</v>
      </c>
      <c r="T196" s="136"/>
      <c r="U196" s="136">
        <f>U9+U103</f>
        <v>76664</v>
      </c>
    </row>
    <row r="197" spans="1:21" ht="11.25" customHeight="1">
      <c r="A197" s="120"/>
      <c r="B197" s="120"/>
      <c r="C197" s="128"/>
      <c r="D197" s="128"/>
      <c r="E197" s="128"/>
      <c r="F197" s="18"/>
      <c r="G197" s="128"/>
      <c r="I197" s="128"/>
      <c r="K197" s="128"/>
      <c r="M197" s="128"/>
      <c r="O197" s="128"/>
      <c r="Q197" s="128"/>
      <c r="R197" s="128"/>
      <c r="S197" s="128"/>
      <c r="T197" s="128"/>
      <c r="U197" s="128"/>
    </row>
    <row r="198" spans="1:21" ht="11.25" customHeight="1">
      <c r="A198" s="118" t="s">
        <v>53</v>
      </c>
      <c r="B198" s="120"/>
      <c r="C198" s="128">
        <f>C11+C105</f>
        <v>130524</v>
      </c>
      <c r="D198" s="128"/>
      <c r="E198" s="128">
        <f>E11+E105</f>
        <v>124614</v>
      </c>
      <c r="F198" s="18"/>
      <c r="G198" s="128">
        <f>G11+G105</f>
        <v>133219</v>
      </c>
      <c r="I198" s="128">
        <f>I11+I105</f>
        <v>187061</v>
      </c>
      <c r="K198" s="128">
        <f>K11+K105</f>
        <v>183011</v>
      </c>
      <c r="M198" s="128">
        <f>M11+M105</f>
        <v>189165</v>
      </c>
      <c r="O198" s="128">
        <f>O11+O105</f>
        <v>194738</v>
      </c>
      <c r="Q198" s="128">
        <f>Q11+Q105</f>
        <v>195423</v>
      </c>
      <c r="R198" s="128"/>
      <c r="S198" s="128">
        <f>S11+S105</f>
        <v>166938</v>
      </c>
      <c r="T198" s="128"/>
      <c r="U198" s="128">
        <f>U11+U105</f>
        <v>151616</v>
      </c>
    </row>
    <row r="199" spans="1:21" ht="11.25" customHeight="1">
      <c r="A199" s="118"/>
      <c r="B199" s="120"/>
      <c r="C199" s="128"/>
      <c r="D199" s="128"/>
      <c r="E199" s="128"/>
      <c r="F199" s="18"/>
      <c r="G199" s="128"/>
      <c r="I199" s="128"/>
      <c r="K199" s="128"/>
      <c r="M199" s="128"/>
      <c r="O199" s="128"/>
      <c r="Q199" s="128"/>
      <c r="R199" s="128"/>
      <c r="S199" s="128"/>
      <c r="T199" s="128"/>
      <c r="U199" s="128"/>
    </row>
    <row r="200" spans="1:21" ht="11.25" customHeight="1">
      <c r="A200" s="118" t="s">
        <v>86</v>
      </c>
      <c r="B200" s="120"/>
      <c r="C200" s="141" t="s">
        <v>85</v>
      </c>
      <c r="D200" s="128"/>
      <c r="E200" s="141" t="s">
        <v>85</v>
      </c>
      <c r="F200" s="18"/>
      <c r="G200" s="141" t="s">
        <v>85</v>
      </c>
      <c r="I200" s="128">
        <f>I13+I107</f>
        <v>78610</v>
      </c>
      <c r="K200" s="128">
        <f>K13+K107</f>
        <v>199806</v>
      </c>
      <c r="M200" s="128">
        <f>M13+M107</f>
        <v>214157</v>
      </c>
      <c r="O200" s="128">
        <f>O13+O107</f>
        <v>233412</v>
      </c>
      <c r="Q200" s="128">
        <f>Q13+Q107</f>
        <v>234855</v>
      </c>
      <c r="R200" s="128"/>
      <c r="S200" s="128">
        <f>S13+S107</f>
        <v>249551</v>
      </c>
      <c r="T200" s="128"/>
      <c r="U200" s="128">
        <f>U13+U107</f>
        <v>241866</v>
      </c>
    </row>
    <row r="201" spans="1:21" ht="11.25" customHeight="1">
      <c r="A201" s="120"/>
      <c r="B201" s="120"/>
      <c r="C201" s="128"/>
      <c r="D201" s="128"/>
      <c r="E201" s="128"/>
      <c r="F201" s="18"/>
      <c r="G201" s="128"/>
      <c r="I201" s="128"/>
      <c r="K201" s="128"/>
      <c r="M201" s="128"/>
      <c r="O201" s="128"/>
      <c r="Q201" s="128"/>
      <c r="R201" s="128"/>
      <c r="S201" s="128"/>
      <c r="T201" s="128"/>
      <c r="U201" s="128"/>
    </row>
    <row r="202" spans="1:21" ht="11.25" customHeight="1">
      <c r="A202" s="118" t="s">
        <v>2</v>
      </c>
      <c r="B202" s="120"/>
      <c r="C202" s="128">
        <f>C15+C109</f>
        <v>135819</v>
      </c>
      <c r="D202" s="128"/>
      <c r="E202" s="128">
        <f>E15+E109</f>
        <v>141073</v>
      </c>
      <c r="F202" s="18"/>
      <c r="G202" s="128">
        <f>G15+G109</f>
        <v>156044</v>
      </c>
      <c r="I202" s="128">
        <f>I15+I109</f>
        <v>146506</v>
      </c>
      <c r="K202" s="128">
        <f>K15+K109</f>
        <v>141255</v>
      </c>
      <c r="M202" s="128">
        <f>M15+M109</f>
        <v>156043</v>
      </c>
      <c r="O202" s="128">
        <f>O15+O109</f>
        <v>170175</v>
      </c>
      <c r="Q202" s="128">
        <f>Q15+Q109</f>
        <v>170936</v>
      </c>
      <c r="R202" s="128"/>
      <c r="S202" s="128">
        <f>S15+S109</f>
        <v>163224</v>
      </c>
      <c r="T202" s="128"/>
      <c r="U202" s="128">
        <f>U15+U109</f>
        <v>158319</v>
      </c>
    </row>
    <row r="203" spans="1:21" ht="11.25" customHeight="1">
      <c r="A203" s="120"/>
      <c r="B203" s="120"/>
      <c r="C203" s="128"/>
      <c r="D203" s="128"/>
      <c r="E203" s="128"/>
      <c r="F203" s="18"/>
      <c r="G203" s="128"/>
      <c r="I203" s="128"/>
      <c r="K203" s="128"/>
      <c r="M203" s="128"/>
      <c r="O203" s="128"/>
      <c r="Q203" s="128"/>
      <c r="R203" s="128"/>
      <c r="S203" s="128"/>
      <c r="T203" s="128"/>
      <c r="U203" s="128"/>
    </row>
    <row r="204" spans="1:21" ht="11.25" customHeight="1">
      <c r="A204" s="129" t="s">
        <v>54</v>
      </c>
      <c r="B204" s="120"/>
      <c r="C204" s="128">
        <f>C17+C111</f>
        <v>51321</v>
      </c>
      <c r="D204" s="128"/>
      <c r="E204" s="128">
        <f>E17+E111</f>
        <v>46473</v>
      </c>
      <c r="G204" s="128">
        <f>G17+G111</f>
        <v>47041</v>
      </c>
      <c r="I204" s="141" t="s">
        <v>85</v>
      </c>
      <c r="K204" s="141" t="s">
        <v>85</v>
      </c>
      <c r="M204" s="141" t="s">
        <v>85</v>
      </c>
      <c r="O204" s="141" t="s">
        <v>85</v>
      </c>
      <c r="Q204" s="141" t="s">
        <v>85</v>
      </c>
      <c r="R204" s="141"/>
      <c r="S204" s="141" t="s">
        <v>85</v>
      </c>
      <c r="T204" s="141"/>
      <c r="U204" s="141" t="s">
        <v>85</v>
      </c>
    </row>
    <row r="205" spans="1:21" ht="11.25" customHeight="1">
      <c r="A205" s="120"/>
      <c r="B205" s="120"/>
      <c r="C205" s="128"/>
      <c r="D205" s="128"/>
      <c r="E205" s="128"/>
      <c r="F205" s="18"/>
      <c r="G205" s="128"/>
      <c r="I205" s="128"/>
      <c r="K205" s="128"/>
      <c r="M205" s="128"/>
      <c r="O205" s="128"/>
      <c r="Q205" s="128"/>
      <c r="R205" s="128"/>
      <c r="S205" s="128"/>
      <c r="T205" s="128"/>
      <c r="U205" s="128"/>
    </row>
    <row r="206" spans="1:21" ht="11.25" customHeight="1">
      <c r="A206" s="118" t="s">
        <v>3</v>
      </c>
      <c r="B206" s="120"/>
      <c r="C206" s="128">
        <f>C19+C113</f>
        <v>100084</v>
      </c>
      <c r="D206" s="128"/>
      <c r="E206" s="128">
        <f>E19+E113</f>
        <v>102295</v>
      </c>
      <c r="F206" s="18"/>
      <c r="G206" s="128">
        <f>G19+G113</f>
        <v>114859</v>
      </c>
      <c r="I206" s="128">
        <f>I19+I113</f>
        <v>127594</v>
      </c>
      <c r="K206" s="128">
        <f>K19+K113</f>
        <v>144682</v>
      </c>
      <c r="M206" s="128">
        <f>M19+M113</f>
        <v>151080</v>
      </c>
      <c r="O206" s="128">
        <f>O19+O113</f>
        <v>166228</v>
      </c>
      <c r="Q206" s="128">
        <f>Q19+Q113</f>
        <v>179827</v>
      </c>
      <c r="R206" s="128"/>
      <c r="S206" s="128">
        <f>S19+S113</f>
        <v>188588</v>
      </c>
      <c r="T206" s="128"/>
      <c r="U206" s="128">
        <f>U19+U113</f>
        <v>180478</v>
      </c>
    </row>
    <row r="207" spans="1:21" ht="11.25" customHeight="1">
      <c r="A207" s="120"/>
      <c r="B207" s="120"/>
      <c r="C207" s="128"/>
      <c r="D207" s="128"/>
      <c r="E207" s="128"/>
      <c r="F207" s="18"/>
      <c r="G207" s="128"/>
      <c r="I207" s="128"/>
      <c r="K207" s="128"/>
      <c r="M207" s="128"/>
      <c r="O207" s="128"/>
      <c r="Q207" s="128"/>
      <c r="R207" s="128"/>
      <c r="S207" s="128"/>
      <c r="T207" s="128"/>
      <c r="U207" s="128"/>
    </row>
    <row r="208" spans="1:21" ht="11.25" customHeight="1">
      <c r="A208" s="118" t="s">
        <v>4</v>
      </c>
      <c r="B208" s="120"/>
      <c r="C208" s="128">
        <f>C21+C115</f>
        <v>73481</v>
      </c>
      <c r="D208" s="128"/>
      <c r="E208" s="128">
        <f>E21+E115</f>
        <v>67558</v>
      </c>
      <c r="F208" s="18"/>
      <c r="G208" s="128">
        <f>G21+G115</f>
        <v>72590</v>
      </c>
      <c r="I208" s="128">
        <f>I21+I115</f>
        <v>59598</v>
      </c>
      <c r="K208" s="128">
        <f>K21+K115</f>
        <v>72066</v>
      </c>
      <c r="M208" s="128">
        <f>M21+M115</f>
        <v>80443</v>
      </c>
      <c r="O208" s="128">
        <f>O21+O115</f>
        <v>109961</v>
      </c>
      <c r="Q208" s="128">
        <f>Q21+Q115</f>
        <v>110713</v>
      </c>
      <c r="R208" s="128"/>
      <c r="S208" s="128">
        <f>S21+S115</f>
        <v>92958</v>
      </c>
      <c r="T208" s="128"/>
      <c r="U208" s="128">
        <f>U21+U115</f>
        <v>79325</v>
      </c>
    </row>
    <row r="209" spans="1:21" ht="11.25" customHeight="1">
      <c r="A209" s="120"/>
      <c r="B209" s="120"/>
      <c r="C209" s="128"/>
      <c r="D209" s="128"/>
      <c r="E209" s="128"/>
      <c r="F209" s="18"/>
      <c r="G209" s="128"/>
      <c r="I209" s="128"/>
      <c r="K209" s="128"/>
      <c r="M209" s="128"/>
      <c r="O209" s="128"/>
      <c r="Q209" s="128"/>
      <c r="R209" s="128"/>
      <c r="S209" s="128"/>
      <c r="T209" s="128"/>
      <c r="U209" s="128"/>
    </row>
    <row r="210" spans="1:21" ht="11.25" customHeight="1">
      <c r="A210" s="118" t="s">
        <v>90</v>
      </c>
      <c r="B210" s="120"/>
      <c r="C210" s="128">
        <f>C23+C117</f>
        <v>72597</v>
      </c>
      <c r="D210" s="128"/>
      <c r="E210" s="128">
        <f>E23+E117</f>
        <v>71091</v>
      </c>
      <c r="F210" s="18"/>
      <c r="G210" s="128">
        <f>G23+G117</f>
        <v>57832</v>
      </c>
      <c r="I210" s="128">
        <f>I23+I117</f>
        <v>55501</v>
      </c>
      <c r="K210" s="128">
        <f>K23+K117</f>
        <v>57020</v>
      </c>
      <c r="M210" s="128">
        <f>M23+M117</f>
        <v>55769</v>
      </c>
      <c r="O210" s="128">
        <f>O23+O117</f>
        <v>43903</v>
      </c>
      <c r="Q210" s="141" t="s">
        <v>85</v>
      </c>
      <c r="R210" s="141"/>
      <c r="S210" s="141" t="s">
        <v>85</v>
      </c>
      <c r="T210" s="141"/>
      <c r="U210" s="141" t="s">
        <v>85</v>
      </c>
    </row>
    <row r="211" spans="1:21" ht="11.25" customHeight="1">
      <c r="A211" s="120"/>
      <c r="B211" s="120"/>
      <c r="C211" s="128"/>
      <c r="D211" s="128"/>
      <c r="E211" s="128"/>
      <c r="F211" s="18"/>
      <c r="G211" s="128"/>
      <c r="I211" s="128"/>
      <c r="K211" s="128"/>
      <c r="M211" s="128"/>
      <c r="O211" s="128"/>
      <c r="Q211" s="128"/>
      <c r="R211" s="128"/>
      <c r="S211" s="128"/>
      <c r="T211" s="128"/>
      <c r="U211" s="128"/>
    </row>
    <row r="212" spans="1:21" ht="11.25" customHeight="1">
      <c r="A212" s="118" t="s">
        <v>5</v>
      </c>
      <c r="B212" s="120"/>
      <c r="C212" s="128">
        <f>C25+C119</f>
        <v>98322</v>
      </c>
      <c r="D212" s="128"/>
      <c r="E212" s="128">
        <f>E25+E119</f>
        <v>98394</v>
      </c>
      <c r="F212" s="18"/>
      <c r="G212" s="128">
        <f>G25+G119</f>
        <v>103901</v>
      </c>
      <c r="I212" s="128">
        <f>I25+I119</f>
        <v>111158</v>
      </c>
      <c r="K212" s="128">
        <f>K25+K119</f>
        <v>126776</v>
      </c>
      <c r="M212" s="128">
        <f>M25+M119</f>
        <v>134866</v>
      </c>
      <c r="O212" s="128">
        <f>O25+O119</f>
        <v>148965</v>
      </c>
      <c r="Q212" s="128">
        <f>Q25+Q119</f>
        <v>146035</v>
      </c>
      <c r="R212" s="128"/>
      <c r="S212" s="128">
        <f>S25+S119</f>
        <v>129789</v>
      </c>
      <c r="T212" s="128"/>
      <c r="U212" s="128">
        <f>U25+U119</f>
        <v>127789</v>
      </c>
    </row>
    <row r="213" spans="1:21" ht="11.25" customHeight="1">
      <c r="A213" s="120"/>
      <c r="B213" s="120"/>
      <c r="C213" s="128"/>
      <c r="D213" s="128"/>
      <c r="E213" s="128"/>
      <c r="F213" s="18"/>
      <c r="G213" s="128"/>
      <c r="I213" s="128"/>
      <c r="K213" s="128"/>
      <c r="M213" s="128"/>
      <c r="O213" s="128"/>
      <c r="Q213" s="128"/>
      <c r="R213" s="128"/>
      <c r="S213" s="128"/>
      <c r="T213" s="128"/>
      <c r="U213" s="128"/>
    </row>
    <row r="214" spans="1:21" ht="11.25" customHeight="1">
      <c r="A214" s="129" t="s">
        <v>6</v>
      </c>
      <c r="B214" s="120"/>
      <c r="C214" s="128">
        <f>C27+C121</f>
        <v>112239</v>
      </c>
      <c r="D214" s="128"/>
      <c r="E214" s="128">
        <f>E27+E121</f>
        <v>100654</v>
      </c>
      <c r="F214" s="18"/>
      <c r="G214" s="128">
        <f>G27+G121</f>
        <v>101713</v>
      </c>
      <c r="I214" s="128">
        <f>I27+I121</f>
        <v>94343</v>
      </c>
      <c r="K214" s="128">
        <f>K27+K121</f>
        <v>94566</v>
      </c>
      <c r="M214" s="128">
        <f>M27+M121</f>
        <v>126219</v>
      </c>
      <c r="O214" s="128">
        <f>O27+O121</f>
        <v>135615</v>
      </c>
      <c r="Q214" s="128">
        <f>Q27+Q121</f>
        <v>128974</v>
      </c>
      <c r="R214" s="128"/>
      <c r="S214" s="128">
        <f>S27+S121</f>
        <v>130050</v>
      </c>
      <c r="T214" s="128"/>
      <c r="U214" s="128">
        <f>U27+U121</f>
        <v>124481</v>
      </c>
    </row>
    <row r="215" spans="1:21" ht="11.25" customHeight="1">
      <c r="A215" s="118"/>
      <c r="B215" s="120"/>
      <c r="C215" s="128"/>
      <c r="D215" s="128"/>
      <c r="E215" s="128"/>
      <c r="F215" s="18"/>
      <c r="G215" s="128"/>
      <c r="I215" s="128"/>
      <c r="K215" s="128"/>
      <c r="M215" s="128"/>
      <c r="O215" s="128"/>
      <c r="Q215" s="128"/>
      <c r="R215" s="128"/>
      <c r="S215" s="128"/>
      <c r="T215" s="128"/>
      <c r="U215" s="128"/>
    </row>
    <row r="216" spans="1:21" ht="11.25" customHeight="1">
      <c r="A216" s="118" t="s">
        <v>24</v>
      </c>
      <c r="B216" s="120"/>
      <c r="C216" s="128">
        <f>C29+C123</f>
        <v>76898</v>
      </c>
      <c r="D216" s="128"/>
      <c r="E216" s="128">
        <f>E29+E123</f>
        <v>79529</v>
      </c>
      <c r="F216" s="18"/>
      <c r="G216" s="128">
        <f>G29+G123</f>
        <v>78864</v>
      </c>
      <c r="I216" s="128">
        <f>I29+I123</f>
        <v>73839</v>
      </c>
      <c r="K216" s="128">
        <f>K29+K123</f>
        <v>79388</v>
      </c>
      <c r="M216" s="128">
        <f>M29+M123</f>
        <v>77233</v>
      </c>
      <c r="O216" s="128">
        <f>O29+O123</f>
        <v>81968</v>
      </c>
      <c r="Q216" s="128">
        <f>Q29+Q123</f>
        <v>87783</v>
      </c>
      <c r="R216" s="128"/>
      <c r="S216" s="128">
        <f>S29+S123</f>
        <v>77260</v>
      </c>
      <c r="T216" s="128"/>
      <c r="U216" s="128">
        <f>U29+U123</f>
        <v>57284</v>
      </c>
    </row>
    <row r="217" spans="1:21" ht="11.25" customHeight="1">
      <c r="A217" s="118"/>
      <c r="B217" s="120"/>
      <c r="C217" s="128"/>
      <c r="D217" s="128"/>
      <c r="E217" s="128"/>
      <c r="F217" s="18"/>
      <c r="G217" s="128"/>
      <c r="I217" s="128"/>
      <c r="K217" s="128"/>
      <c r="M217" s="128"/>
      <c r="O217" s="128"/>
      <c r="Q217" s="128"/>
      <c r="R217" s="128"/>
      <c r="S217" s="128"/>
      <c r="T217" s="128"/>
      <c r="U217" s="128"/>
    </row>
    <row r="218" spans="1:21" ht="11.25" customHeight="1">
      <c r="A218" s="118" t="s">
        <v>7</v>
      </c>
      <c r="B218" s="120"/>
      <c r="C218" s="128">
        <f>C31+C125</f>
        <v>105794</v>
      </c>
      <c r="D218" s="128"/>
      <c r="E218" s="128">
        <f>E31+E125</f>
        <v>99494</v>
      </c>
      <c r="F218" s="18"/>
      <c r="G218" s="128">
        <f>G31+G125</f>
        <v>93704</v>
      </c>
      <c r="I218" s="128">
        <f>I31+I125</f>
        <v>93774</v>
      </c>
      <c r="K218" s="128">
        <f>K31+K125</f>
        <v>105749</v>
      </c>
      <c r="M218" s="128">
        <f>M31+M125</f>
        <v>115268</v>
      </c>
      <c r="O218" s="128">
        <f>O31+O125</f>
        <v>105672</v>
      </c>
      <c r="Q218" s="128">
        <f>Q31+Q125</f>
        <v>96973</v>
      </c>
      <c r="R218" s="128"/>
      <c r="S218" s="128">
        <f>S31+S125</f>
        <v>90341</v>
      </c>
      <c r="T218" s="128"/>
      <c r="U218" s="128">
        <f>U31+U125</f>
        <v>73658</v>
      </c>
    </row>
    <row r="219" spans="1:21" ht="11.25" customHeight="1">
      <c r="A219" s="118"/>
      <c r="B219" s="120"/>
      <c r="C219" s="128"/>
      <c r="D219" s="128"/>
      <c r="E219" s="128"/>
      <c r="F219" s="18"/>
      <c r="G219" s="128"/>
      <c r="I219" s="128"/>
      <c r="K219" s="128"/>
      <c r="M219" s="128"/>
      <c r="O219" s="128"/>
      <c r="Q219" s="128"/>
      <c r="R219" s="128"/>
      <c r="S219" s="128"/>
      <c r="T219" s="128"/>
      <c r="U219" s="128"/>
    </row>
    <row r="220" spans="1:21" ht="11.25" customHeight="1">
      <c r="A220" s="118" t="s">
        <v>8</v>
      </c>
      <c r="B220" s="120"/>
      <c r="C220" s="132">
        <f>C33+C127</f>
        <v>151763</v>
      </c>
      <c r="D220" s="174"/>
      <c r="E220" s="132">
        <f>E33+E127</f>
        <v>149366</v>
      </c>
      <c r="F220" s="24"/>
      <c r="G220" s="132">
        <f>G33+G127</f>
        <v>138693</v>
      </c>
      <c r="I220" s="132">
        <f>I33+I127</f>
        <v>144970</v>
      </c>
      <c r="K220" s="132">
        <f>K33+K127</f>
        <v>151421</v>
      </c>
      <c r="M220" s="132">
        <f>M33+M127</f>
        <v>157419</v>
      </c>
      <c r="O220" s="132">
        <f>O33+O127</f>
        <v>160079</v>
      </c>
      <c r="Q220" s="132">
        <f>Q33+Q127</f>
        <v>159313</v>
      </c>
      <c r="R220" s="174"/>
      <c r="S220" s="132">
        <f>S33+S127</f>
        <v>162853</v>
      </c>
      <c r="T220" s="174"/>
      <c r="U220" s="132">
        <f>U33+U127</f>
        <v>158332</v>
      </c>
    </row>
    <row r="221" spans="1:21" ht="11.25" customHeight="1">
      <c r="A221" s="118"/>
      <c r="B221" s="120"/>
      <c r="C221" s="126"/>
      <c r="D221" s="140"/>
      <c r="E221" s="126"/>
      <c r="F221" s="29"/>
      <c r="G221" s="126"/>
      <c r="I221" s="126"/>
      <c r="K221" s="126"/>
      <c r="M221" s="126"/>
      <c r="O221" s="126"/>
      <c r="Q221" s="126"/>
      <c r="R221" s="126"/>
      <c r="S221" s="126"/>
      <c r="T221" s="126"/>
      <c r="U221" s="126"/>
    </row>
    <row r="222" spans="1:21" ht="11.25" customHeight="1" thickBot="1">
      <c r="A222" s="118" t="s">
        <v>17</v>
      </c>
      <c r="B222" s="120"/>
      <c r="C222" s="176">
        <f>SUM(C196:C220)</f>
        <v>1210279</v>
      </c>
      <c r="D222" s="147"/>
      <c r="E222" s="176">
        <f>SUM(E196:E220)</f>
        <v>1186055</v>
      </c>
      <c r="F222" s="20"/>
      <c r="G222" s="176">
        <f>SUM(G196:G220)</f>
        <v>1197435</v>
      </c>
      <c r="I222" s="176">
        <f>SUM(I196:I220)</f>
        <v>1268306</v>
      </c>
      <c r="K222" s="176">
        <f>SUM(K196:K220)</f>
        <v>1452889</v>
      </c>
      <c r="M222" s="176">
        <f>SUM(M196:M220)</f>
        <v>1564595</v>
      </c>
      <c r="O222" s="176">
        <f>SUM(O196:O220)</f>
        <v>1674964</v>
      </c>
      <c r="Q222" s="176">
        <f>SUM(Q196:Q220)</f>
        <v>1631408</v>
      </c>
      <c r="R222" s="268"/>
      <c r="S222" s="176">
        <f>SUM(S196:S220)</f>
        <v>1560482</v>
      </c>
      <c r="T222" s="268"/>
      <c r="U222" s="176">
        <f>SUM(U196:U220)</f>
        <v>1429812</v>
      </c>
    </row>
    <row r="223" spans="1:5" ht="11.25" customHeight="1" thickTop="1">
      <c r="A223" s="118"/>
      <c r="B223" s="120"/>
      <c r="C223" s="126"/>
      <c r="D223" s="140"/>
      <c r="E223" s="126"/>
    </row>
    <row r="224" spans="1:5" ht="11.25" customHeight="1">
      <c r="A224" s="138" t="s">
        <v>75</v>
      </c>
      <c r="B224" s="120"/>
      <c r="C224" s="120"/>
      <c r="D224" s="120"/>
      <c r="E224" s="120"/>
    </row>
    <row r="225" spans="1:5" ht="11.25" customHeight="1">
      <c r="A225" s="118" t="s">
        <v>56</v>
      </c>
      <c r="B225" s="120"/>
      <c r="C225" s="120"/>
      <c r="D225" s="120"/>
      <c r="E225" s="120"/>
    </row>
    <row r="226" spans="1:5" ht="11.25" customHeight="1">
      <c r="A226" s="118" t="s">
        <v>52</v>
      </c>
      <c r="B226" s="120"/>
      <c r="C226" s="120"/>
      <c r="D226" s="120"/>
      <c r="E226" s="120"/>
    </row>
    <row r="227" spans="1:5" ht="11.25" customHeight="1">
      <c r="A227" s="55" t="s">
        <v>80</v>
      </c>
      <c r="B227" s="120"/>
      <c r="C227" s="120"/>
      <c r="D227" s="120"/>
      <c r="E227" s="120"/>
    </row>
    <row r="228" spans="1:5" ht="11.25" customHeight="1">
      <c r="A228" s="56" t="s">
        <v>87</v>
      </c>
      <c r="B228" s="120"/>
      <c r="C228" s="120"/>
      <c r="D228" s="120"/>
      <c r="E228" s="120"/>
    </row>
    <row r="229" spans="1:5" ht="11.25" customHeight="1">
      <c r="A229" s="56" t="s">
        <v>93</v>
      </c>
      <c r="B229" s="120"/>
      <c r="C229" s="120"/>
      <c r="D229" s="120"/>
      <c r="E229" s="120"/>
    </row>
    <row r="230" spans="1:5" ht="11.25" customHeight="1">
      <c r="A230" s="56"/>
      <c r="B230" s="120"/>
      <c r="C230" s="120"/>
      <c r="D230" s="120"/>
      <c r="E230" s="120"/>
    </row>
    <row r="231" spans="1:30" ht="11.25" customHeight="1">
      <c r="A231" s="118" t="s">
        <v>0</v>
      </c>
      <c r="B231" s="120"/>
      <c r="C231" s="120"/>
      <c r="D231" s="120"/>
      <c r="E231" s="120"/>
      <c r="W231" s="118" t="s">
        <v>0</v>
      </c>
      <c r="X231" s="120"/>
      <c r="Y231" s="120"/>
      <c r="Z231" s="120"/>
      <c r="AA231" s="120"/>
      <c r="AB231" s="120"/>
      <c r="AC231" s="120"/>
      <c r="AD231" s="120"/>
    </row>
    <row r="232" spans="1:30" ht="11.25" customHeight="1">
      <c r="A232" s="118" t="s">
        <v>41</v>
      </c>
      <c r="B232" s="120"/>
      <c r="C232" s="120"/>
      <c r="D232" s="120"/>
      <c r="E232" s="120"/>
      <c r="W232" s="118" t="s">
        <v>42</v>
      </c>
      <c r="X232" s="120"/>
      <c r="Y232" s="120"/>
      <c r="Z232" s="120"/>
      <c r="AA232" s="120"/>
      <c r="AB232" s="120"/>
      <c r="AC232" s="120"/>
      <c r="AD232" s="120"/>
    </row>
    <row r="233" spans="1:32" ht="11.25" customHeight="1">
      <c r="A233" s="121" t="str">
        <f>A3</f>
        <v>2000 - 2009</v>
      </c>
      <c r="B233" s="140"/>
      <c r="C233" s="140"/>
      <c r="D233" s="140"/>
      <c r="E233" s="140"/>
      <c r="F233" s="29"/>
      <c r="G233" s="29"/>
      <c r="H233" s="29"/>
      <c r="I233" s="29"/>
      <c r="J233" s="29"/>
      <c r="K233" s="29"/>
      <c r="W233" s="172" t="str">
        <f>+A3</f>
        <v>2000 - 2009</v>
      </c>
      <c r="X233" s="140"/>
      <c r="Y233" s="140"/>
      <c r="Z233" s="140"/>
      <c r="AA233" s="140"/>
      <c r="AB233" s="140"/>
      <c r="AC233" s="140"/>
      <c r="AD233" s="140"/>
      <c r="AE233" s="29"/>
      <c r="AF233" s="29"/>
    </row>
    <row r="234" spans="1:30" ht="11.25" customHeight="1">
      <c r="A234" s="118"/>
      <c r="B234" s="120"/>
      <c r="C234" s="120"/>
      <c r="D234" s="120"/>
      <c r="E234" s="120"/>
      <c r="W234" s="118"/>
      <c r="X234" s="120"/>
      <c r="Y234" s="120"/>
      <c r="Z234" s="120"/>
      <c r="AA234" s="120"/>
      <c r="AB234" s="120"/>
      <c r="AC234" s="120"/>
      <c r="AD234" s="120"/>
    </row>
    <row r="235" spans="1:30" ht="11.25" customHeight="1">
      <c r="A235" s="118"/>
      <c r="B235" s="120"/>
      <c r="C235" s="120"/>
      <c r="D235" s="120"/>
      <c r="E235" s="120"/>
      <c r="W235" s="118"/>
      <c r="X235" s="120"/>
      <c r="Y235" s="120"/>
      <c r="Z235" s="120"/>
      <c r="AA235" s="120"/>
      <c r="AB235" s="120"/>
      <c r="AC235" s="120"/>
      <c r="AD235" s="120"/>
    </row>
    <row r="236" spans="1:43" ht="11.25" customHeight="1">
      <c r="A236" s="118"/>
      <c r="B236" s="120"/>
      <c r="C236" s="124">
        <v>2000</v>
      </c>
      <c r="D236" s="173"/>
      <c r="E236" s="124">
        <v>2001</v>
      </c>
      <c r="F236" s="29"/>
      <c r="G236" s="124" t="s">
        <v>51</v>
      </c>
      <c r="I236" s="124">
        <v>2003</v>
      </c>
      <c r="K236" s="124">
        <v>2004</v>
      </c>
      <c r="M236" s="124">
        <v>2005</v>
      </c>
      <c r="O236" s="46">
        <v>2006</v>
      </c>
      <c r="P236" s="255"/>
      <c r="Q236" s="46">
        <v>2007</v>
      </c>
      <c r="R236" s="255"/>
      <c r="S236" s="46">
        <v>2008</v>
      </c>
      <c r="T236" s="255"/>
      <c r="U236" s="46">
        <v>2009</v>
      </c>
      <c r="V236" s="255"/>
      <c r="W236" s="118"/>
      <c r="X236" s="120"/>
      <c r="Y236" s="124">
        <v>2000</v>
      </c>
      <c r="Z236" s="173"/>
      <c r="AA236" s="124">
        <v>2001</v>
      </c>
      <c r="AB236" s="140"/>
      <c r="AC236" s="124">
        <v>2002</v>
      </c>
      <c r="AD236" s="120"/>
      <c r="AE236" s="124">
        <v>2003</v>
      </c>
      <c r="AG236" s="124">
        <v>2004</v>
      </c>
      <c r="AI236" s="124">
        <v>2005</v>
      </c>
      <c r="AK236" s="46">
        <v>2006</v>
      </c>
      <c r="AM236" s="46">
        <v>2007</v>
      </c>
      <c r="AO236" s="46">
        <v>2008</v>
      </c>
      <c r="AQ236" s="46">
        <v>2009</v>
      </c>
    </row>
    <row r="237" spans="1:33" ht="11.25" customHeight="1">
      <c r="A237" s="118"/>
      <c r="B237" s="120"/>
      <c r="C237" s="134"/>
      <c r="D237" s="134"/>
      <c r="E237" s="134"/>
      <c r="F237" s="23"/>
      <c r="G237" s="134"/>
      <c r="I237" s="134"/>
      <c r="K237" s="134"/>
      <c r="W237" s="118"/>
      <c r="X237" s="120"/>
      <c r="Y237" s="134"/>
      <c r="Z237" s="142"/>
      <c r="AA237" s="134"/>
      <c r="AB237" s="134"/>
      <c r="AC237" s="134"/>
      <c r="AD237" s="120"/>
      <c r="AE237" s="134"/>
      <c r="AG237" s="134"/>
    </row>
    <row r="238" spans="1:43" ht="11.25" customHeight="1">
      <c r="A238" s="118" t="s">
        <v>81</v>
      </c>
      <c r="B238" s="120"/>
      <c r="C238" s="141">
        <f>C196/'INCOME STMT STATS'!C9</f>
        <v>0.294</v>
      </c>
      <c r="D238" s="128"/>
      <c r="E238" s="141">
        <f>E196/'INCOME STMT STATS'!E9</f>
        <v>0.302</v>
      </c>
      <c r="F238" s="18"/>
      <c r="G238" s="141">
        <f>G196/'INCOME STMT STATS'!G9</f>
        <v>0.339</v>
      </c>
      <c r="I238" s="141">
        <f>I196/'INCOME STMT STATS'!I9</f>
        <v>0.322</v>
      </c>
      <c r="K238" s="141">
        <f>K196/'INCOME STMT STATS'!K9</f>
        <v>0.346</v>
      </c>
      <c r="M238" s="141">
        <f>M196/'INCOME STMT STATS'!M9</f>
        <v>0.403</v>
      </c>
      <c r="O238" s="141">
        <f>O196/'INCOME STMT STATS'!O9</f>
        <v>0.422</v>
      </c>
      <c r="Q238" s="141">
        <f>Q196/'INCOME STMT STATS'!Q9</f>
        <v>0.451</v>
      </c>
      <c r="R238" s="141"/>
      <c r="S238" s="141">
        <f>S196/'INCOME STMT STATS'!S9</f>
        <v>0.502</v>
      </c>
      <c r="T238" s="141"/>
      <c r="U238" s="141">
        <f>U196/'INCOME STMT STATS'!U9</f>
        <v>0.464</v>
      </c>
      <c r="W238" s="118" t="s">
        <v>79</v>
      </c>
      <c r="X238" s="120"/>
      <c r="Y238" s="141">
        <f>C196/'INCOME STMT STATS'!C516</f>
        <v>0.259</v>
      </c>
      <c r="Z238" s="128"/>
      <c r="AA238" s="141">
        <f>E196/'INCOME STMT STATS'!E516</f>
        <v>0.266</v>
      </c>
      <c r="AB238" s="128"/>
      <c r="AC238" s="141">
        <f>G196/'INCOME STMT STATS'!G516</f>
        <v>0.26</v>
      </c>
      <c r="AD238" s="120"/>
      <c r="AE238" s="141">
        <f>I196/'INCOME STMT STATS'!I516</f>
        <v>0.25</v>
      </c>
      <c r="AG238" s="141">
        <f>K196/'INCOME STMT STATS'!K516</f>
        <v>0.266</v>
      </c>
      <c r="AI238" s="141">
        <f>M196/'INCOME STMT STATS'!M516</f>
        <v>0.297</v>
      </c>
      <c r="AK238" s="141">
        <f>O196/'INCOME STMT STATS'!O516</f>
        <v>0.305</v>
      </c>
      <c r="AM238" s="141">
        <f>Q196/'INCOME STMT STATS'!Q516</f>
        <v>0.319</v>
      </c>
      <c r="AO238" s="141">
        <f>S196/'INCOME STMT STATS'!S516</f>
        <v>0.351</v>
      </c>
      <c r="AQ238" s="141">
        <f>U196/'INCOME STMT STATS'!U516</f>
        <v>0.323</v>
      </c>
    </row>
    <row r="239" spans="1:43" ht="11.25" customHeight="1">
      <c r="A239" s="120"/>
      <c r="B239" s="120"/>
      <c r="C239" s="141"/>
      <c r="D239" s="128"/>
      <c r="E239" s="141"/>
      <c r="F239" s="18"/>
      <c r="G239" s="141"/>
      <c r="I239" s="141"/>
      <c r="K239" s="141"/>
      <c r="M239" s="141"/>
      <c r="O239" s="141"/>
      <c r="Q239" s="141"/>
      <c r="R239" s="141"/>
      <c r="S239" s="141"/>
      <c r="T239" s="141"/>
      <c r="U239" s="141"/>
      <c r="W239" s="120"/>
      <c r="X239" s="120"/>
      <c r="Y239" s="141"/>
      <c r="Z239" s="128"/>
      <c r="AA239" s="141"/>
      <c r="AB239" s="128"/>
      <c r="AC239" s="141"/>
      <c r="AD239" s="120"/>
      <c r="AE239" s="141"/>
      <c r="AG239" s="141"/>
      <c r="AI239" s="141"/>
      <c r="AK239" s="141"/>
      <c r="AM239" s="141"/>
      <c r="AO239" s="141"/>
      <c r="AQ239" s="141"/>
    </row>
    <row r="240" spans="1:43" ht="11.25" customHeight="1">
      <c r="A240" s="118" t="s">
        <v>53</v>
      </c>
      <c r="B240" s="120"/>
      <c r="C240" s="141">
        <f>C198/'INCOME STMT STATS'!C11</f>
        <v>0.229</v>
      </c>
      <c r="D240" s="128"/>
      <c r="E240" s="141">
        <f>E198/'INCOME STMT STATS'!E11</f>
        <v>0.218</v>
      </c>
      <c r="F240" s="18"/>
      <c r="G240" s="141">
        <f>G198/'INCOME STMT STATS'!G11</f>
        <v>0.25</v>
      </c>
      <c r="I240" s="141">
        <f>I198/'INCOME STMT STATS'!I11</f>
        <v>0.281</v>
      </c>
      <c r="K240" s="141">
        <f>K198/'INCOME STMT STATS'!K11</f>
        <v>0.29</v>
      </c>
      <c r="M240" s="141">
        <f>M198/'INCOME STMT STATS'!M11</f>
        <v>0.299</v>
      </c>
      <c r="O240" s="141">
        <f>O198/'INCOME STMT STATS'!O11</f>
        <v>0.296</v>
      </c>
      <c r="Q240" s="141">
        <f>Q198/'INCOME STMT STATS'!Q11</f>
        <v>0.314</v>
      </c>
      <c r="R240" s="141"/>
      <c r="S240" s="141">
        <f>S198/'INCOME STMT STATS'!S11</f>
        <v>0.304</v>
      </c>
      <c r="T240" s="141"/>
      <c r="U240" s="141">
        <f>U198/'INCOME STMT STATS'!U11</f>
        <v>0.329</v>
      </c>
      <c r="W240" s="118" t="s">
        <v>53</v>
      </c>
      <c r="X240" s="120"/>
      <c r="Y240" s="141">
        <f>C198/'INCOME STMT STATS'!C518</f>
        <v>0.204</v>
      </c>
      <c r="Z240" s="128"/>
      <c r="AA240" s="141">
        <f>E198/'INCOME STMT STATS'!E518</f>
        <v>0.194</v>
      </c>
      <c r="AB240" s="128"/>
      <c r="AC240" s="141">
        <f>G198/'INCOME STMT STATS'!G518</f>
        <v>0.205</v>
      </c>
      <c r="AD240" s="120"/>
      <c r="AE240" s="141">
        <f>I198/'INCOME STMT STATS'!I518</f>
        <v>0.225</v>
      </c>
      <c r="AG240" s="141">
        <f>K198/'INCOME STMT STATS'!K518</f>
        <v>0.23</v>
      </c>
      <c r="AI240" s="141">
        <f>M198/'INCOME STMT STATS'!M518</f>
        <v>0.236</v>
      </c>
      <c r="AK240" s="141">
        <f>O198/'INCOME STMT STATS'!O518</f>
        <v>0.234</v>
      </c>
      <c r="AM240" s="141">
        <f>Q198/'INCOME STMT STATS'!Q518</f>
        <v>0.241</v>
      </c>
      <c r="AO240" s="141">
        <f>S198/'INCOME STMT STATS'!S518</f>
        <v>0.235</v>
      </c>
      <c r="AQ240" s="141">
        <f>U198/'INCOME STMT STATS'!U518</f>
        <v>0.25</v>
      </c>
    </row>
    <row r="241" spans="1:43" ht="11.25" customHeight="1">
      <c r="A241" s="118"/>
      <c r="B241" s="120"/>
      <c r="C241" s="141"/>
      <c r="D241" s="128"/>
      <c r="E241" s="141"/>
      <c r="F241" s="18"/>
      <c r="G241" s="141"/>
      <c r="I241" s="141"/>
      <c r="K241" s="141"/>
      <c r="M241" s="141"/>
      <c r="O241" s="141"/>
      <c r="Q241" s="141"/>
      <c r="R241" s="141"/>
      <c r="S241" s="141"/>
      <c r="T241" s="141"/>
      <c r="U241" s="141"/>
      <c r="W241" s="118"/>
      <c r="X241" s="120"/>
      <c r="Y241" s="141"/>
      <c r="Z241" s="128"/>
      <c r="AA241" s="141"/>
      <c r="AB241" s="128"/>
      <c r="AC241" s="141"/>
      <c r="AD241" s="120"/>
      <c r="AE241" s="141"/>
      <c r="AG241" s="141"/>
      <c r="AI241" s="141"/>
      <c r="AK241" s="141"/>
      <c r="AM241" s="141"/>
      <c r="AO241" s="141"/>
      <c r="AQ241" s="141"/>
    </row>
    <row r="242" spans="1:43" ht="11.25" customHeight="1">
      <c r="A242" s="118" t="s">
        <v>88</v>
      </c>
      <c r="B242" s="120"/>
      <c r="C242" s="141" t="s">
        <v>85</v>
      </c>
      <c r="D242" s="128"/>
      <c r="E242" s="141" t="s">
        <v>85</v>
      </c>
      <c r="F242" s="18"/>
      <c r="G242" s="141" t="s">
        <v>85</v>
      </c>
      <c r="I242" s="141">
        <f>I200/'INCOME STMT STATS'!I13</f>
        <v>0.27</v>
      </c>
      <c r="K242" s="141">
        <f>K200/'INCOME STMT STATS'!K13</f>
        <v>0.295</v>
      </c>
      <c r="M242" s="141">
        <f>M200/'INCOME STMT STATS'!M13</f>
        <v>0.28</v>
      </c>
      <c r="O242" s="141">
        <f>O200/'INCOME STMT STATS'!O13</f>
        <v>0.287</v>
      </c>
      <c r="Q242" s="141">
        <f>Q200/'INCOME STMT STATS'!Q13</f>
        <v>0.28</v>
      </c>
      <c r="R242" s="141"/>
      <c r="S242" s="141">
        <f>S200/'INCOME STMT STATS'!S13</f>
        <v>0.3</v>
      </c>
      <c r="T242" s="141"/>
      <c r="U242" s="141">
        <f>U200/'INCOME STMT STATS'!U13</f>
        <v>0.311</v>
      </c>
      <c r="W242" s="118" t="s">
        <v>88</v>
      </c>
      <c r="X242" s="120"/>
      <c r="Y242" s="141" t="s">
        <v>85</v>
      </c>
      <c r="Z242" s="128"/>
      <c r="AA242" s="141" t="s">
        <v>85</v>
      </c>
      <c r="AB242" s="128"/>
      <c r="AC242" s="141" t="s">
        <v>85</v>
      </c>
      <c r="AD242" s="120"/>
      <c r="AE242" s="141">
        <f>I200/'INCOME STMT STATS'!I520</f>
        <v>0.218</v>
      </c>
      <c r="AG242" s="141">
        <f>K200/'INCOME STMT STATS'!K520</f>
        <v>0.234</v>
      </c>
      <c r="AI242" s="141">
        <f>M200/'INCOME STMT STATS'!M520</f>
        <v>0.227</v>
      </c>
      <c r="AK242" s="141">
        <f>O200/'INCOME STMT STATS'!O520</f>
        <v>0.231</v>
      </c>
      <c r="AM242" s="141">
        <f>Q200/'INCOME STMT STATS'!Q520</f>
        <v>0.227</v>
      </c>
      <c r="AO242" s="141">
        <f>S200/'INCOME STMT STATS'!S520</f>
        <v>0.239</v>
      </c>
      <c r="AQ242" s="141">
        <f>U200/'INCOME STMT STATS'!U520</f>
        <v>0.244</v>
      </c>
    </row>
    <row r="243" spans="1:43" ht="11.25" customHeight="1">
      <c r="A243" s="120"/>
      <c r="B243" s="120"/>
      <c r="C243" s="141"/>
      <c r="D243" s="128"/>
      <c r="E243" s="141"/>
      <c r="F243" s="18"/>
      <c r="G243" s="141"/>
      <c r="I243" s="141"/>
      <c r="K243" s="141"/>
      <c r="M243" s="141"/>
      <c r="O243" s="141"/>
      <c r="Q243" s="141"/>
      <c r="R243" s="141"/>
      <c r="S243" s="141"/>
      <c r="T243" s="141"/>
      <c r="U243" s="141"/>
      <c r="W243" s="120"/>
      <c r="X243" s="120"/>
      <c r="Y243" s="141"/>
      <c r="Z243" s="128"/>
      <c r="AA243" s="141"/>
      <c r="AB243" s="128"/>
      <c r="AC243" s="141"/>
      <c r="AD243" s="120"/>
      <c r="AE243" s="141"/>
      <c r="AG243" s="141"/>
      <c r="AI243" s="141"/>
      <c r="AK243" s="141"/>
      <c r="AM243" s="141"/>
      <c r="AO243" s="141"/>
      <c r="AQ243" s="141"/>
    </row>
    <row r="244" spans="1:43" ht="11.25" customHeight="1">
      <c r="A244" s="118" t="s">
        <v>2</v>
      </c>
      <c r="B244" s="120"/>
      <c r="C244" s="141">
        <f>C202/'INCOME STMT STATS'!C15</f>
        <v>0.26</v>
      </c>
      <c r="D244" s="128"/>
      <c r="E244" s="141">
        <f>E202/'INCOME STMT STATS'!E15</f>
        <v>0.266</v>
      </c>
      <c r="F244" s="18"/>
      <c r="G244" s="141">
        <f>G202/'INCOME STMT STATS'!G15</f>
        <v>0.302</v>
      </c>
      <c r="I244" s="141">
        <f>I202/'INCOME STMT STATS'!I15</f>
        <v>0.29</v>
      </c>
      <c r="K244" s="141">
        <f>K202/'INCOME STMT STATS'!K15</f>
        <v>0.291</v>
      </c>
      <c r="M244" s="141">
        <f>M202/'INCOME STMT STATS'!M15</f>
        <v>0.308</v>
      </c>
      <c r="O244" s="141">
        <f>O202/'INCOME STMT STATS'!O15</f>
        <v>0.32</v>
      </c>
      <c r="Q244" s="141">
        <f>Q202/'INCOME STMT STATS'!Q15</f>
        <v>0.309</v>
      </c>
      <c r="R244" s="141"/>
      <c r="S244" s="141">
        <f>S202/'INCOME STMT STATS'!S15</f>
        <v>0.315</v>
      </c>
      <c r="T244" s="141"/>
      <c r="U244" s="141">
        <f>U202/'INCOME STMT STATS'!U15</f>
        <v>0.369</v>
      </c>
      <c r="W244" s="118" t="s">
        <v>2</v>
      </c>
      <c r="X244" s="120"/>
      <c r="Y244" s="141">
        <f>C202/'INCOME STMT STATS'!C522</f>
        <v>0.229</v>
      </c>
      <c r="Z244" s="128"/>
      <c r="AA244" s="141">
        <f>E202/'INCOME STMT STATS'!E522</f>
        <v>0.231</v>
      </c>
      <c r="AB244" s="128"/>
      <c r="AC244" s="141">
        <f>G202/'INCOME STMT STATS'!G522</f>
        <v>0.238</v>
      </c>
      <c r="AD244" s="120"/>
      <c r="AE244" s="141">
        <f>I202/'INCOME STMT STATS'!I522</f>
        <v>0.23</v>
      </c>
      <c r="AG244" s="141">
        <f>K202/'INCOME STMT STATS'!K522</f>
        <v>0.234</v>
      </c>
      <c r="AI244" s="141">
        <f>M202/'INCOME STMT STATS'!M522</f>
        <v>0.245</v>
      </c>
      <c r="AK244" s="141">
        <f>O202/'INCOME STMT STATS'!O522</f>
        <v>0.254</v>
      </c>
      <c r="AM244" s="141">
        <f>Q202/'INCOME STMT STATS'!Q522</f>
        <v>0.244</v>
      </c>
      <c r="AO244" s="141">
        <f>S202/'INCOME STMT STATS'!S522</f>
        <v>0.25</v>
      </c>
      <c r="AQ244" s="141">
        <f>U202/'INCOME STMT STATS'!U522</f>
        <v>0.282</v>
      </c>
    </row>
    <row r="245" spans="1:43" ht="11.25" customHeight="1">
      <c r="A245" s="120"/>
      <c r="B245" s="120"/>
      <c r="C245" s="141"/>
      <c r="D245" s="128"/>
      <c r="E245" s="141"/>
      <c r="F245" s="18"/>
      <c r="G245" s="141"/>
      <c r="I245" s="141"/>
      <c r="K245" s="141"/>
      <c r="M245" s="141"/>
      <c r="O245" s="141"/>
      <c r="Q245" s="141"/>
      <c r="R245" s="141"/>
      <c r="S245" s="141"/>
      <c r="T245" s="141"/>
      <c r="U245" s="141"/>
      <c r="W245" s="120"/>
      <c r="X245" s="120"/>
      <c r="Y245" s="141"/>
      <c r="Z245" s="128"/>
      <c r="AA245" s="141"/>
      <c r="AB245" s="128"/>
      <c r="AC245" s="141"/>
      <c r="AD245" s="120"/>
      <c r="AE245" s="141"/>
      <c r="AG245" s="141"/>
      <c r="AI245" s="141"/>
      <c r="AK245" s="141"/>
      <c r="AM245" s="141"/>
      <c r="AO245" s="141"/>
      <c r="AQ245" s="141"/>
    </row>
    <row r="246" spans="1:43" ht="11.25" customHeight="1">
      <c r="A246" s="129" t="s">
        <v>54</v>
      </c>
      <c r="B246" s="120"/>
      <c r="C246" s="141">
        <f>C204/'INCOME STMT STATS'!C17</f>
        <v>0.294</v>
      </c>
      <c r="D246" s="128"/>
      <c r="E246" s="141">
        <f>E204/'INCOME STMT STATS'!E17</f>
        <v>0.279</v>
      </c>
      <c r="G246" s="141">
        <f>G204/'INCOME STMT STATS'!G17</f>
        <v>0.319</v>
      </c>
      <c r="I246" s="141" t="s">
        <v>85</v>
      </c>
      <c r="K246" s="141" t="s">
        <v>85</v>
      </c>
      <c r="M246" s="141" t="s">
        <v>85</v>
      </c>
      <c r="O246" s="141" t="s">
        <v>85</v>
      </c>
      <c r="Q246" s="141" t="s">
        <v>85</v>
      </c>
      <c r="R246" s="141"/>
      <c r="S246" s="141" t="s">
        <v>85</v>
      </c>
      <c r="T246" s="141"/>
      <c r="U246" s="141" t="s">
        <v>85</v>
      </c>
      <c r="W246" s="129" t="s">
        <v>54</v>
      </c>
      <c r="X246" s="120"/>
      <c r="Y246" s="141">
        <f>C204/'INCOME STMT STATS'!C524</f>
        <v>0.26</v>
      </c>
      <c r="Z246" s="128"/>
      <c r="AA246" s="141">
        <f>E204/'INCOME STMT STATS'!E524</f>
        <v>0.246</v>
      </c>
      <c r="AB246" s="128"/>
      <c r="AC246" s="141">
        <f>G204/'INCOME STMT STATS'!G524</f>
        <v>0.248</v>
      </c>
      <c r="AD246" s="120"/>
      <c r="AE246" s="141" t="s">
        <v>85</v>
      </c>
      <c r="AG246" s="141" t="s">
        <v>85</v>
      </c>
      <c r="AI246" s="141" t="s">
        <v>85</v>
      </c>
      <c r="AK246" s="141" t="s">
        <v>85</v>
      </c>
      <c r="AM246" s="141" t="s">
        <v>85</v>
      </c>
      <c r="AO246" s="141" t="s">
        <v>85</v>
      </c>
      <c r="AQ246" s="141" t="s">
        <v>85</v>
      </c>
    </row>
    <row r="247" spans="1:43" ht="11.25" customHeight="1">
      <c r="A247" s="120"/>
      <c r="B247" s="120"/>
      <c r="C247" s="141"/>
      <c r="D247" s="128"/>
      <c r="E247" s="141"/>
      <c r="F247" s="18"/>
      <c r="G247" s="141"/>
      <c r="I247" s="141"/>
      <c r="K247" s="141"/>
      <c r="M247" s="141"/>
      <c r="O247" s="141"/>
      <c r="Q247" s="141"/>
      <c r="R247" s="141"/>
      <c r="S247" s="141"/>
      <c r="T247" s="141"/>
      <c r="U247" s="141"/>
      <c r="W247" s="120"/>
      <c r="X247" s="120"/>
      <c r="Y247" s="141"/>
      <c r="Z247" s="128"/>
      <c r="AA247" s="141"/>
      <c r="AB247" s="128"/>
      <c r="AC247" s="141"/>
      <c r="AD247" s="120"/>
      <c r="AE247" s="141"/>
      <c r="AG247" s="141"/>
      <c r="AI247" s="141"/>
      <c r="AK247" s="141"/>
      <c r="AM247" s="141"/>
      <c r="AO247" s="141"/>
      <c r="AQ247" s="141"/>
    </row>
    <row r="248" spans="1:43" ht="11.25" customHeight="1">
      <c r="A248" s="118" t="s">
        <v>3</v>
      </c>
      <c r="B248" s="120"/>
      <c r="C248" s="141">
        <f>C206/'INCOME STMT STATS'!C19</f>
        <v>0.234</v>
      </c>
      <c r="D248" s="128"/>
      <c r="E248" s="141">
        <f>E206/'INCOME STMT STATS'!E19</f>
        <v>0.237</v>
      </c>
      <c r="F248" s="18"/>
      <c r="G248" s="141">
        <f>G206/'INCOME STMT STATS'!G19</f>
        <v>0.265</v>
      </c>
      <c r="I248" s="141">
        <f>I206/'INCOME STMT STATS'!I19</f>
        <v>0.296</v>
      </c>
      <c r="K248" s="141">
        <f>K206/'INCOME STMT STATS'!K19</f>
        <v>0.344</v>
      </c>
      <c r="M248" s="141">
        <f>M206/'INCOME STMT STATS'!M19</f>
        <v>0.338</v>
      </c>
      <c r="O248" s="141">
        <f>O206/'INCOME STMT STATS'!O19</f>
        <v>0.354</v>
      </c>
      <c r="Q248" s="141">
        <f>Q206/'INCOME STMT STATS'!Q19</f>
        <v>0.364</v>
      </c>
      <c r="R248" s="141"/>
      <c r="S248" s="141">
        <f>S206/'INCOME STMT STATS'!S19</f>
        <v>0.352</v>
      </c>
      <c r="T248" s="141"/>
      <c r="U248" s="141">
        <f>U206/'INCOME STMT STATS'!U19</f>
        <v>0.365</v>
      </c>
      <c r="W248" s="118" t="s">
        <v>3</v>
      </c>
      <c r="X248" s="120"/>
      <c r="Y248" s="141">
        <f>C206/'INCOME STMT STATS'!C526</f>
        <v>0.208</v>
      </c>
      <c r="Z248" s="128"/>
      <c r="AA248" s="141">
        <f>E206/'INCOME STMT STATS'!E526</f>
        <v>0.209</v>
      </c>
      <c r="AB248" s="128"/>
      <c r="AC248" s="141">
        <f>G206/'INCOME STMT STATS'!G526</f>
        <v>0.212</v>
      </c>
      <c r="AD248" s="120"/>
      <c r="AE248" s="141">
        <f>I206/'INCOME STMT STATS'!I526</f>
        <v>0.231</v>
      </c>
      <c r="AG248" s="141">
        <f>K206/'INCOME STMT STATS'!K526</f>
        <v>0.26</v>
      </c>
      <c r="AI248" s="141">
        <f>M206/'INCOME STMT STATS'!M526</f>
        <v>0.258</v>
      </c>
      <c r="AK248" s="141">
        <f>O206/'INCOME STMT STATS'!O526</f>
        <v>0.267</v>
      </c>
      <c r="AM248" s="141">
        <f>Q206/'INCOME STMT STATS'!Q526</f>
        <v>0.273</v>
      </c>
      <c r="AO248" s="141">
        <f>S206/'INCOME STMT STATS'!S526</f>
        <v>0.266</v>
      </c>
      <c r="AQ248" s="141">
        <f>U206/'INCOME STMT STATS'!U526</f>
        <v>0.273</v>
      </c>
    </row>
    <row r="249" spans="1:43" ht="11.25" customHeight="1">
      <c r="A249" s="120"/>
      <c r="B249" s="120"/>
      <c r="C249" s="141"/>
      <c r="D249" s="128"/>
      <c r="E249" s="141"/>
      <c r="F249" s="18"/>
      <c r="G249" s="141"/>
      <c r="I249" s="141"/>
      <c r="K249" s="141"/>
      <c r="M249" s="141"/>
      <c r="O249" s="141"/>
      <c r="Q249" s="141"/>
      <c r="R249" s="141"/>
      <c r="S249" s="141"/>
      <c r="T249" s="141"/>
      <c r="U249" s="141"/>
      <c r="W249" s="120"/>
      <c r="X249" s="120"/>
      <c r="Y249" s="141"/>
      <c r="Z249" s="128"/>
      <c r="AA249" s="141"/>
      <c r="AB249" s="128"/>
      <c r="AC249" s="141"/>
      <c r="AD249" s="120"/>
      <c r="AE249" s="141"/>
      <c r="AG249" s="141"/>
      <c r="AI249" s="141"/>
      <c r="AK249" s="141"/>
      <c r="AM249" s="141"/>
      <c r="AO249" s="141"/>
      <c r="AQ249" s="141"/>
    </row>
    <row r="250" spans="1:43" ht="11.25" customHeight="1">
      <c r="A250" s="118" t="s">
        <v>4</v>
      </c>
      <c r="B250" s="120"/>
      <c r="C250" s="141">
        <f>C208/'INCOME STMT STATS'!C21</f>
        <v>0.287</v>
      </c>
      <c r="D250" s="128"/>
      <c r="E250" s="141">
        <f>E208/'INCOME STMT STATS'!E21</f>
        <v>0.262</v>
      </c>
      <c r="F250" s="18"/>
      <c r="G250" s="141">
        <f>G208/'INCOME STMT STATS'!G21</f>
        <v>0.31</v>
      </c>
      <c r="I250" s="141">
        <f>I208/'INCOME STMT STATS'!I21</f>
        <v>0.279</v>
      </c>
      <c r="K250" s="141">
        <f>K208/'INCOME STMT STATS'!K21</f>
        <v>0.314</v>
      </c>
      <c r="M250" s="141">
        <f>M208/'INCOME STMT STATS'!M21</f>
        <v>0.327</v>
      </c>
      <c r="O250" s="141">
        <f>O208/'INCOME STMT STATS'!O21</f>
        <v>0.436</v>
      </c>
      <c r="Q250" s="141">
        <f>Q208/'INCOME STMT STATS'!Q21</f>
        <v>0.445</v>
      </c>
      <c r="R250" s="141"/>
      <c r="S250" s="141">
        <f>S208/'INCOME STMT STATS'!S21</f>
        <v>0.439</v>
      </c>
      <c r="T250" s="141"/>
      <c r="U250" s="141">
        <f>U208/'INCOME STMT STATS'!U21</f>
        <v>0.492</v>
      </c>
      <c r="W250" s="118" t="s">
        <v>4</v>
      </c>
      <c r="X250" s="120"/>
      <c r="Y250" s="141">
        <f>C208/'INCOME STMT STATS'!C528</f>
        <v>0.259</v>
      </c>
      <c r="Z250" s="128"/>
      <c r="AA250" s="141">
        <f>E208/'INCOME STMT STATS'!E528</f>
        <v>0.236</v>
      </c>
      <c r="AB250" s="128"/>
      <c r="AC250" s="141">
        <f>G208/'INCOME STMT STATS'!G528</f>
        <v>0.239</v>
      </c>
      <c r="AD250" s="120"/>
      <c r="AE250" s="141">
        <f>I208/'INCOME STMT STATS'!I528</f>
        <v>0.221</v>
      </c>
      <c r="AG250" s="141">
        <f>K208/'INCOME STMT STATS'!K528</f>
        <v>0.242</v>
      </c>
      <c r="AI250" s="141">
        <f>M208/'INCOME STMT STATS'!M528</f>
        <v>0.25</v>
      </c>
      <c r="AK250" s="141">
        <f>O208/'INCOME STMT STATS'!O528</f>
        <v>0.322</v>
      </c>
      <c r="AM250" s="141">
        <f>Q208/'INCOME STMT STATS'!Q528</f>
        <v>0.33</v>
      </c>
      <c r="AO250" s="141">
        <f>S208/'INCOME STMT STATS'!S528</f>
        <v>0.329</v>
      </c>
      <c r="AQ250" s="141">
        <f>U208/'INCOME STMT STATS'!U528</f>
        <v>0.344</v>
      </c>
    </row>
    <row r="251" spans="1:43" ht="11.25" customHeight="1">
      <c r="A251" s="120"/>
      <c r="B251" s="120"/>
      <c r="C251" s="141"/>
      <c r="D251" s="128"/>
      <c r="E251" s="141"/>
      <c r="F251" s="18"/>
      <c r="G251" s="141"/>
      <c r="I251" s="141"/>
      <c r="K251" s="141"/>
      <c r="M251" s="141"/>
      <c r="O251" s="141"/>
      <c r="Q251" s="141"/>
      <c r="R251" s="141"/>
      <c r="S251" s="141"/>
      <c r="T251" s="141"/>
      <c r="U251" s="141"/>
      <c r="W251" s="120"/>
      <c r="X251" s="120"/>
      <c r="Y251" s="141"/>
      <c r="Z251" s="128"/>
      <c r="AA251" s="141"/>
      <c r="AB251" s="128"/>
      <c r="AC251" s="141"/>
      <c r="AD251" s="120"/>
      <c r="AE251" s="141"/>
      <c r="AG251" s="141"/>
      <c r="AI251" s="141"/>
      <c r="AK251" s="141"/>
      <c r="AM251" s="141"/>
      <c r="AO251" s="141"/>
      <c r="AQ251" s="141"/>
    </row>
    <row r="252" spans="1:43" ht="11.25" customHeight="1">
      <c r="A252" s="118" t="s">
        <v>91</v>
      </c>
      <c r="B252" s="120"/>
      <c r="C252" s="141">
        <f>C210/'INCOME STMT STATS'!C23</f>
        <v>0.293</v>
      </c>
      <c r="D252" s="128"/>
      <c r="E252" s="141">
        <f>E210/'INCOME STMT STATS'!E23</f>
        <v>0.282</v>
      </c>
      <c r="F252" s="18"/>
      <c r="G252" s="141">
        <f>G210/'INCOME STMT STATS'!G23</f>
        <v>0.299</v>
      </c>
      <c r="I252" s="141">
        <f>I210/'INCOME STMT STATS'!I23</f>
        <v>0.326</v>
      </c>
      <c r="K252" s="141">
        <f>K210/'INCOME STMT STATS'!K23</f>
        <v>0.329</v>
      </c>
      <c r="M252" s="141">
        <f>M210/'INCOME STMT STATS'!M23</f>
        <v>0.344</v>
      </c>
      <c r="O252" s="141">
        <f>O210/'INCOME STMT STATS'!O23</f>
        <v>0.317</v>
      </c>
      <c r="Q252" s="141" t="s">
        <v>85</v>
      </c>
      <c r="R252" s="141"/>
      <c r="S252" s="141" t="s">
        <v>85</v>
      </c>
      <c r="T252" s="141"/>
      <c r="U252" s="141" t="s">
        <v>85</v>
      </c>
      <c r="W252" s="118" t="s">
        <v>90</v>
      </c>
      <c r="X252" s="120"/>
      <c r="Y252" s="141">
        <f>C210/'INCOME STMT STATS'!C530</f>
        <v>0.267</v>
      </c>
      <c r="Z252" s="128"/>
      <c r="AA252" s="141">
        <f>E210/'INCOME STMT STATS'!E530</f>
        <v>0.256</v>
      </c>
      <c r="AB252" s="128"/>
      <c r="AC252" s="141">
        <f>G210/'INCOME STMT STATS'!G530</f>
        <v>0.236</v>
      </c>
      <c r="AD252" s="120"/>
      <c r="AE252" s="141">
        <f>I210/'INCOME STMT STATS'!I530</f>
        <v>0.252</v>
      </c>
      <c r="AG252" s="141">
        <f>K210/'INCOME STMT STATS'!K530</f>
        <v>0.254</v>
      </c>
      <c r="AI252" s="141">
        <f>M210/'INCOME STMT STATS'!M530</f>
        <v>0.265</v>
      </c>
      <c r="AK252" s="141">
        <f>O210/'INCOME STMT STATS'!O530</f>
        <v>0.249</v>
      </c>
      <c r="AM252" s="141" t="s">
        <v>85</v>
      </c>
      <c r="AO252" s="141" t="s">
        <v>85</v>
      </c>
      <c r="AQ252" s="141" t="s">
        <v>85</v>
      </c>
    </row>
    <row r="253" spans="1:43" ht="11.25" customHeight="1">
      <c r="A253" s="120"/>
      <c r="B253" s="120"/>
      <c r="C253" s="141"/>
      <c r="D253" s="128"/>
      <c r="E253" s="141"/>
      <c r="F253" s="18"/>
      <c r="G253" s="141"/>
      <c r="I253" s="141"/>
      <c r="K253" s="141"/>
      <c r="M253" s="141"/>
      <c r="O253" s="141"/>
      <c r="Q253" s="141"/>
      <c r="R253" s="141"/>
      <c r="S253" s="141"/>
      <c r="T253" s="141"/>
      <c r="U253" s="141"/>
      <c r="W253" s="120"/>
      <c r="X253" s="120"/>
      <c r="Y253" s="141"/>
      <c r="Z253" s="128"/>
      <c r="AA253" s="141"/>
      <c r="AB253" s="128"/>
      <c r="AC253" s="141"/>
      <c r="AD253" s="120"/>
      <c r="AE253" s="141"/>
      <c r="AG253" s="141"/>
      <c r="AI253" s="141"/>
      <c r="AK253" s="141"/>
      <c r="AM253" s="141"/>
      <c r="AO253" s="141"/>
      <c r="AQ253" s="141"/>
    </row>
    <row r="254" spans="1:43" ht="11.25" customHeight="1">
      <c r="A254" s="118" t="s">
        <v>5</v>
      </c>
      <c r="B254" s="120"/>
      <c r="C254" s="141">
        <f>C212/'INCOME STMT STATS'!C25</f>
        <v>0.269</v>
      </c>
      <c r="D254" s="128"/>
      <c r="E254" s="141">
        <f>E212/'INCOME STMT STATS'!E25</f>
        <v>0.267</v>
      </c>
      <c r="F254" s="18"/>
      <c r="G254" s="141">
        <f>G212/'INCOME STMT STATS'!G25</f>
        <v>0.308</v>
      </c>
      <c r="I254" s="141">
        <f>I212/'INCOME STMT STATS'!I25</f>
        <v>0.322</v>
      </c>
      <c r="K254" s="141">
        <f>K212/'INCOME STMT STATS'!K25</f>
        <v>0.357</v>
      </c>
      <c r="M254" s="141">
        <f>M212/'INCOME STMT STATS'!M25</f>
        <v>0.355</v>
      </c>
      <c r="O254" s="141">
        <f>O212/'INCOME STMT STATS'!O25</f>
        <v>0.381</v>
      </c>
      <c r="Q254" s="141">
        <f>Q212/'INCOME STMT STATS'!Q25</f>
        <v>0.389</v>
      </c>
      <c r="R254" s="141"/>
      <c r="S254" s="141">
        <f>S212/'INCOME STMT STATS'!S25</f>
        <v>0.386</v>
      </c>
      <c r="T254" s="141"/>
      <c r="U254" s="141">
        <f>U212/'INCOME STMT STATS'!U25</f>
        <v>0.45</v>
      </c>
      <c r="W254" s="118" t="s">
        <v>5</v>
      </c>
      <c r="X254" s="120"/>
      <c r="Y254" s="141">
        <f>C212/'INCOME STMT STATS'!C532</f>
        <v>0.242</v>
      </c>
      <c r="Z254" s="128"/>
      <c r="AA254" s="141">
        <f>E212/'INCOME STMT STATS'!E532</f>
        <v>0.239</v>
      </c>
      <c r="AB254" s="128"/>
      <c r="AC254" s="141">
        <f>G212/'INCOME STMT STATS'!G532</f>
        <v>0.237</v>
      </c>
      <c r="AD254" s="120"/>
      <c r="AE254" s="141">
        <f>I212/'INCOME STMT STATS'!I532</f>
        <v>0.245</v>
      </c>
      <c r="AG254" s="141">
        <f>K212/'INCOME STMT STATS'!K532</f>
        <v>0.264</v>
      </c>
      <c r="AI254" s="141">
        <f>M212/'INCOME STMT STATS'!M532</f>
        <v>0.263</v>
      </c>
      <c r="AK254" s="141">
        <f>O212/'INCOME STMT STATS'!O532</f>
        <v>0.278</v>
      </c>
      <c r="AM254" s="141">
        <f>Q212/'INCOME STMT STATS'!Q532</f>
        <v>0.282</v>
      </c>
      <c r="AO254" s="141">
        <f>S212/'INCOME STMT STATS'!S532</f>
        <v>0.281</v>
      </c>
      <c r="AQ254" s="141">
        <f>U212/'INCOME STMT STATS'!U532</f>
        <v>0.312</v>
      </c>
    </row>
    <row r="255" spans="1:43" ht="11.25" customHeight="1">
      <c r="A255" s="120"/>
      <c r="B255" s="120"/>
      <c r="C255" s="141"/>
      <c r="D255" s="128"/>
      <c r="E255" s="141"/>
      <c r="F255" s="18"/>
      <c r="G255" s="141"/>
      <c r="I255" s="141"/>
      <c r="K255" s="141"/>
      <c r="M255" s="141"/>
      <c r="O255" s="141"/>
      <c r="Q255" s="141"/>
      <c r="R255" s="141"/>
      <c r="S255" s="141"/>
      <c r="T255" s="141"/>
      <c r="U255" s="141"/>
      <c r="W255" s="120"/>
      <c r="X255" s="120"/>
      <c r="Y255" s="141"/>
      <c r="Z255" s="128"/>
      <c r="AA255" s="141"/>
      <c r="AB255" s="128"/>
      <c r="AC255" s="141"/>
      <c r="AD255" s="120"/>
      <c r="AE255" s="141"/>
      <c r="AG255" s="141"/>
      <c r="AI255" s="141"/>
      <c r="AK255" s="141"/>
      <c r="AM255" s="141"/>
      <c r="AO255" s="141"/>
      <c r="AQ255" s="141"/>
    </row>
    <row r="256" spans="1:43" ht="11.25" customHeight="1">
      <c r="A256" s="129" t="s">
        <v>6</v>
      </c>
      <c r="B256" s="120"/>
      <c r="C256" s="141">
        <f>C214/'INCOME STMT STATS'!C27</f>
        <v>0.239</v>
      </c>
      <c r="D256" s="128"/>
      <c r="E256" s="141">
        <f>E214/'INCOME STMT STATS'!E27</f>
        <v>0.219</v>
      </c>
      <c r="F256" s="18"/>
      <c r="G256" s="141">
        <f>G214/'INCOME STMT STATS'!G27</f>
        <v>0.24</v>
      </c>
      <c r="I256" s="141">
        <f>I214/'INCOME STMT STATS'!I27</f>
        <v>0.239</v>
      </c>
      <c r="K256" s="141">
        <f>K214/'INCOME STMT STATS'!K27</f>
        <v>0.246</v>
      </c>
      <c r="M256" s="141">
        <f>M214/'INCOME STMT STATS'!M27</f>
        <v>0.264</v>
      </c>
      <c r="O256" s="141">
        <f>O214/'INCOME STMT STATS'!O27</f>
        <v>0.278</v>
      </c>
      <c r="Q256" s="141">
        <f>Q214/'INCOME STMT STATS'!Q27</f>
        <v>0.298</v>
      </c>
      <c r="R256" s="141"/>
      <c r="S256" s="141">
        <f>S214/'INCOME STMT STATS'!S27</f>
        <v>0.351</v>
      </c>
      <c r="T256" s="141"/>
      <c r="U256" s="141">
        <f>U214/'INCOME STMT STATS'!U27</f>
        <v>0.387</v>
      </c>
      <c r="W256" s="129" t="s">
        <v>6</v>
      </c>
      <c r="X256" s="120"/>
      <c r="Y256" s="141">
        <f>C214/'INCOME STMT STATS'!C534</f>
        <v>0.211</v>
      </c>
      <c r="Z256" s="128"/>
      <c r="AA256" s="141">
        <f>E214/'INCOME STMT STATS'!E534</f>
        <v>0.194</v>
      </c>
      <c r="AB256" s="128"/>
      <c r="AC256" s="141">
        <f>G214/'INCOME STMT STATS'!G534</f>
        <v>0.197</v>
      </c>
      <c r="AD256" s="120"/>
      <c r="AE256" s="141">
        <f>I214/'INCOME STMT STATS'!I534</f>
        <v>0.196</v>
      </c>
      <c r="AG256" s="141">
        <f>K214/'INCOME STMT STATS'!K534</f>
        <v>0.201</v>
      </c>
      <c r="AI256" s="141">
        <f>M214/'INCOME STMT STATS'!M534</f>
        <v>0.214</v>
      </c>
      <c r="AK256" s="141">
        <f>O214/'INCOME STMT STATS'!O534</f>
        <v>0.223</v>
      </c>
      <c r="AM256" s="141">
        <f>Q214/'INCOME STMT STATS'!Q534</f>
        <v>0.235</v>
      </c>
      <c r="AO256" s="141">
        <f>S214/'INCOME STMT STATS'!S534</f>
        <v>0.267</v>
      </c>
      <c r="AQ256" s="141">
        <f>U214/'INCOME STMT STATS'!U534</f>
        <v>0.286</v>
      </c>
    </row>
    <row r="257" spans="1:43" ht="11.25" customHeight="1">
      <c r="A257" s="118"/>
      <c r="B257" s="120"/>
      <c r="C257" s="141"/>
      <c r="D257" s="128"/>
      <c r="E257" s="141"/>
      <c r="F257" s="18"/>
      <c r="G257" s="141"/>
      <c r="I257" s="141"/>
      <c r="K257" s="141"/>
      <c r="M257" s="141"/>
      <c r="O257" s="141"/>
      <c r="Q257" s="141"/>
      <c r="R257" s="141"/>
      <c r="S257" s="141"/>
      <c r="T257" s="141"/>
      <c r="U257" s="141"/>
      <c r="W257" s="118"/>
      <c r="X257" s="120"/>
      <c r="Y257" s="141"/>
      <c r="Z257" s="128"/>
      <c r="AA257" s="141"/>
      <c r="AB257" s="128"/>
      <c r="AC257" s="141"/>
      <c r="AD257" s="120"/>
      <c r="AE257" s="141"/>
      <c r="AG257" s="141"/>
      <c r="AI257" s="141"/>
      <c r="AK257" s="141"/>
      <c r="AM257" s="141"/>
      <c r="AO257" s="141"/>
      <c r="AQ257" s="141"/>
    </row>
    <row r="258" spans="1:43" ht="11.25" customHeight="1">
      <c r="A258" s="118" t="s">
        <v>24</v>
      </c>
      <c r="B258" s="120"/>
      <c r="C258" s="141">
        <f>C216/'INCOME STMT STATS'!C29</f>
        <v>0.263</v>
      </c>
      <c r="D258" s="128"/>
      <c r="E258" s="141">
        <f>E216/'INCOME STMT STATS'!E29</f>
        <v>0.274</v>
      </c>
      <c r="F258" s="18"/>
      <c r="G258" s="141">
        <f>G216/'INCOME STMT STATS'!G29</f>
        <v>0.292</v>
      </c>
      <c r="I258" s="141">
        <f>I216/'INCOME STMT STATS'!I29</f>
        <v>0.295</v>
      </c>
      <c r="K258" s="141">
        <f>K216/'INCOME STMT STATS'!K29</f>
        <v>0.32</v>
      </c>
      <c r="M258" s="141">
        <f>M216/'INCOME STMT STATS'!M29</f>
        <v>0.32</v>
      </c>
      <c r="O258" s="141">
        <f>O216/'INCOME STMT STATS'!O29</f>
        <v>0.335</v>
      </c>
      <c r="Q258" s="141">
        <f>Q216/'INCOME STMT STATS'!Q29</f>
        <v>0.38</v>
      </c>
      <c r="R258" s="141"/>
      <c r="S258" s="141">
        <f>S216/'INCOME STMT STATS'!S29</f>
        <v>0.397</v>
      </c>
      <c r="T258" s="141"/>
      <c r="U258" s="141">
        <f>U216/'INCOME STMT STATS'!U29</f>
        <v>0.368</v>
      </c>
      <c r="W258" s="118" t="s">
        <v>24</v>
      </c>
      <c r="X258" s="120"/>
      <c r="Y258" s="141">
        <f>C216/'INCOME STMT STATS'!C536</f>
        <v>0.234</v>
      </c>
      <c r="Z258" s="128"/>
      <c r="AA258" s="141">
        <f>E216/'INCOME STMT STATS'!E536</f>
        <v>0.243</v>
      </c>
      <c r="AB258" s="128"/>
      <c r="AC258" s="141">
        <f>G216/'INCOME STMT STATS'!G536</f>
        <v>0.23</v>
      </c>
      <c r="AD258" s="120"/>
      <c r="AE258" s="141">
        <f>I216/'INCOME STMT STATS'!I536</f>
        <v>0.231</v>
      </c>
      <c r="AG258" s="141">
        <f>K216/'INCOME STMT STATS'!K536</f>
        <v>0.246</v>
      </c>
      <c r="AI258" s="141">
        <f>M216/'INCOME STMT STATS'!M536</f>
        <v>0.251</v>
      </c>
      <c r="AK258" s="141">
        <f>O216/'INCOME STMT STATS'!O536</f>
        <v>0.26</v>
      </c>
      <c r="AM258" s="141">
        <f>Q216/'INCOME STMT STATS'!Q536</f>
        <v>0.289</v>
      </c>
      <c r="AO258" s="141">
        <f>S216/'INCOME STMT STATS'!S536</f>
        <v>0.3</v>
      </c>
      <c r="AQ258" s="141">
        <f>U216/'INCOME STMT STATS'!U536</f>
        <v>0.279</v>
      </c>
    </row>
    <row r="259" spans="1:43" ht="11.25" customHeight="1">
      <c r="A259" s="118"/>
      <c r="B259" s="120"/>
      <c r="C259" s="141"/>
      <c r="D259" s="128"/>
      <c r="E259" s="141"/>
      <c r="F259" s="18"/>
      <c r="G259" s="141"/>
      <c r="I259" s="141"/>
      <c r="K259" s="141"/>
      <c r="M259" s="141"/>
      <c r="O259" s="141"/>
      <c r="Q259" s="141"/>
      <c r="R259" s="141"/>
      <c r="S259" s="141"/>
      <c r="T259" s="141"/>
      <c r="U259" s="141"/>
      <c r="W259" s="118"/>
      <c r="X259" s="120"/>
      <c r="Y259" s="141"/>
      <c r="Z259" s="128"/>
      <c r="AA259" s="141"/>
      <c r="AB259" s="128"/>
      <c r="AC259" s="141"/>
      <c r="AD259" s="120"/>
      <c r="AE259" s="141"/>
      <c r="AG259" s="141"/>
      <c r="AI259" s="141"/>
      <c r="AK259" s="141"/>
      <c r="AM259" s="141"/>
      <c r="AO259" s="141"/>
      <c r="AQ259" s="141"/>
    </row>
    <row r="260" spans="1:43" ht="11.25" customHeight="1">
      <c r="A260" s="118" t="s">
        <v>7</v>
      </c>
      <c r="B260" s="120"/>
      <c r="C260" s="141">
        <f>C218/'INCOME STMT STATS'!C31</f>
        <v>0.306</v>
      </c>
      <c r="D260" s="128"/>
      <c r="E260" s="141">
        <f>E218/'INCOME STMT STATS'!E31</f>
        <v>0.287</v>
      </c>
      <c r="F260" s="18"/>
      <c r="G260" s="141">
        <f>G218/'INCOME STMT STATS'!G31</f>
        <v>0.296</v>
      </c>
      <c r="I260" s="141">
        <f>I218/'INCOME STMT STATS'!I31</f>
        <v>0.322</v>
      </c>
      <c r="K260" s="141">
        <f>K218/'INCOME STMT STATS'!K31</f>
        <v>0.371</v>
      </c>
      <c r="M260" s="141">
        <f>M218/'INCOME STMT STATS'!M31</f>
        <v>0.422</v>
      </c>
      <c r="O260" s="141">
        <f>O218/'INCOME STMT STATS'!O31</f>
        <v>0.379</v>
      </c>
      <c r="Q260" s="141">
        <f>Q218/'INCOME STMT STATS'!Q31</f>
        <v>0.362</v>
      </c>
      <c r="R260" s="141"/>
      <c r="S260" s="141">
        <f>S218/'INCOME STMT STATS'!S31</f>
        <v>0.357</v>
      </c>
      <c r="T260" s="141"/>
      <c r="U260" s="141">
        <f>U218/'INCOME STMT STATS'!U31</f>
        <v>0.374</v>
      </c>
      <c r="W260" s="118" t="s">
        <v>7</v>
      </c>
      <c r="X260" s="120"/>
      <c r="Y260" s="141">
        <f>C218/'INCOME STMT STATS'!C538</f>
        <v>0.267</v>
      </c>
      <c r="Z260" s="128"/>
      <c r="AA260" s="141">
        <f>E218/'INCOME STMT STATS'!E538</f>
        <v>0.251</v>
      </c>
      <c r="AB260" s="128"/>
      <c r="AC260" s="141">
        <f>G218/'INCOME STMT STATS'!G538</f>
        <v>0.231</v>
      </c>
      <c r="AD260" s="120"/>
      <c r="AE260" s="141">
        <f>I218/'INCOME STMT STATS'!I538</f>
        <v>0.246</v>
      </c>
      <c r="AG260" s="141">
        <f>K218/'INCOME STMT STATS'!K538</f>
        <v>0.274</v>
      </c>
      <c r="AI260" s="141">
        <f>M218/'INCOME STMT STATS'!M538</f>
        <v>0.31</v>
      </c>
      <c r="AK260" s="141">
        <f>O218/'INCOME STMT STATS'!O538</f>
        <v>0.288</v>
      </c>
      <c r="AM260" s="141">
        <f>Q218/'INCOME STMT STATS'!Q538</f>
        <v>0.281</v>
      </c>
      <c r="AO260" s="141">
        <f>S218/'INCOME STMT STATS'!S538</f>
        <v>0.278</v>
      </c>
      <c r="AQ260" s="141">
        <f>U218/'INCOME STMT STATS'!U538</f>
        <v>0.288</v>
      </c>
    </row>
    <row r="261" spans="1:43" ht="11.25" customHeight="1">
      <c r="A261" s="118"/>
      <c r="B261" s="120"/>
      <c r="C261" s="141"/>
      <c r="D261" s="174"/>
      <c r="E261" s="141"/>
      <c r="F261" s="24"/>
      <c r="G261" s="141"/>
      <c r="I261" s="141"/>
      <c r="K261" s="141"/>
      <c r="M261" s="141"/>
      <c r="O261" s="141"/>
      <c r="Q261" s="141"/>
      <c r="R261" s="141"/>
      <c r="S261" s="141"/>
      <c r="T261" s="141"/>
      <c r="U261" s="141"/>
      <c r="W261" s="118"/>
      <c r="X261" s="120"/>
      <c r="Y261" s="141"/>
      <c r="Z261" s="128"/>
      <c r="AA261" s="141"/>
      <c r="AB261" s="128"/>
      <c r="AC261" s="141"/>
      <c r="AD261" s="120"/>
      <c r="AE261" s="141"/>
      <c r="AG261" s="141"/>
      <c r="AI261" s="141"/>
      <c r="AK261" s="141"/>
      <c r="AM261" s="141"/>
      <c r="AO261" s="141"/>
      <c r="AQ261" s="141"/>
    </row>
    <row r="262" spans="1:43" ht="11.25" customHeight="1">
      <c r="A262" s="118" t="s">
        <v>8</v>
      </c>
      <c r="B262" s="120"/>
      <c r="C262" s="141">
        <f>C220/'INCOME STMT STATS'!C33</f>
        <v>0.258</v>
      </c>
      <c r="D262" s="174"/>
      <c r="E262" s="141">
        <f>E220/'INCOME STMT STATS'!E33</f>
        <v>0.261</v>
      </c>
      <c r="F262" s="24"/>
      <c r="G262" s="141">
        <f>G220/'INCOME STMT STATS'!G33</f>
        <v>0.269</v>
      </c>
      <c r="I262" s="141">
        <f>I220/'INCOME STMT STATS'!I33</f>
        <v>0.298</v>
      </c>
      <c r="K262" s="141">
        <f>K220/'INCOME STMT STATS'!K33</f>
        <v>0.322</v>
      </c>
      <c r="M262" s="141">
        <f>M220/'INCOME STMT STATS'!M33</f>
        <v>0.33</v>
      </c>
      <c r="O262" s="141">
        <f>O220/'INCOME STMT STATS'!O33</f>
        <v>0.318</v>
      </c>
      <c r="Q262" s="141">
        <f>Q220/'INCOME STMT STATS'!Q33</f>
        <v>0.325</v>
      </c>
      <c r="R262" s="141"/>
      <c r="S262" s="141">
        <f>S220/'INCOME STMT STATS'!S33</f>
        <v>0.353</v>
      </c>
      <c r="T262" s="141"/>
      <c r="U262" s="141">
        <f>U220/'INCOME STMT STATS'!U33</f>
        <v>0.36</v>
      </c>
      <c r="W262" s="118" t="s">
        <v>8</v>
      </c>
      <c r="X262" s="120"/>
      <c r="Y262" s="141">
        <f>C220/'INCOME STMT STATS'!C540</f>
        <v>0.233</v>
      </c>
      <c r="Z262" s="174"/>
      <c r="AA262" s="141">
        <f>E220/'INCOME STMT STATS'!E540</f>
        <v>0.236</v>
      </c>
      <c r="AB262" s="174"/>
      <c r="AC262" s="141">
        <f>G220/'INCOME STMT STATS'!G540</f>
        <v>0.217</v>
      </c>
      <c r="AD262" s="140"/>
      <c r="AE262" s="141">
        <f>I220/'INCOME STMT STATS'!I540</f>
        <v>0.235</v>
      </c>
      <c r="AF262" s="29"/>
      <c r="AG262" s="141">
        <f>K220/'INCOME STMT STATS'!K540</f>
        <v>0.25</v>
      </c>
      <c r="AI262" s="141">
        <f>M220/'INCOME STMT STATS'!M540</f>
        <v>0.255</v>
      </c>
      <c r="AK262" s="141">
        <f>O220/'INCOME STMT STATS'!O540</f>
        <v>0.25</v>
      </c>
      <c r="AM262" s="141">
        <f>Q220/'INCOME STMT STATS'!Q540</f>
        <v>0.256</v>
      </c>
      <c r="AO262" s="141">
        <f>S220/'INCOME STMT STATS'!S540</f>
        <v>0.272</v>
      </c>
      <c r="AQ262" s="141">
        <f>U220/'INCOME STMT STATS'!U540</f>
        <v>0.275</v>
      </c>
    </row>
    <row r="263" spans="1:43" ht="11.25" customHeight="1">
      <c r="A263" s="118"/>
      <c r="B263" s="120"/>
      <c r="C263" s="141"/>
      <c r="D263" s="140"/>
      <c r="E263" s="141"/>
      <c r="F263" s="29"/>
      <c r="G263" s="141"/>
      <c r="I263" s="141"/>
      <c r="K263" s="141"/>
      <c r="M263" s="141"/>
      <c r="O263" s="141"/>
      <c r="Q263" s="141"/>
      <c r="R263" s="141"/>
      <c r="S263" s="141"/>
      <c r="T263" s="141"/>
      <c r="U263" s="141"/>
      <c r="W263" s="118"/>
      <c r="X263" s="120"/>
      <c r="Y263" s="141"/>
      <c r="Z263" s="140"/>
      <c r="AA263" s="141"/>
      <c r="AB263" s="140"/>
      <c r="AC263" s="141"/>
      <c r="AD263" s="140"/>
      <c r="AE263" s="141"/>
      <c r="AF263" s="29"/>
      <c r="AG263" s="141"/>
      <c r="AI263" s="141"/>
      <c r="AK263" s="141"/>
      <c r="AM263" s="141"/>
      <c r="AO263" s="141"/>
      <c r="AQ263" s="141"/>
    </row>
    <row r="264" spans="1:43" ht="11.25" customHeight="1">
      <c r="A264" s="118" t="s">
        <v>17</v>
      </c>
      <c r="B264" s="120"/>
      <c r="C264" s="141">
        <f>C222/'INCOME STMT STATS'!C35</f>
        <v>0.263</v>
      </c>
      <c r="D264" s="147"/>
      <c r="E264" s="141">
        <f>E222/'INCOME STMT STATS'!E35</f>
        <v>0.258</v>
      </c>
      <c r="F264" s="24"/>
      <c r="G264" s="141">
        <f>G222/'INCOME STMT STATS'!G35</f>
        <v>0.284</v>
      </c>
      <c r="I264" s="141">
        <f>I222/'INCOME STMT STATS'!I35</f>
        <v>0.292</v>
      </c>
      <c r="K264" s="141">
        <f>K222/'INCOME STMT STATS'!K35</f>
        <v>0.313</v>
      </c>
      <c r="M264" s="141">
        <f>M222/'INCOME STMT STATS'!M35</f>
        <v>0.321</v>
      </c>
      <c r="O264" s="141">
        <f>O222/'INCOME STMT STATS'!O35</f>
        <v>0.331</v>
      </c>
      <c r="Q264" s="141">
        <f>Q222/'INCOME STMT STATS'!Q35</f>
        <v>0.338</v>
      </c>
      <c r="R264" s="141"/>
      <c r="S264" s="141">
        <f>S222/'INCOME STMT STATS'!S35</f>
        <v>0.349</v>
      </c>
      <c r="T264" s="141"/>
      <c r="U264" s="141">
        <f>U222/'INCOME STMT STATS'!U35</f>
        <v>0.368</v>
      </c>
      <c r="W264" s="118" t="s">
        <v>17</v>
      </c>
      <c r="X264" s="120"/>
      <c r="Y264" s="141">
        <f>C222/'INCOME STMT STATS'!C542</f>
        <v>0.234</v>
      </c>
      <c r="Z264" s="147"/>
      <c r="AA264" s="141">
        <f>E222/'INCOME STMT STATS'!E542</f>
        <v>0.229</v>
      </c>
      <c r="AB264" s="147"/>
      <c r="AC264" s="141">
        <f>G222/'INCOME STMT STATS'!G542</f>
        <v>0.226</v>
      </c>
      <c r="AD264" s="140"/>
      <c r="AE264" s="141">
        <f>I222/'INCOME STMT STATS'!I542</f>
        <v>0.23</v>
      </c>
      <c r="AF264" s="29"/>
      <c r="AG264" s="141">
        <f>K222/'INCOME STMT STATS'!K542</f>
        <v>0.244</v>
      </c>
      <c r="AI264" s="141">
        <f>M222/'INCOME STMT STATS'!M542</f>
        <v>0.25</v>
      </c>
      <c r="AK264" s="141">
        <f>O222/'INCOME STMT STATS'!O542</f>
        <v>0.257</v>
      </c>
      <c r="AM264" s="141">
        <f>Q222/'INCOME STMT STATS'!Q542</f>
        <v>0.261</v>
      </c>
      <c r="AO264" s="141">
        <f>S222/'INCOME STMT STATS'!S542</f>
        <v>0.267</v>
      </c>
      <c r="AQ264" s="141">
        <f>U222/'INCOME STMT STATS'!U542</f>
        <v>0.277</v>
      </c>
    </row>
    <row r="265" spans="1:33" ht="11.25" customHeight="1">
      <c r="A265" s="118"/>
      <c r="B265" s="120"/>
      <c r="C265" s="143"/>
      <c r="D265" s="140"/>
      <c r="E265" s="143"/>
      <c r="F265" s="29"/>
      <c r="G265" s="29"/>
      <c r="H265" s="29"/>
      <c r="I265" s="29"/>
      <c r="J265" s="29"/>
      <c r="K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</row>
    <row r="266" spans="1:5" ht="11.25" customHeight="1">
      <c r="A266" s="138" t="s">
        <v>75</v>
      </c>
      <c r="B266" s="120"/>
      <c r="C266" s="120"/>
      <c r="D266" s="120"/>
      <c r="E266" s="120"/>
    </row>
    <row r="267" spans="1:23" ht="11.25" customHeight="1">
      <c r="A267" s="118" t="s">
        <v>56</v>
      </c>
      <c r="B267" s="120"/>
      <c r="C267" s="120"/>
      <c r="D267" s="120"/>
      <c r="E267" s="120"/>
      <c r="W267" s="138" t="s">
        <v>75</v>
      </c>
    </row>
    <row r="268" spans="1:23" ht="11.25" customHeight="1">
      <c r="A268" s="118" t="s">
        <v>52</v>
      </c>
      <c r="B268" s="120"/>
      <c r="C268" s="120"/>
      <c r="D268" s="120"/>
      <c r="E268" s="120"/>
      <c r="W268" s="118" t="s">
        <v>56</v>
      </c>
    </row>
    <row r="269" spans="1:23" ht="11.25" customHeight="1">
      <c r="A269" s="118" t="s">
        <v>60</v>
      </c>
      <c r="B269" s="120"/>
      <c r="C269" s="120"/>
      <c r="D269" s="120"/>
      <c r="E269" s="120"/>
      <c r="W269" s="118" t="s">
        <v>52</v>
      </c>
    </row>
    <row r="270" spans="1:23" ht="11.25" customHeight="1">
      <c r="A270" s="118" t="s">
        <v>57</v>
      </c>
      <c r="B270" s="120"/>
      <c r="C270" s="120"/>
      <c r="D270" s="120"/>
      <c r="E270" s="120"/>
      <c r="L270" s="118"/>
      <c r="W270" s="55" t="s">
        <v>80</v>
      </c>
    </row>
    <row r="271" spans="1:23" ht="11.25" customHeight="1">
      <c r="A271" s="118" t="s">
        <v>58</v>
      </c>
      <c r="B271" s="120"/>
      <c r="C271" s="120"/>
      <c r="D271" s="120"/>
      <c r="E271" s="120"/>
      <c r="L271" s="118"/>
      <c r="W271" s="56" t="s">
        <v>87</v>
      </c>
    </row>
    <row r="272" spans="1:23" ht="11.25" customHeight="1">
      <c r="A272" s="120" t="s">
        <v>59</v>
      </c>
      <c r="B272" s="120"/>
      <c r="C272" s="120"/>
      <c r="D272" s="120"/>
      <c r="E272" s="120"/>
      <c r="L272" s="118"/>
      <c r="W272" s="56" t="s">
        <v>93</v>
      </c>
    </row>
    <row r="273" spans="1:12" ht="11.25" customHeight="1">
      <c r="A273" s="55" t="s">
        <v>82</v>
      </c>
      <c r="B273" s="120"/>
      <c r="C273" s="120"/>
      <c r="D273" s="120"/>
      <c r="E273" s="120"/>
      <c r="L273" s="120"/>
    </row>
    <row r="274" spans="1:12" ht="11.25" customHeight="1">
      <c r="A274" s="56" t="s">
        <v>87</v>
      </c>
      <c r="B274" s="120"/>
      <c r="C274" s="120"/>
      <c r="D274" s="120"/>
      <c r="E274" s="120"/>
      <c r="L274" s="120"/>
    </row>
    <row r="275" spans="1:12" ht="11.25" customHeight="1">
      <c r="A275" s="56" t="s">
        <v>92</v>
      </c>
      <c r="B275" s="120"/>
      <c r="C275" s="120"/>
      <c r="D275" s="120"/>
      <c r="E275" s="120"/>
      <c r="L275" s="138"/>
    </row>
    <row r="276" spans="1:12" ht="11.25" customHeight="1">
      <c r="A276" s="56"/>
      <c r="B276" s="120"/>
      <c r="C276" s="120"/>
      <c r="D276" s="120"/>
      <c r="E276" s="120"/>
      <c r="L276" s="138"/>
    </row>
    <row r="277" spans="1:12" ht="11.25" customHeight="1">
      <c r="A277" s="118" t="s">
        <v>0</v>
      </c>
      <c r="B277" s="120"/>
      <c r="C277" s="120"/>
      <c r="D277" s="120"/>
      <c r="E277" s="120"/>
      <c r="L277" s="118"/>
    </row>
    <row r="278" spans="1:5" ht="11.25" customHeight="1">
      <c r="A278" s="118" t="s">
        <v>107</v>
      </c>
      <c r="B278" s="120"/>
      <c r="C278" s="120"/>
      <c r="D278" s="120"/>
      <c r="E278" s="120"/>
    </row>
    <row r="279" spans="1:5" ht="11.25" customHeight="1">
      <c r="A279" s="121" t="str">
        <f>A3</f>
        <v>2000 - 2009</v>
      </c>
      <c r="B279" s="140"/>
      <c r="C279" s="120"/>
      <c r="D279" s="120"/>
      <c r="E279" s="120"/>
    </row>
    <row r="280" spans="1:5" ht="11.25" customHeight="1">
      <c r="A280" s="118" t="s">
        <v>1</v>
      </c>
      <c r="B280" s="126"/>
      <c r="C280" s="120"/>
      <c r="D280" s="120"/>
      <c r="E280" s="120"/>
    </row>
    <row r="281" spans="1:5" ht="11.25" customHeight="1">
      <c r="A281" s="41"/>
      <c r="B281" s="120"/>
      <c r="C281" s="120"/>
      <c r="D281" s="120"/>
      <c r="E281" s="120"/>
    </row>
    <row r="282" spans="1:5" ht="11.25" customHeight="1">
      <c r="A282" s="123"/>
      <c r="B282" s="120"/>
      <c r="C282" s="120"/>
      <c r="D282" s="120"/>
      <c r="E282" s="120"/>
    </row>
    <row r="283" spans="1:5" ht="11.25" customHeight="1">
      <c r="A283" s="123"/>
      <c r="B283" s="120"/>
      <c r="C283" s="120"/>
      <c r="D283" s="120"/>
      <c r="E283" s="120"/>
    </row>
    <row r="284" spans="1:22" ht="11.25" customHeight="1">
      <c r="A284" s="120"/>
      <c r="B284" s="120"/>
      <c r="C284" s="124">
        <v>2000</v>
      </c>
      <c r="D284" s="173"/>
      <c r="E284" s="124">
        <v>2001</v>
      </c>
      <c r="F284" s="29"/>
      <c r="G284" s="124">
        <v>2002</v>
      </c>
      <c r="I284" s="124">
        <v>2003</v>
      </c>
      <c r="K284" s="124">
        <v>2004</v>
      </c>
      <c r="M284" s="124">
        <v>2005</v>
      </c>
      <c r="O284" s="46">
        <v>2006</v>
      </c>
      <c r="P284" s="255"/>
      <c r="Q284" s="46">
        <v>2007</v>
      </c>
      <c r="R284" s="255"/>
      <c r="S284" s="46" t="s">
        <v>110</v>
      </c>
      <c r="T284" s="255"/>
      <c r="U284" s="46">
        <v>2009</v>
      </c>
      <c r="V284" s="255"/>
    </row>
    <row r="285" spans="1:11" ht="11.25" customHeight="1">
      <c r="A285" s="120"/>
      <c r="B285" s="120"/>
      <c r="C285" s="188"/>
      <c r="D285" s="120"/>
      <c r="E285" s="120"/>
      <c r="G285" s="120"/>
      <c r="I285" s="120"/>
      <c r="K285" s="120"/>
    </row>
    <row r="286" spans="1:21" ht="11.25" customHeight="1">
      <c r="A286" s="118" t="s">
        <v>79</v>
      </c>
      <c r="B286" s="120"/>
      <c r="C286" s="188">
        <v>48661</v>
      </c>
      <c r="D286" s="188"/>
      <c r="E286" s="188">
        <f>12451+37219</f>
        <v>49670</v>
      </c>
      <c r="F286" s="188"/>
      <c r="G286" s="188">
        <f>11925+28279</f>
        <v>40204</v>
      </c>
      <c r="H286" s="188"/>
      <c r="I286" s="188">
        <f>11114+25920</f>
        <v>37034</v>
      </c>
      <c r="J286" s="188"/>
      <c r="K286" s="188">
        <f>10830+25879</f>
        <v>36709</v>
      </c>
      <c r="M286" s="188">
        <v>43368</v>
      </c>
      <c r="O286" s="188">
        <f>13777+39868</f>
        <v>53645</v>
      </c>
      <c r="Q286" s="188">
        <f>15112+36195</f>
        <v>51307</v>
      </c>
      <c r="R286" s="188"/>
      <c r="S286" s="188">
        <f>13477+16667</f>
        <v>30144</v>
      </c>
      <c r="T286" s="188"/>
      <c r="U286" s="188">
        <f>4397+6282</f>
        <v>10679</v>
      </c>
    </row>
    <row r="287" spans="1:11" ht="11.25" customHeight="1">
      <c r="A287" s="120"/>
      <c r="B287" s="120"/>
      <c r="C287" s="144"/>
      <c r="D287" s="145"/>
      <c r="E287" s="145"/>
      <c r="G287" s="145"/>
      <c r="I287" s="145"/>
      <c r="K287" s="145"/>
    </row>
    <row r="288" spans="1:21" ht="11.25" customHeight="1">
      <c r="A288" s="118" t="s">
        <v>53</v>
      </c>
      <c r="B288" s="120"/>
      <c r="C288" s="144">
        <v>53418</v>
      </c>
      <c r="D288" s="145"/>
      <c r="E288" s="145">
        <f>12943+32373</f>
        <v>45316</v>
      </c>
      <c r="G288" s="145">
        <f>12850+33998</f>
        <v>46848</v>
      </c>
      <c r="I288" s="145">
        <f>19336+50073</f>
        <v>69409</v>
      </c>
      <c r="K288" s="145">
        <f>18819+52785</f>
        <v>71604</v>
      </c>
      <c r="M288" s="145">
        <f>18164+50203</f>
        <v>68367</v>
      </c>
      <c r="O288" s="145">
        <f>20293+53163</f>
        <v>73456</v>
      </c>
      <c r="Q288" s="145">
        <f>21242+62742</f>
        <v>83984</v>
      </c>
      <c r="R288" s="145"/>
      <c r="S288" s="145">
        <f>17266+53119</f>
        <v>70385</v>
      </c>
      <c r="T288" s="145"/>
      <c r="U288" s="145">
        <f>2744+26051</f>
        <v>28795</v>
      </c>
    </row>
    <row r="289" spans="1:11" ht="11.25" customHeight="1">
      <c r="A289" s="118"/>
      <c r="B289" s="120"/>
      <c r="C289" s="144"/>
      <c r="D289" s="145"/>
      <c r="E289" s="145"/>
      <c r="G289" s="145"/>
      <c r="I289" s="145"/>
      <c r="K289" s="145"/>
    </row>
    <row r="290" spans="1:21" ht="11.25" customHeight="1">
      <c r="A290" s="118" t="s">
        <v>88</v>
      </c>
      <c r="B290" s="120"/>
      <c r="C290" s="141" t="s">
        <v>85</v>
      </c>
      <c r="D290" s="145"/>
      <c r="E290" s="141" t="s">
        <v>85</v>
      </c>
      <c r="G290" s="141" t="s">
        <v>85</v>
      </c>
      <c r="I290" s="145">
        <v>15451</v>
      </c>
      <c r="K290" s="145">
        <v>60798</v>
      </c>
      <c r="M290" s="145">
        <v>58287</v>
      </c>
      <c r="O290" s="145">
        <v>63084</v>
      </c>
      <c r="Q290" s="145">
        <v>61167</v>
      </c>
      <c r="R290" s="145"/>
      <c r="S290" s="145">
        <v>4998</v>
      </c>
      <c r="T290" s="145"/>
      <c r="U290" s="145">
        <v>3730</v>
      </c>
    </row>
    <row r="291" spans="1:11" ht="11.25" customHeight="1">
      <c r="A291" s="120"/>
      <c r="B291" s="120"/>
      <c r="C291" s="144"/>
      <c r="D291" s="145"/>
      <c r="E291" s="145"/>
      <c r="G291" s="145"/>
      <c r="I291" s="145"/>
      <c r="K291" s="145"/>
    </row>
    <row r="292" spans="1:21" ht="11.25" customHeight="1">
      <c r="A292" s="118" t="s">
        <v>2</v>
      </c>
      <c r="B292" s="120"/>
      <c r="C292" s="144">
        <v>46466</v>
      </c>
      <c r="D292" s="145"/>
      <c r="E292" s="145">
        <f>9575+36941</f>
        <v>46516</v>
      </c>
      <c r="G292" s="145">
        <f>10070+39994</f>
        <v>50064</v>
      </c>
      <c r="I292" s="145">
        <f>8276+40916</f>
        <v>49192</v>
      </c>
      <c r="K292" s="145">
        <f>9050+36011</f>
        <v>45061</v>
      </c>
      <c r="M292" s="145">
        <f>11275+39887</f>
        <v>51162</v>
      </c>
      <c r="O292" s="145">
        <f>14670+39554</f>
        <v>54224</v>
      </c>
      <c r="Q292" s="145">
        <f>15917+55750</f>
        <v>71667</v>
      </c>
      <c r="R292" s="145"/>
      <c r="S292" s="145">
        <f>14712+50569</f>
        <v>65281</v>
      </c>
      <c r="T292" s="145"/>
      <c r="U292" s="145">
        <f>2703+33487</f>
        <v>36190</v>
      </c>
    </row>
    <row r="293" spans="1:11" ht="11.25" customHeight="1">
      <c r="A293" s="120"/>
      <c r="B293" s="120"/>
      <c r="C293" s="144"/>
      <c r="D293" s="145"/>
      <c r="E293" s="145"/>
      <c r="G293" s="145"/>
      <c r="I293" s="145"/>
      <c r="K293" s="145"/>
    </row>
    <row r="294" spans="1:21" ht="11.25" customHeight="1">
      <c r="A294" s="129" t="s">
        <v>54</v>
      </c>
      <c r="B294" s="120"/>
      <c r="C294" s="144">
        <v>25301</v>
      </c>
      <c r="D294" s="145"/>
      <c r="E294" s="145">
        <f>4270+6102+5001+5104</f>
        <v>20477</v>
      </c>
      <c r="G294" s="145">
        <f>8959+10602</f>
        <v>19561</v>
      </c>
      <c r="I294" s="141" t="s">
        <v>85</v>
      </c>
      <c r="K294" s="141" t="s">
        <v>85</v>
      </c>
      <c r="M294" s="141" t="s">
        <v>85</v>
      </c>
      <c r="O294" s="141" t="s">
        <v>85</v>
      </c>
      <c r="Q294" s="141" t="s">
        <v>85</v>
      </c>
      <c r="R294" s="141"/>
      <c r="S294" s="141" t="s">
        <v>85</v>
      </c>
      <c r="T294" s="141"/>
      <c r="U294" s="141" t="s">
        <v>85</v>
      </c>
    </row>
    <row r="295" spans="1:11" ht="11.25" customHeight="1">
      <c r="A295" s="120"/>
      <c r="B295" s="120"/>
      <c r="C295" s="144"/>
      <c r="D295" s="145"/>
      <c r="E295" s="145"/>
      <c r="G295" s="145"/>
      <c r="I295" s="145"/>
      <c r="K295" s="145"/>
    </row>
    <row r="296" spans="1:21" ht="11.25" customHeight="1">
      <c r="A296" s="118" t="s">
        <v>3</v>
      </c>
      <c r="B296" s="120"/>
      <c r="C296" s="127">
        <f>64+36944</f>
        <v>37008</v>
      </c>
      <c r="D296" s="145"/>
      <c r="E296" s="145">
        <f>38204</f>
        <v>38204</v>
      </c>
      <c r="G296" s="145">
        <v>41529</v>
      </c>
      <c r="I296" s="145">
        <v>44613</v>
      </c>
      <c r="K296" s="145">
        <f>408+55053</f>
        <v>55461</v>
      </c>
      <c r="M296" s="145">
        <f>1713+54334</f>
        <v>56047</v>
      </c>
      <c r="O296" s="145">
        <f>332+64918</f>
        <v>65250</v>
      </c>
      <c r="Q296" s="145">
        <f>314+61457</f>
        <v>61771</v>
      </c>
      <c r="R296" s="145"/>
      <c r="S296" s="145">
        <f>324+60281</f>
        <v>60605</v>
      </c>
      <c r="T296" s="145"/>
      <c r="U296" s="145">
        <f>170+28939</f>
        <v>29109</v>
      </c>
    </row>
    <row r="297" spans="1:21" ht="11.25" customHeight="1">
      <c r="A297" s="120"/>
      <c r="B297" s="120"/>
      <c r="C297" s="127"/>
      <c r="D297" s="145"/>
      <c r="E297" s="145"/>
      <c r="G297" s="145"/>
      <c r="I297" s="145"/>
      <c r="K297" s="145"/>
      <c r="M297" s="145"/>
      <c r="O297" s="145"/>
      <c r="Q297" s="145"/>
      <c r="R297" s="145"/>
      <c r="S297" s="145"/>
      <c r="T297" s="145"/>
      <c r="U297" s="145"/>
    </row>
    <row r="298" spans="1:21" ht="11.25" customHeight="1">
      <c r="A298" s="118" t="s">
        <v>4</v>
      </c>
      <c r="B298" s="120"/>
      <c r="C298" s="144">
        <v>39705</v>
      </c>
      <c r="D298" s="145"/>
      <c r="E298" s="145">
        <f>11340+22794</f>
        <v>34134</v>
      </c>
      <c r="G298" s="145">
        <f>10124+29485</f>
        <v>39609</v>
      </c>
      <c r="I298" s="145">
        <f>9334+20384</f>
        <v>29718</v>
      </c>
      <c r="K298" s="145">
        <f>9710+27045</f>
        <v>36755</v>
      </c>
      <c r="M298" s="145">
        <f>7712+33072</f>
        <v>40784</v>
      </c>
      <c r="O298" s="145">
        <f>8975+37118</f>
        <v>46093</v>
      </c>
      <c r="Q298" s="145">
        <f>12996+29907</f>
        <v>42903</v>
      </c>
      <c r="R298" s="145"/>
      <c r="S298" s="145">
        <f>4362+11406</f>
        <v>15768</v>
      </c>
      <c r="T298" s="145"/>
      <c r="U298" s="145">
        <f>3634+7631</f>
        <v>11265</v>
      </c>
    </row>
    <row r="299" spans="1:21" ht="11.25" customHeight="1">
      <c r="A299" s="120"/>
      <c r="B299" s="120"/>
      <c r="C299" s="144"/>
      <c r="D299" s="145"/>
      <c r="E299" s="145"/>
      <c r="G299" s="145"/>
      <c r="I299" s="145"/>
      <c r="K299" s="145"/>
      <c r="M299" s="145"/>
      <c r="O299" s="145"/>
      <c r="Q299" s="145"/>
      <c r="R299" s="145"/>
      <c r="S299" s="145"/>
      <c r="T299" s="145"/>
      <c r="U299" s="145"/>
    </row>
    <row r="300" spans="1:21" ht="11.25" customHeight="1">
      <c r="A300" s="118" t="s">
        <v>90</v>
      </c>
      <c r="B300" s="120"/>
      <c r="C300" s="144">
        <v>36983</v>
      </c>
      <c r="D300" s="145"/>
      <c r="E300" s="145">
        <f>11381+24682</f>
        <v>36063</v>
      </c>
      <c r="G300" s="145">
        <f>12014+19337</f>
        <v>31351</v>
      </c>
      <c r="I300" s="145">
        <f>11683+16541</f>
        <v>28224</v>
      </c>
      <c r="K300" s="145">
        <f>10737+19168</f>
        <v>29905</v>
      </c>
      <c r="M300" s="145">
        <f>8835+17704</f>
        <v>26539</v>
      </c>
      <c r="O300" s="145">
        <f>7593+12947</f>
        <v>20540</v>
      </c>
      <c r="Q300" s="141" t="s">
        <v>85</v>
      </c>
      <c r="R300" s="141"/>
      <c r="S300" s="141" t="s">
        <v>85</v>
      </c>
      <c r="T300" s="141"/>
      <c r="U300" s="141" t="s">
        <v>85</v>
      </c>
    </row>
    <row r="301" spans="1:21" ht="11.25" customHeight="1">
      <c r="A301" s="120"/>
      <c r="B301" s="120"/>
      <c r="C301" s="144"/>
      <c r="D301" s="145"/>
      <c r="E301" s="145"/>
      <c r="G301" s="145"/>
      <c r="I301" s="145"/>
      <c r="K301" s="145"/>
      <c r="M301" s="145"/>
      <c r="O301" s="145"/>
      <c r="Q301" s="145"/>
      <c r="R301" s="145"/>
      <c r="S301" s="145"/>
      <c r="T301" s="145"/>
      <c r="U301" s="145"/>
    </row>
    <row r="302" spans="1:21" ht="11.25" customHeight="1">
      <c r="A302" s="118" t="s">
        <v>5</v>
      </c>
      <c r="B302" s="120"/>
      <c r="C302" s="127">
        <f>18301+33510</f>
        <v>51811</v>
      </c>
      <c r="D302" s="145"/>
      <c r="E302" s="145">
        <f>13570+36644</f>
        <v>50214</v>
      </c>
      <c r="G302" s="145">
        <f>11918+36631</f>
        <v>48549</v>
      </c>
      <c r="I302" s="145">
        <f>11084+39926</f>
        <v>51010</v>
      </c>
      <c r="K302" s="145">
        <f>12678+46303</f>
        <v>58981</v>
      </c>
      <c r="M302" s="145">
        <f>15803+42328</f>
        <v>58131</v>
      </c>
      <c r="O302" s="145">
        <f>15480+47666</f>
        <v>63146</v>
      </c>
      <c r="Q302" s="145">
        <f>17108+45600</f>
        <v>62708</v>
      </c>
      <c r="R302" s="145"/>
      <c r="S302" s="145">
        <f>16358+41942</f>
        <v>58300</v>
      </c>
      <c r="T302" s="145"/>
      <c r="U302" s="145">
        <f>5204+16906</f>
        <v>22110</v>
      </c>
    </row>
    <row r="303" spans="1:21" ht="11.25" customHeight="1">
      <c r="A303" s="120"/>
      <c r="B303" s="120"/>
      <c r="C303" s="127"/>
      <c r="D303" s="145"/>
      <c r="E303" s="145"/>
      <c r="G303" s="145"/>
      <c r="I303" s="145"/>
      <c r="K303" s="145"/>
      <c r="M303" s="145"/>
      <c r="O303" s="145"/>
      <c r="Q303" s="145"/>
      <c r="R303" s="145"/>
      <c r="S303" s="145"/>
      <c r="T303" s="145"/>
      <c r="U303" s="145"/>
    </row>
    <row r="304" spans="1:21" ht="11.25" customHeight="1">
      <c r="A304" s="129" t="s">
        <v>6</v>
      </c>
      <c r="B304" s="120"/>
      <c r="C304" s="127">
        <f>17449+22605</f>
        <v>40054</v>
      </c>
      <c r="D304" s="145"/>
      <c r="E304" s="145">
        <f>11807+21968</f>
        <v>33775</v>
      </c>
      <c r="G304" s="145">
        <f>10739+20525</f>
        <v>31264</v>
      </c>
      <c r="I304" s="145">
        <f>9238+18118</f>
        <v>27356</v>
      </c>
      <c r="K304" s="145">
        <f>9273+18030</f>
        <v>27303</v>
      </c>
      <c r="M304" s="145">
        <f>9542+27480</f>
        <v>37022</v>
      </c>
      <c r="O304" s="145">
        <f>8961+36741</f>
        <v>45702</v>
      </c>
      <c r="Q304" s="145">
        <f>12403+35710</f>
        <v>48113</v>
      </c>
      <c r="R304" s="145"/>
      <c r="S304" s="145">
        <f>14148+31707</f>
        <v>45855</v>
      </c>
      <c r="T304" s="145"/>
      <c r="U304" s="145">
        <f>8381+11155</f>
        <v>19536</v>
      </c>
    </row>
    <row r="305" spans="1:21" ht="11.25" customHeight="1">
      <c r="A305" s="120"/>
      <c r="B305" s="120"/>
      <c r="C305" s="127"/>
      <c r="D305" s="145"/>
      <c r="E305" s="145"/>
      <c r="G305" s="145"/>
      <c r="I305" s="145"/>
      <c r="K305" s="145"/>
      <c r="M305" s="145"/>
      <c r="O305" s="145"/>
      <c r="Q305" s="145"/>
      <c r="R305" s="145"/>
      <c r="S305" s="145"/>
      <c r="T305" s="145"/>
      <c r="U305" s="145"/>
    </row>
    <row r="306" spans="1:21" ht="11.25" customHeight="1">
      <c r="A306" s="118" t="s">
        <v>24</v>
      </c>
      <c r="B306" s="120"/>
      <c r="C306" s="127">
        <f>3248+30330</f>
        <v>33578</v>
      </c>
      <c r="D306" s="145"/>
      <c r="E306" s="145">
        <f>2578+35280</f>
        <v>37858</v>
      </c>
      <c r="G306" s="145">
        <f>1937+35981</f>
        <v>37918</v>
      </c>
      <c r="I306" s="145">
        <f>1677+32589</f>
        <v>34266</v>
      </c>
      <c r="K306" s="145">
        <f>1660+37659</f>
        <v>39319</v>
      </c>
      <c r="M306" s="145">
        <f>1483+32357</f>
        <v>33840</v>
      </c>
      <c r="O306" s="145">
        <f>1139+35917</f>
        <v>37056</v>
      </c>
      <c r="Q306" s="145">
        <f>984+34434</f>
        <v>35418</v>
      </c>
      <c r="R306" s="145"/>
      <c r="S306" s="145">
        <f>972+25142</f>
        <v>26114</v>
      </c>
      <c r="T306" s="145"/>
      <c r="U306" s="145">
        <f>851+9491</f>
        <v>10342</v>
      </c>
    </row>
    <row r="307" spans="1:21" ht="11.25" customHeight="1">
      <c r="A307" s="120"/>
      <c r="B307" s="120"/>
      <c r="C307" s="127"/>
      <c r="D307" s="145"/>
      <c r="E307" s="145"/>
      <c r="G307" s="145"/>
      <c r="I307" s="145"/>
      <c r="K307" s="145"/>
      <c r="M307" s="145"/>
      <c r="O307" s="145"/>
      <c r="Q307" s="145"/>
      <c r="R307" s="145"/>
      <c r="S307" s="145"/>
      <c r="T307" s="145"/>
      <c r="U307" s="145"/>
    </row>
    <row r="308" spans="1:21" ht="11.25" customHeight="1">
      <c r="A308" s="118" t="s">
        <v>7</v>
      </c>
      <c r="B308" s="120"/>
      <c r="C308" s="127">
        <f>13894+36557</f>
        <v>50451</v>
      </c>
      <c r="D308" s="145"/>
      <c r="E308" s="145">
        <f>10095+35538</f>
        <v>45633</v>
      </c>
      <c r="G308" s="145">
        <f>11299+33852</f>
        <v>45151</v>
      </c>
      <c r="I308" s="145">
        <f>14214+31639</f>
        <v>45853</v>
      </c>
      <c r="K308" s="145">
        <f>19453+33389</f>
        <v>52842</v>
      </c>
      <c r="M308" s="145">
        <f>19458+29476</f>
        <v>48934</v>
      </c>
      <c r="O308" s="145">
        <f>14436+30932</f>
        <v>45368</v>
      </c>
      <c r="Q308" s="145">
        <f>9090+30334</f>
        <v>39424</v>
      </c>
      <c r="R308" s="145"/>
      <c r="S308" s="145">
        <f>8516+24497</f>
        <v>33013</v>
      </c>
      <c r="T308" s="145"/>
      <c r="U308" s="145">
        <f>7718+11882</f>
        <v>19600</v>
      </c>
    </row>
    <row r="309" spans="1:11" ht="11.25" customHeight="1">
      <c r="A309" s="120"/>
      <c r="B309" s="120"/>
      <c r="C309" s="127"/>
      <c r="D309" s="145"/>
      <c r="E309" s="145"/>
      <c r="G309" s="145"/>
      <c r="I309" s="145"/>
      <c r="K309" s="145"/>
    </row>
    <row r="310" spans="1:21" ht="11.25" customHeight="1">
      <c r="A310" s="118" t="s">
        <v>8</v>
      </c>
      <c r="B310" s="120"/>
      <c r="C310" s="131">
        <f>11209+60268</f>
        <v>71477</v>
      </c>
      <c r="D310" s="147"/>
      <c r="E310" s="148">
        <f>8292+63280</f>
        <v>71572</v>
      </c>
      <c r="F310" s="29"/>
      <c r="G310" s="148">
        <f>7736+55982</f>
        <v>63718</v>
      </c>
      <c r="I310" s="148">
        <f>5658+63592</f>
        <v>69250</v>
      </c>
      <c r="K310" s="148">
        <v>71604</v>
      </c>
      <c r="M310" s="148">
        <f>8492+68674</f>
        <v>77166</v>
      </c>
      <c r="O310" s="148">
        <f>8807+64319</f>
        <v>73126</v>
      </c>
      <c r="Q310" s="148">
        <f>8335+58981</f>
        <v>67316</v>
      </c>
      <c r="R310" s="147"/>
      <c r="S310" s="148">
        <f>8435+56370</f>
        <v>64805</v>
      </c>
      <c r="T310" s="147"/>
      <c r="U310" s="148">
        <f>8551+37641</f>
        <v>46192</v>
      </c>
    </row>
    <row r="311" spans="1:11" ht="11.25" customHeight="1">
      <c r="A311" s="120"/>
      <c r="B311" s="120"/>
      <c r="C311" s="177"/>
      <c r="D311" s="147"/>
      <c r="E311" s="177"/>
      <c r="F311" s="29"/>
      <c r="G311" s="177"/>
      <c r="I311" s="177"/>
      <c r="K311" s="177"/>
    </row>
    <row r="312" spans="1:21" s="38" customFormat="1" ht="11.25" customHeight="1" thickBot="1">
      <c r="A312" s="118" t="s">
        <v>17</v>
      </c>
      <c r="B312" s="178"/>
      <c r="C312" s="179">
        <f>SUM(C286:C310)</f>
        <v>534913</v>
      </c>
      <c r="D312" s="180"/>
      <c r="E312" s="179">
        <f>SUM(E286:E310)</f>
        <v>509432</v>
      </c>
      <c r="F312" s="39"/>
      <c r="G312" s="179">
        <f>SUM(G286:G310)</f>
        <v>495766</v>
      </c>
      <c r="I312" s="179">
        <f>SUM(I286:I310)</f>
        <v>501376</v>
      </c>
      <c r="K312" s="179">
        <f>SUM(K286:K310)</f>
        <v>586342</v>
      </c>
      <c r="M312" s="179">
        <f>SUM(M286:M310)</f>
        <v>599647</v>
      </c>
      <c r="O312" s="179">
        <f>SUM(O286:O310)</f>
        <v>640690</v>
      </c>
      <c r="Q312" s="179">
        <f>SUM(Q286:Q310)</f>
        <v>625778</v>
      </c>
      <c r="R312" s="269"/>
      <c r="S312" s="179">
        <f>SUM(S286:S310)</f>
        <v>475268</v>
      </c>
      <c r="T312" s="269"/>
      <c r="U312" s="179">
        <f>SUM(U286:U310)</f>
        <v>237548</v>
      </c>
    </row>
    <row r="313" spans="1:6" ht="11.25" customHeight="1" thickTop="1">
      <c r="A313" s="120"/>
      <c r="B313" s="120"/>
      <c r="C313" s="129"/>
      <c r="D313" s="139"/>
      <c r="E313" s="129"/>
      <c r="F313" s="28"/>
    </row>
    <row r="314" spans="1:5" ht="11.25" customHeight="1">
      <c r="A314" s="138" t="s">
        <v>75</v>
      </c>
      <c r="B314" s="120"/>
      <c r="C314" s="120"/>
      <c r="D314" s="120"/>
      <c r="E314" s="120"/>
    </row>
    <row r="315" spans="1:5" ht="11.25" customHeight="1">
      <c r="A315" s="118" t="s">
        <v>56</v>
      </c>
      <c r="B315" s="120"/>
      <c r="C315" s="120"/>
      <c r="D315" s="120"/>
      <c r="E315" s="120"/>
    </row>
    <row r="316" spans="1:5" ht="11.25" customHeight="1">
      <c r="A316" s="118" t="s">
        <v>52</v>
      </c>
      <c r="B316" s="120"/>
      <c r="C316" s="120"/>
      <c r="D316" s="120"/>
      <c r="E316" s="120"/>
    </row>
    <row r="317" spans="1:5" ht="11.25" customHeight="1">
      <c r="A317" s="55" t="s">
        <v>80</v>
      </c>
      <c r="B317" s="120"/>
      <c r="C317" s="120"/>
      <c r="D317" s="120"/>
      <c r="E317" s="120"/>
    </row>
    <row r="318" spans="1:5" ht="11.25" customHeight="1">
      <c r="A318" s="56" t="s">
        <v>87</v>
      </c>
      <c r="B318" s="120"/>
      <c r="C318" s="120"/>
      <c r="D318" s="120"/>
      <c r="E318" s="120"/>
    </row>
    <row r="319" spans="1:5" ht="11.25" customHeight="1">
      <c r="A319" s="56" t="s">
        <v>93</v>
      </c>
      <c r="B319" s="120"/>
      <c r="C319" s="120"/>
      <c r="D319" s="120"/>
      <c r="E319" s="120"/>
    </row>
    <row r="320" spans="1:5" ht="11.25" customHeight="1">
      <c r="A320" s="56" t="s">
        <v>115</v>
      </c>
      <c r="B320" s="120"/>
      <c r="C320" s="120"/>
      <c r="D320" s="120"/>
      <c r="E320" s="120"/>
    </row>
    <row r="321" spans="1:5" ht="11.25" customHeight="1">
      <c r="A321" s="56" t="s">
        <v>116</v>
      </c>
      <c r="B321" s="120"/>
      <c r="C321" s="120"/>
      <c r="D321" s="120"/>
      <c r="E321" s="120"/>
    </row>
    <row r="322" spans="1:5" ht="11.25" customHeight="1">
      <c r="A322" s="56"/>
      <c r="B322" s="120"/>
      <c r="C322" s="120"/>
      <c r="D322" s="120"/>
      <c r="E322" s="120"/>
    </row>
    <row r="323" spans="1:5" ht="11.25" customHeight="1">
      <c r="A323" s="56"/>
      <c r="B323" s="120"/>
      <c r="C323" s="120"/>
      <c r="D323" s="120"/>
      <c r="E323" s="120"/>
    </row>
    <row r="324" spans="1:5" ht="11.25" customHeight="1">
      <c r="A324" s="118" t="s">
        <v>0</v>
      </c>
      <c r="B324" s="120"/>
      <c r="C324" s="120"/>
      <c r="D324" s="120"/>
      <c r="E324" s="120"/>
    </row>
    <row r="325" spans="1:5" ht="11.25" customHeight="1">
      <c r="A325" s="118" t="s">
        <v>108</v>
      </c>
      <c r="B325" s="120"/>
      <c r="C325" s="120"/>
      <c r="D325" s="120"/>
      <c r="E325" s="120"/>
    </row>
    <row r="326" spans="1:7" ht="11.25" customHeight="1">
      <c r="A326" s="121" t="str">
        <f>A3</f>
        <v>2000 - 2009</v>
      </c>
      <c r="B326" s="140"/>
      <c r="C326" s="140"/>
      <c r="D326" s="140"/>
      <c r="E326" s="140"/>
      <c r="F326" s="29"/>
      <c r="G326" s="29"/>
    </row>
    <row r="327" spans="1:5" ht="11.25" customHeight="1">
      <c r="A327" s="118"/>
      <c r="B327" s="126"/>
      <c r="C327" s="120"/>
      <c r="D327" s="120"/>
      <c r="E327" s="120"/>
    </row>
    <row r="328" spans="1:5" ht="11.25" customHeight="1">
      <c r="A328" s="123"/>
      <c r="B328" s="120"/>
      <c r="C328" s="120"/>
      <c r="D328" s="120"/>
      <c r="E328" s="120"/>
    </row>
    <row r="329" spans="1:5" ht="11.25" customHeight="1">
      <c r="A329" s="120"/>
      <c r="B329" s="120"/>
      <c r="C329" s="120"/>
      <c r="D329" s="120"/>
      <c r="E329" s="120"/>
    </row>
    <row r="330" spans="1:22" ht="11.25" customHeight="1">
      <c r="A330" s="118"/>
      <c r="B330" s="120"/>
      <c r="C330" s="124">
        <v>2000</v>
      </c>
      <c r="D330" s="173"/>
      <c r="E330" s="124">
        <v>2001</v>
      </c>
      <c r="F330" s="29"/>
      <c r="G330" s="124" t="s">
        <v>51</v>
      </c>
      <c r="I330" s="124">
        <v>2003</v>
      </c>
      <c r="K330" s="124">
        <v>2004</v>
      </c>
      <c r="M330" s="124">
        <v>2005</v>
      </c>
      <c r="O330" s="46">
        <v>2006</v>
      </c>
      <c r="P330" s="255"/>
      <c r="Q330" s="46">
        <v>2007</v>
      </c>
      <c r="R330" s="255"/>
      <c r="S330" s="46" t="s">
        <v>109</v>
      </c>
      <c r="T330" s="255"/>
      <c r="U330" s="46">
        <v>2009</v>
      </c>
      <c r="V330" s="255"/>
    </row>
    <row r="331" spans="1:11" ht="11.25" customHeight="1">
      <c r="A331" s="118"/>
      <c r="B331" s="120"/>
      <c r="C331" s="181"/>
      <c r="D331" s="140"/>
      <c r="E331" s="181"/>
      <c r="F331" s="29"/>
      <c r="G331" s="181"/>
      <c r="I331" s="181"/>
      <c r="K331" s="181"/>
    </row>
    <row r="332" spans="1:21" ht="11.25" customHeight="1">
      <c r="A332" s="118" t="s">
        <v>81</v>
      </c>
      <c r="B332" s="120"/>
      <c r="C332" s="141">
        <f>C286/'INCOME STMT STATS'!C9</f>
        <v>0.141</v>
      </c>
      <c r="D332" s="141"/>
      <c r="E332" s="141">
        <f>E286/'INCOME STMT STATS'!E9</f>
        <v>0.142</v>
      </c>
      <c r="F332" s="30"/>
      <c r="G332" s="141">
        <f>G286/'INCOME STMT STATS'!G9</f>
        <v>0.138</v>
      </c>
      <c r="I332" s="141">
        <f>I286/'INCOME STMT STATS'!I9</f>
        <v>0.125</v>
      </c>
      <c r="K332" s="141">
        <f>K286/'INCOME STMT STATS'!K9</f>
        <v>0.131</v>
      </c>
      <c r="M332" s="141">
        <f>M286/'INCOME STMT STATS'!M9</f>
        <v>0.164</v>
      </c>
      <c r="O332" s="141">
        <f>O286/'INCOME STMT STATS'!O9</f>
        <v>0.182</v>
      </c>
      <c r="Q332" s="141">
        <f>Q286/'INCOME STMT STATS'!Q9</f>
        <v>0.192</v>
      </c>
      <c r="R332" s="141"/>
      <c r="S332" s="141">
        <f>S286/'INCOME STMT STATS'!S9</f>
        <v>0.139</v>
      </c>
      <c r="T332" s="141"/>
      <c r="U332" s="141">
        <f>U286/'INCOME STMT STATS'!U9</f>
        <v>0.065</v>
      </c>
    </row>
    <row r="333" spans="1:21" ht="11.25" customHeight="1">
      <c r="A333" s="120"/>
      <c r="B333" s="120"/>
      <c r="C333" s="141"/>
      <c r="D333" s="128"/>
      <c r="E333" s="141"/>
      <c r="F333" s="23"/>
      <c r="G333" s="141"/>
      <c r="I333" s="141"/>
      <c r="K333" s="141"/>
      <c r="M333" s="141"/>
      <c r="O333" s="141"/>
      <c r="Q333" s="141"/>
      <c r="R333" s="141"/>
      <c r="S333" s="141"/>
      <c r="T333" s="141"/>
      <c r="U333" s="141"/>
    </row>
    <row r="334" spans="1:21" ht="11.25" customHeight="1">
      <c r="A334" s="118" t="s">
        <v>53</v>
      </c>
      <c r="B334" s="120"/>
      <c r="C334" s="141">
        <f>C288/'INCOME STMT STATS'!C11</f>
        <v>0.094</v>
      </c>
      <c r="D334" s="128"/>
      <c r="E334" s="141">
        <f>E288/'INCOME STMT STATS'!E11</f>
        <v>0.079</v>
      </c>
      <c r="F334" s="23"/>
      <c r="G334" s="141">
        <f>G288/'INCOME STMT STATS'!G11</f>
        <v>0.088</v>
      </c>
      <c r="I334" s="141">
        <f>I288/'INCOME STMT STATS'!I11</f>
        <v>0.104</v>
      </c>
      <c r="K334" s="141">
        <f>K288/'INCOME STMT STATS'!K11</f>
        <v>0.113</v>
      </c>
      <c r="M334" s="141">
        <f>M288/'INCOME STMT STATS'!M11</f>
        <v>0.108</v>
      </c>
      <c r="O334" s="141">
        <f>O288/'INCOME STMT STATS'!O11</f>
        <v>0.111</v>
      </c>
      <c r="Q334" s="141">
        <f>Q288/'INCOME STMT STATS'!Q11</f>
        <v>0.135</v>
      </c>
      <c r="R334" s="141"/>
      <c r="S334" s="141">
        <f>S288/'INCOME STMT STATS'!S11</f>
        <v>0.128</v>
      </c>
      <c r="T334" s="141"/>
      <c r="U334" s="141">
        <f>U288/'INCOME STMT STATS'!U11</f>
        <v>0.063</v>
      </c>
    </row>
    <row r="335" spans="1:21" ht="11.25" customHeight="1">
      <c r="A335" s="118"/>
      <c r="B335" s="120"/>
      <c r="C335" s="141"/>
      <c r="D335" s="128"/>
      <c r="E335" s="141"/>
      <c r="F335" s="23"/>
      <c r="G335" s="141"/>
      <c r="I335" s="141"/>
      <c r="K335" s="141"/>
      <c r="M335" s="141"/>
      <c r="O335" s="141"/>
      <c r="Q335" s="141"/>
      <c r="R335" s="141"/>
      <c r="S335" s="141"/>
      <c r="T335" s="141"/>
      <c r="U335" s="141"/>
    </row>
    <row r="336" spans="1:21" ht="11.25" customHeight="1">
      <c r="A336" s="118" t="s">
        <v>86</v>
      </c>
      <c r="B336" s="120"/>
      <c r="C336" s="141" t="s">
        <v>85</v>
      </c>
      <c r="D336" s="128"/>
      <c r="E336" s="141" t="s">
        <v>85</v>
      </c>
      <c r="F336" s="23"/>
      <c r="G336" s="141" t="s">
        <v>85</v>
      </c>
      <c r="I336" s="141">
        <f>I290/'INCOME STMT STATS'!I13</f>
        <v>0.053</v>
      </c>
      <c r="K336" s="141">
        <f>K290/'INCOME STMT STATS'!K13</f>
        <v>0.09</v>
      </c>
      <c r="M336" s="141">
        <f>M290/'INCOME STMT STATS'!M13</f>
        <v>0.076</v>
      </c>
      <c r="O336" s="141">
        <f>O290/'INCOME STMT STATS'!O13</f>
        <v>0.078</v>
      </c>
      <c r="Q336" s="141">
        <f>Q290/'INCOME STMT STATS'!Q13</f>
        <v>0.073</v>
      </c>
      <c r="R336" s="141"/>
      <c r="S336" s="141">
        <f>S290/'INCOME STMT STATS'!S13</f>
        <v>0.006</v>
      </c>
      <c r="T336" s="141"/>
      <c r="U336" s="141">
        <f>U290/'INCOME STMT STATS'!U13</f>
        <v>0.005</v>
      </c>
    </row>
    <row r="337" spans="1:21" ht="11.25" customHeight="1">
      <c r="A337" s="120"/>
      <c r="B337" s="120"/>
      <c r="C337" s="141"/>
      <c r="D337" s="128"/>
      <c r="E337" s="141"/>
      <c r="F337" s="23"/>
      <c r="G337" s="141"/>
      <c r="I337" s="141"/>
      <c r="K337" s="141"/>
      <c r="M337" s="141"/>
      <c r="O337" s="141"/>
      <c r="Q337" s="141"/>
      <c r="R337" s="141"/>
      <c r="S337" s="141"/>
      <c r="T337" s="141"/>
      <c r="U337" s="141"/>
    </row>
    <row r="338" spans="1:21" ht="11.25" customHeight="1">
      <c r="A338" s="118" t="s">
        <v>2</v>
      </c>
      <c r="B338" s="120"/>
      <c r="C338" s="141">
        <f>C292/'INCOME STMT STATS'!C15</f>
        <v>0.089</v>
      </c>
      <c r="D338" s="128"/>
      <c r="E338" s="141">
        <f>E292/'INCOME STMT STATS'!E15</f>
        <v>0.088</v>
      </c>
      <c r="F338" s="23"/>
      <c r="G338" s="141">
        <f>G292/'INCOME STMT STATS'!G15</f>
        <v>0.097</v>
      </c>
      <c r="I338" s="141">
        <f>I292/'INCOME STMT STATS'!I15</f>
        <v>0.097</v>
      </c>
      <c r="K338" s="141">
        <f>K292/'INCOME STMT STATS'!K15</f>
        <v>0.093</v>
      </c>
      <c r="M338" s="141">
        <f>M292/'INCOME STMT STATS'!M15</f>
        <v>0.101</v>
      </c>
      <c r="O338" s="141">
        <f>O292/'INCOME STMT STATS'!O15</f>
        <v>0.102</v>
      </c>
      <c r="Q338" s="141">
        <f>Q292/'INCOME STMT STATS'!Q15</f>
        <v>0.13</v>
      </c>
      <c r="R338" s="141"/>
      <c r="S338" s="141">
        <f>S292/'INCOME STMT STATS'!S15</f>
        <v>0.126</v>
      </c>
      <c r="T338" s="141"/>
      <c r="U338" s="141">
        <f>U292/'INCOME STMT STATS'!U15</f>
        <v>0.084</v>
      </c>
    </row>
    <row r="339" spans="1:21" ht="11.25" customHeight="1">
      <c r="A339" s="120"/>
      <c r="B339" s="120"/>
      <c r="C339" s="141"/>
      <c r="D339" s="128"/>
      <c r="E339" s="141"/>
      <c r="F339" s="23"/>
      <c r="G339" s="141"/>
      <c r="I339" s="141"/>
      <c r="K339" s="141"/>
      <c r="M339" s="141"/>
      <c r="O339" s="141"/>
      <c r="Q339" s="141"/>
      <c r="R339" s="141"/>
      <c r="S339" s="141"/>
      <c r="T339" s="141"/>
      <c r="U339" s="141"/>
    </row>
    <row r="340" spans="1:21" ht="11.25" customHeight="1">
      <c r="A340" s="129" t="s">
        <v>54</v>
      </c>
      <c r="B340" s="120"/>
      <c r="C340" s="141">
        <f>C294/'INCOME STMT STATS'!C17</f>
        <v>0.145</v>
      </c>
      <c r="D340" s="128"/>
      <c r="E340" s="141">
        <f>E294/'INCOME STMT STATS'!E17</f>
        <v>0.123</v>
      </c>
      <c r="G340" s="141">
        <f>G294/'INCOME STMT STATS'!G17</f>
        <v>0.133</v>
      </c>
      <c r="I340" s="141" t="s">
        <v>85</v>
      </c>
      <c r="K340" s="141" t="s">
        <v>85</v>
      </c>
      <c r="M340" s="141" t="s">
        <v>85</v>
      </c>
      <c r="O340" s="141" t="s">
        <v>85</v>
      </c>
      <c r="Q340" s="141" t="s">
        <v>85</v>
      </c>
      <c r="R340" s="141"/>
      <c r="S340" s="141" t="s">
        <v>85</v>
      </c>
      <c r="T340" s="141"/>
      <c r="U340" s="141" t="s">
        <v>85</v>
      </c>
    </row>
    <row r="341" spans="1:21" ht="11.25" customHeight="1">
      <c r="A341" s="120"/>
      <c r="B341" s="120"/>
      <c r="C341" s="141"/>
      <c r="D341" s="128"/>
      <c r="E341" s="141"/>
      <c r="F341" s="23"/>
      <c r="G341" s="141"/>
      <c r="I341" s="141"/>
      <c r="K341" s="141"/>
      <c r="M341" s="141"/>
      <c r="O341" s="141"/>
      <c r="Q341" s="141"/>
      <c r="R341" s="141"/>
      <c r="S341" s="141"/>
      <c r="T341" s="141"/>
      <c r="U341" s="141"/>
    </row>
    <row r="342" spans="1:21" ht="11.25" customHeight="1">
      <c r="A342" s="118" t="s">
        <v>3</v>
      </c>
      <c r="B342" s="120"/>
      <c r="C342" s="141">
        <f>C296/'INCOME STMT STATS'!C19</f>
        <v>0.086</v>
      </c>
      <c r="D342" s="128"/>
      <c r="E342" s="141">
        <f>E296/'INCOME STMT STATS'!E19</f>
        <v>0.088</v>
      </c>
      <c r="F342" s="23"/>
      <c r="G342" s="141">
        <f>G296/'INCOME STMT STATS'!G19</f>
        <v>0.096</v>
      </c>
      <c r="I342" s="141">
        <f>I296/'INCOME STMT STATS'!I19</f>
        <v>0.104</v>
      </c>
      <c r="K342" s="141">
        <f>K296/'INCOME STMT STATS'!K19</f>
        <v>0.132</v>
      </c>
      <c r="M342" s="141">
        <f>M296/'INCOME STMT STATS'!M19</f>
        <v>0.125</v>
      </c>
      <c r="O342" s="141">
        <f>O296/'INCOME STMT STATS'!O19</f>
        <v>0.139</v>
      </c>
      <c r="Q342" s="141">
        <f>Q296/'INCOME STMT STATS'!Q19</f>
        <v>0.125</v>
      </c>
      <c r="R342" s="141"/>
      <c r="S342" s="141">
        <f>S296/'INCOME STMT STATS'!S19</f>
        <v>0.113</v>
      </c>
      <c r="T342" s="141"/>
      <c r="U342" s="141">
        <f>U296/'INCOME STMT STATS'!U19</f>
        <v>0.059</v>
      </c>
    </row>
    <row r="343" spans="1:21" ht="11.25" customHeight="1">
      <c r="A343" s="120"/>
      <c r="B343" s="120"/>
      <c r="C343" s="141"/>
      <c r="D343" s="128"/>
      <c r="E343" s="141"/>
      <c r="F343" s="23"/>
      <c r="G343" s="141"/>
      <c r="I343" s="141"/>
      <c r="K343" s="141"/>
      <c r="M343" s="141"/>
      <c r="O343" s="141"/>
      <c r="Q343" s="141"/>
      <c r="R343" s="141"/>
      <c r="S343" s="141"/>
      <c r="T343" s="141"/>
      <c r="U343" s="141"/>
    </row>
    <row r="344" spans="1:21" ht="11.25" customHeight="1">
      <c r="A344" s="118" t="s">
        <v>4</v>
      </c>
      <c r="B344" s="120"/>
      <c r="C344" s="141">
        <f>C298/'INCOME STMT STATS'!C21</f>
        <v>0.155</v>
      </c>
      <c r="D344" s="128"/>
      <c r="E344" s="141">
        <f>E298/'INCOME STMT STATS'!E21</f>
        <v>0.133</v>
      </c>
      <c r="F344" s="23"/>
      <c r="G344" s="141">
        <f>G298/'INCOME STMT STATS'!G21</f>
        <v>0.169</v>
      </c>
      <c r="I344" s="141">
        <f>I298/'INCOME STMT STATS'!I21</f>
        <v>0.139</v>
      </c>
      <c r="K344" s="141">
        <f>K298/'INCOME STMT STATS'!K21</f>
        <v>0.16</v>
      </c>
      <c r="M344" s="141">
        <f>M298/'INCOME STMT STATS'!M21</f>
        <v>0.166</v>
      </c>
      <c r="O344" s="141">
        <f>O298/'INCOME STMT STATS'!O21</f>
        <v>0.183</v>
      </c>
      <c r="Q344" s="141">
        <f>Q298/'INCOME STMT STATS'!Q21</f>
        <v>0.172</v>
      </c>
      <c r="R344" s="141"/>
      <c r="S344" s="141">
        <f>S298/'INCOME STMT STATS'!S21</f>
        <v>0.075</v>
      </c>
      <c r="T344" s="141"/>
      <c r="U344" s="141">
        <f>U298/'INCOME STMT STATS'!U21</f>
        <v>0.07</v>
      </c>
    </row>
    <row r="345" spans="1:21" ht="11.25" customHeight="1">
      <c r="A345" s="120"/>
      <c r="B345" s="120"/>
      <c r="C345" s="141"/>
      <c r="D345" s="128"/>
      <c r="E345" s="141"/>
      <c r="F345" s="23"/>
      <c r="G345" s="141"/>
      <c r="I345" s="141"/>
      <c r="K345" s="141"/>
      <c r="M345" s="141"/>
      <c r="O345" s="141"/>
      <c r="Q345" s="141"/>
      <c r="R345" s="141"/>
      <c r="S345" s="141"/>
      <c r="T345" s="141"/>
      <c r="U345" s="141"/>
    </row>
    <row r="346" spans="1:21" ht="11.25" customHeight="1">
      <c r="A346" s="118" t="s">
        <v>91</v>
      </c>
      <c r="B346" s="120"/>
      <c r="C346" s="141">
        <f>C300/'INCOME STMT STATS'!C23</f>
        <v>0.149</v>
      </c>
      <c r="D346" s="128"/>
      <c r="E346" s="141">
        <f>E300/'INCOME STMT STATS'!E23</f>
        <v>0.143</v>
      </c>
      <c r="F346" s="23"/>
      <c r="G346" s="141">
        <f>G300/'INCOME STMT STATS'!G23</f>
        <v>0.162</v>
      </c>
      <c r="I346" s="141">
        <f>I300/'INCOME STMT STATS'!I23</f>
        <v>0.166</v>
      </c>
      <c r="K346" s="141">
        <f>K300/'INCOME STMT STATS'!K23</f>
        <v>0.172</v>
      </c>
      <c r="M346" s="141">
        <f>M300/'INCOME STMT STATS'!M23</f>
        <v>0.163</v>
      </c>
      <c r="O346" s="141">
        <f>O300/'INCOME STMT STATS'!O23</f>
        <v>0.148</v>
      </c>
      <c r="Q346" s="141" t="s">
        <v>85</v>
      </c>
      <c r="R346" s="141"/>
      <c r="S346" s="141" t="s">
        <v>85</v>
      </c>
      <c r="T346" s="141"/>
      <c r="U346" s="141" t="s">
        <v>85</v>
      </c>
    </row>
    <row r="347" spans="1:21" ht="11.25" customHeight="1">
      <c r="A347" s="120"/>
      <c r="B347" s="120"/>
      <c r="C347" s="141"/>
      <c r="D347" s="128"/>
      <c r="E347" s="141"/>
      <c r="F347" s="23"/>
      <c r="G347" s="141"/>
      <c r="I347" s="141"/>
      <c r="K347" s="141"/>
      <c r="M347" s="141"/>
      <c r="O347" s="141"/>
      <c r="Q347" s="141"/>
      <c r="R347" s="141"/>
      <c r="S347" s="141"/>
      <c r="T347" s="141"/>
      <c r="U347" s="141"/>
    </row>
    <row r="348" spans="1:21" ht="11.25" customHeight="1">
      <c r="A348" s="118" t="s">
        <v>5</v>
      </c>
      <c r="B348" s="120"/>
      <c r="C348" s="141">
        <f>C302/'INCOME STMT STATS'!C25</f>
        <v>0.142</v>
      </c>
      <c r="D348" s="128"/>
      <c r="E348" s="141">
        <f>E302/'INCOME STMT STATS'!E25</f>
        <v>0.136</v>
      </c>
      <c r="F348" s="23"/>
      <c r="G348" s="141">
        <f>G302/'INCOME STMT STATS'!G25</f>
        <v>0.144</v>
      </c>
      <c r="I348" s="141">
        <f>I302/'INCOME STMT STATS'!I25</f>
        <v>0.148</v>
      </c>
      <c r="K348" s="141">
        <f>K302/'INCOME STMT STATS'!K25</f>
        <v>0.166</v>
      </c>
      <c r="M348" s="141">
        <f>M302/'INCOME STMT STATS'!M25</f>
        <v>0.153</v>
      </c>
      <c r="O348" s="141">
        <f>O302/'INCOME STMT STATS'!O25</f>
        <v>0.161</v>
      </c>
      <c r="Q348" s="141">
        <f>Q302/'INCOME STMT STATS'!Q25</f>
        <v>0.167</v>
      </c>
      <c r="R348" s="141"/>
      <c r="S348" s="141">
        <f>S302/'INCOME STMT STATS'!S25</f>
        <v>0.174</v>
      </c>
      <c r="T348" s="141"/>
      <c r="U348" s="141">
        <f>U302/'INCOME STMT STATS'!U25</f>
        <v>0.078</v>
      </c>
    </row>
    <row r="349" spans="1:21" ht="11.25" customHeight="1">
      <c r="A349" s="120"/>
      <c r="B349" s="120"/>
      <c r="C349" s="141"/>
      <c r="D349" s="128"/>
      <c r="E349" s="141"/>
      <c r="F349" s="23"/>
      <c r="G349" s="141"/>
      <c r="I349" s="141"/>
      <c r="K349" s="141"/>
      <c r="M349" s="141"/>
      <c r="O349" s="141"/>
      <c r="Q349" s="141"/>
      <c r="R349" s="141"/>
      <c r="S349" s="141"/>
      <c r="T349" s="141"/>
      <c r="U349" s="141"/>
    </row>
    <row r="350" spans="1:21" ht="11.25" customHeight="1">
      <c r="A350" s="129" t="s">
        <v>6</v>
      </c>
      <c r="B350" s="120"/>
      <c r="C350" s="141">
        <f>C304/'INCOME STMT STATS'!C27</f>
        <v>0.085</v>
      </c>
      <c r="D350" s="128"/>
      <c r="E350" s="141">
        <f>E304/'INCOME STMT STATS'!E27</f>
        <v>0.074</v>
      </c>
      <c r="F350" s="23"/>
      <c r="G350" s="141">
        <f>G304/'INCOME STMT STATS'!G27</f>
        <v>0.074</v>
      </c>
      <c r="I350" s="141">
        <f>I304/'INCOME STMT STATS'!I27</f>
        <v>0.069</v>
      </c>
      <c r="K350" s="141">
        <f>K304/'INCOME STMT STATS'!K27</f>
        <v>0.071</v>
      </c>
      <c r="M350" s="141">
        <f>M304/'INCOME STMT STATS'!M27</f>
        <v>0.078</v>
      </c>
      <c r="O350" s="141">
        <f>O304/'INCOME STMT STATS'!O27</f>
        <v>0.094</v>
      </c>
      <c r="Q350" s="141">
        <f>Q304/'INCOME STMT STATS'!Q27</f>
        <v>0.111</v>
      </c>
      <c r="R350" s="141"/>
      <c r="S350" s="141">
        <f>S304/'INCOME STMT STATS'!S27</f>
        <v>0.124</v>
      </c>
      <c r="T350" s="141"/>
      <c r="U350" s="141">
        <f>U304/'INCOME STMT STATS'!U27</f>
        <v>0.061</v>
      </c>
    </row>
    <row r="351" spans="1:21" ht="9.75" customHeight="1">
      <c r="A351" s="120"/>
      <c r="B351" s="120"/>
      <c r="C351" s="141"/>
      <c r="D351" s="128"/>
      <c r="E351" s="141"/>
      <c r="F351" s="23"/>
      <c r="G351" s="141"/>
      <c r="I351" s="141"/>
      <c r="K351" s="141"/>
      <c r="M351" s="141"/>
      <c r="O351" s="141"/>
      <c r="Q351" s="141"/>
      <c r="R351" s="141"/>
      <c r="S351" s="141"/>
      <c r="T351" s="141"/>
      <c r="U351" s="141"/>
    </row>
    <row r="352" spans="1:21" ht="11.25" customHeight="1">
      <c r="A352" s="118" t="s">
        <v>24</v>
      </c>
      <c r="B352" s="120"/>
      <c r="C352" s="141">
        <f>C306/'INCOME STMT STATS'!C29</f>
        <v>0.115</v>
      </c>
      <c r="D352" s="128"/>
      <c r="E352" s="141">
        <f>E306/'INCOME STMT STATS'!E29</f>
        <v>0.13</v>
      </c>
      <c r="F352" s="23"/>
      <c r="G352" s="141">
        <f>G306/'INCOME STMT STATS'!G29</f>
        <v>0.14</v>
      </c>
      <c r="I352" s="141">
        <f>I306/'INCOME STMT STATS'!I29</f>
        <v>0.137</v>
      </c>
      <c r="K352" s="141">
        <f>K306/'INCOME STMT STATS'!K29</f>
        <v>0.158</v>
      </c>
      <c r="M352" s="141">
        <f>M306/'INCOME STMT STATS'!M29</f>
        <v>0.14</v>
      </c>
      <c r="O352" s="141">
        <f>O306/'INCOME STMT STATS'!O29</f>
        <v>0.151</v>
      </c>
      <c r="Q352" s="141">
        <f>Q306/'INCOME STMT STATS'!Q29</f>
        <v>0.153</v>
      </c>
      <c r="R352" s="141"/>
      <c r="S352" s="141">
        <f>S306/'INCOME STMT STATS'!S29</f>
        <v>0.134</v>
      </c>
      <c r="T352" s="141"/>
      <c r="U352" s="141">
        <f>U306/'INCOME STMT STATS'!U29</f>
        <v>0.066</v>
      </c>
    </row>
    <row r="353" spans="1:21" ht="11.25" customHeight="1">
      <c r="A353" s="120"/>
      <c r="B353" s="120"/>
      <c r="C353" s="141"/>
      <c r="D353" s="128"/>
      <c r="E353" s="141"/>
      <c r="F353" s="23"/>
      <c r="G353" s="141"/>
      <c r="I353" s="141"/>
      <c r="K353" s="141"/>
      <c r="M353" s="141"/>
      <c r="O353" s="141"/>
      <c r="Q353" s="141"/>
      <c r="R353" s="141"/>
      <c r="S353" s="141"/>
      <c r="T353" s="141"/>
      <c r="U353" s="141"/>
    </row>
    <row r="354" spans="1:21" ht="11.25" customHeight="1">
      <c r="A354" s="118" t="s">
        <v>7</v>
      </c>
      <c r="B354" s="120"/>
      <c r="C354" s="141">
        <f>C308/'INCOME STMT STATS'!C31</f>
        <v>0.146</v>
      </c>
      <c r="D354" s="128"/>
      <c r="E354" s="141">
        <f>E308/'INCOME STMT STATS'!E31</f>
        <v>0.131</v>
      </c>
      <c r="F354" s="23"/>
      <c r="G354" s="141">
        <f>G308/'INCOME STMT STATS'!G31</f>
        <v>0.143</v>
      </c>
      <c r="I354" s="141">
        <f>I308/'INCOME STMT STATS'!I31</f>
        <v>0.157</v>
      </c>
      <c r="K354" s="141">
        <f>K308/'INCOME STMT STATS'!K31</f>
        <v>0.186</v>
      </c>
      <c r="M354" s="141">
        <f>M308/'INCOME STMT STATS'!M31</f>
        <v>0.179</v>
      </c>
      <c r="O354" s="141">
        <f>O308/'INCOME STMT STATS'!O31</f>
        <v>0.163</v>
      </c>
      <c r="Q354" s="141">
        <f>Q308/'INCOME STMT STATS'!Q31</f>
        <v>0.147</v>
      </c>
      <c r="R354" s="141"/>
      <c r="S354" s="141">
        <f>S308/'INCOME STMT STATS'!S31</f>
        <v>0.131</v>
      </c>
      <c r="T354" s="141"/>
      <c r="U354" s="141">
        <f>U308/'INCOME STMT STATS'!U31</f>
        <v>0.1</v>
      </c>
    </row>
    <row r="355" spans="1:21" ht="11.25" customHeight="1">
      <c r="A355" s="120"/>
      <c r="B355" s="120"/>
      <c r="C355" s="141"/>
      <c r="D355" s="128"/>
      <c r="E355" s="141"/>
      <c r="F355" s="23"/>
      <c r="G355" s="141"/>
      <c r="I355" s="141"/>
      <c r="K355" s="141"/>
      <c r="M355" s="141"/>
      <c r="O355" s="141"/>
      <c r="Q355" s="141"/>
      <c r="R355" s="141"/>
      <c r="S355" s="141"/>
      <c r="T355" s="141"/>
      <c r="U355" s="141"/>
    </row>
    <row r="356" spans="1:21" ht="11.25" customHeight="1">
      <c r="A356" s="118" t="s">
        <v>8</v>
      </c>
      <c r="B356" s="120"/>
      <c r="C356" s="141">
        <f>C310/'INCOME STMT STATS'!C33</f>
        <v>0.121</v>
      </c>
      <c r="D356" s="174"/>
      <c r="E356" s="141">
        <f>E310/'INCOME STMT STATS'!E33</f>
        <v>0.125</v>
      </c>
      <c r="F356" s="26"/>
      <c r="G356" s="141">
        <f>G310/'INCOME STMT STATS'!G33</f>
        <v>0.124</v>
      </c>
      <c r="H356" s="29"/>
      <c r="I356" s="141">
        <f>I310/'INCOME STMT STATS'!I33</f>
        <v>0.142</v>
      </c>
      <c r="J356" s="29"/>
      <c r="K356" s="141">
        <f>K310/'INCOME STMT STATS'!K33</f>
        <v>0.152</v>
      </c>
      <c r="M356" s="141">
        <f>M310/'INCOME STMT STATS'!M33</f>
        <v>0.162</v>
      </c>
      <c r="O356" s="141">
        <f>O310/'INCOME STMT STATS'!O33</f>
        <v>0.145</v>
      </c>
      <c r="Q356" s="141">
        <f>Q310/'INCOME STMT STATS'!Q33</f>
        <v>0.138</v>
      </c>
      <c r="R356" s="141"/>
      <c r="S356" s="141">
        <f>S310/'INCOME STMT STATS'!S33</f>
        <v>0.141</v>
      </c>
      <c r="T356" s="141"/>
      <c r="U356" s="141">
        <f>U310/'INCOME STMT STATS'!U33</f>
        <v>0.105</v>
      </c>
    </row>
    <row r="357" spans="1:21" ht="9.75" customHeight="1">
      <c r="A357" s="120"/>
      <c r="B357" s="120"/>
      <c r="C357" s="141"/>
      <c r="D357" s="174"/>
      <c r="E357" s="141"/>
      <c r="F357" s="26"/>
      <c r="G357" s="141"/>
      <c r="H357" s="29"/>
      <c r="I357" s="141"/>
      <c r="J357" s="29"/>
      <c r="K357" s="141"/>
      <c r="M357" s="141"/>
      <c r="O357" s="141"/>
      <c r="Q357" s="141"/>
      <c r="R357" s="141"/>
      <c r="S357" s="141"/>
      <c r="T357" s="141"/>
      <c r="U357" s="141"/>
    </row>
    <row r="358" spans="1:21" ht="11.25" customHeight="1">
      <c r="A358" s="118" t="s">
        <v>17</v>
      </c>
      <c r="B358" s="120"/>
      <c r="C358" s="141">
        <f>C312/'INCOME STMT STATS'!C35</f>
        <v>0.116</v>
      </c>
      <c r="D358" s="174"/>
      <c r="E358" s="141">
        <f>E312/'INCOME STMT STATS'!E35</f>
        <v>0.111</v>
      </c>
      <c r="F358" s="24"/>
      <c r="G358" s="141">
        <f>G312/'INCOME STMT STATS'!G35</f>
        <v>0.118</v>
      </c>
      <c r="H358" s="29"/>
      <c r="I358" s="141">
        <f>I312/'INCOME STMT STATS'!I35</f>
        <v>0.115</v>
      </c>
      <c r="J358" s="29"/>
      <c r="K358" s="141">
        <f>K312/'INCOME STMT STATS'!K35</f>
        <v>0.126</v>
      </c>
      <c r="M358" s="141">
        <f>M312/'INCOME STMT STATS'!M35</f>
        <v>0.123</v>
      </c>
      <c r="O358" s="141">
        <f>O312/'INCOME STMT STATS'!O35</f>
        <v>0.126</v>
      </c>
      <c r="Q358" s="141">
        <f>Q312/'INCOME STMT STATS'!Q35</f>
        <v>0.13</v>
      </c>
      <c r="R358" s="141"/>
      <c r="S358" s="141">
        <f>S312/'INCOME STMT STATS'!S35</f>
        <v>0.106</v>
      </c>
      <c r="T358" s="141"/>
      <c r="U358" s="141">
        <f>U312/'INCOME STMT STATS'!U35</f>
        <v>0.061</v>
      </c>
    </row>
    <row r="359" spans="1:11" ht="11.25" customHeight="1">
      <c r="A359" s="140"/>
      <c r="B359" s="140"/>
      <c r="C359" s="140"/>
      <c r="D359" s="140"/>
      <c r="E359" s="140"/>
      <c r="F359" s="29"/>
      <c r="G359" s="29"/>
      <c r="H359" s="29"/>
      <c r="I359" s="29"/>
      <c r="J359" s="29"/>
      <c r="K359" s="29"/>
    </row>
    <row r="360" spans="1:11" ht="11.25" customHeight="1">
      <c r="A360" s="140"/>
      <c r="B360" s="140"/>
      <c r="C360" s="140"/>
      <c r="D360" s="140"/>
      <c r="E360" s="140"/>
      <c r="F360" s="29"/>
      <c r="G360" s="29"/>
      <c r="H360" s="29"/>
      <c r="I360" s="29"/>
      <c r="J360" s="29"/>
      <c r="K360" s="29"/>
    </row>
    <row r="361" spans="1:11" ht="11.25" customHeight="1">
      <c r="A361" s="138" t="s">
        <v>75</v>
      </c>
      <c r="B361" s="140"/>
      <c r="C361" s="140"/>
      <c r="D361" s="140"/>
      <c r="E361" s="140"/>
      <c r="F361" s="29"/>
      <c r="G361" s="29"/>
      <c r="H361" s="29"/>
      <c r="I361" s="29"/>
      <c r="J361" s="29"/>
      <c r="K361" s="29"/>
    </row>
    <row r="362" spans="1:5" ht="11.25" customHeight="1">
      <c r="A362" s="118" t="s">
        <v>56</v>
      </c>
      <c r="B362" s="120"/>
      <c r="C362" s="120"/>
      <c r="D362" s="120"/>
      <c r="E362" s="120"/>
    </row>
    <row r="363" spans="1:5" s="29" customFormat="1" ht="11.25" customHeight="1">
      <c r="A363" s="118" t="s">
        <v>52</v>
      </c>
      <c r="B363" s="140"/>
      <c r="C363" s="140"/>
      <c r="D363" s="140"/>
      <c r="E363" s="140"/>
    </row>
    <row r="364" spans="1:5" s="29" customFormat="1" ht="11.25" customHeight="1">
      <c r="A364" s="118" t="s">
        <v>60</v>
      </c>
      <c r="B364" s="140"/>
      <c r="C364" s="140"/>
      <c r="D364" s="140"/>
      <c r="E364" s="140"/>
    </row>
    <row r="365" spans="1:5" s="29" customFormat="1" ht="11.25" customHeight="1">
      <c r="A365" s="118" t="s">
        <v>57</v>
      </c>
      <c r="B365" s="140"/>
      <c r="C365" s="140"/>
      <c r="D365" s="140"/>
      <c r="E365" s="140"/>
    </row>
    <row r="366" spans="1:5" s="29" customFormat="1" ht="11.25" customHeight="1">
      <c r="A366" s="118" t="s">
        <v>58</v>
      </c>
      <c r="B366" s="140"/>
      <c r="C366" s="140"/>
      <c r="D366" s="140"/>
      <c r="E366" s="140"/>
    </row>
    <row r="367" spans="1:5" s="29" customFormat="1" ht="11.25" customHeight="1">
      <c r="A367" s="120" t="s">
        <v>59</v>
      </c>
      <c r="B367" s="140"/>
      <c r="C367" s="140"/>
      <c r="D367" s="140"/>
      <c r="E367" s="140"/>
    </row>
    <row r="368" spans="1:5" s="29" customFormat="1" ht="11.25" customHeight="1">
      <c r="A368" s="55" t="s">
        <v>82</v>
      </c>
      <c r="B368" s="140"/>
      <c r="C368" s="140"/>
      <c r="D368" s="140"/>
      <c r="E368" s="140"/>
    </row>
    <row r="369" spans="1:5" s="29" customFormat="1" ht="11.25" customHeight="1">
      <c r="A369" s="56" t="s">
        <v>87</v>
      </c>
      <c r="B369" s="140"/>
      <c r="C369" s="140"/>
      <c r="D369" s="140"/>
      <c r="E369" s="140"/>
    </row>
    <row r="370" spans="1:5" s="29" customFormat="1" ht="11.25" customHeight="1">
      <c r="A370" s="56" t="s">
        <v>92</v>
      </c>
      <c r="B370" s="140"/>
      <c r="C370" s="140"/>
      <c r="D370" s="140"/>
      <c r="E370" s="140"/>
    </row>
    <row r="371" spans="1:5" s="29" customFormat="1" ht="11.25" customHeight="1">
      <c r="A371" s="56" t="s">
        <v>117</v>
      </c>
      <c r="B371" s="140"/>
      <c r="C371" s="140"/>
      <c r="D371" s="140"/>
      <c r="E371" s="140"/>
    </row>
    <row r="372" spans="1:5" s="29" customFormat="1" ht="11.25" customHeight="1">
      <c r="A372" s="56" t="s">
        <v>116</v>
      </c>
      <c r="B372" s="140"/>
      <c r="C372" s="140"/>
      <c r="D372" s="140"/>
      <c r="E372" s="140"/>
    </row>
    <row r="373" spans="1:5" s="29" customFormat="1" ht="11.25" customHeight="1">
      <c r="A373" s="56" t="s">
        <v>10</v>
      </c>
      <c r="B373" s="140"/>
      <c r="C373" s="140"/>
      <c r="D373" s="140"/>
      <c r="E373" s="140"/>
    </row>
    <row r="374" spans="1:5" s="29" customFormat="1" ht="11.25" customHeight="1">
      <c r="A374" s="140"/>
      <c r="B374" s="140"/>
      <c r="C374" s="140"/>
      <c r="D374" s="140"/>
      <c r="E374" s="140"/>
    </row>
    <row r="375" spans="1:21" s="29" customFormat="1" ht="11.25" customHeight="1">
      <c r="A375" s="118" t="s">
        <v>0</v>
      </c>
      <c r="B375" s="120"/>
      <c r="C375" s="120"/>
      <c r="D375" s="120"/>
      <c r="E375" s="120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1:21" s="29" customFormat="1" ht="11.25" customHeight="1">
      <c r="A376" s="118" t="s">
        <v>106</v>
      </c>
      <c r="B376" s="120"/>
      <c r="C376" s="120"/>
      <c r="D376" s="120"/>
      <c r="E376" s="120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1:21" s="29" customFormat="1" ht="11.25" customHeight="1">
      <c r="A377" s="271" t="s">
        <v>121</v>
      </c>
      <c r="B377" s="140"/>
      <c r="C377" s="140"/>
      <c r="D377" s="140"/>
      <c r="E377" s="140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1:21" s="29" customFormat="1" ht="11.25" customHeight="1">
      <c r="A378" s="118"/>
      <c r="B378" s="126"/>
      <c r="C378" s="120"/>
      <c r="D378" s="120"/>
      <c r="E378" s="120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 s="29" customFormat="1" ht="11.25" customHeight="1">
      <c r="A379" s="123"/>
      <c r="B379" s="120"/>
      <c r="C379" s="120"/>
      <c r="D379" s="120"/>
      <c r="E379" s="120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1:21" s="29" customFormat="1" ht="11.25" customHeight="1">
      <c r="A380" s="120"/>
      <c r="B380" s="120"/>
      <c r="C380" s="120"/>
      <c r="D380" s="120"/>
      <c r="E380" s="120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1:21" s="29" customFormat="1" ht="11.25" customHeight="1">
      <c r="A381" s="118"/>
      <c r="B381" s="120"/>
      <c r="C381" s="124">
        <v>2008</v>
      </c>
      <c r="D381" s="173"/>
      <c r="E381" s="46">
        <v>2009</v>
      </c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</row>
    <row r="382" spans="1:21" s="29" customFormat="1" ht="11.25" customHeight="1">
      <c r="A382" s="118"/>
      <c r="B382" s="120"/>
      <c r="C382" s="181"/>
      <c r="D382" s="140"/>
      <c r="E382" s="181"/>
      <c r="G382" s="181"/>
      <c r="H382" s="21"/>
      <c r="I382" s="181"/>
      <c r="J382" s="21"/>
      <c r="K382" s="18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1" s="29" customFormat="1" ht="11.25" customHeight="1">
      <c r="A383" s="118" t="s">
        <v>111</v>
      </c>
      <c r="B383" s="120"/>
      <c r="C383" s="270">
        <v>14142</v>
      </c>
      <c r="D383" s="141"/>
      <c r="E383" s="270">
        <v>27652</v>
      </c>
      <c r="F383" s="30"/>
      <c r="G383" s="141"/>
      <c r="H383" s="21"/>
      <c r="I383" s="141"/>
      <c r="J383" s="21"/>
      <c r="K383" s="141"/>
      <c r="L383" s="21"/>
      <c r="M383" s="141"/>
      <c r="N383" s="21"/>
      <c r="O383" s="141"/>
      <c r="P383" s="21"/>
      <c r="Q383" s="141"/>
      <c r="R383" s="141"/>
      <c r="S383" s="141"/>
      <c r="T383" s="141"/>
      <c r="U383" s="141"/>
    </row>
    <row r="384" spans="1:21" s="29" customFormat="1" ht="11.25" customHeight="1">
      <c r="A384" s="120"/>
      <c r="B384" s="120"/>
      <c r="C384" s="141"/>
      <c r="D384" s="128"/>
      <c r="E384" s="141" t="s">
        <v>10</v>
      </c>
      <c r="F384" s="23"/>
      <c r="G384" s="141"/>
      <c r="H384" s="21"/>
      <c r="I384" s="141"/>
      <c r="J384" s="21"/>
      <c r="K384" s="141"/>
      <c r="L384" s="21"/>
      <c r="M384" s="141"/>
      <c r="N384" s="21"/>
      <c r="O384" s="141"/>
      <c r="P384" s="21"/>
      <c r="Q384" s="141"/>
      <c r="R384" s="141"/>
      <c r="S384" s="141"/>
      <c r="T384" s="141"/>
      <c r="U384" s="141"/>
    </row>
    <row r="385" spans="1:21" s="29" customFormat="1" ht="11.25" customHeight="1">
      <c r="A385" s="118" t="s">
        <v>112</v>
      </c>
      <c r="B385" s="120"/>
      <c r="C385" s="270">
        <v>2441</v>
      </c>
      <c r="D385" s="128"/>
      <c r="E385" s="270">
        <v>37049</v>
      </c>
      <c r="F385" s="23"/>
      <c r="G385" s="141"/>
      <c r="H385" s="21"/>
      <c r="I385" s="141"/>
      <c r="J385" s="21"/>
      <c r="K385" s="141"/>
      <c r="L385" s="21"/>
      <c r="M385" s="141"/>
      <c r="N385" s="21"/>
      <c r="O385" s="141"/>
      <c r="P385" s="21"/>
      <c r="Q385" s="141"/>
      <c r="R385" s="141"/>
      <c r="S385" s="141"/>
      <c r="T385" s="141"/>
      <c r="U385" s="141"/>
    </row>
    <row r="386" spans="1:21" s="29" customFormat="1" ht="11.25" customHeight="1">
      <c r="A386" s="118"/>
      <c r="B386" s="120"/>
      <c r="C386" s="270"/>
      <c r="D386" s="128"/>
      <c r="E386" s="270"/>
      <c r="F386" s="23"/>
      <c r="G386" s="141"/>
      <c r="H386" s="21"/>
      <c r="I386" s="141"/>
      <c r="J386" s="21"/>
      <c r="K386" s="141"/>
      <c r="L386" s="21"/>
      <c r="M386" s="141"/>
      <c r="N386" s="21"/>
      <c r="O386" s="141"/>
      <c r="P386" s="21"/>
      <c r="Q386" s="141"/>
      <c r="R386" s="141"/>
      <c r="S386" s="141"/>
      <c r="T386" s="141"/>
      <c r="U386" s="141"/>
    </row>
    <row r="387" spans="1:21" s="29" customFormat="1" ht="11.25" customHeight="1">
      <c r="A387" s="118" t="s">
        <v>113</v>
      </c>
      <c r="B387" s="120"/>
      <c r="C387" s="270">
        <v>59913</v>
      </c>
      <c r="D387" s="128"/>
      <c r="E387" s="270">
        <v>61874</v>
      </c>
      <c r="F387" s="23"/>
      <c r="G387" s="141"/>
      <c r="H387" s="21"/>
      <c r="I387" s="141"/>
      <c r="J387" s="21"/>
      <c r="K387" s="141"/>
      <c r="L387" s="21"/>
      <c r="M387" s="141"/>
      <c r="N387" s="21"/>
      <c r="O387" s="141"/>
      <c r="P387" s="21"/>
      <c r="Q387" s="141"/>
      <c r="R387" s="141"/>
      <c r="S387" s="141"/>
      <c r="T387" s="141"/>
      <c r="U387" s="141"/>
    </row>
    <row r="388" spans="1:21" s="29" customFormat="1" ht="11.25" customHeight="1">
      <c r="A388" s="120"/>
      <c r="B388" s="120"/>
      <c r="C388" s="270"/>
      <c r="D388" s="128"/>
      <c r="E388" s="270"/>
      <c r="F388" s="23"/>
      <c r="G388" s="141"/>
      <c r="H388" s="21"/>
      <c r="I388" s="141"/>
      <c r="J388" s="21"/>
      <c r="K388" s="141"/>
      <c r="L388" s="21"/>
      <c r="M388" s="141"/>
      <c r="N388" s="21"/>
      <c r="O388" s="141"/>
      <c r="P388" s="21"/>
      <c r="Q388" s="141"/>
      <c r="R388" s="141"/>
      <c r="S388" s="141"/>
      <c r="T388" s="141"/>
      <c r="U388" s="141"/>
    </row>
    <row r="389" spans="1:21" s="29" customFormat="1" ht="11.25" customHeight="1">
      <c r="A389" s="118" t="s">
        <v>2</v>
      </c>
      <c r="B389" s="120"/>
      <c r="C389" s="270">
        <v>2112</v>
      </c>
      <c r="D389" s="128"/>
      <c r="E389" s="270">
        <v>32889</v>
      </c>
      <c r="F389" s="23"/>
      <c r="G389" s="141"/>
      <c r="H389" s="21"/>
      <c r="I389" s="141"/>
      <c r="J389" s="21"/>
      <c r="K389" s="141"/>
      <c r="L389" s="21"/>
      <c r="M389" s="141"/>
      <c r="N389" s="21"/>
      <c r="O389" s="141"/>
      <c r="P389" s="21"/>
      <c r="Q389" s="141"/>
      <c r="R389" s="141"/>
      <c r="S389" s="141"/>
      <c r="T389" s="141"/>
      <c r="U389" s="141"/>
    </row>
    <row r="390" spans="1:21" s="29" customFormat="1" ht="11.25" customHeight="1">
      <c r="A390" s="120"/>
      <c r="B390" s="120"/>
      <c r="C390" s="270"/>
      <c r="D390" s="128"/>
      <c r="E390" s="270" t="s">
        <v>10</v>
      </c>
      <c r="F390" s="23"/>
      <c r="G390" s="141"/>
      <c r="H390" s="21"/>
      <c r="I390" s="141"/>
      <c r="J390" s="21"/>
      <c r="K390" s="141"/>
      <c r="L390" s="21"/>
      <c r="M390" s="141"/>
      <c r="N390" s="21"/>
      <c r="O390" s="141"/>
      <c r="P390" s="21"/>
      <c r="Q390" s="141"/>
      <c r="R390" s="141"/>
      <c r="S390" s="141"/>
      <c r="T390" s="141"/>
      <c r="U390" s="141"/>
    </row>
    <row r="391" spans="1:21" s="29" customFormat="1" ht="11.25" customHeight="1">
      <c r="A391" s="118" t="s">
        <v>3</v>
      </c>
      <c r="B391" s="120"/>
      <c r="C391" s="270">
        <v>6771</v>
      </c>
      <c r="D391" s="128"/>
      <c r="E391" s="270">
        <v>36601</v>
      </c>
      <c r="F391" s="23"/>
      <c r="G391" s="141"/>
      <c r="H391" s="21"/>
      <c r="I391" s="141"/>
      <c r="J391" s="21"/>
      <c r="K391" s="141"/>
      <c r="L391" s="21"/>
      <c r="M391" s="141"/>
      <c r="N391" s="21"/>
      <c r="O391" s="141"/>
      <c r="P391" s="21"/>
      <c r="Q391" s="141"/>
      <c r="R391" s="141"/>
      <c r="S391" s="141"/>
      <c r="T391" s="141"/>
      <c r="U391" s="141"/>
    </row>
    <row r="392" spans="1:21" s="29" customFormat="1" ht="11.25" customHeight="1">
      <c r="A392" s="120"/>
      <c r="B392" s="120"/>
      <c r="C392" s="270"/>
      <c r="D392" s="128"/>
      <c r="E392" s="270"/>
      <c r="F392" s="23"/>
      <c r="G392" s="141"/>
      <c r="H392" s="21"/>
      <c r="I392" s="141"/>
      <c r="J392" s="21"/>
      <c r="K392" s="141"/>
      <c r="L392" s="21"/>
      <c r="M392" s="141"/>
      <c r="N392" s="21"/>
      <c r="O392" s="141"/>
      <c r="P392" s="21"/>
      <c r="Q392" s="141"/>
      <c r="R392" s="141"/>
      <c r="S392" s="141"/>
      <c r="T392" s="141"/>
      <c r="U392" s="141"/>
    </row>
    <row r="393" spans="1:21" s="29" customFormat="1" ht="11.25" customHeight="1">
      <c r="A393" s="118" t="s">
        <v>4</v>
      </c>
      <c r="B393" s="120"/>
      <c r="C393" s="270">
        <v>17517</v>
      </c>
      <c r="D393" s="128"/>
      <c r="E393" s="270">
        <v>31042</v>
      </c>
      <c r="F393" s="23"/>
      <c r="G393" s="141"/>
      <c r="H393" s="21"/>
      <c r="I393" s="141"/>
      <c r="J393" s="21"/>
      <c r="K393" s="141"/>
      <c r="L393" s="21"/>
      <c r="M393" s="141"/>
      <c r="N393" s="21"/>
      <c r="O393" s="141"/>
      <c r="P393" s="21"/>
      <c r="Q393" s="141"/>
      <c r="R393" s="141"/>
      <c r="S393" s="141"/>
      <c r="T393" s="141"/>
      <c r="U393" s="141"/>
    </row>
    <row r="394" spans="1:21" s="29" customFormat="1" ht="11.25" customHeight="1">
      <c r="A394" s="120"/>
      <c r="B394" s="120"/>
      <c r="C394" s="270"/>
      <c r="D394" s="128"/>
      <c r="E394" s="270"/>
      <c r="F394" s="23"/>
      <c r="G394" s="141"/>
      <c r="H394" s="21"/>
      <c r="I394" s="141"/>
      <c r="J394" s="21"/>
      <c r="K394" s="141"/>
      <c r="L394" s="21"/>
      <c r="M394" s="141"/>
      <c r="N394" s="21"/>
      <c r="O394" s="141"/>
      <c r="P394" s="21"/>
      <c r="Q394" s="141"/>
      <c r="R394" s="141"/>
      <c r="S394" s="141"/>
      <c r="T394" s="141"/>
      <c r="U394" s="141"/>
    </row>
    <row r="395" spans="1:21" s="29" customFormat="1" ht="11.25" customHeight="1">
      <c r="A395" s="118" t="s">
        <v>5</v>
      </c>
      <c r="B395" s="120"/>
      <c r="C395" s="270">
        <v>2145</v>
      </c>
      <c r="D395" s="128"/>
      <c r="E395" s="270">
        <v>43346</v>
      </c>
      <c r="F395" s="23"/>
      <c r="G395" s="141"/>
      <c r="H395" s="21"/>
      <c r="I395" s="141"/>
      <c r="J395" s="21"/>
      <c r="K395" s="141"/>
      <c r="L395" s="21"/>
      <c r="M395" s="141"/>
      <c r="N395" s="21"/>
      <c r="O395" s="141"/>
      <c r="P395" s="21"/>
      <c r="Q395" s="141"/>
      <c r="R395" s="141"/>
      <c r="S395" s="141"/>
      <c r="T395" s="141"/>
      <c r="U395" s="141"/>
    </row>
    <row r="396" spans="1:21" s="29" customFormat="1" ht="11.25" customHeight="1">
      <c r="A396" s="120"/>
      <c r="B396" s="120"/>
      <c r="C396" s="270"/>
      <c r="D396" s="128"/>
      <c r="E396" s="270"/>
      <c r="F396" s="23"/>
      <c r="G396" s="141"/>
      <c r="H396" s="21"/>
      <c r="I396" s="141"/>
      <c r="J396" s="21"/>
      <c r="K396" s="141"/>
      <c r="L396" s="21"/>
      <c r="M396" s="141"/>
      <c r="N396" s="21"/>
      <c r="O396" s="141"/>
      <c r="P396" s="21"/>
      <c r="Q396" s="141"/>
      <c r="R396" s="141"/>
      <c r="S396" s="141"/>
      <c r="T396" s="141"/>
      <c r="U396" s="141"/>
    </row>
    <row r="397" spans="1:21" s="29" customFormat="1" ht="11.25" customHeight="1">
      <c r="A397" s="129" t="s">
        <v>6</v>
      </c>
      <c r="B397" s="120"/>
      <c r="C397" s="270">
        <v>2672</v>
      </c>
      <c r="D397" s="128"/>
      <c r="E397" s="270">
        <v>28182</v>
      </c>
      <c r="F397" s="23"/>
      <c r="G397" s="141"/>
      <c r="H397" s="21"/>
      <c r="I397" s="141"/>
      <c r="J397" s="21"/>
      <c r="K397" s="141"/>
      <c r="L397" s="21"/>
      <c r="M397" s="141"/>
      <c r="N397" s="21"/>
      <c r="O397" s="141"/>
      <c r="P397" s="21"/>
      <c r="Q397" s="141"/>
      <c r="R397" s="141"/>
      <c r="S397" s="141"/>
      <c r="T397" s="141"/>
      <c r="U397" s="141"/>
    </row>
    <row r="398" spans="1:21" s="29" customFormat="1" ht="11.25" customHeight="1">
      <c r="A398" s="120"/>
      <c r="B398" s="120"/>
      <c r="C398" s="270"/>
      <c r="D398" s="128"/>
      <c r="E398" s="270"/>
      <c r="F398" s="23"/>
      <c r="G398" s="141"/>
      <c r="H398" s="21"/>
      <c r="I398" s="141"/>
      <c r="J398" s="21"/>
      <c r="K398" s="141"/>
      <c r="L398" s="21"/>
      <c r="M398" s="141"/>
      <c r="N398" s="21"/>
      <c r="O398" s="141"/>
      <c r="P398" s="21"/>
      <c r="Q398" s="141"/>
      <c r="R398" s="141"/>
      <c r="S398" s="141"/>
      <c r="T398" s="141"/>
      <c r="U398" s="141"/>
    </row>
    <row r="399" spans="1:21" s="29" customFormat="1" ht="11.25" customHeight="1">
      <c r="A399" s="118" t="s">
        <v>24</v>
      </c>
      <c r="B399" s="120"/>
      <c r="C399" s="270">
        <v>5691</v>
      </c>
      <c r="D399" s="128"/>
      <c r="E399" s="270">
        <v>15011</v>
      </c>
      <c r="F399" s="23"/>
      <c r="G399" s="141"/>
      <c r="H399" s="21"/>
      <c r="I399" s="141"/>
      <c r="J399" s="21"/>
      <c r="K399" s="141"/>
      <c r="L399" s="21"/>
      <c r="M399" s="141"/>
      <c r="N399" s="21"/>
      <c r="O399" s="141"/>
      <c r="P399" s="21"/>
      <c r="Q399" s="141"/>
      <c r="R399" s="141"/>
      <c r="S399" s="141"/>
      <c r="T399" s="141"/>
      <c r="U399" s="141"/>
    </row>
    <row r="400" spans="1:21" s="29" customFormat="1" ht="11.25" customHeight="1">
      <c r="A400" s="120"/>
      <c r="B400" s="120"/>
      <c r="C400" s="270"/>
      <c r="D400" s="128"/>
      <c r="E400" s="270"/>
      <c r="F400" s="23"/>
      <c r="G400" s="141"/>
      <c r="H400" s="21"/>
      <c r="I400" s="141"/>
      <c r="J400" s="21"/>
      <c r="K400" s="141"/>
      <c r="L400" s="21"/>
      <c r="M400" s="141"/>
      <c r="N400" s="21"/>
      <c r="O400" s="141"/>
      <c r="P400" s="21"/>
      <c r="Q400" s="141"/>
      <c r="R400" s="141"/>
      <c r="S400" s="141"/>
      <c r="T400" s="141"/>
      <c r="U400" s="141"/>
    </row>
    <row r="401" spans="1:21" s="29" customFormat="1" ht="11.25" customHeight="1">
      <c r="A401" s="118" t="s">
        <v>7</v>
      </c>
      <c r="B401" s="120"/>
      <c r="C401" s="270">
        <v>1825</v>
      </c>
      <c r="D401" s="128"/>
      <c r="E401" s="270">
        <v>8405</v>
      </c>
      <c r="F401" s="23"/>
      <c r="G401" s="141"/>
      <c r="H401" s="21"/>
      <c r="I401" s="141"/>
      <c r="J401" s="21"/>
      <c r="K401" s="141"/>
      <c r="L401" s="21"/>
      <c r="M401" s="141"/>
      <c r="N401" s="21"/>
      <c r="O401" s="141"/>
      <c r="P401" s="21"/>
      <c r="Q401" s="141"/>
      <c r="R401" s="141"/>
      <c r="S401" s="141"/>
      <c r="T401" s="141"/>
      <c r="U401" s="141"/>
    </row>
    <row r="402" spans="1:21" s="29" customFormat="1" ht="11.25" customHeight="1">
      <c r="A402" s="120"/>
      <c r="B402" s="120"/>
      <c r="C402" s="270"/>
      <c r="D402" s="128"/>
      <c r="E402" s="270" t="s">
        <v>10</v>
      </c>
      <c r="F402" s="23"/>
      <c r="G402" s="141"/>
      <c r="H402" s="21"/>
      <c r="I402" s="141"/>
      <c r="J402" s="21"/>
      <c r="K402" s="141"/>
      <c r="L402" s="21"/>
      <c r="M402" s="141"/>
      <c r="N402" s="21"/>
      <c r="O402" s="141"/>
      <c r="P402" s="21"/>
      <c r="Q402" s="141"/>
      <c r="R402" s="141"/>
      <c r="S402" s="141"/>
      <c r="T402" s="141"/>
      <c r="U402" s="141"/>
    </row>
    <row r="403" spans="1:21" s="29" customFormat="1" ht="11.25" customHeight="1">
      <c r="A403" s="118" t="s">
        <v>8</v>
      </c>
      <c r="B403" s="120"/>
      <c r="C403" s="131">
        <v>6574</v>
      </c>
      <c r="D403" s="174"/>
      <c r="E403" s="131">
        <v>19713</v>
      </c>
      <c r="F403" s="26"/>
      <c r="G403" s="141"/>
      <c r="I403" s="141"/>
      <c r="K403" s="141"/>
      <c r="L403" s="21"/>
      <c r="M403" s="141"/>
      <c r="N403" s="21"/>
      <c r="O403" s="141"/>
      <c r="P403" s="21"/>
      <c r="Q403" s="141"/>
      <c r="R403" s="141"/>
      <c r="S403" s="141"/>
      <c r="T403" s="141"/>
      <c r="U403" s="141"/>
    </row>
    <row r="404" spans="1:21" s="29" customFormat="1" ht="11.25" customHeight="1">
      <c r="A404" s="120"/>
      <c r="B404" s="120"/>
      <c r="C404" s="177"/>
      <c r="D404" s="174"/>
      <c r="E404" s="177"/>
      <c r="F404" s="26"/>
      <c r="G404" s="141"/>
      <c r="I404" s="141"/>
      <c r="K404" s="141"/>
      <c r="L404" s="21"/>
      <c r="M404" s="141"/>
      <c r="N404" s="21"/>
      <c r="O404" s="141"/>
      <c r="P404" s="21"/>
      <c r="Q404" s="141"/>
      <c r="R404" s="141"/>
      <c r="S404" s="141"/>
      <c r="T404" s="141"/>
      <c r="U404" s="141"/>
    </row>
    <row r="405" spans="1:21" s="29" customFormat="1" ht="11.25" customHeight="1" thickBot="1">
      <c r="A405" s="118" t="s">
        <v>17</v>
      </c>
      <c r="B405" s="120"/>
      <c r="C405" s="179">
        <f>SUM(C383:C403)</f>
        <v>121803</v>
      </c>
      <c r="D405" s="174"/>
      <c r="E405" s="179">
        <f>SUM(E383:E403)</f>
        <v>341764</v>
      </c>
      <c r="F405" s="24"/>
      <c r="G405" s="141"/>
      <c r="I405" s="141"/>
      <c r="K405" s="141"/>
      <c r="L405" s="21"/>
      <c r="M405" s="141"/>
      <c r="N405" s="21"/>
      <c r="O405" s="141"/>
      <c r="P405" s="21"/>
      <c r="Q405" s="141"/>
      <c r="R405" s="141"/>
      <c r="S405" s="141"/>
      <c r="T405" s="141"/>
      <c r="U405" s="141"/>
    </row>
    <row r="406" spans="1:21" s="29" customFormat="1" ht="11.25" customHeight="1" thickTop="1">
      <c r="A406" s="140"/>
      <c r="B406" s="140"/>
      <c r="C406" s="140"/>
      <c r="D406" s="140"/>
      <c r="E406" s="140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1" s="29" customFormat="1" ht="11.25" customHeight="1">
      <c r="A407" s="140"/>
      <c r="B407" s="140"/>
      <c r="C407" s="140"/>
      <c r="D407" s="140"/>
      <c r="E407" s="140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1:21" s="29" customFormat="1" ht="11.25" customHeight="1">
      <c r="A408" s="56" t="s">
        <v>118</v>
      </c>
      <c r="B408" s="140"/>
      <c r="C408" s="140"/>
      <c r="D408" s="140"/>
      <c r="E408" s="140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21" s="29" customFormat="1" ht="11.25" customHeight="1">
      <c r="A409" s="56" t="s">
        <v>119</v>
      </c>
      <c r="B409" s="120"/>
      <c r="C409" s="120"/>
      <c r="D409" s="120"/>
      <c r="E409" s="120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1:5" s="29" customFormat="1" ht="11.25" customHeight="1">
      <c r="A410" s="56" t="s">
        <v>114</v>
      </c>
      <c r="B410" s="140"/>
      <c r="C410" s="140"/>
      <c r="D410" s="140"/>
      <c r="E410" s="140"/>
    </row>
    <row r="411" spans="1:5" s="29" customFormat="1" ht="11.25" customHeight="1">
      <c r="A411" s="118"/>
      <c r="B411" s="140"/>
      <c r="C411" s="140"/>
      <c r="D411" s="140"/>
      <c r="E411" s="140"/>
    </row>
    <row r="412" spans="1:5" s="29" customFormat="1" ht="11.25" customHeight="1">
      <c r="A412" s="118"/>
      <c r="B412" s="140"/>
      <c r="C412" s="140"/>
      <c r="D412" s="140"/>
      <c r="E412" s="140"/>
    </row>
    <row r="413" spans="1:5" s="29" customFormat="1" ht="11.25" customHeight="1">
      <c r="A413" s="120"/>
      <c r="B413" s="140"/>
      <c r="C413" s="140"/>
      <c r="D413" s="140"/>
      <c r="E413" s="140"/>
    </row>
    <row r="414" spans="1:5" s="29" customFormat="1" ht="11.25" customHeight="1">
      <c r="A414" s="55"/>
      <c r="B414" s="140"/>
      <c r="C414" s="140"/>
      <c r="D414" s="140"/>
      <c r="E414" s="140"/>
    </row>
    <row r="415" spans="1:5" s="29" customFormat="1" ht="11.25" customHeight="1">
      <c r="A415" s="56"/>
      <c r="B415" s="140"/>
      <c r="C415" s="140"/>
      <c r="D415" s="140"/>
      <c r="E415" s="140"/>
    </row>
    <row r="416" spans="1:5" s="29" customFormat="1" ht="11.25" customHeight="1">
      <c r="A416" s="56"/>
      <c r="B416" s="140"/>
      <c r="C416" s="140"/>
      <c r="D416" s="140"/>
      <c r="E416" s="140"/>
    </row>
    <row r="417" s="29" customFormat="1" ht="11.25" customHeight="1"/>
    <row r="418" s="29" customFormat="1" ht="11.25" customHeight="1"/>
    <row r="419" s="29" customFormat="1" ht="11.25" customHeight="1"/>
    <row r="420" s="29" customFormat="1" ht="11.25" customHeight="1"/>
    <row r="421" s="29" customFormat="1" ht="11.25" customHeight="1"/>
    <row r="422" s="29" customFormat="1" ht="11.25" customHeight="1"/>
    <row r="423" s="29" customFormat="1" ht="11.25" customHeight="1"/>
    <row r="424" s="29" customFormat="1" ht="11.25" customHeight="1"/>
    <row r="425" s="29" customFormat="1" ht="11.25" customHeight="1"/>
    <row r="426" s="29" customFormat="1" ht="11.25" customHeight="1"/>
    <row r="427" s="29" customFormat="1" ht="11.25" customHeight="1"/>
    <row r="428" s="29" customFormat="1" ht="11.25" customHeight="1"/>
    <row r="429" s="29" customFormat="1" ht="11.25" customHeight="1"/>
    <row r="430" s="29" customFormat="1" ht="11.25" customHeight="1"/>
    <row r="431" s="29" customFormat="1" ht="11.25" customHeight="1"/>
    <row r="432" s="29" customFormat="1" ht="11.25" customHeight="1"/>
    <row r="433" s="29" customFormat="1" ht="11.25" customHeight="1"/>
    <row r="434" s="29" customFormat="1" ht="11.25" customHeight="1"/>
    <row r="435" s="29" customFormat="1" ht="11.25" customHeight="1"/>
    <row r="436" s="29" customFormat="1" ht="11.25" customHeight="1"/>
    <row r="437" s="29" customFormat="1" ht="11.25" customHeight="1"/>
    <row r="438" s="29" customFormat="1" ht="11.25" customHeight="1"/>
    <row r="439" s="29" customFormat="1" ht="11.25" customHeight="1"/>
    <row r="440" s="29" customFormat="1" ht="11.25" customHeight="1"/>
    <row r="441" s="29" customFormat="1" ht="11.25" customHeight="1"/>
    <row r="442" s="29" customFormat="1" ht="11.25" customHeight="1"/>
    <row r="443" s="29" customFormat="1" ht="11.25" customHeight="1"/>
    <row r="444" s="29" customFormat="1" ht="11.25" customHeight="1"/>
    <row r="445" s="29" customFormat="1" ht="11.25" customHeight="1"/>
    <row r="446" s="29" customFormat="1" ht="11.25" customHeight="1"/>
    <row r="447" s="29" customFormat="1" ht="11.25" customHeight="1"/>
    <row r="448" s="29" customFormat="1" ht="11.25" customHeight="1"/>
    <row r="449" s="29" customFormat="1" ht="11.25" customHeight="1"/>
    <row r="450" s="29" customFormat="1" ht="11.25" customHeight="1"/>
    <row r="451" s="29" customFormat="1" ht="11.25" customHeight="1"/>
    <row r="452" s="29" customFormat="1" ht="11.25" customHeight="1"/>
    <row r="453" s="29" customFormat="1" ht="11.25" customHeight="1"/>
    <row r="454" s="29" customFormat="1" ht="11.25" customHeight="1"/>
    <row r="455" s="29" customFormat="1" ht="11.25" customHeight="1"/>
    <row r="456" s="29" customFormat="1" ht="11.25" customHeight="1"/>
    <row r="457" s="29" customFormat="1" ht="11.25" customHeight="1"/>
    <row r="458" s="29" customFormat="1" ht="11.25" customHeight="1"/>
    <row r="459" s="29" customFormat="1" ht="11.25" customHeight="1"/>
    <row r="460" s="29" customFormat="1" ht="11.25" customHeight="1"/>
    <row r="461" s="29" customFormat="1" ht="11.25" customHeight="1"/>
    <row r="462" s="29" customFormat="1" ht="11.25" customHeight="1"/>
    <row r="463" s="29" customFormat="1" ht="11.25" customHeight="1"/>
    <row r="464" s="29" customFormat="1" ht="11.25" customHeight="1"/>
    <row r="465" s="29" customFormat="1" ht="11.25" customHeight="1"/>
    <row r="466" s="29" customFormat="1" ht="11.25" customHeight="1"/>
    <row r="467" s="29" customFormat="1" ht="11.25" customHeight="1"/>
    <row r="468" s="29" customFormat="1" ht="11.25" customHeight="1"/>
    <row r="469" s="29" customFormat="1" ht="11.25" customHeight="1"/>
    <row r="470" s="29" customFormat="1" ht="11.25" customHeight="1"/>
    <row r="471" s="29" customFormat="1" ht="11.25" customHeight="1"/>
    <row r="472" s="29" customFormat="1" ht="11.25" customHeight="1"/>
    <row r="473" s="29" customFormat="1" ht="11.25" customHeight="1"/>
    <row r="474" s="29" customFormat="1" ht="11.25" customHeight="1"/>
    <row r="475" s="29" customFormat="1" ht="11.25" customHeight="1"/>
    <row r="476" s="29" customFormat="1" ht="11.25" customHeight="1"/>
    <row r="477" s="29" customFormat="1" ht="11.25" customHeight="1"/>
    <row r="478" s="29" customFormat="1" ht="11.25" customHeight="1"/>
    <row r="479" s="29" customFormat="1" ht="11.25" customHeight="1"/>
    <row r="480" s="29" customFormat="1" ht="11.25" customHeight="1"/>
    <row r="481" s="29" customFormat="1" ht="11.25" customHeight="1"/>
    <row r="482" s="29" customFormat="1" ht="11.25" customHeight="1"/>
    <row r="483" s="29" customFormat="1" ht="11.25" customHeight="1"/>
    <row r="484" s="29" customFormat="1" ht="11.25" customHeight="1"/>
    <row r="485" s="29" customFormat="1" ht="11.25" customHeight="1"/>
    <row r="486" s="29" customFormat="1" ht="11.25" customHeight="1"/>
    <row r="487" s="29" customFormat="1" ht="11.25" customHeight="1"/>
    <row r="488" s="29" customFormat="1" ht="11.25" customHeight="1"/>
    <row r="489" s="29" customFormat="1" ht="11.25" customHeight="1"/>
    <row r="490" s="29" customFormat="1" ht="11.25" customHeight="1"/>
    <row r="491" s="29" customFormat="1" ht="11.25" customHeight="1"/>
    <row r="492" s="29" customFormat="1" ht="11.25" customHeight="1"/>
    <row r="493" s="29" customFormat="1" ht="11.25" customHeight="1"/>
    <row r="494" s="29" customFormat="1" ht="11.25" customHeight="1"/>
    <row r="495" s="29" customFormat="1" ht="11.25" customHeight="1"/>
    <row r="496" s="29" customFormat="1" ht="11.25" customHeight="1"/>
    <row r="497" s="29" customFormat="1" ht="11.25" customHeight="1"/>
    <row r="498" s="29" customFormat="1" ht="11.25" customHeight="1"/>
    <row r="499" s="29" customFormat="1" ht="11.25" customHeight="1"/>
    <row r="500" s="29" customFormat="1" ht="11.25" customHeight="1"/>
    <row r="501" spans="1:11" s="29" customFormat="1" ht="11.2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</row>
    <row r="502" s="29" customFormat="1" ht="11.25" customHeight="1"/>
    <row r="503" s="29" customFormat="1" ht="11.25" customHeight="1"/>
    <row r="504" s="29" customFormat="1" ht="11.25" customHeight="1"/>
    <row r="505" s="29" customFormat="1" ht="11.25" customHeight="1"/>
    <row r="506" s="29" customFormat="1" ht="11.25" customHeight="1"/>
    <row r="507" s="29" customFormat="1" ht="11.25" customHeight="1"/>
    <row r="508" s="29" customFormat="1" ht="11.25" customHeight="1"/>
    <row r="509" s="29" customFormat="1" ht="11.25" customHeight="1"/>
    <row r="510" s="29" customFormat="1" ht="11.25" customHeight="1"/>
    <row r="511" s="29" customFormat="1" ht="11.25" customHeight="1"/>
    <row r="512" s="29" customFormat="1" ht="11.25" customHeight="1"/>
    <row r="513" s="29" customFormat="1" ht="11.25" customHeight="1"/>
    <row r="514" s="29" customFormat="1" ht="11.25" customHeight="1"/>
    <row r="515" s="29" customFormat="1" ht="11.25" customHeight="1"/>
    <row r="516" s="29" customFormat="1" ht="11.25" customHeight="1"/>
    <row r="517" s="29" customFormat="1" ht="11.25" customHeight="1"/>
    <row r="518" s="29" customFormat="1" ht="11.25" customHeight="1"/>
    <row r="519" s="29" customFormat="1" ht="11.25" customHeight="1"/>
    <row r="520" s="29" customFormat="1" ht="11.25" customHeight="1"/>
    <row r="521" s="29" customFormat="1" ht="11.25" customHeight="1"/>
    <row r="522" s="29" customFormat="1" ht="11.25" customHeight="1"/>
    <row r="523" s="29" customFormat="1" ht="11.25" customHeight="1"/>
    <row r="524" s="29" customFormat="1" ht="11.25" customHeight="1"/>
    <row r="525" s="29" customFormat="1" ht="11.25" customHeight="1"/>
    <row r="526" s="29" customFormat="1" ht="11.25" customHeight="1"/>
    <row r="527" s="29" customFormat="1" ht="11.25" customHeight="1"/>
    <row r="528" s="29" customFormat="1" ht="11.25" customHeight="1"/>
    <row r="529" s="29" customFormat="1" ht="11.25" customHeight="1"/>
    <row r="530" s="29" customFormat="1" ht="11.25" customHeight="1"/>
    <row r="531" s="29" customFormat="1" ht="11.25" customHeight="1"/>
    <row r="532" s="29" customFormat="1" ht="11.25" customHeight="1"/>
    <row r="533" s="29" customFormat="1" ht="11.25" customHeight="1"/>
    <row r="534" s="29" customFormat="1" ht="11.25" customHeight="1"/>
    <row r="535" s="29" customFormat="1" ht="11.25" customHeight="1"/>
    <row r="536" s="29" customFormat="1" ht="11.25" customHeight="1"/>
    <row r="537" s="29" customFormat="1" ht="11.25" customHeight="1"/>
    <row r="538" s="29" customFormat="1" ht="11.25" customHeight="1"/>
    <row r="539" s="29" customFormat="1" ht="11.25" customHeight="1"/>
    <row r="540" s="29" customFormat="1" ht="11.25" customHeight="1"/>
    <row r="541" s="29" customFormat="1" ht="11.25" customHeight="1"/>
    <row r="542" s="29" customFormat="1" ht="11.25" customHeight="1"/>
    <row r="543" s="29" customFormat="1" ht="11.25" customHeight="1"/>
    <row r="544" s="29" customFormat="1" ht="11.25" customHeight="1"/>
    <row r="545" s="29" customFormat="1" ht="11.25" customHeight="1"/>
    <row r="546" s="29" customFormat="1" ht="11.25" customHeight="1"/>
    <row r="547" s="29" customFormat="1" ht="11.25" customHeight="1"/>
    <row r="548" s="29" customFormat="1" ht="11.25" customHeight="1"/>
    <row r="549" s="29" customFormat="1" ht="11.25" customHeight="1"/>
    <row r="550" s="29" customFormat="1" ht="11.25" customHeight="1"/>
    <row r="551" s="29" customFormat="1" ht="11.25" customHeight="1"/>
    <row r="552" s="29" customFormat="1" ht="11.25" customHeight="1"/>
    <row r="553" s="29" customFormat="1" ht="11.25" customHeight="1"/>
    <row r="554" s="29" customFormat="1" ht="11.25" customHeight="1"/>
    <row r="555" s="29" customFormat="1" ht="11.25" customHeight="1"/>
    <row r="556" s="29" customFormat="1" ht="11.25" customHeight="1"/>
    <row r="557" s="29" customFormat="1" ht="11.25" customHeight="1"/>
    <row r="558" s="29" customFormat="1" ht="11.25" customHeight="1"/>
    <row r="559" s="29" customFormat="1" ht="11.25" customHeight="1"/>
    <row r="560" s="29" customFormat="1" ht="11.25" customHeight="1"/>
    <row r="561" s="29" customFormat="1" ht="11.25" customHeight="1"/>
    <row r="562" s="29" customFormat="1" ht="11.25" customHeight="1"/>
    <row r="563" s="29" customFormat="1" ht="11.25" customHeight="1"/>
    <row r="564" s="29" customFormat="1" ht="11.25" customHeight="1"/>
    <row r="565" s="29" customFormat="1" ht="11.25" customHeight="1"/>
    <row r="566" s="29" customFormat="1" ht="11.25" customHeight="1"/>
    <row r="567" s="29" customFormat="1" ht="11.25" customHeight="1"/>
    <row r="568" s="29" customFormat="1" ht="11.25" customHeight="1"/>
    <row r="569" s="29" customFormat="1" ht="11.25" customHeight="1"/>
    <row r="570" s="29" customFormat="1" ht="11.25" customHeight="1"/>
    <row r="571" s="29" customFormat="1" ht="11.25" customHeight="1"/>
    <row r="572" s="29" customFormat="1" ht="11.25" customHeight="1"/>
    <row r="573" s="29" customFormat="1" ht="11.25" customHeight="1"/>
    <row r="574" s="29" customFormat="1" ht="11.25" customHeight="1"/>
    <row r="575" s="29" customFormat="1" ht="11.25" customHeight="1"/>
    <row r="576" s="29" customFormat="1" ht="11.25" customHeight="1"/>
    <row r="577" s="29" customFormat="1" ht="11.25" customHeight="1"/>
    <row r="578" s="29" customFormat="1" ht="11.25" customHeight="1"/>
    <row r="579" s="29" customFormat="1" ht="11.25" customHeight="1"/>
    <row r="580" s="29" customFormat="1" ht="11.25" customHeight="1"/>
    <row r="581" s="29" customFormat="1" ht="11.25" customHeight="1"/>
    <row r="582" s="29" customFormat="1" ht="11.25" customHeight="1"/>
    <row r="583" s="29" customFormat="1" ht="11.25" customHeight="1"/>
    <row r="584" s="29" customFormat="1" ht="11.25" customHeight="1"/>
    <row r="585" s="29" customFormat="1" ht="11.25" customHeight="1"/>
    <row r="586" s="29" customFormat="1" ht="11.25" customHeight="1"/>
    <row r="587" s="29" customFormat="1" ht="11.25" customHeight="1"/>
    <row r="588" s="29" customFormat="1" ht="11.25" customHeight="1"/>
    <row r="589" s="29" customFormat="1" ht="11.25" customHeight="1"/>
    <row r="590" s="29" customFormat="1" ht="11.25" customHeight="1"/>
    <row r="591" s="29" customFormat="1" ht="11.25" customHeight="1"/>
    <row r="592" s="29" customFormat="1" ht="11.25" customHeight="1"/>
    <row r="593" s="29" customFormat="1" ht="11.25" customHeight="1"/>
    <row r="594" s="29" customFormat="1" ht="11.25" customHeight="1"/>
    <row r="595" s="29" customFormat="1" ht="11.25" customHeight="1"/>
    <row r="596" s="29" customFormat="1" ht="11.25" customHeight="1"/>
    <row r="597" s="29" customFormat="1" ht="11.25" customHeight="1"/>
    <row r="598" s="29" customFormat="1" ht="11.25" customHeight="1"/>
    <row r="599" s="29" customFormat="1" ht="11.25" customHeight="1"/>
    <row r="600" s="29" customFormat="1" ht="11.25" customHeight="1"/>
    <row r="601" s="29" customFormat="1" ht="11.25" customHeight="1"/>
    <row r="602" s="29" customFormat="1" ht="11.25" customHeight="1"/>
    <row r="603" s="29" customFormat="1" ht="11.25" customHeight="1"/>
    <row r="604" s="29" customFormat="1" ht="11.25" customHeight="1"/>
    <row r="605" s="29" customFormat="1" ht="11.25" customHeight="1"/>
    <row r="606" s="29" customFormat="1" ht="11.25" customHeight="1"/>
    <row r="607" s="29" customFormat="1" ht="11.25" customHeight="1"/>
    <row r="608" s="29" customFormat="1" ht="11.25" customHeight="1"/>
    <row r="609" s="29" customFormat="1" ht="11.25" customHeight="1"/>
    <row r="610" s="29" customFormat="1" ht="11.25" customHeight="1"/>
    <row r="611" s="29" customFormat="1" ht="11.25" customHeight="1"/>
    <row r="612" s="29" customFormat="1" ht="11.25" customHeight="1"/>
    <row r="613" s="29" customFormat="1" ht="11.25" customHeight="1"/>
    <row r="614" s="29" customFormat="1" ht="11.25" customHeight="1"/>
    <row r="615" s="29" customFormat="1" ht="11.25" customHeight="1"/>
    <row r="616" s="29" customFormat="1" ht="11.25" customHeight="1"/>
    <row r="617" s="29" customFormat="1" ht="11.25" customHeight="1"/>
    <row r="618" s="29" customFormat="1" ht="11.25" customHeight="1"/>
    <row r="619" s="29" customFormat="1" ht="11.25" customHeight="1"/>
    <row r="620" s="29" customFormat="1" ht="11.25" customHeight="1"/>
    <row r="621" s="29" customFormat="1" ht="11.25" customHeight="1"/>
    <row r="622" s="29" customFormat="1" ht="11.25" customHeight="1"/>
    <row r="623" s="29" customFormat="1" ht="11.25" customHeight="1"/>
    <row r="624" s="29" customFormat="1" ht="11.25" customHeight="1"/>
    <row r="625" s="29" customFormat="1" ht="11.25" customHeight="1"/>
    <row r="626" s="29" customFormat="1" ht="11.25" customHeight="1"/>
    <row r="627" s="29" customFormat="1" ht="11.25" customHeight="1"/>
    <row r="628" s="29" customFormat="1" ht="11.25" customHeight="1"/>
    <row r="629" s="29" customFormat="1" ht="11.25" customHeight="1"/>
    <row r="630" s="29" customFormat="1" ht="11.25" customHeight="1"/>
    <row r="631" s="29" customFormat="1" ht="11.25" customHeight="1"/>
    <row r="632" s="29" customFormat="1" ht="11.25" customHeight="1"/>
    <row r="633" s="29" customFormat="1" ht="11.25" customHeight="1"/>
    <row r="634" s="29" customFormat="1" ht="11.25" customHeight="1"/>
    <row r="635" s="29" customFormat="1" ht="11.25" customHeight="1"/>
    <row r="636" s="29" customFormat="1" ht="11.25" customHeight="1"/>
    <row r="637" s="29" customFormat="1" ht="11.25" customHeight="1"/>
    <row r="638" s="29" customFormat="1" ht="11.25" customHeight="1"/>
    <row r="639" s="29" customFormat="1" ht="11.25" customHeight="1"/>
    <row r="640" s="29" customFormat="1" ht="11.25" customHeight="1"/>
    <row r="641" s="29" customFormat="1" ht="11.25" customHeight="1"/>
    <row r="642" s="29" customFormat="1" ht="11.25" customHeight="1"/>
    <row r="643" s="29" customFormat="1" ht="11.25" customHeight="1"/>
    <row r="644" s="29" customFormat="1" ht="11.25" customHeight="1"/>
    <row r="645" s="29" customFormat="1" ht="11.25" customHeight="1"/>
    <row r="646" s="29" customFormat="1" ht="11.25" customHeight="1"/>
    <row r="647" s="29" customFormat="1" ht="11.25" customHeight="1"/>
    <row r="648" s="29" customFormat="1" ht="11.25" customHeight="1"/>
    <row r="649" s="29" customFormat="1" ht="11.25" customHeight="1"/>
    <row r="650" s="29" customFormat="1" ht="11.25" customHeight="1"/>
    <row r="651" s="29" customFormat="1" ht="11.25" customHeight="1"/>
    <row r="652" s="29" customFormat="1" ht="11.25" customHeight="1"/>
    <row r="653" s="29" customFormat="1" ht="11.25" customHeight="1"/>
    <row r="654" s="29" customFormat="1" ht="11.25" customHeight="1"/>
    <row r="655" s="29" customFormat="1" ht="11.25" customHeight="1"/>
    <row r="656" s="29" customFormat="1" ht="11.25" customHeight="1"/>
    <row r="657" s="29" customFormat="1" ht="11.25" customHeight="1"/>
    <row r="658" s="29" customFormat="1" ht="11.25" customHeight="1"/>
    <row r="659" s="29" customFormat="1" ht="11.25" customHeight="1"/>
    <row r="660" s="29" customFormat="1" ht="11.25" customHeight="1"/>
    <row r="661" s="29" customFormat="1" ht="11.25" customHeight="1"/>
    <row r="662" s="29" customFormat="1" ht="11.25" customHeight="1"/>
    <row r="663" s="29" customFormat="1" ht="11.25" customHeight="1"/>
    <row r="664" s="29" customFormat="1" ht="11.25" customHeight="1"/>
    <row r="665" s="29" customFormat="1" ht="11.25" customHeight="1"/>
    <row r="666" s="29" customFormat="1" ht="11.25" customHeight="1"/>
    <row r="667" s="29" customFormat="1" ht="11.25" customHeight="1"/>
    <row r="668" s="29" customFormat="1" ht="11.25" customHeight="1"/>
    <row r="669" s="29" customFormat="1" ht="11.25" customHeight="1"/>
    <row r="670" s="29" customFormat="1" ht="11.25" customHeight="1"/>
    <row r="671" s="29" customFormat="1" ht="11.25" customHeight="1"/>
    <row r="672" s="29" customFormat="1" ht="11.25" customHeight="1"/>
    <row r="673" s="29" customFormat="1" ht="11.25" customHeight="1"/>
    <row r="674" s="29" customFormat="1" ht="11.25" customHeight="1"/>
    <row r="675" s="29" customFormat="1" ht="11.25" customHeight="1"/>
    <row r="676" s="29" customFormat="1" ht="11.25" customHeight="1"/>
    <row r="677" s="29" customFormat="1" ht="11.25" customHeight="1"/>
    <row r="678" s="29" customFormat="1" ht="11.25" customHeight="1"/>
    <row r="679" s="29" customFormat="1" ht="11.25" customHeight="1"/>
    <row r="680" s="29" customFormat="1" ht="11.25" customHeight="1"/>
    <row r="681" s="29" customFormat="1" ht="11.25" customHeight="1"/>
    <row r="682" s="29" customFormat="1" ht="11.25" customHeight="1"/>
    <row r="683" s="29" customFormat="1" ht="11.25" customHeight="1"/>
    <row r="684" s="29" customFormat="1" ht="11.25" customHeight="1"/>
    <row r="685" s="29" customFormat="1" ht="11.25" customHeight="1"/>
    <row r="686" s="29" customFormat="1" ht="11.25" customHeight="1"/>
    <row r="687" s="29" customFormat="1" ht="11.25" customHeight="1"/>
    <row r="688" s="29" customFormat="1" ht="11.25" customHeight="1"/>
    <row r="689" s="29" customFormat="1" ht="11.25" customHeight="1"/>
    <row r="690" s="29" customFormat="1" ht="11.25" customHeight="1"/>
    <row r="691" s="29" customFormat="1" ht="11.25" customHeight="1"/>
    <row r="692" s="29" customFormat="1" ht="11.25" customHeight="1"/>
    <row r="693" s="29" customFormat="1" ht="11.25" customHeight="1"/>
    <row r="694" s="29" customFormat="1" ht="11.25" customHeight="1"/>
    <row r="695" s="29" customFormat="1" ht="11.25" customHeight="1"/>
    <row r="696" s="29" customFormat="1" ht="11.25" customHeight="1"/>
    <row r="697" s="29" customFormat="1" ht="11.25" customHeight="1"/>
    <row r="698" s="29" customFormat="1" ht="11.25" customHeight="1"/>
    <row r="699" s="29" customFormat="1" ht="11.25" customHeight="1"/>
    <row r="700" s="29" customFormat="1" ht="11.25" customHeight="1"/>
    <row r="701" s="29" customFormat="1" ht="11.25" customHeight="1"/>
    <row r="702" s="29" customFormat="1" ht="11.25" customHeight="1"/>
    <row r="703" s="29" customFormat="1" ht="11.25" customHeight="1"/>
    <row r="704" s="29" customFormat="1" ht="11.25" customHeight="1"/>
    <row r="705" s="29" customFormat="1" ht="11.25" customHeight="1"/>
    <row r="706" s="29" customFormat="1" ht="11.25" customHeight="1"/>
    <row r="707" s="29" customFormat="1" ht="11.25" customHeight="1"/>
    <row r="708" s="29" customFormat="1" ht="11.25" customHeight="1"/>
    <row r="709" s="29" customFormat="1" ht="11.25" customHeight="1"/>
    <row r="710" s="29" customFormat="1" ht="11.25" customHeight="1"/>
    <row r="711" s="29" customFormat="1" ht="11.25" customHeight="1"/>
    <row r="712" s="29" customFormat="1" ht="11.25" customHeight="1"/>
    <row r="713" s="29" customFormat="1" ht="11.25" customHeight="1"/>
    <row r="714" s="29" customFormat="1" ht="11.25" customHeight="1"/>
    <row r="715" s="29" customFormat="1" ht="11.25" customHeight="1"/>
    <row r="716" s="29" customFormat="1" ht="11.25" customHeight="1"/>
    <row r="717" s="29" customFormat="1" ht="11.25" customHeight="1"/>
    <row r="718" s="29" customFormat="1" ht="11.25" customHeight="1"/>
    <row r="719" s="29" customFormat="1" ht="11.25" customHeight="1"/>
    <row r="720" s="29" customFormat="1" ht="11.25" customHeight="1"/>
    <row r="721" s="29" customFormat="1" ht="11.25" customHeight="1"/>
    <row r="722" s="29" customFormat="1" ht="11.25" customHeight="1"/>
    <row r="723" s="29" customFormat="1" ht="11.25" customHeight="1"/>
    <row r="724" s="29" customFormat="1" ht="11.25" customHeight="1"/>
    <row r="725" s="29" customFormat="1" ht="11.25" customHeight="1"/>
    <row r="726" s="29" customFormat="1" ht="11.25" customHeight="1"/>
    <row r="727" s="29" customFormat="1" ht="11.25" customHeight="1"/>
    <row r="728" s="29" customFormat="1" ht="11.25" customHeight="1"/>
    <row r="729" s="29" customFormat="1" ht="11.25" customHeight="1"/>
    <row r="730" s="29" customFormat="1" ht="11.25" customHeight="1"/>
    <row r="731" s="29" customFormat="1" ht="11.25" customHeight="1"/>
    <row r="732" s="29" customFormat="1" ht="11.25" customHeight="1"/>
    <row r="733" s="29" customFormat="1" ht="11.25" customHeight="1"/>
    <row r="734" s="29" customFormat="1" ht="11.25" customHeight="1"/>
    <row r="735" s="29" customFormat="1" ht="11.25" customHeight="1"/>
    <row r="736" s="29" customFormat="1" ht="11.25" customHeight="1"/>
    <row r="737" s="29" customFormat="1" ht="11.25" customHeight="1"/>
    <row r="738" s="29" customFormat="1" ht="11.25" customHeight="1"/>
    <row r="739" s="29" customFormat="1" ht="11.25" customHeight="1"/>
    <row r="740" s="29" customFormat="1" ht="11.25" customHeight="1"/>
    <row r="741" s="29" customFormat="1" ht="11.25" customHeight="1"/>
    <row r="742" s="29" customFormat="1" ht="11.25" customHeight="1"/>
    <row r="743" s="29" customFormat="1" ht="11.25" customHeight="1"/>
    <row r="744" s="29" customFormat="1" ht="11.25" customHeight="1"/>
    <row r="745" s="29" customFormat="1" ht="11.25" customHeight="1"/>
    <row r="746" s="29" customFormat="1" ht="11.25" customHeight="1"/>
    <row r="747" s="29" customFormat="1" ht="11.25" customHeight="1"/>
    <row r="748" s="29" customFormat="1" ht="11.25" customHeight="1"/>
    <row r="749" s="29" customFormat="1" ht="11.25" customHeight="1"/>
    <row r="750" s="29" customFormat="1" ht="11.25" customHeight="1"/>
    <row r="751" s="29" customFormat="1" ht="11.25" customHeight="1"/>
    <row r="752" s="29" customFormat="1" ht="11.25" customHeight="1"/>
    <row r="753" s="29" customFormat="1" ht="11.25" customHeight="1"/>
    <row r="754" s="29" customFormat="1" ht="11.25" customHeight="1"/>
    <row r="755" s="29" customFormat="1" ht="11.25" customHeight="1"/>
    <row r="756" s="29" customFormat="1" ht="11.25" customHeight="1"/>
    <row r="757" s="29" customFormat="1" ht="11.25" customHeight="1"/>
    <row r="758" s="29" customFormat="1" ht="11.25" customHeight="1"/>
    <row r="759" s="29" customFormat="1" ht="11.25" customHeight="1"/>
    <row r="760" s="29" customFormat="1" ht="11.25" customHeight="1"/>
    <row r="761" s="29" customFormat="1" ht="11.25" customHeight="1"/>
    <row r="762" s="29" customFormat="1" ht="11.25" customHeight="1"/>
    <row r="763" s="29" customFormat="1" ht="11.25" customHeight="1"/>
    <row r="764" s="29" customFormat="1" ht="11.25" customHeight="1"/>
    <row r="765" s="29" customFormat="1" ht="11.25" customHeight="1"/>
    <row r="766" s="29" customFormat="1" ht="11.25" customHeight="1"/>
    <row r="767" s="29" customFormat="1" ht="11.25" customHeight="1"/>
    <row r="768" s="29" customFormat="1" ht="11.25" customHeight="1"/>
    <row r="769" s="29" customFormat="1" ht="11.25" customHeight="1"/>
    <row r="770" s="29" customFormat="1" ht="11.25" customHeight="1"/>
    <row r="771" s="29" customFormat="1" ht="11.25" customHeight="1"/>
    <row r="772" s="29" customFormat="1" ht="11.25" customHeight="1"/>
    <row r="773" s="29" customFormat="1" ht="11.25" customHeight="1"/>
    <row r="774" s="29" customFormat="1" ht="11.25" customHeight="1"/>
    <row r="775" s="29" customFormat="1" ht="11.25" customHeight="1"/>
    <row r="776" s="29" customFormat="1" ht="11.25" customHeight="1"/>
    <row r="777" s="29" customFormat="1" ht="11.25" customHeight="1"/>
    <row r="778" s="29" customFormat="1" ht="11.25" customHeight="1"/>
    <row r="779" s="29" customFormat="1" ht="11.25" customHeight="1"/>
    <row r="780" s="29" customFormat="1" ht="11.25" customHeight="1"/>
    <row r="781" s="29" customFormat="1" ht="11.25" customHeight="1"/>
    <row r="782" s="29" customFormat="1" ht="11.25" customHeight="1"/>
    <row r="783" s="29" customFormat="1" ht="11.25" customHeight="1"/>
    <row r="784" s="29" customFormat="1" ht="11.25" customHeight="1"/>
    <row r="785" s="29" customFormat="1" ht="11.25" customHeight="1"/>
    <row r="786" s="29" customFormat="1" ht="11.25" customHeight="1"/>
    <row r="787" s="29" customFormat="1" ht="11.25" customHeight="1"/>
    <row r="788" s="29" customFormat="1" ht="11.25" customHeight="1"/>
    <row r="789" s="29" customFormat="1" ht="11.25" customHeight="1"/>
    <row r="790" s="29" customFormat="1" ht="11.25" customHeight="1"/>
    <row r="791" s="29" customFormat="1" ht="11.25" customHeight="1"/>
    <row r="792" s="29" customFormat="1" ht="11.25" customHeight="1"/>
    <row r="793" s="29" customFormat="1" ht="11.25" customHeight="1"/>
    <row r="794" s="29" customFormat="1" ht="11.25" customHeight="1"/>
    <row r="795" s="29" customFormat="1" ht="11.25" customHeight="1"/>
    <row r="796" s="29" customFormat="1" ht="11.25" customHeight="1"/>
    <row r="797" s="29" customFormat="1" ht="11.25" customHeight="1"/>
    <row r="798" s="29" customFormat="1" ht="11.25" customHeight="1"/>
    <row r="799" s="29" customFormat="1" ht="11.25" customHeight="1"/>
    <row r="800" s="29" customFormat="1" ht="11.25" customHeight="1"/>
    <row r="801" s="29" customFormat="1" ht="11.25" customHeight="1"/>
    <row r="802" s="29" customFormat="1" ht="11.25" customHeight="1"/>
    <row r="803" s="29" customFormat="1" ht="11.25" customHeight="1"/>
    <row r="804" s="29" customFormat="1" ht="11.25" customHeight="1"/>
    <row r="805" s="29" customFormat="1" ht="11.25" customHeight="1"/>
    <row r="806" s="29" customFormat="1" ht="11.25" customHeight="1"/>
    <row r="807" s="29" customFormat="1" ht="11.25" customHeight="1"/>
    <row r="808" s="29" customFormat="1" ht="11.25" customHeight="1"/>
    <row r="809" s="29" customFormat="1" ht="11.25" customHeight="1"/>
    <row r="810" s="29" customFormat="1" ht="11.25" customHeight="1"/>
    <row r="811" s="29" customFormat="1" ht="11.25" customHeight="1"/>
    <row r="812" s="29" customFormat="1" ht="11.25" customHeight="1"/>
    <row r="813" s="29" customFormat="1" ht="11.25" customHeight="1"/>
    <row r="814" s="29" customFormat="1" ht="11.25" customHeight="1"/>
    <row r="815" s="29" customFormat="1" ht="11.25" customHeight="1"/>
    <row r="816" s="29" customFormat="1" ht="11.25" customHeight="1"/>
    <row r="817" s="29" customFormat="1" ht="11.25" customHeight="1"/>
    <row r="818" s="29" customFormat="1" ht="11.25" customHeight="1"/>
    <row r="819" s="29" customFormat="1" ht="11.25" customHeight="1"/>
    <row r="820" s="29" customFormat="1" ht="11.25" customHeight="1"/>
    <row r="821" s="29" customFormat="1" ht="11.25" customHeight="1"/>
    <row r="822" s="29" customFormat="1" ht="11.25" customHeight="1"/>
    <row r="823" s="29" customFormat="1" ht="11.25" customHeight="1"/>
    <row r="824" s="29" customFormat="1" ht="11.25" customHeight="1"/>
    <row r="825" s="29" customFormat="1" ht="11.25" customHeight="1"/>
    <row r="826" s="29" customFormat="1" ht="11.25" customHeight="1"/>
    <row r="827" s="29" customFormat="1" ht="11.25" customHeight="1"/>
    <row r="828" s="29" customFormat="1" ht="11.25" customHeight="1"/>
    <row r="829" s="29" customFormat="1" ht="11.25" customHeight="1"/>
    <row r="830" s="29" customFormat="1" ht="11.25" customHeight="1"/>
    <row r="831" s="29" customFormat="1" ht="11.25" customHeight="1"/>
    <row r="832" s="29" customFormat="1" ht="11.25" customHeight="1"/>
    <row r="833" s="29" customFormat="1" ht="11.25" customHeight="1"/>
    <row r="834" s="29" customFormat="1" ht="11.25" customHeight="1"/>
    <row r="835" s="29" customFormat="1" ht="11.25" customHeight="1"/>
    <row r="836" s="29" customFormat="1" ht="11.25" customHeight="1"/>
    <row r="837" s="29" customFormat="1" ht="11.25" customHeight="1"/>
    <row r="838" s="29" customFormat="1" ht="11.25" customHeight="1"/>
    <row r="839" s="29" customFormat="1" ht="11.25" customHeight="1"/>
    <row r="840" s="29" customFormat="1" ht="11.25" customHeight="1"/>
    <row r="841" s="29" customFormat="1" ht="11.25" customHeight="1"/>
    <row r="842" s="29" customFormat="1" ht="11.25" customHeight="1"/>
    <row r="843" s="29" customFormat="1" ht="11.25" customHeight="1"/>
    <row r="844" s="29" customFormat="1" ht="11.25" customHeight="1"/>
    <row r="845" s="29" customFormat="1" ht="11.25" customHeight="1"/>
    <row r="846" s="29" customFormat="1" ht="11.25" customHeight="1"/>
    <row r="847" s="29" customFormat="1" ht="11.25" customHeight="1"/>
    <row r="848" s="29" customFormat="1" ht="11.25" customHeight="1"/>
    <row r="849" s="29" customFormat="1" ht="11.25" customHeight="1"/>
    <row r="850" s="29" customFormat="1" ht="11.25" customHeight="1"/>
    <row r="851" s="29" customFormat="1" ht="11.25" customHeight="1"/>
    <row r="852" s="29" customFormat="1" ht="11.25" customHeight="1"/>
    <row r="853" s="29" customFormat="1" ht="11.25" customHeight="1"/>
    <row r="854" s="29" customFormat="1" ht="11.25" customHeight="1"/>
    <row r="855" s="29" customFormat="1" ht="11.25" customHeight="1"/>
    <row r="856" s="29" customFormat="1" ht="11.25" customHeight="1"/>
    <row r="857" s="29" customFormat="1" ht="11.25" customHeight="1"/>
    <row r="858" s="29" customFormat="1" ht="11.25" customHeight="1"/>
    <row r="859" s="29" customFormat="1" ht="11.25" customHeight="1"/>
    <row r="860" s="29" customFormat="1" ht="11.25" customHeight="1"/>
    <row r="861" s="29" customFormat="1" ht="11.25" customHeight="1"/>
    <row r="862" s="29" customFormat="1" ht="11.25" customHeight="1"/>
    <row r="863" s="29" customFormat="1" ht="11.25" customHeight="1"/>
    <row r="864" s="29" customFormat="1" ht="11.25" customHeight="1"/>
    <row r="865" s="29" customFormat="1" ht="11.25" customHeight="1"/>
    <row r="866" s="29" customFormat="1" ht="11.25" customHeight="1"/>
    <row r="867" s="29" customFormat="1" ht="11.25" customHeight="1"/>
    <row r="868" s="29" customFormat="1" ht="11.25" customHeight="1"/>
    <row r="869" s="29" customFormat="1" ht="11.25" customHeight="1"/>
    <row r="870" s="29" customFormat="1" ht="11.25" customHeight="1"/>
    <row r="871" s="29" customFormat="1" ht="11.25" customHeight="1"/>
    <row r="872" s="29" customFormat="1" ht="11.25" customHeight="1"/>
    <row r="873" s="29" customFormat="1" ht="11.25" customHeight="1"/>
    <row r="874" s="29" customFormat="1" ht="11.25" customHeight="1"/>
    <row r="875" s="29" customFormat="1" ht="11.25" customHeight="1"/>
    <row r="876" s="29" customFormat="1" ht="11.25" customHeight="1"/>
    <row r="877" s="29" customFormat="1" ht="11.25" customHeight="1"/>
    <row r="878" s="29" customFormat="1" ht="11.25" customHeight="1"/>
    <row r="879" s="29" customFormat="1" ht="11.25" customHeight="1"/>
    <row r="880" s="29" customFormat="1" ht="11.25" customHeight="1"/>
    <row r="881" s="29" customFormat="1" ht="11.25" customHeight="1"/>
    <row r="882" s="29" customFormat="1" ht="11.25" customHeight="1"/>
    <row r="883" s="29" customFormat="1" ht="11.25" customHeight="1"/>
    <row r="884" s="29" customFormat="1" ht="11.25" customHeight="1"/>
    <row r="885" s="29" customFormat="1" ht="11.25" customHeight="1"/>
    <row r="886" s="29" customFormat="1" ht="11.25" customHeight="1"/>
    <row r="887" s="29" customFormat="1" ht="11.25" customHeight="1"/>
    <row r="888" s="29" customFormat="1" ht="11.25" customHeight="1"/>
    <row r="889" s="29" customFormat="1" ht="11.25" customHeight="1"/>
    <row r="890" s="29" customFormat="1" ht="11.25" customHeight="1"/>
    <row r="891" s="29" customFormat="1" ht="11.25" customHeight="1"/>
    <row r="892" s="29" customFormat="1" ht="11.25" customHeight="1"/>
    <row r="893" s="29" customFormat="1" ht="11.25" customHeight="1"/>
    <row r="894" s="29" customFormat="1" ht="11.25" customHeight="1"/>
    <row r="895" s="29" customFormat="1" ht="11.25" customHeight="1"/>
    <row r="896" s="29" customFormat="1" ht="11.25" customHeight="1"/>
    <row r="897" s="29" customFormat="1" ht="11.25" customHeight="1"/>
    <row r="898" s="29" customFormat="1" ht="11.25" customHeight="1"/>
    <row r="899" s="29" customFormat="1" ht="11.25" customHeight="1"/>
    <row r="900" s="29" customFormat="1" ht="11.25" customHeight="1"/>
    <row r="901" s="29" customFormat="1" ht="11.25" customHeight="1"/>
    <row r="902" s="29" customFormat="1" ht="11.25" customHeight="1"/>
    <row r="903" s="29" customFormat="1" ht="11.25" customHeight="1"/>
    <row r="904" s="29" customFormat="1" ht="11.25" customHeight="1"/>
    <row r="905" s="29" customFormat="1" ht="11.25" customHeight="1"/>
    <row r="906" s="29" customFormat="1" ht="11.25" customHeight="1"/>
    <row r="907" s="29" customFormat="1" ht="11.25" customHeight="1"/>
    <row r="908" s="29" customFormat="1" ht="11.25" customHeight="1"/>
    <row r="909" s="29" customFormat="1" ht="11.25" customHeight="1"/>
    <row r="910" s="29" customFormat="1" ht="11.25" customHeight="1"/>
    <row r="911" s="29" customFormat="1" ht="11.25" customHeight="1"/>
    <row r="912" s="29" customFormat="1" ht="11.25" customHeight="1"/>
    <row r="913" s="29" customFormat="1" ht="11.25" customHeight="1"/>
    <row r="914" s="29" customFormat="1" ht="11.25" customHeight="1"/>
    <row r="915" s="29" customFormat="1" ht="11.25" customHeight="1"/>
    <row r="916" s="29" customFormat="1" ht="11.25" customHeight="1"/>
    <row r="917" s="29" customFormat="1" ht="11.25" customHeight="1"/>
    <row r="918" s="29" customFormat="1" ht="11.25" customHeight="1"/>
    <row r="919" s="29" customFormat="1" ht="11.25" customHeight="1"/>
    <row r="920" s="29" customFormat="1" ht="11.25" customHeight="1"/>
    <row r="921" s="29" customFormat="1" ht="11.25" customHeight="1"/>
    <row r="922" s="29" customFormat="1" ht="11.25" customHeight="1"/>
    <row r="923" s="29" customFormat="1" ht="11.25" customHeight="1"/>
    <row r="924" s="29" customFormat="1" ht="11.25" customHeight="1"/>
    <row r="925" s="29" customFormat="1" ht="11.25" customHeight="1"/>
    <row r="926" s="29" customFormat="1" ht="11.25" customHeight="1"/>
    <row r="927" s="29" customFormat="1" ht="11.25" customHeight="1"/>
    <row r="928" s="29" customFormat="1" ht="11.25" customHeight="1"/>
    <row r="929" s="29" customFormat="1" ht="11.25" customHeight="1"/>
    <row r="930" s="29" customFormat="1" ht="11.25" customHeight="1"/>
    <row r="931" s="29" customFormat="1" ht="11.25" customHeight="1"/>
    <row r="932" s="29" customFormat="1" ht="11.25" customHeight="1"/>
    <row r="933" s="29" customFormat="1" ht="11.25" customHeight="1"/>
    <row r="934" s="29" customFormat="1" ht="11.25" customHeight="1"/>
    <row r="935" s="29" customFormat="1" ht="11.25" customHeight="1"/>
    <row r="936" s="29" customFormat="1" ht="11.25" customHeight="1"/>
    <row r="937" s="29" customFormat="1" ht="11.25" customHeight="1"/>
    <row r="938" s="29" customFormat="1" ht="11.25" customHeight="1"/>
    <row r="939" s="29" customFormat="1" ht="11.25" customHeight="1"/>
    <row r="940" s="29" customFormat="1" ht="11.25" customHeight="1"/>
    <row r="941" s="29" customFormat="1" ht="11.25" customHeight="1"/>
    <row r="942" s="29" customFormat="1" ht="11.25" customHeight="1"/>
    <row r="943" s="29" customFormat="1" ht="11.25" customHeight="1"/>
    <row r="944" s="29" customFormat="1" ht="11.25" customHeight="1"/>
    <row r="945" s="29" customFormat="1" ht="11.25" customHeight="1"/>
    <row r="946" s="29" customFormat="1" ht="11.25" customHeight="1"/>
    <row r="947" s="29" customFormat="1" ht="11.25" customHeight="1"/>
    <row r="948" s="29" customFormat="1" ht="11.25" customHeight="1"/>
    <row r="949" s="29" customFormat="1" ht="11.25" customHeight="1"/>
    <row r="950" s="29" customFormat="1" ht="11.25" customHeight="1"/>
    <row r="951" s="29" customFormat="1" ht="11.25" customHeight="1"/>
    <row r="952" s="29" customFormat="1" ht="11.25" customHeight="1"/>
    <row r="953" s="29" customFormat="1" ht="11.25" customHeight="1"/>
    <row r="954" s="29" customFormat="1" ht="11.25" customHeight="1"/>
    <row r="955" s="29" customFormat="1" ht="11.25" customHeight="1"/>
    <row r="956" s="29" customFormat="1" ht="11.25" customHeight="1"/>
    <row r="957" s="29" customFormat="1" ht="11.25" customHeight="1"/>
    <row r="958" s="29" customFormat="1" ht="11.25" customHeight="1"/>
    <row r="959" s="29" customFormat="1" ht="11.25" customHeight="1"/>
    <row r="960" s="29" customFormat="1" ht="11.25" customHeight="1"/>
    <row r="961" s="29" customFormat="1" ht="11.25" customHeight="1"/>
    <row r="962" s="29" customFormat="1" ht="11.25" customHeight="1"/>
    <row r="963" s="29" customFormat="1" ht="11.25" customHeight="1"/>
    <row r="964" s="29" customFormat="1" ht="11.25" customHeight="1"/>
    <row r="965" s="29" customFormat="1" ht="11.25" customHeight="1"/>
    <row r="966" s="29" customFormat="1" ht="11.25" customHeight="1"/>
    <row r="967" s="29" customFormat="1" ht="11.25" customHeight="1"/>
    <row r="968" s="29" customFormat="1" ht="11.25" customHeight="1"/>
    <row r="969" s="29" customFormat="1" ht="11.25" customHeight="1"/>
    <row r="970" s="29" customFormat="1" ht="11.25" customHeight="1"/>
    <row r="971" s="29" customFormat="1" ht="11.25" customHeight="1"/>
    <row r="972" s="29" customFormat="1" ht="11.25" customHeight="1"/>
    <row r="973" s="29" customFormat="1" ht="11.25" customHeight="1"/>
    <row r="974" s="29" customFormat="1" ht="11.25" customHeight="1"/>
    <row r="975" s="29" customFormat="1" ht="11.25" customHeight="1"/>
    <row r="976" s="29" customFormat="1" ht="11.25" customHeight="1"/>
    <row r="977" s="29" customFormat="1" ht="11.25" customHeight="1"/>
    <row r="978" s="29" customFormat="1" ht="11.25" customHeight="1"/>
    <row r="979" s="29" customFormat="1" ht="11.25" customHeight="1"/>
    <row r="980" s="29" customFormat="1" ht="11.25" customHeight="1"/>
    <row r="981" s="29" customFormat="1" ht="11.25" customHeight="1"/>
    <row r="982" s="29" customFormat="1" ht="11.25" customHeight="1"/>
    <row r="983" s="29" customFormat="1" ht="11.25" customHeight="1"/>
    <row r="984" s="29" customFormat="1" ht="11.25" customHeight="1"/>
    <row r="985" s="29" customFormat="1" ht="11.25" customHeight="1"/>
    <row r="986" s="29" customFormat="1" ht="11.25" customHeight="1"/>
    <row r="987" s="29" customFormat="1" ht="11.25" customHeight="1"/>
    <row r="988" s="29" customFormat="1" ht="11.25" customHeight="1"/>
    <row r="989" s="29" customFormat="1" ht="11.25" customHeight="1"/>
    <row r="990" s="29" customFormat="1" ht="11.25" customHeight="1"/>
    <row r="991" s="29" customFormat="1" ht="11.25" customHeight="1"/>
    <row r="992" s="29" customFormat="1" ht="11.25" customHeight="1"/>
    <row r="993" s="29" customFormat="1" ht="11.25" customHeight="1"/>
    <row r="994" s="29" customFormat="1" ht="11.25" customHeight="1"/>
    <row r="995" s="29" customFormat="1" ht="11.25" customHeight="1"/>
    <row r="996" s="29" customFormat="1" ht="11.25" customHeight="1"/>
    <row r="997" s="29" customFormat="1" ht="11.25" customHeight="1"/>
    <row r="998" s="29" customFormat="1" ht="11.25" customHeight="1"/>
    <row r="999" s="29" customFormat="1" ht="11.25" customHeight="1"/>
    <row r="1000" s="29" customFormat="1" ht="11.25" customHeight="1"/>
    <row r="1001" s="29" customFormat="1" ht="11.25" customHeight="1"/>
    <row r="1002" s="29" customFormat="1" ht="11.25" customHeight="1"/>
    <row r="1003" s="29" customFormat="1" ht="11.25" customHeight="1"/>
    <row r="1004" s="29" customFormat="1" ht="11.25" customHeight="1"/>
    <row r="1005" s="29" customFormat="1" ht="11.25" customHeight="1"/>
    <row r="1006" s="29" customFormat="1" ht="11.25" customHeight="1"/>
    <row r="1007" s="29" customFormat="1" ht="11.25" customHeight="1"/>
    <row r="1008" s="29" customFormat="1" ht="11.25" customHeight="1"/>
    <row r="1009" s="29" customFormat="1" ht="11.25" customHeight="1"/>
    <row r="1010" s="29" customFormat="1" ht="11.25" customHeight="1"/>
    <row r="1011" s="29" customFormat="1" ht="11.25" customHeight="1"/>
    <row r="1012" s="29" customFormat="1" ht="11.25" customHeight="1"/>
    <row r="1013" s="29" customFormat="1" ht="11.25" customHeight="1"/>
    <row r="1014" s="29" customFormat="1" ht="11.25" customHeight="1"/>
    <row r="1015" s="29" customFormat="1" ht="11.25" customHeight="1"/>
    <row r="1016" s="29" customFormat="1" ht="11.25" customHeight="1"/>
    <row r="1017" s="29" customFormat="1" ht="11.25" customHeight="1"/>
    <row r="1018" s="29" customFormat="1" ht="11.25" customHeight="1"/>
    <row r="1019" s="29" customFormat="1" ht="11.25" customHeight="1"/>
    <row r="1020" s="29" customFormat="1" ht="11.25" customHeight="1"/>
    <row r="1021" s="29" customFormat="1" ht="11.25" customHeight="1"/>
    <row r="1022" s="29" customFormat="1" ht="11.25" customHeight="1"/>
    <row r="1023" s="29" customFormat="1" ht="11.25" customHeight="1"/>
    <row r="1024" s="29" customFormat="1" ht="11.25" customHeight="1"/>
    <row r="1025" s="29" customFormat="1" ht="11.25" customHeight="1"/>
    <row r="1026" s="29" customFormat="1" ht="11.25" customHeight="1"/>
    <row r="1027" s="29" customFormat="1" ht="11.25" customHeight="1"/>
    <row r="1028" s="29" customFormat="1" ht="11.25" customHeight="1"/>
    <row r="1029" s="29" customFormat="1" ht="11.25" customHeight="1"/>
    <row r="1030" s="29" customFormat="1" ht="11.25" customHeight="1"/>
    <row r="1031" s="29" customFormat="1" ht="11.25" customHeight="1"/>
    <row r="1032" s="29" customFormat="1" ht="11.25" customHeight="1"/>
    <row r="1033" s="29" customFormat="1" ht="11.25" customHeight="1"/>
    <row r="1034" s="29" customFormat="1" ht="11.25" customHeight="1"/>
    <row r="1035" s="29" customFormat="1" ht="11.25" customHeight="1"/>
    <row r="1036" s="29" customFormat="1" ht="11.25" customHeight="1"/>
    <row r="1037" s="29" customFormat="1" ht="11.25" customHeight="1"/>
    <row r="1038" s="29" customFormat="1" ht="11.25" customHeight="1"/>
    <row r="1039" s="29" customFormat="1" ht="11.25" customHeight="1"/>
    <row r="1040" s="29" customFormat="1" ht="11.25" customHeight="1"/>
    <row r="1041" s="29" customFormat="1" ht="11.25" customHeight="1"/>
    <row r="1042" s="29" customFormat="1" ht="11.25" customHeight="1"/>
    <row r="1043" s="29" customFormat="1" ht="11.25" customHeight="1"/>
    <row r="1044" s="29" customFormat="1" ht="11.25" customHeight="1"/>
    <row r="1045" s="29" customFormat="1" ht="11.25" customHeight="1"/>
    <row r="1046" s="29" customFormat="1" ht="11.25" customHeight="1"/>
    <row r="1047" s="29" customFormat="1" ht="11.25" customHeight="1"/>
    <row r="1048" s="29" customFormat="1" ht="11.25" customHeight="1"/>
    <row r="1049" s="29" customFormat="1" ht="11.25" customHeight="1"/>
    <row r="1050" s="29" customFormat="1" ht="11.25" customHeight="1"/>
    <row r="1051" s="29" customFormat="1" ht="11.25" customHeight="1"/>
  </sheetData>
  <printOptions/>
  <pageMargins left="0.89" right="0.25" top="0.73" bottom="0" header="0.5" footer="0.5"/>
  <pageSetup fitToHeight="1" fitToWidth="1" horizontalDpi="360" verticalDpi="360" orientation="landscape" scale="12" r:id="rId1"/>
  <headerFooter alignWithMargins="0">
    <oddFooter>&amp;L&amp;D</oddFooter>
  </headerFooter>
  <rowBreaks count="9" manualBreakCount="9">
    <brk id="45" max="255" man="1"/>
    <brk id="47" max="255" man="1"/>
    <brk id="94" max="255" man="1"/>
    <brk id="141" max="255" man="1"/>
    <brk id="187" max="255" man="1"/>
    <brk id="230" max="255" man="1"/>
    <brk id="276" max="255" man="1"/>
    <brk id="322" max="255" man="1"/>
    <brk id="373" max="255" man="1"/>
  </rowBreaks>
  <colBreaks count="2" manualBreakCount="2">
    <brk id="20" max="65535" man="1"/>
    <brk id="21" max="40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169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16.8515625" style="1" customWidth="1"/>
    <col min="2" max="2" width="2.7109375" style="1" customWidth="1"/>
    <col min="3" max="3" width="11.7109375" style="1" customWidth="1"/>
    <col min="4" max="4" width="2.421875" style="1" customWidth="1"/>
    <col min="5" max="5" width="11.7109375" style="1" customWidth="1"/>
    <col min="6" max="6" width="2.421875" style="1" customWidth="1"/>
    <col min="7" max="7" width="11.7109375" style="1" customWidth="1"/>
    <col min="8" max="8" width="2.421875" style="1" customWidth="1"/>
    <col min="9" max="9" width="11.7109375" style="1" customWidth="1"/>
    <col min="10" max="10" width="2.421875" style="1" customWidth="1"/>
    <col min="11" max="11" width="11.7109375" style="1" customWidth="1"/>
    <col min="12" max="12" width="2.421875" style="1" customWidth="1"/>
    <col min="13" max="13" width="11.7109375" style="1" customWidth="1"/>
    <col min="14" max="14" width="2.421875" style="1" customWidth="1"/>
    <col min="15" max="15" width="11.7109375" style="1" customWidth="1"/>
    <col min="16" max="16" width="2.421875" style="1" customWidth="1"/>
    <col min="17" max="17" width="11.7109375" style="1" customWidth="1"/>
    <col min="18" max="18" width="1.7109375" style="1" customWidth="1"/>
    <col min="19" max="19" width="12.57421875" style="1" customWidth="1"/>
    <col min="20" max="20" width="1.7109375" style="1" customWidth="1"/>
    <col min="21" max="16384" width="12.57421875" style="1" customWidth="1"/>
  </cols>
  <sheetData>
    <row r="1" spans="1:19" ht="12">
      <c r="A1" s="40" t="s">
        <v>0</v>
      </c>
      <c r="B1" s="41"/>
      <c r="C1" s="41"/>
      <c r="D1" s="41"/>
      <c r="E1" s="4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">
      <c r="A2" s="40" t="s">
        <v>49</v>
      </c>
      <c r="B2" s="41"/>
      <c r="C2" s="41"/>
      <c r="D2" s="41"/>
      <c r="E2" s="4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S2" s="11"/>
    </row>
    <row r="3" spans="1:19" ht="12">
      <c r="A3" s="43" t="s">
        <v>120</v>
      </c>
      <c r="B3" s="44"/>
      <c r="C3" s="44"/>
      <c r="D3" s="44"/>
      <c r="E3" s="44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2">
      <c r="A4" s="40" t="s">
        <v>1</v>
      </c>
      <c r="B4" s="45"/>
      <c r="C4" s="45"/>
      <c r="D4" s="44"/>
      <c r="E4" s="44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2">
      <c r="A5" s="41"/>
      <c r="B5" s="41"/>
      <c r="C5" s="41"/>
      <c r="D5" s="41"/>
      <c r="E5" s="4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1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1" ht="12">
      <c r="A7" s="41"/>
      <c r="B7" s="41"/>
      <c r="C7" s="46">
        <v>2000</v>
      </c>
      <c r="D7" s="41"/>
      <c r="E7" s="46">
        <v>2001</v>
      </c>
      <c r="F7" s="41"/>
      <c r="G7" s="46">
        <v>2002</v>
      </c>
      <c r="I7" s="46">
        <v>2003</v>
      </c>
      <c r="K7" s="46">
        <v>2004</v>
      </c>
      <c r="M7" s="46">
        <v>2005</v>
      </c>
      <c r="O7" s="46">
        <v>2006</v>
      </c>
      <c r="Q7" s="46">
        <v>2007</v>
      </c>
      <c r="S7" s="46">
        <v>2008</v>
      </c>
      <c r="U7" s="46">
        <v>2009</v>
      </c>
    </row>
    <row r="8" spans="1:11" ht="12">
      <c r="A8" s="41"/>
      <c r="B8" s="41"/>
      <c r="C8" s="45"/>
      <c r="D8" s="41"/>
      <c r="E8" s="45"/>
      <c r="F8" s="41"/>
      <c r="G8" s="45"/>
      <c r="I8" s="45"/>
      <c r="K8" s="45"/>
    </row>
    <row r="9" spans="1:21" ht="12">
      <c r="A9" s="40" t="s">
        <v>79</v>
      </c>
      <c r="B9" s="41"/>
      <c r="C9" s="47">
        <v>10927</v>
      </c>
      <c r="D9" s="41"/>
      <c r="E9" s="47">
        <v>16093</v>
      </c>
      <c r="F9" s="41"/>
      <c r="G9" s="47">
        <v>13562</v>
      </c>
      <c r="I9" s="47">
        <v>8564</v>
      </c>
      <c r="K9" s="47">
        <v>17236</v>
      </c>
      <c r="M9" s="47">
        <f>8144+6957</f>
        <v>15101</v>
      </c>
      <c r="O9" s="47">
        <v>11558</v>
      </c>
      <c r="Q9" s="47">
        <v>8818</v>
      </c>
      <c r="S9" s="47">
        <v>7245</v>
      </c>
      <c r="U9" s="47">
        <v>4119</v>
      </c>
    </row>
    <row r="10" spans="1:11" ht="12">
      <c r="A10" s="41"/>
      <c r="B10" s="41"/>
      <c r="C10" s="48"/>
      <c r="D10" s="41"/>
      <c r="E10" s="48"/>
      <c r="F10" s="41"/>
      <c r="G10" s="48"/>
      <c r="I10" s="48"/>
      <c r="K10" s="48"/>
    </row>
    <row r="11" spans="1:21" ht="12">
      <c r="A11" s="40" t="s">
        <v>53</v>
      </c>
      <c r="B11" s="41"/>
      <c r="C11" s="48">
        <v>43271</v>
      </c>
      <c r="D11" s="41"/>
      <c r="E11" s="48">
        <v>42713</v>
      </c>
      <c r="F11" s="41"/>
      <c r="G11" s="48">
        <v>57384</v>
      </c>
      <c r="I11" s="48">
        <v>36876</v>
      </c>
      <c r="K11" s="48">
        <v>34207</v>
      </c>
      <c r="M11" s="48">
        <v>31537</v>
      </c>
      <c r="O11" s="48">
        <v>39890</v>
      </c>
      <c r="Q11" s="48">
        <v>77029</v>
      </c>
      <c r="S11" s="48">
        <v>37910</v>
      </c>
      <c r="U11" s="48">
        <v>4959</v>
      </c>
    </row>
    <row r="12" spans="1:11" ht="12">
      <c r="A12" s="40"/>
      <c r="B12" s="41"/>
      <c r="C12" s="48"/>
      <c r="D12" s="41"/>
      <c r="E12" s="48"/>
      <c r="F12" s="41"/>
      <c r="G12" s="48"/>
      <c r="I12" s="48"/>
      <c r="K12" s="48"/>
    </row>
    <row r="13" spans="1:21" ht="12">
      <c r="A13" s="40" t="s">
        <v>86</v>
      </c>
      <c r="B13" s="41"/>
      <c r="C13" s="196" t="s">
        <v>85</v>
      </c>
      <c r="D13" s="41"/>
      <c r="E13" s="196" t="s">
        <v>85</v>
      </c>
      <c r="F13" s="41"/>
      <c r="G13" s="196" t="s">
        <v>85</v>
      </c>
      <c r="I13" s="48">
        <v>13826</v>
      </c>
      <c r="K13" s="48">
        <v>23237</v>
      </c>
      <c r="M13" s="48">
        <v>89612</v>
      </c>
      <c r="O13" s="48">
        <v>255509</v>
      </c>
      <c r="Q13" s="48">
        <v>230313</v>
      </c>
      <c r="S13" s="48">
        <v>161939</v>
      </c>
      <c r="U13" s="48">
        <v>15182</v>
      </c>
    </row>
    <row r="14" spans="1:21" ht="12">
      <c r="A14" s="41"/>
      <c r="B14" s="41"/>
      <c r="C14" s="48"/>
      <c r="D14" s="41"/>
      <c r="E14" s="48"/>
      <c r="F14" s="41"/>
      <c r="G14" s="48"/>
      <c r="I14" s="48"/>
      <c r="K14" s="48"/>
      <c r="M14" s="48"/>
      <c r="O14" s="48"/>
      <c r="Q14" s="48"/>
      <c r="S14" s="48"/>
      <c r="U14" s="48"/>
    </row>
    <row r="15" spans="1:21" ht="12">
      <c r="A15" s="40" t="s">
        <v>2</v>
      </c>
      <c r="B15" s="41"/>
      <c r="C15" s="48">
        <v>15912</v>
      </c>
      <c r="D15" s="41"/>
      <c r="E15" s="48">
        <v>33485</v>
      </c>
      <c r="F15" s="41"/>
      <c r="G15" s="48">
        <v>38064</v>
      </c>
      <c r="I15" s="48">
        <v>27416</v>
      </c>
      <c r="K15" s="48">
        <v>61911</v>
      </c>
      <c r="M15" s="48">
        <v>68296</v>
      </c>
      <c r="O15" s="48">
        <v>89198</v>
      </c>
      <c r="Q15" s="48">
        <v>71217</v>
      </c>
      <c r="S15" s="48">
        <v>52282</v>
      </c>
      <c r="U15" s="48">
        <v>2198</v>
      </c>
    </row>
    <row r="16" spans="1:11" ht="12">
      <c r="A16" s="41"/>
      <c r="B16" s="41"/>
      <c r="C16" s="48"/>
      <c r="D16" s="41"/>
      <c r="E16" s="48"/>
      <c r="F16" s="41"/>
      <c r="G16" s="48"/>
      <c r="I16" s="48"/>
      <c r="K16" s="48"/>
    </row>
    <row r="17" spans="1:21" ht="12">
      <c r="A17" s="42" t="s">
        <v>54</v>
      </c>
      <c r="B17" s="41"/>
      <c r="C17" s="48">
        <v>3852</v>
      </c>
      <c r="D17" s="41"/>
      <c r="E17" s="48">
        <v>5194</v>
      </c>
      <c r="F17" s="41"/>
      <c r="G17" s="48">
        <v>15726</v>
      </c>
      <c r="I17" s="196" t="s">
        <v>85</v>
      </c>
      <c r="K17" s="196" t="s">
        <v>85</v>
      </c>
      <c r="M17" s="196" t="s">
        <v>85</v>
      </c>
      <c r="O17" s="196" t="s">
        <v>85</v>
      </c>
      <c r="Q17" s="196" t="s">
        <v>85</v>
      </c>
      <c r="S17" s="196" t="s">
        <v>85</v>
      </c>
      <c r="U17" s="196" t="s">
        <v>85</v>
      </c>
    </row>
    <row r="18" spans="1:11" ht="12">
      <c r="A18" s="41"/>
      <c r="B18" s="41"/>
      <c r="C18" s="48"/>
      <c r="D18" s="41"/>
      <c r="E18" s="48"/>
      <c r="F18" s="41"/>
      <c r="G18" s="48"/>
      <c r="I18" s="48"/>
      <c r="K18" s="48"/>
    </row>
    <row r="19" spans="1:21" ht="12">
      <c r="A19" s="40" t="s">
        <v>3</v>
      </c>
      <c r="B19" s="41"/>
      <c r="C19" s="48">
        <v>37219</v>
      </c>
      <c r="D19" s="41"/>
      <c r="E19" s="48">
        <v>103214</v>
      </c>
      <c r="F19" s="41"/>
      <c r="G19" s="48">
        <v>101275</v>
      </c>
      <c r="I19" s="48">
        <v>34176</v>
      </c>
      <c r="K19" s="48">
        <v>73409</v>
      </c>
      <c r="M19" s="48">
        <v>41825</v>
      </c>
      <c r="O19" s="48">
        <v>158896</v>
      </c>
      <c r="Q19" s="48">
        <v>260743</v>
      </c>
      <c r="S19" s="48">
        <v>163706</v>
      </c>
      <c r="U19" s="48">
        <v>17141</v>
      </c>
    </row>
    <row r="20" spans="1:11" ht="12">
      <c r="A20" s="41"/>
      <c r="B20" s="41"/>
      <c r="C20" s="48"/>
      <c r="D20" s="41"/>
      <c r="E20" s="48"/>
      <c r="F20" s="41"/>
      <c r="G20" s="48"/>
      <c r="I20" s="48"/>
      <c r="K20" s="48"/>
    </row>
    <row r="21" spans="1:21" ht="12">
      <c r="A21" s="40" t="s">
        <v>4</v>
      </c>
      <c r="B21" s="41"/>
      <c r="C21" s="48">
        <v>13330</v>
      </c>
      <c r="D21" s="41"/>
      <c r="E21" s="48">
        <v>13105</v>
      </c>
      <c r="F21" s="41"/>
      <c r="G21" s="48">
        <v>28170</v>
      </c>
      <c r="I21" s="48">
        <v>54135</v>
      </c>
      <c r="K21" s="48">
        <v>79865</v>
      </c>
      <c r="M21" s="48">
        <v>11966</v>
      </c>
      <c r="O21" s="48">
        <v>9815</v>
      </c>
      <c r="Q21" s="48">
        <v>14009</v>
      </c>
      <c r="S21" s="48">
        <v>8454</v>
      </c>
      <c r="U21" s="48">
        <v>3639</v>
      </c>
    </row>
    <row r="22" spans="1:21" ht="12">
      <c r="A22" s="41"/>
      <c r="B22" s="41"/>
      <c r="C22" s="48"/>
      <c r="D22" s="41"/>
      <c r="E22" s="48"/>
      <c r="F22" s="41"/>
      <c r="G22" s="48"/>
      <c r="I22" s="48"/>
      <c r="K22" s="48"/>
      <c r="M22" s="48"/>
      <c r="O22" s="48"/>
      <c r="Q22" s="48"/>
      <c r="S22" s="48"/>
      <c r="U22" s="48"/>
    </row>
    <row r="23" spans="1:21" ht="12">
      <c r="A23" s="40" t="s">
        <v>90</v>
      </c>
      <c r="B23" s="41"/>
      <c r="C23" s="48">
        <v>17356</v>
      </c>
      <c r="D23" s="41"/>
      <c r="E23" s="48">
        <v>23095</v>
      </c>
      <c r="F23" s="41"/>
      <c r="G23" s="48">
        <v>14058</v>
      </c>
      <c r="I23" s="48">
        <v>12825</v>
      </c>
      <c r="K23" s="48">
        <v>17379</v>
      </c>
      <c r="M23" s="48">
        <v>4766</v>
      </c>
      <c r="O23" s="48">
        <v>4127</v>
      </c>
      <c r="Q23" s="196" t="s">
        <v>85</v>
      </c>
      <c r="S23" s="196" t="s">
        <v>85</v>
      </c>
      <c r="U23" s="196" t="s">
        <v>85</v>
      </c>
    </row>
    <row r="24" spans="1:21" ht="12">
      <c r="A24" s="41"/>
      <c r="B24" s="41"/>
      <c r="C24" s="48"/>
      <c r="D24" s="41"/>
      <c r="E24" s="48"/>
      <c r="F24" s="41"/>
      <c r="G24" s="48"/>
      <c r="I24" s="48"/>
      <c r="K24" s="48"/>
      <c r="M24" s="48"/>
      <c r="O24" s="48"/>
      <c r="Q24" s="48"/>
      <c r="S24" s="48"/>
      <c r="U24" s="48"/>
    </row>
    <row r="25" spans="1:21" ht="12">
      <c r="A25" s="40" t="s">
        <v>5</v>
      </c>
      <c r="B25" s="41"/>
      <c r="C25" s="48">
        <v>27698</v>
      </c>
      <c r="D25" s="41"/>
      <c r="E25" s="48">
        <v>33209</v>
      </c>
      <c r="F25" s="41"/>
      <c r="G25" s="48">
        <v>74516</v>
      </c>
      <c r="I25" s="48">
        <v>81585</v>
      </c>
      <c r="K25" s="48">
        <v>44967</v>
      </c>
      <c r="M25" s="48">
        <v>73704</v>
      </c>
      <c r="O25" s="48">
        <v>64775</v>
      </c>
      <c r="Q25" s="48">
        <v>41408</v>
      </c>
      <c r="S25" s="48">
        <v>5049</v>
      </c>
      <c r="U25" s="48">
        <v>1877</v>
      </c>
    </row>
    <row r="26" spans="1:21" ht="12">
      <c r="A26" s="41"/>
      <c r="B26" s="41"/>
      <c r="C26" s="48"/>
      <c r="D26" s="41"/>
      <c r="E26" s="48"/>
      <c r="F26" s="41"/>
      <c r="G26" s="48"/>
      <c r="I26" s="48"/>
      <c r="K26" s="48"/>
      <c r="M26" s="48"/>
      <c r="O26" s="48"/>
      <c r="Q26" s="48"/>
      <c r="S26" s="48"/>
      <c r="U26" s="48"/>
    </row>
    <row r="27" spans="1:21" ht="12">
      <c r="A27" s="42" t="s">
        <v>6</v>
      </c>
      <c r="B27" s="41"/>
      <c r="C27" s="48">
        <v>10513</v>
      </c>
      <c r="D27" s="41"/>
      <c r="E27" s="48">
        <v>33729</v>
      </c>
      <c r="F27" s="41"/>
      <c r="G27" s="48">
        <v>61764</v>
      </c>
      <c r="I27" s="48">
        <v>130724</v>
      </c>
      <c r="K27" s="48">
        <v>137628</v>
      </c>
      <c r="M27" s="48">
        <v>62434</v>
      </c>
      <c r="O27" s="48">
        <v>33140</v>
      </c>
      <c r="Q27" s="48">
        <v>28843</v>
      </c>
      <c r="S27" s="48">
        <v>16812</v>
      </c>
      <c r="U27" s="48">
        <v>10165</v>
      </c>
    </row>
    <row r="28" spans="1:21" ht="12">
      <c r="A28" s="41"/>
      <c r="B28" s="41"/>
      <c r="C28" s="48"/>
      <c r="D28" s="41"/>
      <c r="E28" s="48"/>
      <c r="F28" s="41"/>
      <c r="G28" s="48"/>
      <c r="I28" s="48"/>
      <c r="K28" s="48"/>
      <c r="M28" s="48"/>
      <c r="O28" s="48"/>
      <c r="Q28" s="48"/>
      <c r="S28" s="48"/>
      <c r="U28" s="48"/>
    </row>
    <row r="29" spans="1:21" ht="12">
      <c r="A29" s="40" t="s">
        <v>24</v>
      </c>
      <c r="B29" s="41"/>
      <c r="C29" s="48">
        <v>6497</v>
      </c>
      <c r="D29" s="41"/>
      <c r="E29" s="48">
        <v>9319</v>
      </c>
      <c r="F29" s="41"/>
      <c r="G29" s="48">
        <v>13703</v>
      </c>
      <c r="I29" s="48">
        <v>13347</v>
      </c>
      <c r="K29" s="48">
        <v>11652</v>
      </c>
      <c r="M29" s="48">
        <v>26403</v>
      </c>
      <c r="O29" s="48">
        <v>24988</v>
      </c>
      <c r="Q29" s="48">
        <v>32545</v>
      </c>
      <c r="S29" s="48">
        <v>6603</v>
      </c>
      <c r="U29" s="48">
        <v>4220</v>
      </c>
    </row>
    <row r="30" spans="1:21" ht="12">
      <c r="A30" s="41"/>
      <c r="B30" s="41"/>
      <c r="C30" s="48"/>
      <c r="D30" s="41"/>
      <c r="E30" s="48"/>
      <c r="F30" s="41"/>
      <c r="G30" s="48"/>
      <c r="I30" s="48"/>
      <c r="K30" s="48"/>
      <c r="M30" s="48"/>
      <c r="O30" s="48"/>
      <c r="Q30" s="48"/>
      <c r="S30" s="48"/>
      <c r="U30" s="48"/>
    </row>
    <row r="31" spans="1:21" ht="12">
      <c r="A31" s="40" t="s">
        <v>7</v>
      </c>
      <c r="B31" s="41"/>
      <c r="C31" s="48">
        <v>5206</v>
      </c>
      <c r="D31" s="41"/>
      <c r="E31" s="48">
        <v>8626</v>
      </c>
      <c r="F31" s="41"/>
      <c r="G31" s="48">
        <v>15082</v>
      </c>
      <c r="I31" s="48">
        <v>15892</v>
      </c>
      <c r="K31" s="48">
        <v>18925</v>
      </c>
      <c r="M31" s="48">
        <v>47076</v>
      </c>
      <c r="O31" s="48">
        <v>36485</v>
      </c>
      <c r="Q31" s="48">
        <v>24563</v>
      </c>
      <c r="S31" s="48">
        <v>6867</v>
      </c>
      <c r="U31" s="48">
        <v>2452</v>
      </c>
    </row>
    <row r="32" spans="1:21" ht="12">
      <c r="A32" s="41"/>
      <c r="B32" s="41"/>
      <c r="C32" s="48"/>
      <c r="D32" s="41"/>
      <c r="E32" s="48"/>
      <c r="F32" s="41"/>
      <c r="G32" s="48"/>
      <c r="I32" s="48"/>
      <c r="K32" s="48"/>
      <c r="M32" s="48"/>
      <c r="O32" s="48"/>
      <c r="Q32" s="48"/>
      <c r="S32" s="48"/>
      <c r="U32" s="48"/>
    </row>
    <row r="33" spans="1:21" ht="12">
      <c r="A33" s="40" t="s">
        <v>8</v>
      </c>
      <c r="B33" s="41"/>
      <c r="C33" s="49">
        <v>11298</v>
      </c>
      <c r="D33" s="41"/>
      <c r="E33" s="49">
        <v>12253</v>
      </c>
      <c r="F33" s="41"/>
      <c r="G33" s="49">
        <v>29041</v>
      </c>
      <c r="I33" s="49">
        <v>27118</v>
      </c>
      <c r="K33" s="49">
        <v>30582</v>
      </c>
      <c r="M33" s="49">
        <v>26813</v>
      </c>
      <c r="O33" s="49">
        <v>64352</v>
      </c>
      <c r="Q33" s="49">
        <v>173828</v>
      </c>
      <c r="S33" s="49">
        <v>181967</v>
      </c>
      <c r="U33" s="49">
        <v>21544</v>
      </c>
    </row>
    <row r="34" spans="1:11" ht="12">
      <c r="A34" s="41"/>
      <c r="B34" s="41"/>
      <c r="C34" s="45"/>
      <c r="D34" s="41"/>
      <c r="E34" s="45"/>
      <c r="F34" s="41"/>
      <c r="G34" s="45"/>
      <c r="I34" s="45"/>
      <c r="K34" s="45"/>
    </row>
    <row r="35" spans="1:21" ht="12.75" thickBot="1">
      <c r="A35" s="40" t="s">
        <v>17</v>
      </c>
      <c r="B35" s="41"/>
      <c r="C35" s="50">
        <f>SUM(C9:C33)</f>
        <v>203079</v>
      </c>
      <c r="D35" s="41"/>
      <c r="E35" s="50">
        <f>SUM(E9:E33)</f>
        <v>334035</v>
      </c>
      <c r="F35" s="41"/>
      <c r="G35" s="50">
        <f>SUM(G9:G33)</f>
        <v>462345</v>
      </c>
      <c r="I35" s="50">
        <f>SUM(I9:I33)</f>
        <v>456484</v>
      </c>
      <c r="K35" s="50">
        <f>SUM(K9:K33)</f>
        <v>550998</v>
      </c>
      <c r="M35" s="50">
        <f>SUM(M9:M33)</f>
        <v>499533</v>
      </c>
      <c r="O35" s="50">
        <f>SUM(O9:O33)</f>
        <v>792733</v>
      </c>
      <c r="Q35" s="50">
        <f>SUM(Q9:Q33)</f>
        <v>963316</v>
      </c>
      <c r="S35" s="50">
        <f>SUM(S9:S33)</f>
        <v>648834</v>
      </c>
      <c r="U35" s="50">
        <f>SUM(U9:U33)</f>
        <v>87496</v>
      </c>
    </row>
    <row r="36" spans="1:19" ht="12.75" thickTop="1">
      <c r="A36" s="41"/>
      <c r="B36" s="41"/>
      <c r="C36" s="45"/>
      <c r="D36" s="41"/>
      <c r="E36" s="45"/>
      <c r="F36" s="44"/>
      <c r="G36" s="13"/>
      <c r="H36" s="13"/>
      <c r="I36" s="13"/>
      <c r="J36" s="11"/>
      <c r="K36" s="13"/>
      <c r="L36" s="11"/>
      <c r="M36" s="13"/>
      <c r="N36" s="11"/>
      <c r="O36" s="11"/>
      <c r="P36" s="11"/>
      <c r="Q36" s="11"/>
      <c r="R36" s="11"/>
      <c r="S36" s="11"/>
    </row>
    <row r="37" spans="1:19" ht="18.75" customHeight="1">
      <c r="A37" s="138" t="s">
        <v>75</v>
      </c>
      <c r="B37" s="41"/>
      <c r="C37" s="45"/>
      <c r="D37" s="41"/>
      <c r="E37" s="45"/>
      <c r="F37" s="44"/>
      <c r="G37" s="13"/>
      <c r="H37" s="13"/>
      <c r="I37" s="13"/>
      <c r="J37"/>
      <c r="K37" s="13"/>
      <c r="L37"/>
      <c r="M37"/>
      <c r="N37" s="11"/>
      <c r="O37" s="11"/>
      <c r="P37" s="11"/>
      <c r="Q37" s="11"/>
      <c r="R37" s="11"/>
      <c r="S37" s="11"/>
    </row>
    <row r="38" spans="1:19" ht="12">
      <c r="A38" s="118" t="s">
        <v>56</v>
      </c>
      <c r="B38" s="41"/>
      <c r="C38" s="45"/>
      <c r="D38" s="41"/>
      <c r="E38" s="45"/>
      <c r="F38" s="44"/>
      <c r="G38" s="13"/>
      <c r="H38" s="13"/>
      <c r="I38" s="13"/>
      <c r="J38" s="11"/>
      <c r="K38" s="13"/>
      <c r="L38" s="11"/>
      <c r="M38" s="13"/>
      <c r="N38" s="11"/>
      <c r="O38" s="11"/>
      <c r="P38" s="11"/>
      <c r="Q38" s="11"/>
      <c r="R38" s="11"/>
      <c r="S38" s="11"/>
    </row>
    <row r="39" spans="1:19" ht="12">
      <c r="A39" s="118" t="s">
        <v>52</v>
      </c>
      <c r="B39" s="41"/>
      <c r="C39" s="45"/>
      <c r="D39" s="41"/>
      <c r="E39" s="45"/>
      <c r="F39" s="44"/>
      <c r="G39" s="13"/>
      <c r="H39" s="13"/>
      <c r="I39" s="13"/>
      <c r="J39" s="11"/>
      <c r="K39" s="13"/>
      <c r="L39" s="11"/>
      <c r="M39" s="13"/>
      <c r="N39" s="11"/>
      <c r="O39" s="11"/>
      <c r="P39" s="11"/>
      <c r="Q39" s="11"/>
      <c r="R39" s="11"/>
      <c r="S39" s="11"/>
    </row>
    <row r="40" spans="1:19" ht="12">
      <c r="A40" s="55" t="s">
        <v>80</v>
      </c>
      <c r="B40" s="41"/>
      <c r="C40" s="45"/>
      <c r="D40" s="41"/>
      <c r="E40" s="45"/>
      <c r="F40" s="44"/>
      <c r="G40" s="13"/>
      <c r="H40" s="13"/>
      <c r="I40" s="13"/>
      <c r="J40" s="11"/>
      <c r="K40" s="13"/>
      <c r="L40" s="11"/>
      <c r="M40" s="13"/>
      <c r="N40" s="11"/>
      <c r="O40" s="11"/>
      <c r="P40" s="11"/>
      <c r="Q40" s="11"/>
      <c r="R40" s="11"/>
      <c r="S40" s="11"/>
    </row>
    <row r="41" spans="1:19" ht="12">
      <c r="A41" s="56" t="s">
        <v>87</v>
      </c>
      <c r="B41" s="41"/>
      <c r="C41" s="45"/>
      <c r="D41" s="41"/>
      <c r="E41" s="45"/>
      <c r="F41" s="44"/>
      <c r="G41" s="13"/>
      <c r="H41" s="13"/>
      <c r="I41" s="13"/>
      <c r="J41" s="11"/>
      <c r="K41" s="13"/>
      <c r="L41" s="11"/>
      <c r="M41" s="13"/>
      <c r="N41" s="11"/>
      <c r="O41" s="11"/>
      <c r="P41" s="11"/>
      <c r="Q41" s="11"/>
      <c r="R41" s="11"/>
      <c r="S41" s="11"/>
    </row>
    <row r="42" spans="1:6" ht="12">
      <c r="A42" s="56" t="s">
        <v>93</v>
      </c>
      <c r="B42" s="55"/>
      <c r="C42" s="55"/>
      <c r="D42" s="55"/>
      <c r="E42" s="55"/>
      <c r="F42" s="55"/>
    </row>
    <row r="43" spans="1:6" ht="12">
      <c r="A43" s="56" t="s">
        <v>0</v>
      </c>
      <c r="B43" s="55"/>
      <c r="C43" s="55"/>
      <c r="D43" s="55"/>
      <c r="E43" s="54"/>
      <c r="F43" s="55"/>
    </row>
    <row r="44" spans="1:6" ht="12">
      <c r="A44" s="56" t="s">
        <v>50</v>
      </c>
      <c r="B44" s="55"/>
      <c r="C44" s="55"/>
      <c r="D44" s="55"/>
      <c r="E44" s="55"/>
      <c r="F44" s="55"/>
    </row>
    <row r="45" spans="1:6" ht="12">
      <c r="A45" s="58" t="str">
        <f>A3</f>
        <v>2000 - 2009</v>
      </c>
      <c r="B45" s="75"/>
      <c r="C45" s="75"/>
      <c r="D45" s="75"/>
      <c r="E45" s="250"/>
      <c r="F45" s="250"/>
    </row>
    <row r="46" spans="1:6" ht="12">
      <c r="A46" s="56" t="s">
        <v>1</v>
      </c>
      <c r="B46" s="60"/>
      <c r="C46" s="56"/>
      <c r="D46" s="55"/>
      <c r="E46" s="55"/>
      <c r="F46" s="55"/>
    </row>
    <row r="47" spans="1:6" ht="12">
      <c r="A47" s="41"/>
      <c r="B47" s="55"/>
      <c r="C47" s="55"/>
      <c r="D47" s="55"/>
      <c r="E47" s="55"/>
      <c r="F47" s="55"/>
    </row>
    <row r="48" spans="1:6" ht="12">
      <c r="A48" s="61"/>
      <c r="B48" s="55"/>
      <c r="C48" s="55"/>
      <c r="D48" s="55"/>
      <c r="E48" s="55"/>
      <c r="F48" s="55"/>
    </row>
    <row r="49" spans="1:21" ht="12">
      <c r="A49" s="55"/>
      <c r="B49" s="55"/>
      <c r="C49" s="62">
        <v>2000</v>
      </c>
      <c r="D49" s="55"/>
      <c r="E49" s="62">
        <v>2001</v>
      </c>
      <c r="F49" s="55"/>
      <c r="G49" s="62">
        <v>2002</v>
      </c>
      <c r="I49" s="62">
        <v>2003</v>
      </c>
      <c r="K49" s="62">
        <v>2004</v>
      </c>
      <c r="M49" s="62">
        <v>2005</v>
      </c>
      <c r="O49" s="46">
        <v>2006</v>
      </c>
      <c r="Q49" s="46">
        <v>2007</v>
      </c>
      <c r="S49" s="46">
        <v>2008</v>
      </c>
      <c r="U49" s="46">
        <v>2009</v>
      </c>
    </row>
    <row r="50" spans="1:11" ht="12">
      <c r="A50" s="55"/>
      <c r="B50" s="55"/>
      <c r="C50" s="60"/>
      <c r="D50" s="55"/>
      <c r="E50" s="60"/>
      <c r="F50" s="55"/>
      <c r="G50" s="60"/>
      <c r="I50" s="60"/>
      <c r="K50" s="60"/>
    </row>
    <row r="51" spans="1:21" ht="12">
      <c r="A51" s="40" t="s">
        <v>79</v>
      </c>
      <c r="B51" s="55"/>
      <c r="C51" s="63">
        <v>10927</v>
      </c>
      <c r="D51" s="64"/>
      <c r="E51" s="65">
        <v>16093</v>
      </c>
      <c r="F51" s="56"/>
      <c r="G51" s="65">
        <v>13562</v>
      </c>
      <c r="I51" s="65">
        <v>8564</v>
      </c>
      <c r="K51" s="65">
        <v>17236</v>
      </c>
      <c r="M51" s="47">
        <f>8144+6957</f>
        <v>15101</v>
      </c>
      <c r="O51" s="47">
        <v>11260</v>
      </c>
      <c r="Q51" s="47">
        <v>8818</v>
      </c>
      <c r="S51" s="47">
        <v>6579</v>
      </c>
      <c r="U51" s="47">
        <v>1258</v>
      </c>
    </row>
    <row r="52" spans="1:11" ht="12">
      <c r="A52" s="41"/>
      <c r="B52" s="55"/>
      <c r="C52" s="66"/>
      <c r="D52" s="64"/>
      <c r="E52" s="64"/>
      <c r="F52" s="55"/>
      <c r="G52" s="64"/>
      <c r="I52" s="64"/>
      <c r="K52" s="64"/>
    </row>
    <row r="53" spans="1:21" ht="12">
      <c r="A53" s="40" t="s">
        <v>53</v>
      </c>
      <c r="B53" s="55"/>
      <c r="C53" s="66">
        <v>43271</v>
      </c>
      <c r="D53" s="64"/>
      <c r="E53" s="64">
        <v>42713</v>
      </c>
      <c r="F53" s="55"/>
      <c r="G53" s="64">
        <v>57384</v>
      </c>
      <c r="I53" s="64">
        <v>36876</v>
      </c>
      <c r="K53" s="64">
        <v>34207</v>
      </c>
      <c r="M53" s="64">
        <v>31537</v>
      </c>
      <c r="O53" s="64">
        <v>39890</v>
      </c>
      <c r="Q53" s="64">
        <v>77029</v>
      </c>
      <c r="S53" s="64">
        <v>34616</v>
      </c>
      <c r="U53" s="64">
        <v>3943</v>
      </c>
    </row>
    <row r="54" spans="1:11" ht="12">
      <c r="A54" s="40"/>
      <c r="B54" s="55"/>
      <c r="C54" s="66"/>
      <c r="D54" s="64"/>
      <c r="E54" s="64"/>
      <c r="F54" s="55"/>
      <c r="G54" s="64"/>
      <c r="I54" s="64"/>
      <c r="K54" s="64"/>
    </row>
    <row r="55" spans="1:21" ht="12">
      <c r="A55" s="40" t="s">
        <v>86</v>
      </c>
      <c r="B55" s="55"/>
      <c r="C55" s="196" t="s">
        <v>85</v>
      </c>
      <c r="D55" s="64"/>
      <c r="E55" s="196" t="s">
        <v>85</v>
      </c>
      <c r="F55" s="55"/>
      <c r="G55" s="196" t="s">
        <v>85</v>
      </c>
      <c r="I55" s="64">
        <v>13826</v>
      </c>
      <c r="K55" s="64">
        <v>23237</v>
      </c>
      <c r="M55" s="64">
        <v>89612</v>
      </c>
      <c r="O55" s="64">
        <v>255509</v>
      </c>
      <c r="Q55" s="64">
        <v>230313</v>
      </c>
      <c r="S55" s="64">
        <v>161939</v>
      </c>
      <c r="U55" s="64">
        <v>15182</v>
      </c>
    </row>
    <row r="56" spans="1:11" ht="12">
      <c r="A56" s="41"/>
      <c r="B56" s="55"/>
      <c r="C56" s="66"/>
      <c r="D56" s="64"/>
      <c r="E56" s="64"/>
      <c r="F56" s="55"/>
      <c r="G56" s="64"/>
      <c r="I56" s="64"/>
      <c r="K56" s="64"/>
    </row>
    <row r="57" spans="1:21" ht="12">
      <c r="A57" s="40" t="s">
        <v>2</v>
      </c>
      <c r="B57" s="55"/>
      <c r="C57" s="66">
        <v>15912</v>
      </c>
      <c r="D57" s="64"/>
      <c r="E57" s="64">
        <v>33485</v>
      </c>
      <c r="F57" s="55"/>
      <c r="G57" s="64">
        <v>38064</v>
      </c>
      <c r="I57" s="64">
        <v>27416</v>
      </c>
      <c r="K57" s="64">
        <v>61911</v>
      </c>
      <c r="M57" s="64">
        <v>68296</v>
      </c>
      <c r="O57" s="64">
        <v>89198</v>
      </c>
      <c r="Q57" s="64">
        <v>71217</v>
      </c>
      <c r="S57" s="64">
        <v>52282</v>
      </c>
      <c r="U57" s="64">
        <v>2198</v>
      </c>
    </row>
    <row r="58" spans="1:11" ht="12">
      <c r="A58" s="41"/>
      <c r="B58" s="55"/>
      <c r="C58" s="66"/>
      <c r="D58" s="64"/>
      <c r="E58" s="64"/>
      <c r="F58" s="55"/>
      <c r="G58" s="64"/>
      <c r="I58" s="64"/>
      <c r="K58" s="64"/>
    </row>
    <row r="59" spans="1:21" ht="12">
      <c r="A59" s="42" t="s">
        <v>54</v>
      </c>
      <c r="B59" s="55"/>
      <c r="C59" s="66">
        <v>3852</v>
      </c>
      <c r="D59" s="64"/>
      <c r="E59" s="64">
        <v>5194</v>
      </c>
      <c r="F59" s="55"/>
      <c r="G59" s="64">
        <v>15726</v>
      </c>
      <c r="I59" s="196" t="s">
        <v>85</v>
      </c>
      <c r="K59" s="196" t="s">
        <v>85</v>
      </c>
      <c r="M59" s="196" t="s">
        <v>85</v>
      </c>
      <c r="O59" s="196" t="s">
        <v>85</v>
      </c>
      <c r="Q59" s="196" t="s">
        <v>85</v>
      </c>
      <c r="S59" s="196" t="s">
        <v>85</v>
      </c>
      <c r="U59" s="196" t="s">
        <v>85</v>
      </c>
    </row>
    <row r="60" spans="1:11" ht="12">
      <c r="A60" s="41"/>
      <c r="B60" s="55"/>
      <c r="C60" s="66"/>
      <c r="D60" s="64"/>
      <c r="E60" s="64"/>
      <c r="F60" s="55"/>
      <c r="G60" s="64"/>
      <c r="I60" s="64"/>
      <c r="K60" s="64"/>
    </row>
    <row r="61" spans="1:21" ht="12">
      <c r="A61" s="40" t="s">
        <v>3</v>
      </c>
      <c r="B61" s="55"/>
      <c r="C61" s="66">
        <v>37219</v>
      </c>
      <c r="D61" s="64"/>
      <c r="E61" s="64">
        <v>103214</v>
      </c>
      <c r="F61" s="56"/>
      <c r="G61" s="64">
        <v>101275</v>
      </c>
      <c r="I61" s="64">
        <v>34176</v>
      </c>
      <c r="K61" s="64">
        <v>73409</v>
      </c>
      <c r="M61" s="64">
        <v>41825</v>
      </c>
      <c r="O61" s="64">
        <v>158896</v>
      </c>
      <c r="Q61" s="64">
        <v>260743</v>
      </c>
      <c r="S61" s="64">
        <v>163706</v>
      </c>
      <c r="U61" s="64">
        <v>17141</v>
      </c>
    </row>
    <row r="62" spans="1:11" ht="12">
      <c r="A62" s="41"/>
      <c r="B62" s="55"/>
      <c r="C62" s="66"/>
      <c r="D62" s="64"/>
      <c r="E62" s="64"/>
      <c r="F62" s="55"/>
      <c r="G62" s="64"/>
      <c r="I62" s="64"/>
      <c r="K62" s="64"/>
    </row>
    <row r="63" spans="1:21" ht="12">
      <c r="A63" s="40" t="s">
        <v>4</v>
      </c>
      <c r="B63" s="55"/>
      <c r="C63" s="66">
        <v>11913</v>
      </c>
      <c r="D63" s="67"/>
      <c r="E63" s="64">
        <v>12806</v>
      </c>
      <c r="F63" s="55"/>
      <c r="G63" s="64">
        <v>21640</v>
      </c>
      <c r="I63" s="64">
        <v>54135</v>
      </c>
      <c r="K63" s="64">
        <v>79865</v>
      </c>
      <c r="M63" s="64">
        <v>11966</v>
      </c>
      <c r="O63" s="64">
        <v>9815</v>
      </c>
      <c r="Q63" s="64">
        <v>14009</v>
      </c>
      <c r="S63" s="64">
        <v>8454</v>
      </c>
      <c r="U63" s="64">
        <v>3639</v>
      </c>
    </row>
    <row r="64" spans="1:11" ht="12">
      <c r="A64" s="41"/>
      <c r="B64" s="55"/>
      <c r="C64" s="66"/>
      <c r="D64" s="64"/>
      <c r="E64" s="64"/>
      <c r="F64" s="55"/>
      <c r="G64" s="64"/>
      <c r="I64" s="64"/>
      <c r="K64" s="64"/>
    </row>
    <row r="65" spans="1:21" ht="12">
      <c r="A65" s="40" t="s">
        <v>90</v>
      </c>
      <c r="B65" s="55"/>
      <c r="C65" s="66">
        <v>17356</v>
      </c>
      <c r="D65" s="64"/>
      <c r="E65" s="64">
        <v>23095</v>
      </c>
      <c r="F65" s="55"/>
      <c r="G65" s="64">
        <v>14058</v>
      </c>
      <c r="I65" s="64">
        <v>12825</v>
      </c>
      <c r="K65" s="64">
        <v>17379</v>
      </c>
      <c r="M65" s="64">
        <v>4766</v>
      </c>
      <c r="O65" s="64">
        <v>4127</v>
      </c>
      <c r="Q65" s="196" t="s">
        <v>85</v>
      </c>
      <c r="S65" s="196" t="s">
        <v>85</v>
      </c>
      <c r="U65" s="196" t="s">
        <v>85</v>
      </c>
    </row>
    <row r="66" spans="1:11" ht="12">
      <c r="A66" s="41"/>
      <c r="B66" s="55"/>
      <c r="C66" s="66"/>
      <c r="D66" s="64"/>
      <c r="E66" s="64"/>
      <c r="F66" s="55"/>
      <c r="G66" s="64"/>
      <c r="I66" s="64"/>
      <c r="K66" s="64"/>
    </row>
    <row r="67" spans="1:21" ht="12">
      <c r="A67" s="40" t="s">
        <v>5</v>
      </c>
      <c r="B67" s="55"/>
      <c r="C67" s="66">
        <v>27698</v>
      </c>
      <c r="D67" s="64"/>
      <c r="E67" s="64">
        <v>32263</v>
      </c>
      <c r="F67" s="55"/>
      <c r="G67" s="64">
        <v>74516</v>
      </c>
      <c r="I67" s="64">
        <v>81585</v>
      </c>
      <c r="K67" s="64">
        <v>44967</v>
      </c>
      <c r="M67" s="64">
        <v>73704</v>
      </c>
      <c r="O67" s="64">
        <v>64775</v>
      </c>
      <c r="Q67" s="64">
        <v>41367</v>
      </c>
      <c r="S67" s="64">
        <v>5049</v>
      </c>
      <c r="U67" s="64">
        <v>1877</v>
      </c>
    </row>
    <row r="68" spans="1:11" ht="12">
      <c r="A68" s="41"/>
      <c r="B68" s="55"/>
      <c r="C68" s="66"/>
      <c r="D68" s="64"/>
      <c r="E68" s="64"/>
      <c r="F68" s="55"/>
      <c r="G68" s="64"/>
      <c r="I68" s="64"/>
      <c r="K68" s="64"/>
    </row>
    <row r="69" spans="1:21" ht="12">
      <c r="A69" s="42" t="s">
        <v>6</v>
      </c>
      <c r="B69" s="55"/>
      <c r="C69" s="66">
        <v>10513</v>
      </c>
      <c r="D69" s="64"/>
      <c r="E69" s="64">
        <v>33650</v>
      </c>
      <c r="F69" s="55"/>
      <c r="G69" s="64">
        <v>61764</v>
      </c>
      <c r="I69" s="64">
        <v>130724</v>
      </c>
      <c r="K69" s="64">
        <v>137628</v>
      </c>
      <c r="M69" s="64">
        <v>62434</v>
      </c>
      <c r="O69" s="64">
        <v>33140</v>
      </c>
      <c r="Q69" s="64">
        <v>28843</v>
      </c>
      <c r="S69" s="64">
        <v>16812</v>
      </c>
      <c r="U69" s="64">
        <v>10165</v>
      </c>
    </row>
    <row r="70" spans="1:11" ht="12">
      <c r="A70" s="55"/>
      <c r="B70" s="55"/>
      <c r="C70" s="66"/>
      <c r="D70" s="64"/>
      <c r="E70" s="64"/>
      <c r="F70" s="55"/>
      <c r="G70" s="64"/>
      <c r="I70" s="64"/>
      <c r="K70" s="64"/>
    </row>
    <row r="71" spans="1:21" ht="12">
      <c r="A71" s="56" t="s">
        <v>24</v>
      </c>
      <c r="B71" s="55"/>
      <c r="C71" s="66">
        <v>5114</v>
      </c>
      <c r="D71" s="64"/>
      <c r="E71" s="64">
        <v>3979</v>
      </c>
      <c r="F71" s="55"/>
      <c r="G71" s="64">
        <v>5468</v>
      </c>
      <c r="I71" s="64">
        <v>5505</v>
      </c>
      <c r="K71" s="64">
        <v>5493</v>
      </c>
      <c r="M71" s="64">
        <v>22393</v>
      </c>
      <c r="O71" s="64">
        <v>24988</v>
      </c>
      <c r="Q71" s="64">
        <v>32545</v>
      </c>
      <c r="S71" s="64">
        <v>6603</v>
      </c>
      <c r="U71" s="64">
        <v>4220</v>
      </c>
    </row>
    <row r="72" spans="1:11" ht="12">
      <c r="A72" s="55"/>
      <c r="B72" s="55"/>
      <c r="C72" s="66"/>
      <c r="D72" s="64"/>
      <c r="E72" s="64"/>
      <c r="F72" s="55"/>
      <c r="G72" s="64"/>
      <c r="I72" s="64"/>
      <c r="K72" s="64"/>
    </row>
    <row r="73" spans="1:21" ht="12">
      <c r="A73" s="56" t="s">
        <v>7</v>
      </c>
      <c r="B73" s="55"/>
      <c r="C73" s="66">
        <v>4332</v>
      </c>
      <c r="D73" s="64"/>
      <c r="E73" s="64">
        <v>2006</v>
      </c>
      <c r="F73" s="56"/>
      <c r="G73" s="64">
        <v>4741</v>
      </c>
      <c r="I73" s="64">
        <v>4521</v>
      </c>
      <c r="K73" s="64">
        <v>6316</v>
      </c>
      <c r="M73" s="64">
        <v>41680</v>
      </c>
      <c r="O73" s="64">
        <v>36476</v>
      </c>
      <c r="Q73" s="64">
        <v>24563</v>
      </c>
      <c r="S73" s="64">
        <v>6867</v>
      </c>
      <c r="U73" s="64">
        <v>1675</v>
      </c>
    </row>
    <row r="74" spans="1:21" ht="12">
      <c r="A74" s="55"/>
      <c r="B74" s="55"/>
      <c r="C74" s="66"/>
      <c r="D74" s="68"/>
      <c r="E74" s="64"/>
      <c r="F74" s="55"/>
      <c r="G74" s="64"/>
      <c r="I74" s="64"/>
      <c r="K74" s="64"/>
      <c r="U74" s="1" t="s">
        <v>10</v>
      </c>
    </row>
    <row r="75" spans="1:21" ht="12">
      <c r="A75" s="56" t="s">
        <v>8</v>
      </c>
      <c r="B75" s="55"/>
      <c r="C75" s="69">
        <v>10093</v>
      </c>
      <c r="D75" s="68"/>
      <c r="E75" s="70">
        <v>5793</v>
      </c>
      <c r="F75" s="55"/>
      <c r="G75" s="70">
        <v>14993</v>
      </c>
      <c r="I75" s="70">
        <v>13889</v>
      </c>
      <c r="K75" s="70">
        <v>9218</v>
      </c>
      <c r="M75" s="70">
        <v>25751</v>
      </c>
      <c r="O75" s="70">
        <v>64307</v>
      </c>
      <c r="Q75" s="70">
        <v>173828</v>
      </c>
      <c r="S75" s="70">
        <v>175851</v>
      </c>
      <c r="U75" s="70">
        <v>20774</v>
      </c>
    </row>
    <row r="76" spans="1:11" ht="12">
      <c r="A76" s="55"/>
      <c r="B76" s="55"/>
      <c r="C76" s="60"/>
      <c r="D76" s="55"/>
      <c r="E76" s="60"/>
      <c r="F76" s="55"/>
      <c r="G76" s="60"/>
      <c r="I76" s="60"/>
      <c r="K76" s="60"/>
    </row>
    <row r="77" spans="1:21" ht="12.75" thickBot="1">
      <c r="A77" s="40" t="s">
        <v>17</v>
      </c>
      <c r="B77" s="55"/>
      <c r="C77" s="71">
        <f>SUM(C51:C75)</f>
        <v>198200</v>
      </c>
      <c r="D77" s="65"/>
      <c r="E77" s="71">
        <f>SUM(E51:E75)</f>
        <v>314291</v>
      </c>
      <c r="F77" s="65"/>
      <c r="G77" s="71">
        <f>SUM(G51:G75)</f>
        <v>423191</v>
      </c>
      <c r="I77" s="71">
        <f>SUM(I51:I75)</f>
        <v>424042</v>
      </c>
      <c r="K77" s="71">
        <f>SUM(K51:K75)</f>
        <v>510866</v>
      </c>
      <c r="M77" s="71">
        <f>SUM(M51:M75)</f>
        <v>489065</v>
      </c>
      <c r="O77" s="71">
        <f>SUM(O51:O75)</f>
        <v>792381</v>
      </c>
      <c r="Q77" s="71">
        <f>SUM(Q51:Q75)</f>
        <v>963275</v>
      </c>
      <c r="S77" s="71">
        <f>SUM(S51:S75)</f>
        <v>638758</v>
      </c>
      <c r="U77" s="71">
        <f>SUM(U51:U75)</f>
        <v>82072</v>
      </c>
    </row>
    <row r="78" spans="1:6" ht="12.75" thickTop="1">
      <c r="A78" s="55"/>
      <c r="B78" s="55"/>
      <c r="C78" s="60"/>
      <c r="D78" s="55"/>
      <c r="E78" s="60"/>
      <c r="F78" s="55"/>
    </row>
    <row r="79" spans="1:6" ht="12">
      <c r="A79" s="51"/>
      <c r="B79" s="41"/>
      <c r="C79" s="55"/>
      <c r="D79" s="55"/>
      <c r="E79" s="55"/>
      <c r="F79" s="55"/>
    </row>
    <row r="80" spans="1:6" ht="12">
      <c r="A80" s="138" t="s">
        <v>75</v>
      </c>
      <c r="B80" s="41"/>
      <c r="C80" s="55"/>
      <c r="D80" s="55"/>
      <c r="E80" s="55"/>
      <c r="F80" s="55"/>
    </row>
    <row r="81" spans="1:6" ht="12">
      <c r="A81" s="118" t="s">
        <v>56</v>
      </c>
      <c r="B81" s="41"/>
      <c r="C81" s="55"/>
      <c r="D81" s="55"/>
      <c r="E81" s="55"/>
      <c r="F81" s="55"/>
    </row>
    <row r="82" spans="1:6" ht="12">
      <c r="A82" s="118" t="s">
        <v>52</v>
      </c>
      <c r="B82" s="41"/>
      <c r="C82" s="55"/>
      <c r="D82" s="55"/>
      <c r="E82" s="55"/>
      <c r="F82" s="55"/>
    </row>
    <row r="83" spans="1:6" ht="12">
      <c r="A83" s="55" t="s">
        <v>80</v>
      </c>
      <c r="B83" s="55"/>
      <c r="C83" s="55"/>
      <c r="D83" s="55"/>
      <c r="E83" s="55"/>
      <c r="F83" s="55"/>
    </row>
    <row r="84" ht="12">
      <c r="A84" s="56" t="s">
        <v>87</v>
      </c>
    </row>
    <row r="85" spans="1:13" ht="12">
      <c r="A85" s="56" t="s">
        <v>93</v>
      </c>
      <c r="C85" s="5"/>
      <c r="E85" s="5"/>
      <c r="G85" s="5"/>
      <c r="H85" s="5"/>
      <c r="I85" s="5"/>
      <c r="K85" s="5"/>
      <c r="M85" s="5"/>
    </row>
    <row r="87" spans="1:1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8" ht="11.25">
      <c r="A130" s="8"/>
      <c r="C130" s="8"/>
      <c r="D130" s="8"/>
      <c r="G130" s="8"/>
      <c r="H130" s="8"/>
    </row>
    <row r="131" spans="1:8" ht="11.25">
      <c r="A131" s="8"/>
      <c r="C131" s="8"/>
      <c r="D131" s="8"/>
      <c r="G131" s="8"/>
      <c r="H131" s="8"/>
    </row>
    <row r="132" spans="1:8" ht="11.25">
      <c r="A132" s="8"/>
      <c r="C132" s="8"/>
      <c r="D132" s="8"/>
      <c r="G132" s="8"/>
      <c r="H132" s="8"/>
    </row>
    <row r="133" spans="1:8" ht="11.25">
      <c r="A133" s="8"/>
      <c r="C133" s="8"/>
      <c r="D133" s="8"/>
      <c r="G133" s="8"/>
      <c r="H133" s="8"/>
    </row>
    <row r="134" spans="1:8" ht="11.25">
      <c r="A134" s="8"/>
      <c r="C134" s="8"/>
      <c r="D134" s="8"/>
      <c r="G134" s="8"/>
      <c r="H134" s="8"/>
    </row>
    <row r="135" spans="1:8" ht="11.25">
      <c r="A135" s="8"/>
      <c r="C135" s="8"/>
      <c r="D135" s="8"/>
      <c r="G135" s="8"/>
      <c r="H135" s="8"/>
    </row>
    <row r="136" spans="1:8" ht="11.25">
      <c r="A136" s="8"/>
      <c r="C136" s="8"/>
      <c r="D136" s="8"/>
      <c r="G136" s="8"/>
      <c r="H136" s="8"/>
    </row>
    <row r="137" spans="1:8" ht="11.25">
      <c r="A137" s="8"/>
      <c r="C137" s="8"/>
      <c r="D137" s="8"/>
      <c r="G137" s="8"/>
      <c r="H137" s="8"/>
    </row>
    <row r="138" spans="1:8" ht="11.25">
      <c r="A138" s="8"/>
      <c r="C138" s="8"/>
      <c r="D138" s="8"/>
      <c r="G138" s="8"/>
      <c r="H138" s="8"/>
    </row>
    <row r="139" spans="1:8" ht="11.25">
      <c r="A139" s="8"/>
      <c r="C139" s="8"/>
      <c r="D139" s="8"/>
      <c r="G139" s="8"/>
      <c r="H139" s="8"/>
    </row>
    <row r="140" spans="1:8" ht="11.25">
      <c r="A140" s="8"/>
      <c r="C140" s="8"/>
      <c r="D140" s="8"/>
      <c r="G140" s="8"/>
      <c r="H140" s="8"/>
    </row>
    <row r="141" spans="1:8" ht="11.25">
      <c r="A141" s="8"/>
      <c r="C141" s="8"/>
      <c r="D141" s="8"/>
      <c r="G141" s="8"/>
      <c r="H141" s="8"/>
    </row>
    <row r="142" spans="1:8" ht="11.25">
      <c r="A142" s="8"/>
      <c r="C142" s="8"/>
      <c r="D142" s="8"/>
      <c r="G142" s="8"/>
      <c r="H142" s="8"/>
    </row>
    <row r="143" spans="1:8" ht="11.25">
      <c r="A143" s="8"/>
      <c r="C143" s="8"/>
      <c r="D143" s="8"/>
      <c r="G143" s="8"/>
      <c r="H143" s="8"/>
    </row>
    <row r="144" spans="1:8" ht="11.25">
      <c r="A144" s="8"/>
      <c r="C144" s="8"/>
      <c r="D144" s="8"/>
      <c r="G144" s="8"/>
      <c r="H144" s="8"/>
    </row>
    <row r="145" spans="1:8" ht="11.25">
      <c r="A145" s="8"/>
      <c r="C145" s="8"/>
      <c r="D145" s="8"/>
      <c r="G145" s="8"/>
      <c r="H145" s="8"/>
    </row>
    <row r="146" spans="1:8" ht="11.25">
      <c r="A146" s="8"/>
      <c r="C146" s="8"/>
      <c r="D146" s="8"/>
      <c r="G146" s="8"/>
      <c r="H146" s="8"/>
    </row>
    <row r="147" spans="1:8" ht="11.25">
      <c r="A147" s="8"/>
      <c r="C147" s="8"/>
      <c r="D147" s="8"/>
      <c r="G147" s="8"/>
      <c r="H147" s="8"/>
    </row>
    <row r="148" spans="1:8" ht="11.25">
      <c r="A148" s="8"/>
      <c r="C148" s="8"/>
      <c r="D148" s="8"/>
      <c r="G148" s="8"/>
      <c r="H148" s="8"/>
    </row>
    <row r="149" spans="1:8" ht="11.25">
      <c r="A149" s="8"/>
      <c r="C149" s="8"/>
      <c r="D149" s="8"/>
      <c r="G149" s="8"/>
      <c r="H149" s="8"/>
    </row>
    <row r="162" spans="1:3" ht="11.25">
      <c r="A162" s="8"/>
      <c r="C162" s="8"/>
    </row>
    <row r="163" spans="1:3" ht="11.25">
      <c r="A163" s="8"/>
      <c r="C163" s="8"/>
    </row>
    <row r="164" spans="1:3" ht="11.25">
      <c r="A164" s="8"/>
      <c r="C164" s="8"/>
    </row>
    <row r="165" spans="1:3" ht="11.25">
      <c r="A165" s="8"/>
      <c r="C165" s="8"/>
    </row>
    <row r="166" spans="1:3" ht="11.25">
      <c r="A166" s="8"/>
      <c r="C166" s="8"/>
    </row>
    <row r="167" spans="1:3" ht="11.25">
      <c r="A167" s="8"/>
      <c r="C167" s="8"/>
    </row>
    <row r="168" spans="1:3" ht="11.25">
      <c r="A168" s="8"/>
      <c r="C168" s="8"/>
    </row>
    <row r="169" spans="1:3" ht="11.25">
      <c r="A169" s="8"/>
      <c r="C169" s="8"/>
    </row>
  </sheetData>
  <printOptions/>
  <pageMargins left="0.92" right="0.25" top="0.65" bottom="0.55" header="0.5" footer="0.5"/>
  <pageSetup fitToHeight="0" fitToWidth="1" horizontalDpi="300" verticalDpi="300" orientation="landscape" scale="79" r:id="rId1"/>
  <headerFooter alignWithMargins="0">
    <oddFooter>&amp;L&amp;D</oddFooter>
  </headerFooter>
  <rowBreaks count="2" manualBreakCount="2">
    <brk id="42" max="20" man="1"/>
    <brk id="8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NJCCC</cp:lastModifiedBy>
  <cp:lastPrinted>2011-10-17T14:39:58Z</cp:lastPrinted>
  <dcterms:created xsi:type="dcterms:W3CDTF">1998-07-14T19:29:00Z</dcterms:created>
  <dcterms:modified xsi:type="dcterms:W3CDTF">2011-10-17T15:00:59Z</dcterms:modified>
  <cp:category/>
  <cp:version/>
  <cp:contentType/>
  <cp:contentStatus/>
</cp:coreProperties>
</file>