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599" activeTab="0"/>
  </bookViews>
  <sheets>
    <sheet name="WIN" sheetId="1" r:id="rId1"/>
    <sheet name="PERCENT" sheetId="2" r:id="rId2"/>
    <sheet name="REVENUE" sheetId="3" r:id="rId3"/>
    <sheet name="PROMOS" sheetId="4" r:id="rId4"/>
  </sheets>
  <definedNames>
    <definedName name="\c">#REF!</definedName>
    <definedName name="_Regression_Int" localSheetId="1" hidden="1">1</definedName>
    <definedName name="_Regression_Int" localSheetId="3" hidden="1">1</definedName>
    <definedName name="_Regression_Int" localSheetId="2" hidden="1">1</definedName>
    <definedName name="_Regression_Int" localSheetId="0" hidden="1">1</definedName>
    <definedName name="ALL" localSheetId="3">'PROMOS'!$A$1:$Z$439</definedName>
    <definedName name="ALL" localSheetId="2">'REVENUE'!$A$1:$Z$435</definedName>
    <definedName name="ALL">#REF!</definedName>
    <definedName name="CASREV">#REF!</definedName>
    <definedName name="PAGE1" localSheetId="3">'PROMOS'!$A$1:$Z$40</definedName>
    <definedName name="PAGE1" localSheetId="2">'REVENUE'!$A$1:$Z$42</definedName>
    <definedName name="PAGE1">'WIN'!$A$1:$Z$40</definedName>
    <definedName name="PAGE10" localSheetId="3">'PROMOS'!$A$197:$Z$232</definedName>
    <definedName name="PAGE10" localSheetId="2">'REVENUE'!$A$365:$Z$401</definedName>
    <definedName name="PAGE10">'PERCENT'!$A$41:$Z$80</definedName>
    <definedName name="PAGE11" localSheetId="3">'PROMOS'!$AE$197:$BD$232</definedName>
    <definedName name="PAGE11" localSheetId="2">'REVENUE'!$A$402:$Z$436</definedName>
    <definedName name="PAGE11">'PERCENT'!$A$81:$Z$120</definedName>
    <definedName name="PAGE12">'PERCENT'!$A$123:$Z$161</definedName>
    <definedName name="PAGE13">'PERCENT'!$A$162:$Z$198</definedName>
    <definedName name="PAGE14">'PERCENT'!$A$200:$Z$237</definedName>
    <definedName name="PAGE15">'PERCENT'!$A$240:$Z$276</definedName>
    <definedName name="PAGE16">'PERCENT'!$A$279:$Z$314</definedName>
    <definedName name="PAGE17">#REF!</definedName>
    <definedName name="PAGE2" localSheetId="3">'PROMOS'!$AE$41:$BD$78</definedName>
    <definedName name="PAGE2" localSheetId="2">'REVENUE'!$A$43:$Z$80</definedName>
    <definedName name="PAGE2">'WIN'!$A$41:$Z$80</definedName>
    <definedName name="PAGE3" localSheetId="3">'PROMOS'!$A$41:$Z$78</definedName>
    <definedName name="PAGE3" localSheetId="2">'REVENUE'!$A$82:$Z$122</definedName>
    <definedName name="PAGE3">'WIN'!$A$81:$Z$120</definedName>
    <definedName name="PAGE4" localSheetId="3">'PROMOS'!$A$81:$Z$116</definedName>
    <definedName name="PAGE4" localSheetId="2">'REVENUE'!$A$127:$Z$163</definedName>
    <definedName name="PAGE4">'WIN'!$A$121:$Z$156</definedName>
    <definedName name="PAGE5" localSheetId="3">'PROMOS'!$A$120:$Z$156</definedName>
    <definedName name="PAGE5" localSheetId="2">'REVENUE'!$A$164:$Z$199</definedName>
    <definedName name="PAGE5">'WIN'!$A$161:$Z$196</definedName>
    <definedName name="PAGE6" localSheetId="3">'PROMOS'!$AE$120:$BD$155</definedName>
    <definedName name="PAGE6" localSheetId="2">'REVENUE'!$A$203:$Z$240</definedName>
    <definedName name="PAGE6">'WIN'!$A$201:$Z$236</definedName>
    <definedName name="PAGE7" localSheetId="3">'PROMOS'!$A$233:$Z$272</definedName>
    <definedName name="PAGE7" localSheetId="2">'REVENUE'!$A$241:$Z$280</definedName>
    <definedName name="PAGE7">'WIN'!$A$239:$Z$274</definedName>
    <definedName name="PAGE8" localSheetId="3">'PROMOS'!$A$273:$Z$310</definedName>
    <definedName name="PAGE8" localSheetId="2">'REVENUE'!$A$281:$Z$314</definedName>
    <definedName name="PAGE8">'WIN'!$A$277:$Z$312</definedName>
    <definedName name="PAGE9" localSheetId="3">'PROMOS'!$A$157:$Z$196</definedName>
    <definedName name="PAGE9" localSheetId="2">'REVENUE'!$A$319:$Z$364</definedName>
    <definedName name="PAGE9">'PERCENT'!$A$1:$Z$40</definedName>
    <definedName name="_xlnm.Print_Area" localSheetId="1">'PERCENT'!$A$1:$AA$313</definedName>
    <definedName name="_xlnm.Print_Area" localSheetId="3">'PROMOS'!$A$1:$AA$310</definedName>
    <definedName name="_xlnm.Print_Area" localSheetId="2">'REVENUE'!$A$1:$AA$516</definedName>
    <definedName name="_xlnm.Print_Area" localSheetId="0">'WIN'!$A$1:$AA$310</definedName>
    <definedName name="Print_Area_MI" localSheetId="1">'PERCENT'!$A$1:$Z$40</definedName>
    <definedName name="Print_Area_MI" localSheetId="3">'PROMOS'!$A$1:$Z$119</definedName>
    <definedName name="Print_Area_MI" localSheetId="2">'REVENUE'!$A$1:$Z$236</definedName>
    <definedName name="TOTALREV">'REVENUE'!$A$440:$Z$475</definedName>
  </definedNames>
  <calcPr fullCalcOnLoad="1" fullPrecision="0"/>
</workbook>
</file>

<file path=xl/sharedStrings.xml><?xml version="1.0" encoding="utf-8"?>
<sst xmlns="http://schemas.openxmlformats.org/spreadsheetml/2006/main" count="1203" uniqueCount="97">
  <si>
    <t>ATLANTIC CITY CASINO INDUSTRY</t>
  </si>
  <si>
    <t>CASINO WIN (a)</t>
  </si>
  <si>
    <t>($ in Thousands)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</si>
  <si>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</si>
  <si>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</si>
  <si>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</si>
  <si>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</si>
  <si>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</si>
  <si>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</si>
  <si>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</si>
  <si>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</si>
  <si>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</si>
  <si>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</si>
  <si>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</si>
  <si>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</si>
  <si>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Atlantis</t>
  </si>
  <si>
    <t>(b)</t>
  </si>
  <si>
    <t>AC Hilton</t>
  </si>
  <si>
    <t>Bally's Park Place</t>
  </si>
  <si>
    <t>Caesars</t>
  </si>
  <si>
    <t>Claridge</t>
  </si>
  <si>
    <t>Harrah's</t>
  </si>
  <si>
    <t>Resorts</t>
  </si>
  <si>
    <t>Sands</t>
  </si>
  <si>
    <t>Showboat</t>
  </si>
  <si>
    <t>Tropicana</t>
  </si>
  <si>
    <t>Trump Plaza</t>
  </si>
  <si>
    <t>CASINO WIN GROWTH RATES</t>
  </si>
  <si>
    <t xml:space="preserve"> </t>
  </si>
  <si>
    <t xml:space="preserve">TABLE GAME WIN </t>
  </si>
  <si>
    <t>N/A</t>
  </si>
  <si>
    <t>TABLE GAME WIN GROWTH RATES</t>
  </si>
  <si>
    <t xml:space="preserve">SLOT MACHINE WIN </t>
  </si>
  <si>
    <t>SLOT MACHINE WIN GROWTH RATES</t>
  </si>
  <si>
    <t>TABLE GAME WIN AS A PERCENTAGE OF CASINO WIN</t>
  </si>
  <si>
    <t>SLOT MACHINE  WIN AS A PERCENTAGE OF CASINO WIN</t>
  </si>
  <si>
    <t xml:space="preserve">   </t>
  </si>
  <si>
    <t xml:space="preserve">  </t>
  </si>
  <si>
    <t>Industry</t>
  </si>
  <si>
    <t>SLOT MACHINE WIN PERCENTAGE</t>
  </si>
  <si>
    <t>SLOT MACHINE HANDLE</t>
  </si>
  <si>
    <t xml:space="preserve">TABLE GAME DROP </t>
  </si>
  <si>
    <t xml:space="preserve">        </t>
  </si>
  <si>
    <t>SLOT MACHINE HANDLE GROWTH RATES</t>
  </si>
  <si>
    <t>TABLE GAME DROP GROWTH RATES</t>
  </si>
  <si>
    <t>Trump Marina</t>
  </si>
  <si>
    <t>(a)</t>
  </si>
  <si>
    <t>(b ) Closed in May 1989.</t>
  </si>
  <si>
    <t>(a) Closed in May 1989.</t>
  </si>
  <si>
    <t>(a ) These casino win figures are the sum of table game and slot machine win from the other spreadsheets.  As a result, these casino win figures may vary slightly from those on the tax return due to rounding.</t>
  </si>
  <si>
    <t>(b) Closed in May 1989.</t>
  </si>
  <si>
    <t xml:space="preserve">NET REVENUE </t>
  </si>
  <si>
    <t xml:space="preserve">Claridge </t>
  </si>
  <si>
    <t>(a)  Closed in May 1989.</t>
  </si>
  <si>
    <t>NET REVENUE GROWTH RATES</t>
  </si>
  <si>
    <t>GROSS OPERATING PROFIT (a)</t>
  </si>
  <si>
    <t xml:space="preserve">AC Hilton </t>
  </si>
  <si>
    <t>GROSS OPERATING PROFIT GROWTH RATES</t>
  </si>
  <si>
    <t>GOP MARGIN (a)</t>
  </si>
  <si>
    <t>(a) GOP Margin is a measure of cost efficiency which is calculated by dividing GOP by Net Revenue.</t>
  </si>
  <si>
    <t>GOP MARGIN PERCENTAGE POINT INCREASE (DECREASE)</t>
  </si>
  <si>
    <t>COSTS AND EXPENSES (a)</t>
  </si>
  <si>
    <t>(a) Costs and Expenses was calculated by taking Net Revenue less GOP.  Costs and Expenses consist of Costs of Goods &amp; Services; Selling, General, &amp; Administrative; and Provision for Doubtful Accounts.</t>
  </si>
  <si>
    <t>COSTS AND EXPENSES GROWTH RATES</t>
  </si>
  <si>
    <t>CASINO REVENUE</t>
  </si>
  <si>
    <t>CASINO REVENUE GROWTH RATES</t>
  </si>
  <si>
    <t>CASINO REVENUE AS A PERCENTAGE OF NET REVENUE</t>
  </si>
  <si>
    <t>Tropworld</t>
  </si>
  <si>
    <t>TOTAL REVENUE</t>
  </si>
  <si>
    <t>TOTAL REVENUE GROWTH RATES</t>
  </si>
  <si>
    <t>PROMOTIONAL ALLOWANCES</t>
  </si>
  <si>
    <t>(a)  Closed in May 1989</t>
  </si>
  <si>
    <t>PROMOTIONAL ALLOWANCES AS A PERCENTAGE OF NET REVENUE</t>
  </si>
  <si>
    <t>PROMOTIONAL ALLOWANCES AS A PERCENTAGE OF TOTAL REVENUE</t>
  </si>
  <si>
    <t>PROMOTIONAL EXPENSES</t>
  </si>
  <si>
    <t>PROMOTIONAL EXPENSES AS A PERCENTAGE OF NET REVENUE</t>
  </si>
  <si>
    <t>PROMOTIONAL EXPENSES AS A PERCENTAGE OF TOTAL REVENUE</t>
  </si>
  <si>
    <t>TOTAL PROMOTIONAL ALLOWANCES AND PROMOTIONAL EXPENSES</t>
  </si>
  <si>
    <t>TOTAL PROMOTIONAL ALLOWANCES AND PROMOTIONAL EXPENSES AS A PERCENTAGE OF NET REVENUE</t>
  </si>
  <si>
    <t>TOTAL PROMOTIONAL ALLOWANCES AND PROMOTIONAL EXPENSES AS A PERCENTAGE OF TOTAL REVENUE</t>
  </si>
  <si>
    <t>COIN/COUPON PROMOTIONALS (a)</t>
  </si>
  <si>
    <t>1982 (b)</t>
  </si>
  <si>
    <t>1983 (b)</t>
  </si>
  <si>
    <t>(c)</t>
  </si>
  <si>
    <t>(a) Breakdown of cash promotionals were not required prior to 1982.</t>
  </si>
  <si>
    <t>(b) 1982 and 1983 figures were taken from an old form entitled Complimentary Services Schedule.</t>
  </si>
  <si>
    <t>(c) Closed in May 1989.</t>
  </si>
  <si>
    <t>COIN/COUPON PROMOTIONALS AS A PERCENTAGE OF NET REVENUE</t>
  </si>
  <si>
    <t>1978-1989</t>
  </si>
  <si>
    <t xml:space="preserve">       and Administrative and Allowance for Doubtful Accounts).</t>
  </si>
  <si>
    <t>(a)  For years 1978-1982 GOP is Operating Income (inclusive of affiliated expenses other than interest) + Interest Expense + Depreciation and Amortization.  Subsequently, GOP is Net Revenue - (Cost of Goods Sold, Selling General</t>
  </si>
  <si>
    <t>TABLE GAME WIN PERCENTAGE</t>
  </si>
  <si>
    <t>(d)</t>
  </si>
  <si>
    <t>(a ) Closed in May 1989.</t>
  </si>
  <si>
    <t>(b) AC Hilton's figure is for 8 months ended December 31, 1984.  The company effectuated a corporate restructuring on May 1, 1984, so year-end Annual CCC Reports only include the last 8 months of the year.</t>
  </si>
  <si>
    <t>(c) AC Hilton's figure is for 8 months ended December 31, 1984.  The company effectuated a corporate restructuring on May 1, 1984, so year-end Annual CCC Reports only include the last 8 months of the year.</t>
  </si>
  <si>
    <t>(d) AC Hilton's figure is for 8 months ended December 31, 1984.  The company effectuated a corporate restructuring on May 1, 1984, so year-end Annual CCC Reports only include the last 8 months of the year.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</si>
</sst>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#,##0.000_);\(#,##0.00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"/>
    <numFmt numFmtId="175" formatCode="\(\c\)"/>
    <numFmt numFmtId="176" formatCode="#,##0;[Red]#,##0"/>
    <numFmt numFmtId="177" formatCode="&quot;$&quot;#,##0;[Red]&quot;$&quot;#,##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37" fontId="5" fillId="0" borderId="0" xfId="20" applyFont="1" applyAlignment="1" applyProtection="1">
      <alignment horizontal="left"/>
      <protection/>
    </xf>
    <xf numFmtId="37" fontId="5" fillId="0" borderId="0" xfId="20" applyFont="1">
      <alignment/>
      <protection/>
    </xf>
    <xf numFmtId="37" fontId="5" fillId="0" borderId="0" xfId="20" applyFont="1" applyAlignment="1" applyProtection="1">
      <alignment horizontal="fill"/>
      <protection/>
    </xf>
    <xf numFmtId="37" fontId="5" fillId="0" borderId="0" xfId="20" applyFont="1" applyAlignment="1" applyProtection="1">
      <alignment horizontal="center"/>
      <protection/>
    </xf>
    <xf numFmtId="37" fontId="5" fillId="0" borderId="0" xfId="20" applyNumberFormat="1" applyFont="1" applyProtection="1">
      <alignment/>
      <protection/>
    </xf>
    <xf numFmtId="5" fontId="5" fillId="0" borderId="0" xfId="20" applyNumberFormat="1" applyFont="1" applyProtection="1">
      <alignment/>
      <protection/>
    </xf>
    <xf numFmtId="37" fontId="5" fillId="0" borderId="0" xfId="20" applyNumberFormat="1" applyFont="1" applyAlignment="1" applyProtection="1">
      <alignment horizontal="left"/>
      <protection/>
    </xf>
    <xf numFmtId="37" fontId="5" fillId="0" borderId="0" xfId="20" applyFont="1" applyProtection="1">
      <alignment/>
      <protection/>
    </xf>
    <xf numFmtId="37" fontId="5" fillId="0" borderId="0" xfId="20" applyNumberFormat="1" applyFont="1" applyAlignment="1" applyProtection="1">
      <alignment horizontal="fill"/>
      <protection/>
    </xf>
    <xf numFmtId="166" fontId="5" fillId="0" borderId="0" xfId="20" applyNumberFormat="1" applyFont="1" applyProtection="1">
      <alignment/>
      <protection/>
    </xf>
    <xf numFmtId="166" fontId="5" fillId="0" borderId="0" xfId="20" applyNumberFormat="1" applyFont="1" applyAlignment="1" applyProtection="1">
      <alignment horizontal="right"/>
      <protection/>
    </xf>
    <xf numFmtId="165" fontId="5" fillId="0" borderId="0" xfId="20" applyNumberFormat="1" applyFont="1" applyProtection="1">
      <alignment/>
      <protection/>
    </xf>
    <xf numFmtId="37" fontId="5" fillId="0" borderId="1" xfId="20" applyFont="1" applyBorder="1">
      <alignment/>
      <protection/>
    </xf>
    <xf numFmtId="37" fontId="5" fillId="0" borderId="0" xfId="21" applyNumberFormat="1" applyFont="1" applyProtection="1">
      <alignment/>
      <protection/>
    </xf>
    <xf numFmtId="37" fontId="5" fillId="0" borderId="0" xfId="21" applyNumberFormat="1" applyFont="1" applyAlignment="1" applyProtection="1">
      <alignment horizontal="left"/>
      <protection/>
    </xf>
    <xf numFmtId="37" fontId="5" fillId="0" borderId="0" xfId="21" applyNumberFormat="1" applyFont="1" applyAlignment="1" applyProtection="1">
      <alignment horizontal="fill"/>
      <protection/>
    </xf>
    <xf numFmtId="166" fontId="5" fillId="0" borderId="0" xfId="21" applyNumberFormat="1" applyFont="1" applyProtection="1">
      <alignment/>
      <protection/>
    </xf>
    <xf numFmtId="164" fontId="5" fillId="0" borderId="0" xfId="22" applyFont="1" applyAlignment="1" applyProtection="1">
      <alignment horizontal="left"/>
      <protection/>
    </xf>
    <xf numFmtId="164" fontId="5" fillId="0" borderId="0" xfId="22" applyFont="1">
      <alignment/>
      <protection/>
    </xf>
    <xf numFmtId="164" fontId="5" fillId="0" borderId="0" xfId="22" applyFont="1" applyAlignment="1" applyProtection="1">
      <alignment horizontal="fill"/>
      <protection/>
    </xf>
    <xf numFmtId="166" fontId="5" fillId="0" borderId="0" xfId="22" applyNumberFormat="1" applyFont="1" applyProtection="1">
      <alignment/>
      <protection/>
    </xf>
    <xf numFmtId="164" fontId="5" fillId="0" borderId="0" xfId="22" applyFont="1" applyProtection="1">
      <alignment/>
      <protection/>
    </xf>
    <xf numFmtId="37" fontId="5" fillId="0" borderId="0" xfId="22" applyNumberFormat="1" applyFont="1" applyProtection="1">
      <alignment/>
      <protection/>
    </xf>
    <xf numFmtId="37" fontId="5" fillId="0" borderId="0" xfId="22" applyNumberFormat="1" applyFont="1" applyAlignment="1" applyProtection="1">
      <alignment horizontal="fill"/>
      <protection/>
    </xf>
    <xf numFmtId="37" fontId="5" fillId="0" borderId="0" xfId="22" applyNumberFormat="1" applyFont="1" applyAlignment="1" applyProtection="1">
      <alignment horizontal="left"/>
      <protection/>
    </xf>
    <xf numFmtId="164" fontId="5" fillId="0" borderId="1" xfId="22" applyFont="1" applyBorder="1">
      <alignment/>
      <protection/>
    </xf>
    <xf numFmtId="37" fontId="5" fillId="0" borderId="0" xfId="20" applyFont="1" applyAlignment="1" applyProtection="1">
      <alignment/>
      <protection/>
    </xf>
    <xf numFmtId="37" fontId="5" fillId="0" borderId="0" xfId="20" applyFont="1" applyAlignment="1" applyProtection="1" quotePrefix="1">
      <alignment horizontal="left"/>
      <protection/>
    </xf>
    <xf numFmtId="37" fontId="5" fillId="0" borderId="0" xfId="20" applyFont="1" applyAlignment="1" quotePrefix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horizontal="fill"/>
      <protection/>
    </xf>
    <xf numFmtId="0" fontId="5" fillId="0" borderId="1" xfId="0" applyFont="1" applyBorder="1" applyAlignment="1" applyProtection="1">
      <alignment horizontal="center"/>
      <protection/>
    </xf>
    <xf numFmtId="5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 quotePrefix="1">
      <alignment horizontal="left"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quotePrefix="1">
      <alignment horizontal="left"/>
    </xf>
    <xf numFmtId="37" fontId="5" fillId="0" borderId="1" xfId="20" applyFont="1" applyBorder="1" applyAlignment="1" applyProtection="1" quotePrefix="1">
      <alignment horizontal="left"/>
      <protection/>
    </xf>
    <xf numFmtId="166" fontId="5" fillId="0" borderId="0" xfId="21" applyNumberFormat="1" applyFont="1" applyAlignment="1" applyProtection="1">
      <alignment horizontal="center"/>
      <protection/>
    </xf>
    <xf numFmtId="37" fontId="5" fillId="0" borderId="0" xfId="22" applyNumberFormat="1" applyFont="1">
      <alignment/>
      <protection/>
    </xf>
    <xf numFmtId="37" fontId="5" fillId="0" borderId="1" xfId="22" applyNumberFormat="1" applyFont="1" applyBorder="1">
      <alignment/>
      <protection/>
    </xf>
    <xf numFmtId="37" fontId="5" fillId="0" borderId="0" xfId="22" applyNumberFormat="1" applyFont="1" applyAlignment="1" applyProtection="1">
      <alignment/>
      <protection/>
    </xf>
    <xf numFmtId="164" fontId="5" fillId="0" borderId="0" xfId="22" applyFont="1" applyAlignment="1" applyProtection="1" quotePrefix="1">
      <alignment horizontal="left"/>
      <protection/>
    </xf>
    <xf numFmtId="37" fontId="5" fillId="0" borderId="1" xfId="22" applyNumberFormat="1" applyFont="1" applyBorder="1" applyAlignment="1" applyProtection="1" quotePrefix="1">
      <alignment horizontal="left"/>
      <protection/>
    </xf>
    <xf numFmtId="37" fontId="5" fillId="0" borderId="0" xfId="21" applyNumberFormat="1" applyFont="1" applyAlignment="1" applyProtection="1">
      <alignment horizontal="center"/>
      <protection/>
    </xf>
    <xf numFmtId="37" fontId="5" fillId="0" borderId="0" xfId="21" applyNumberFormat="1" applyFont="1" applyAlignment="1" applyProtection="1" quotePrefix="1">
      <alignment horizontal="left"/>
      <protection/>
    </xf>
    <xf numFmtId="0" fontId="5" fillId="0" borderId="1" xfId="0" applyFont="1" applyBorder="1" applyAlignment="1" applyProtection="1" quotePrefix="1">
      <alignment horizontal="left"/>
      <protection/>
    </xf>
    <xf numFmtId="37" fontId="5" fillId="0" borderId="0" xfId="21" applyNumberFormat="1" applyFont="1" applyBorder="1" applyAlignment="1" applyProtection="1">
      <alignment horizontal="left"/>
      <protection/>
    </xf>
    <xf numFmtId="37" fontId="5" fillId="0" borderId="0" xfId="20" applyFont="1" applyBorder="1" applyAlignment="1" applyProtection="1">
      <alignment horizontal="left"/>
      <protection/>
    </xf>
    <xf numFmtId="37" fontId="5" fillId="0" borderId="0" xfId="20" applyFont="1" applyBorder="1">
      <alignment/>
      <protection/>
    </xf>
    <xf numFmtId="37" fontId="5" fillId="0" borderId="0" xfId="20" applyNumberFormat="1" applyFont="1" applyBorder="1" applyProtection="1">
      <alignment/>
      <protection/>
    </xf>
    <xf numFmtId="37" fontId="5" fillId="0" borderId="0" xfId="21" applyNumberFormat="1" applyFont="1">
      <alignment/>
      <protection/>
    </xf>
    <xf numFmtId="37" fontId="5" fillId="0" borderId="0" xfId="20" applyFont="1" applyBorder="1" applyAlignment="1" applyProtection="1" quotePrefix="1">
      <alignment horizontal="left"/>
      <protection/>
    </xf>
    <xf numFmtId="37" fontId="5" fillId="0" borderId="0" xfId="20" applyFont="1" applyBorder="1" applyAlignment="1" applyProtection="1">
      <alignment/>
      <protection/>
    </xf>
    <xf numFmtId="37" fontId="5" fillId="0" borderId="0" xfId="20" applyFont="1" applyBorder="1" applyAlignment="1" applyProtection="1">
      <alignment horizontal="fill"/>
      <protection/>
    </xf>
    <xf numFmtId="37" fontId="5" fillId="0" borderId="0" xfId="21" applyNumberFormat="1" applyFont="1" applyAlignment="1" applyProtection="1">
      <alignment horizontal="right"/>
      <protection/>
    </xf>
    <xf numFmtId="164" fontId="5" fillId="0" borderId="1" xfId="22" applyFont="1" applyBorder="1" applyAlignment="1" applyProtection="1" quotePrefix="1">
      <alignment horizontal="left"/>
      <protection/>
    </xf>
    <xf numFmtId="14" fontId="5" fillId="0" borderId="0" xfId="22" applyNumberFormat="1" applyFont="1">
      <alignment/>
      <protection/>
    </xf>
    <xf numFmtId="37" fontId="5" fillId="0" borderId="1" xfId="20" applyFont="1" applyBorder="1" applyAlignment="1" applyProtection="1">
      <alignment horizontal="center"/>
      <protection/>
    </xf>
    <xf numFmtId="37" fontId="5" fillId="0" borderId="1" xfId="20" applyNumberFormat="1" applyFont="1" applyBorder="1" applyProtection="1">
      <alignment/>
      <protection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14" fontId="5" fillId="0" borderId="0" xfId="21" applyNumberFormat="1" applyFont="1" applyAlignment="1">
      <alignment horizontal="left"/>
      <protection/>
    </xf>
    <xf numFmtId="164" fontId="5" fillId="0" borderId="0" xfId="22" applyFont="1" applyAlignment="1">
      <alignment horizontal="right"/>
      <protection/>
    </xf>
    <xf numFmtId="14" fontId="5" fillId="0" borderId="0" xfId="22" applyNumberFormat="1" applyFont="1" applyAlignment="1">
      <alignment horizontal="left"/>
      <protection/>
    </xf>
    <xf numFmtId="37" fontId="5" fillId="0" borderId="0" xfId="22" applyNumberFormat="1" applyFont="1" applyBorder="1" applyAlignment="1" applyProtection="1">
      <alignment horizontal="fill"/>
      <protection/>
    </xf>
    <xf numFmtId="37" fontId="5" fillId="0" borderId="1" xfId="22" applyNumberFormat="1" applyFont="1" applyBorder="1" applyAlignment="1" applyProtection="1">
      <alignment horizontal="center"/>
      <protection/>
    </xf>
    <xf numFmtId="37" fontId="5" fillId="0" borderId="1" xfId="22" applyNumberFormat="1" applyFont="1" applyBorder="1" applyProtection="1">
      <alignment/>
      <protection/>
    </xf>
    <xf numFmtId="5" fontId="5" fillId="0" borderId="0" xfId="20" applyNumberFormat="1" applyFont="1" applyAlignment="1" applyProtection="1" quotePrefix="1">
      <alignment horizontal="left"/>
      <protection/>
    </xf>
    <xf numFmtId="5" fontId="5" fillId="0" borderId="2" xfId="20" applyNumberFormat="1" applyFont="1" applyBorder="1" applyProtection="1">
      <alignment/>
      <protection/>
    </xf>
    <xf numFmtId="5" fontId="5" fillId="0" borderId="0" xfId="0" applyNumberFormat="1" applyFont="1" applyAlignment="1" applyProtection="1" quotePrefix="1">
      <alignment horizontal="left"/>
      <protection/>
    </xf>
    <xf numFmtId="5" fontId="5" fillId="0" borderId="2" xfId="0" applyNumberFormat="1" applyFont="1" applyBorder="1" applyAlignment="1" applyProtection="1">
      <alignment/>
      <protection/>
    </xf>
    <xf numFmtId="5" fontId="5" fillId="0" borderId="0" xfId="0" applyNumberFormat="1" applyFont="1" applyBorder="1" applyAlignment="1" applyProtection="1">
      <alignment/>
      <protection/>
    </xf>
    <xf numFmtId="5" fontId="5" fillId="0" borderId="0" xfId="22" applyNumberFormat="1" applyFont="1">
      <alignment/>
      <protection/>
    </xf>
    <xf numFmtId="5" fontId="5" fillId="0" borderId="0" xfId="22" applyNumberFormat="1" applyFont="1" applyProtection="1">
      <alignment/>
      <protection/>
    </xf>
    <xf numFmtId="5" fontId="5" fillId="0" borderId="2" xfId="22" applyNumberFormat="1" applyFont="1" applyBorder="1" applyProtection="1">
      <alignment/>
      <protection/>
    </xf>
    <xf numFmtId="37" fontId="5" fillId="0" borderId="0" xfId="22" applyNumberFormat="1" applyFont="1" applyAlignment="1" applyProtection="1" quotePrefix="1">
      <alignment horizontal="left"/>
      <protection/>
    </xf>
    <xf numFmtId="5" fontId="5" fillId="0" borderId="2" xfId="20" applyNumberFormat="1" applyFont="1" applyBorder="1">
      <alignment/>
      <protection/>
    </xf>
    <xf numFmtId="37" fontId="5" fillId="0" borderId="0" xfId="22" applyNumberFormat="1" applyFont="1" applyBorder="1">
      <alignment/>
      <protection/>
    </xf>
    <xf numFmtId="37" fontId="5" fillId="0" borderId="0" xfId="20" applyFont="1" applyAlignment="1">
      <alignment horizontal="right"/>
      <protection/>
    </xf>
    <xf numFmtId="166" fontId="5" fillId="0" borderId="0" xfId="20" applyNumberFormat="1" applyFont="1" applyBorder="1" applyProtection="1">
      <alignment/>
      <protection/>
    </xf>
    <xf numFmtId="164" fontId="5" fillId="0" borderId="1" xfId="22" applyFont="1" applyBorder="1" applyAlignment="1" applyProtection="1">
      <alignment horizontal="center"/>
      <protection/>
    </xf>
    <xf numFmtId="166" fontId="5" fillId="0" borderId="0" xfId="22" applyNumberFormat="1" applyFont="1" applyAlignment="1">
      <alignment horizontal="right"/>
      <protection/>
    </xf>
    <xf numFmtId="166" fontId="5" fillId="0" borderId="0" xfId="22" applyNumberFormat="1" applyFont="1" applyAlignment="1" applyProtection="1">
      <alignment horizontal="right"/>
      <protection/>
    </xf>
    <xf numFmtId="164" fontId="5" fillId="0" borderId="0" xfId="22" applyFont="1" applyBorder="1" applyAlignment="1" applyProtection="1">
      <alignment horizontal="right"/>
      <protection/>
    </xf>
    <xf numFmtId="164" fontId="5" fillId="0" borderId="0" xfId="22" applyFont="1" applyBorder="1" applyAlignment="1" applyProtection="1">
      <alignment horizontal="fill"/>
      <protection/>
    </xf>
    <xf numFmtId="164" fontId="5" fillId="0" borderId="0" xfId="22" applyFont="1" applyBorder="1">
      <alignment/>
      <protection/>
    </xf>
    <xf numFmtId="166" fontId="5" fillId="0" borderId="0" xfId="22" applyNumberFormat="1" applyFont="1" applyBorder="1" applyAlignment="1" applyProtection="1">
      <alignment horizontal="right"/>
      <protection/>
    </xf>
    <xf numFmtId="37" fontId="5" fillId="0" borderId="0" xfId="21" applyNumberFormat="1" applyFont="1" applyAlignment="1" applyProtection="1">
      <alignment/>
      <protection/>
    </xf>
    <xf numFmtId="37" fontId="5" fillId="0" borderId="0" xfId="21" applyNumberFormat="1" applyFont="1" applyBorder="1" applyProtection="1">
      <alignment/>
      <protection/>
    </xf>
    <xf numFmtId="166" fontId="5" fillId="0" borderId="0" xfId="21" applyNumberFormat="1" applyFont="1" applyBorder="1" applyAlignment="1" applyProtection="1">
      <alignment horizontal="center"/>
      <protection/>
    </xf>
    <xf numFmtId="37" fontId="5" fillId="0" borderId="0" xfId="20" applyNumberFormat="1" applyFont="1" applyAlignment="1" applyProtection="1" quotePrefix="1">
      <alignment horizontal="left"/>
      <protection/>
    </xf>
    <xf numFmtId="37" fontId="5" fillId="0" borderId="0" xfId="0" applyNumberFormat="1" applyFont="1" applyAlignment="1" applyProtection="1" quotePrefix="1">
      <alignment horizontal="left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6" fontId="5" fillId="0" borderId="0" xfId="20" applyNumberFormat="1" applyFont="1" applyBorder="1" applyAlignment="1" applyProtection="1">
      <alignment horizontal="right"/>
      <protection/>
    </xf>
    <xf numFmtId="37" fontId="5" fillId="0" borderId="0" xfId="20" applyFont="1" applyBorder="1" applyAlignment="1" applyProtection="1" quotePrefix="1">
      <alignment horizontal="right"/>
      <protection/>
    </xf>
    <xf numFmtId="37" fontId="5" fillId="0" borderId="0" xfId="20" applyFont="1" applyBorder="1" applyAlignment="1">
      <alignment horizontal="right"/>
      <protection/>
    </xf>
    <xf numFmtId="164" fontId="5" fillId="0" borderId="0" xfId="22" applyFont="1" applyBorder="1" applyAlignment="1">
      <alignment horizontal="right"/>
      <protection/>
    </xf>
    <xf numFmtId="164" fontId="5" fillId="0" borderId="0" xfId="22" applyFont="1" applyBorder="1" applyProtection="1">
      <alignment/>
      <protection/>
    </xf>
    <xf numFmtId="166" fontId="5" fillId="0" borderId="0" xfId="20" applyNumberFormat="1" applyFont="1" applyBorder="1" applyAlignment="1" applyProtection="1" quotePrefix="1">
      <alignment horizontal="right"/>
      <protection/>
    </xf>
    <xf numFmtId="37" fontId="5" fillId="0" borderId="0" xfId="20" applyNumberFormat="1" applyFont="1" applyBorder="1" applyAlignment="1" applyProtection="1">
      <alignment horizontal="fill"/>
      <protection/>
    </xf>
    <xf numFmtId="5" fontId="5" fillId="0" borderId="0" xfId="22" applyNumberFormat="1" applyFont="1" applyAlignment="1" quotePrefix="1">
      <alignment horizontal="left"/>
      <protection/>
    </xf>
    <xf numFmtId="164" fontId="5" fillId="0" borderId="0" xfId="22" applyFont="1" applyAlignment="1" quotePrefix="1">
      <alignment horizontal="left"/>
      <protection/>
    </xf>
    <xf numFmtId="164" fontId="5" fillId="0" borderId="0" xfId="22" applyFont="1" applyAlignment="1" quotePrefix="1">
      <alignment/>
      <protection/>
    </xf>
    <xf numFmtId="166" fontId="5" fillId="0" borderId="0" xfId="22" applyNumberFormat="1" applyFont="1" applyAlignment="1" applyProtection="1" quotePrefix="1">
      <alignment horizontal="left"/>
      <protection/>
    </xf>
    <xf numFmtId="164" fontId="5" fillId="0" borderId="0" xfId="22" applyFont="1" applyAlignment="1">
      <alignment/>
      <protection/>
    </xf>
    <xf numFmtId="37" fontId="5" fillId="0" borderId="0" xfId="21" applyFont="1" applyAlignment="1" applyProtection="1">
      <alignment horizontal="left"/>
      <protection/>
    </xf>
    <xf numFmtId="37" fontId="6" fillId="0" borderId="0" xfId="21" applyFont="1">
      <alignment/>
      <protection/>
    </xf>
    <xf numFmtId="0" fontId="1" fillId="0" borderId="0" xfId="0" applyFont="1" applyAlignment="1">
      <alignment/>
    </xf>
    <xf numFmtId="37" fontId="5" fillId="0" borderId="0" xfId="21" applyFont="1">
      <alignment/>
      <protection/>
    </xf>
    <xf numFmtId="37" fontId="5" fillId="0" borderId="1" xfId="21" applyFont="1" applyBorder="1" applyAlignment="1" applyProtection="1" quotePrefix="1">
      <alignment horizontal="left"/>
      <protection/>
    </xf>
    <xf numFmtId="37" fontId="6" fillId="0" borderId="1" xfId="21" applyFont="1" applyBorder="1">
      <alignment/>
      <protection/>
    </xf>
    <xf numFmtId="37" fontId="6" fillId="0" borderId="0" xfId="21" applyFont="1" applyBorder="1">
      <alignment/>
      <protection/>
    </xf>
    <xf numFmtId="37" fontId="6" fillId="0" borderId="0" xfId="21" applyFont="1" applyAlignment="1" applyProtection="1">
      <alignment horizontal="fill"/>
      <protection/>
    </xf>
    <xf numFmtId="37" fontId="5" fillId="0" borderId="0" xfId="21" applyFont="1" applyAlignment="1" quotePrefix="1">
      <alignment horizontal="left"/>
      <protection/>
    </xf>
    <xf numFmtId="37" fontId="5" fillId="0" borderId="1" xfId="21" applyFont="1" applyBorder="1" applyAlignment="1" applyProtection="1">
      <alignment horizontal="center"/>
      <protection/>
    </xf>
    <xf numFmtId="37" fontId="5" fillId="0" borderId="1" xfId="21" applyFont="1" applyBorder="1" applyAlignment="1" applyProtection="1" quotePrefix="1">
      <alignment horizontal="center"/>
      <protection/>
    </xf>
    <xf numFmtId="37" fontId="5" fillId="0" borderId="0" xfId="21" applyFont="1" applyAlignment="1" applyProtection="1">
      <alignment horizontal="fill"/>
      <protection/>
    </xf>
    <xf numFmtId="5" fontId="5" fillId="0" borderId="0" xfId="21" applyNumberFormat="1" applyFont="1" applyAlignment="1" applyProtection="1">
      <alignment horizontal="right"/>
      <protection/>
    </xf>
    <xf numFmtId="37" fontId="5" fillId="0" borderId="0" xfId="21" applyFont="1" applyAlignment="1">
      <alignment horizontal="right"/>
      <protection/>
    </xf>
    <xf numFmtId="37" fontId="5" fillId="0" borderId="0" xfId="21" applyFont="1" applyAlignment="1" applyProtection="1">
      <alignment horizontal="right"/>
      <protection/>
    </xf>
    <xf numFmtId="37" fontId="5" fillId="0" borderId="0" xfId="21" applyNumberFormat="1" applyFont="1" applyBorder="1" applyAlignment="1" applyProtection="1">
      <alignment horizontal="right"/>
      <protection/>
    </xf>
    <xf numFmtId="37" fontId="5" fillId="0" borderId="0" xfId="21" applyFont="1" applyAlignment="1" applyProtection="1" quotePrefix="1">
      <alignment horizontal="left"/>
      <protection/>
    </xf>
    <xf numFmtId="37" fontId="5" fillId="0" borderId="0" xfId="21" applyFont="1" applyBorder="1" applyAlignment="1" applyProtection="1">
      <alignment horizontal="left"/>
      <protection/>
    </xf>
    <xf numFmtId="37" fontId="5" fillId="0" borderId="1" xfId="21" applyNumberFormat="1" applyFont="1" applyBorder="1" applyAlignment="1" applyProtection="1">
      <alignment horizontal="right"/>
      <protection/>
    </xf>
    <xf numFmtId="37" fontId="5" fillId="0" borderId="0" xfId="21" applyFont="1" applyBorder="1" applyAlignment="1" applyProtection="1">
      <alignment horizontal="right"/>
      <protection/>
    </xf>
    <xf numFmtId="37" fontId="5" fillId="0" borderId="0" xfId="21" applyFont="1" applyBorder="1" applyAlignment="1">
      <alignment horizontal="right"/>
      <protection/>
    </xf>
    <xf numFmtId="5" fontId="5" fillId="0" borderId="2" xfId="21" applyNumberFormat="1" applyFont="1" applyBorder="1" applyAlignment="1" applyProtection="1">
      <alignment horizontal="right"/>
      <protection/>
    </xf>
    <xf numFmtId="5" fontId="5" fillId="0" borderId="0" xfId="21" applyNumberFormat="1" applyFont="1" applyProtection="1">
      <alignment/>
      <protection/>
    </xf>
    <xf numFmtId="5" fontId="5" fillId="0" borderId="0" xfId="21" applyNumberFormat="1" applyFont="1" applyBorder="1" applyAlignment="1" applyProtection="1">
      <alignment horizontal="right"/>
      <protection/>
    </xf>
    <xf numFmtId="14" fontId="5" fillId="0" borderId="0" xfId="21" applyNumberFormat="1" applyFont="1">
      <alignment/>
      <protection/>
    </xf>
    <xf numFmtId="37" fontId="5" fillId="0" borderId="1" xfId="21" applyFont="1" applyBorder="1">
      <alignment/>
      <protection/>
    </xf>
    <xf numFmtId="37" fontId="5" fillId="0" borderId="0" xfId="21" applyFont="1" applyBorder="1" applyAlignment="1" applyProtection="1" quotePrefix="1">
      <alignment horizontal="left"/>
      <protection/>
    </xf>
    <xf numFmtId="37" fontId="5" fillId="0" borderId="0" xfId="21" applyFont="1" applyBorder="1">
      <alignment/>
      <protection/>
    </xf>
    <xf numFmtId="166" fontId="5" fillId="0" borderId="0" xfId="21" applyNumberFormat="1" applyFont="1" applyAlignment="1">
      <alignment horizontal="right"/>
      <protection/>
    </xf>
    <xf numFmtId="166" fontId="5" fillId="0" borderId="0" xfId="21" applyNumberFormat="1" applyFont="1" applyAlignment="1" applyProtection="1">
      <alignment horizontal="right"/>
      <protection/>
    </xf>
    <xf numFmtId="166" fontId="5" fillId="0" borderId="0" xfId="21" applyNumberFormat="1" applyFont="1" applyBorder="1" applyAlignment="1" applyProtection="1">
      <alignment horizontal="right"/>
      <protection/>
    </xf>
    <xf numFmtId="37" fontId="5" fillId="0" borderId="0" xfId="21" applyFont="1" applyBorder="1" applyAlignment="1" applyProtection="1">
      <alignment horizontal="fill"/>
      <protection/>
    </xf>
    <xf numFmtId="5" fontId="5" fillId="0" borderId="0" xfId="21" applyNumberFormat="1" applyFont="1" applyAlignment="1" applyProtection="1" quotePrefix="1">
      <alignment horizontal="left"/>
      <protection/>
    </xf>
    <xf numFmtId="5" fontId="5" fillId="0" borderId="0" xfId="21" applyNumberFormat="1" applyFont="1">
      <alignment/>
      <protection/>
    </xf>
    <xf numFmtId="37" fontId="5" fillId="0" borderId="1" xfId="21" applyNumberFormat="1" applyFont="1" applyBorder="1" applyProtection="1">
      <alignment/>
      <protection/>
    </xf>
    <xf numFmtId="37" fontId="5" fillId="0" borderId="0" xfId="21" applyNumberFormat="1" applyFont="1" applyBorder="1" applyAlignment="1" applyProtection="1">
      <alignment horizontal="fill"/>
      <protection/>
    </xf>
    <xf numFmtId="5" fontId="5" fillId="0" borderId="2" xfId="21" applyNumberFormat="1" applyFont="1" applyBorder="1" applyProtection="1">
      <alignment/>
      <protection/>
    </xf>
    <xf numFmtId="5" fontId="5" fillId="0" borderId="0" xfId="21" applyNumberFormat="1" applyFont="1" applyBorder="1" applyProtection="1">
      <alignment/>
      <protection/>
    </xf>
    <xf numFmtId="5" fontId="5" fillId="0" borderId="0" xfId="21" applyNumberFormat="1" applyFont="1" applyBorder="1">
      <alignment/>
      <protection/>
    </xf>
    <xf numFmtId="166" fontId="5" fillId="0" borderId="0" xfId="21" applyNumberFormat="1" applyFont="1" applyBorder="1" applyProtection="1">
      <alignment/>
      <protection/>
    </xf>
    <xf numFmtId="14" fontId="5" fillId="0" borderId="0" xfId="21" applyNumberFormat="1" applyFont="1" applyBorder="1" applyAlignment="1">
      <alignment horizontal="left"/>
      <protection/>
    </xf>
    <xf numFmtId="37" fontId="5" fillId="0" borderId="0" xfId="21" applyFont="1" applyBorder="1" applyAlignment="1" applyProtection="1" quotePrefix="1">
      <alignment horizontal="fill"/>
      <protection/>
    </xf>
    <xf numFmtId="165" fontId="5" fillId="0" borderId="0" xfId="21" applyNumberFormat="1" applyFont="1" applyProtection="1">
      <alignment/>
      <protection/>
    </xf>
    <xf numFmtId="165" fontId="5" fillId="0" borderId="0" xfId="21" applyNumberFormat="1" applyFont="1" applyBorder="1" applyProtection="1">
      <alignment/>
      <protection/>
    </xf>
    <xf numFmtId="39" fontId="5" fillId="0" borderId="0" xfId="21" applyNumberFormat="1" applyFont="1" applyBorder="1" applyProtection="1">
      <alignment/>
      <protection/>
    </xf>
    <xf numFmtId="39" fontId="5" fillId="0" borderId="0" xfId="21" applyNumberFormat="1" applyFont="1" applyBorder="1" applyAlignment="1" applyProtection="1" quotePrefix="1">
      <alignment horizontal="right"/>
      <protection/>
    </xf>
    <xf numFmtId="166" fontId="5" fillId="0" borderId="0" xfId="21" applyNumberFormat="1" applyFont="1" applyBorder="1" applyAlignment="1" applyProtection="1" quotePrefix="1">
      <alignment horizontal="right"/>
      <protection/>
    </xf>
    <xf numFmtId="37" fontId="5" fillId="0" borderId="0" xfId="19" applyFont="1" applyAlignment="1" applyProtection="1">
      <alignment horizontal="left"/>
      <protection/>
    </xf>
    <xf numFmtId="37" fontId="5" fillId="0" borderId="0" xfId="19" applyFont="1">
      <alignment/>
      <protection/>
    </xf>
    <xf numFmtId="37" fontId="5" fillId="0" borderId="0" xfId="19" applyFont="1" applyAlignment="1" applyProtection="1" quotePrefix="1">
      <alignment horizontal="left"/>
      <protection/>
    </xf>
    <xf numFmtId="37" fontId="5" fillId="0" borderId="1" xfId="19" applyFont="1" applyBorder="1" applyAlignment="1" applyProtection="1" quotePrefix="1">
      <alignment horizontal="left"/>
      <protection/>
    </xf>
    <xf numFmtId="37" fontId="5" fillId="0" borderId="1" xfId="19" applyFont="1" applyBorder="1">
      <alignment/>
      <protection/>
    </xf>
    <xf numFmtId="5" fontId="5" fillId="0" borderId="0" xfId="19" applyNumberFormat="1" applyFont="1">
      <alignment/>
      <protection/>
    </xf>
    <xf numFmtId="5" fontId="5" fillId="0" borderId="0" xfId="19" applyNumberFormat="1" applyFont="1" applyProtection="1">
      <alignment/>
      <protection/>
    </xf>
    <xf numFmtId="5" fontId="5" fillId="0" borderId="0" xfId="19" applyNumberFormat="1" applyFont="1" applyAlignment="1" applyProtection="1" quotePrefix="1">
      <alignment horizontal="left"/>
      <protection/>
    </xf>
    <xf numFmtId="37" fontId="5" fillId="0" borderId="0" xfId="19" applyNumberFormat="1" applyFont="1" applyProtection="1">
      <alignment/>
      <protection/>
    </xf>
    <xf numFmtId="37" fontId="5" fillId="0" borderId="0" xfId="19" applyNumberFormat="1" applyFont="1" applyAlignment="1" applyProtection="1" quotePrefix="1">
      <alignment horizontal="left"/>
      <protection/>
    </xf>
    <xf numFmtId="37" fontId="5" fillId="0" borderId="0" xfId="19" applyFont="1" applyBorder="1">
      <alignment/>
      <protection/>
    </xf>
    <xf numFmtId="0" fontId="0" fillId="0" borderId="0" xfId="0" applyBorder="1" applyAlignment="1">
      <alignment/>
    </xf>
    <xf numFmtId="37" fontId="5" fillId="0" borderId="3" xfId="20" applyFont="1" applyBorder="1" applyAlignment="1" applyProtection="1">
      <alignment horizontal="fill"/>
      <protection/>
    </xf>
    <xf numFmtId="5" fontId="5" fillId="0" borderId="2" xfId="19" applyNumberFormat="1" applyFont="1" applyBorder="1" applyProtection="1">
      <alignment/>
      <protection/>
    </xf>
    <xf numFmtId="5" fontId="5" fillId="0" borderId="0" xfId="19" applyNumberFormat="1" applyFont="1" applyBorder="1">
      <alignment/>
      <protection/>
    </xf>
    <xf numFmtId="37" fontId="5" fillId="0" borderId="0" xfId="19" applyFont="1" applyAlignment="1" applyProtection="1">
      <alignment horizontal="fill"/>
      <protection/>
    </xf>
    <xf numFmtId="166" fontId="5" fillId="0" borderId="0" xfId="20" applyNumberFormat="1" applyFont="1" applyAlignment="1" applyProtection="1">
      <alignment horizontal="center"/>
      <protection/>
    </xf>
    <xf numFmtId="37" fontId="5" fillId="0" borderId="3" xfId="21" applyFont="1" applyBorder="1">
      <alignment/>
      <protection/>
    </xf>
    <xf numFmtId="5" fontId="5" fillId="0" borderId="2" xfId="21" applyNumberFormat="1" applyFont="1" applyBorder="1">
      <alignment/>
      <protection/>
    </xf>
    <xf numFmtId="37" fontId="5" fillId="0" borderId="0" xfId="21" applyFont="1" applyBorder="1" applyAlignment="1">
      <alignment horizontal="center"/>
      <protection/>
    </xf>
    <xf numFmtId="5" fontId="5" fillId="0" borderId="0" xfId="21" applyNumberFormat="1" applyFont="1" applyBorder="1" applyAlignment="1" applyProtection="1">
      <alignment horizontal="center"/>
      <protection/>
    </xf>
    <xf numFmtId="5" fontId="5" fillId="0" borderId="0" xfId="21" applyNumberFormat="1" applyFont="1" applyAlignment="1" applyProtection="1">
      <alignment horizontal="left"/>
      <protection/>
    </xf>
    <xf numFmtId="37" fontId="5" fillId="0" borderId="0" xfId="21" applyFont="1" applyAlignment="1">
      <alignment horizontal="center"/>
      <protection/>
    </xf>
    <xf numFmtId="3" fontId="5" fillId="0" borderId="0" xfId="21" applyNumberFormat="1" applyFont="1" applyProtection="1">
      <alignment/>
      <protection/>
    </xf>
    <xf numFmtId="5" fontId="5" fillId="0" borderId="0" xfId="21" applyNumberFormat="1" applyFont="1" applyAlignment="1" applyProtection="1">
      <alignment/>
      <protection/>
    </xf>
    <xf numFmtId="37" fontId="5" fillId="0" borderId="0" xfId="21" applyNumberFormat="1" applyFont="1" applyBorder="1" applyAlignment="1" applyProtection="1">
      <alignment/>
      <protection/>
    </xf>
    <xf numFmtId="166" fontId="5" fillId="0" borderId="0" xfId="21" applyNumberFormat="1" applyFont="1" applyBorder="1" applyAlignment="1" applyProtection="1">
      <alignment horizontal="fill"/>
      <protection/>
    </xf>
    <xf numFmtId="174" fontId="5" fillId="0" borderId="0" xfId="21" applyNumberFormat="1" applyFont="1" applyAlignment="1" applyProtection="1">
      <alignment horizontal="right"/>
      <protection/>
    </xf>
    <xf numFmtId="3" fontId="5" fillId="0" borderId="0" xfId="21" applyNumberFormat="1" applyFont="1" applyAlignment="1" applyProtection="1">
      <alignment horizontal="right"/>
      <protection/>
    </xf>
    <xf numFmtId="14" fontId="5" fillId="0" borderId="0" xfId="0" applyNumberFormat="1" applyFont="1" applyBorder="1" applyAlignment="1">
      <alignment horizontal="left"/>
    </xf>
    <xf numFmtId="1" fontId="5" fillId="0" borderId="0" xfId="21" applyNumberFormat="1" applyFont="1" applyAlignment="1" applyProtection="1">
      <alignment horizontal="right"/>
      <protection/>
    </xf>
    <xf numFmtId="5" fontId="5" fillId="0" borderId="2" xfId="21" applyNumberFormat="1" applyFont="1" applyBorder="1" applyAlignment="1" applyProtection="1">
      <alignment/>
      <protection/>
    </xf>
    <xf numFmtId="5" fontId="5" fillId="0" borderId="0" xfId="21" applyNumberFormat="1" applyFont="1" applyBorder="1" applyAlignment="1" applyProtection="1">
      <alignment/>
      <protection/>
    </xf>
    <xf numFmtId="37" fontId="5" fillId="0" borderId="0" xfId="21" applyNumberFormat="1" applyFont="1" applyAlignment="1" applyProtection="1" quotePrefix="1">
      <alignment horizontal="right"/>
      <protection/>
    </xf>
    <xf numFmtId="174" fontId="5" fillId="0" borderId="0" xfId="21" applyNumberFormat="1" applyFont="1">
      <alignment/>
      <protection/>
    </xf>
    <xf numFmtId="174" fontId="5" fillId="0" borderId="2" xfId="21" applyNumberFormat="1" applyFont="1" applyBorder="1" applyAlignment="1">
      <alignment horizontal="right"/>
      <protection/>
    </xf>
    <xf numFmtId="174" fontId="5" fillId="0" borderId="0" xfId="21" applyNumberFormat="1" applyFont="1" applyBorder="1" applyAlignment="1" applyProtection="1">
      <alignment horizontal="right"/>
      <protection/>
    </xf>
    <xf numFmtId="174" fontId="5" fillId="0" borderId="0" xfId="21" applyNumberFormat="1" applyFont="1" applyBorder="1" applyProtection="1">
      <alignment/>
      <protection/>
    </xf>
    <xf numFmtId="37" fontId="5" fillId="0" borderId="0" xfId="21" applyFont="1" applyBorder="1" applyAlignment="1" applyProtection="1">
      <alignment horizontal="center"/>
      <protection/>
    </xf>
    <xf numFmtId="37" fontId="5" fillId="0" borderId="0" xfId="21" applyNumberFormat="1" applyFont="1" applyBorder="1" applyAlignment="1" applyProtection="1" quotePrefix="1">
      <alignment horizontal="right"/>
      <protection/>
    </xf>
    <xf numFmtId="37" fontId="5" fillId="0" borderId="0" xfId="21" applyFont="1" applyBorder="1" applyAlignment="1">
      <alignment horizontal="left"/>
      <protection/>
    </xf>
    <xf numFmtId="37" fontId="5" fillId="0" borderId="0" xfId="21" applyFont="1" applyBorder="1" applyAlignment="1" quotePrefix="1">
      <alignment horizontal="left"/>
      <protection/>
    </xf>
    <xf numFmtId="166" fontId="5" fillId="0" borderId="1" xfId="20" applyNumberFormat="1" applyFont="1" applyBorder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0" xfId="20" applyFont="1" applyAlignment="1">
      <alignment horizontal="center"/>
      <protection/>
    </xf>
    <xf numFmtId="166" fontId="5" fillId="0" borderId="0" xfId="2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5" fontId="5" fillId="0" borderId="0" xfId="21" applyNumberFormat="1" applyFont="1" applyAlignment="1" applyProtection="1">
      <alignment horizontal="center"/>
      <protection/>
    </xf>
    <xf numFmtId="37" fontId="5" fillId="0" borderId="0" xfId="21" applyNumberFormat="1" applyFont="1" applyBorder="1" applyAlignment="1" applyProtection="1">
      <alignment horizontal="center"/>
      <protection/>
    </xf>
    <xf numFmtId="1" fontId="5" fillId="0" borderId="0" xfId="21" applyNumberFormat="1" applyFont="1" applyAlignment="1" applyProtection="1">
      <alignment horizontal="center"/>
      <protection/>
    </xf>
    <xf numFmtId="37" fontId="5" fillId="0" borderId="0" xfId="21" applyFont="1" applyBorder="1" applyAlignment="1" applyProtection="1" quotePrefix="1">
      <alignment horizontal="center"/>
      <protection/>
    </xf>
    <xf numFmtId="37" fontId="5" fillId="0" borderId="0" xfId="20" applyFont="1" applyBorder="1" applyAlignment="1">
      <alignment horizontal="center"/>
      <protection/>
    </xf>
    <xf numFmtId="166" fontId="5" fillId="0" borderId="0" xfId="21" applyNumberFormat="1" applyFont="1" applyAlignment="1" applyProtection="1">
      <alignment horizontal="left"/>
      <protection/>
    </xf>
    <xf numFmtId="165" fontId="5" fillId="0" borderId="0" xfId="21" applyNumberFormat="1" applyFont="1" applyAlignment="1" applyProtection="1">
      <alignment horizontal="left"/>
      <protection/>
    </xf>
    <xf numFmtId="176" fontId="5" fillId="0" borderId="0" xfId="21" applyNumberFormat="1" applyFont="1" applyAlignment="1" applyProtection="1">
      <alignment horizontal="right"/>
      <protection/>
    </xf>
    <xf numFmtId="176" fontId="5" fillId="0" borderId="0" xfId="21" applyNumberFormat="1" applyFont="1" applyAlignment="1">
      <alignment horizontal="right"/>
      <protection/>
    </xf>
    <xf numFmtId="176" fontId="5" fillId="0" borderId="1" xfId="21" applyNumberFormat="1" applyFont="1" applyBorder="1" applyAlignment="1" applyProtection="1">
      <alignment horizontal="right"/>
      <protection/>
    </xf>
    <xf numFmtId="176" fontId="5" fillId="0" borderId="0" xfId="21" applyNumberFormat="1" applyFont="1" applyBorder="1" applyAlignment="1" applyProtection="1">
      <alignment horizontal="right"/>
      <protection/>
    </xf>
    <xf numFmtId="177" fontId="5" fillId="0" borderId="0" xfId="21" applyNumberFormat="1" applyFont="1" applyAlignment="1" applyProtection="1">
      <alignment horizontal="right"/>
      <protection/>
    </xf>
    <xf numFmtId="177" fontId="5" fillId="0" borderId="2" xfId="21" applyNumberFormat="1" applyFont="1" applyBorder="1" applyAlignment="1" applyProtection="1">
      <alignment horizontal="right"/>
      <protection/>
    </xf>
    <xf numFmtId="166" fontId="5" fillId="0" borderId="0" xfId="21" applyNumberFormat="1" applyFont="1" applyBorder="1" applyAlignment="1" applyProtection="1">
      <alignment horizontal="left"/>
      <protection/>
    </xf>
    <xf numFmtId="175" fontId="5" fillId="0" borderId="0" xfId="21" applyNumberFormat="1" applyFont="1" applyAlignment="1" applyProtection="1">
      <alignment horizontal="left"/>
      <protection/>
    </xf>
    <xf numFmtId="176" fontId="5" fillId="0" borderId="0" xfId="21" applyNumberFormat="1" applyFont="1" applyProtection="1">
      <alignment/>
      <protection/>
    </xf>
    <xf numFmtId="176" fontId="5" fillId="0" borderId="1" xfId="21" applyNumberFormat="1" applyFont="1" applyBorder="1" applyProtection="1">
      <alignment/>
      <protection/>
    </xf>
    <xf numFmtId="177" fontId="5" fillId="0" borderId="0" xfId="21" applyNumberFormat="1" applyFont="1" applyProtection="1">
      <alignment/>
      <protection/>
    </xf>
    <xf numFmtId="177" fontId="5" fillId="0" borderId="2" xfId="21" applyNumberFormat="1" applyFont="1" applyBorder="1" applyProtection="1">
      <alignment/>
      <protection/>
    </xf>
    <xf numFmtId="176" fontId="5" fillId="0" borderId="0" xfId="19" applyNumberFormat="1" applyFont="1" applyProtection="1">
      <alignment/>
      <protection/>
    </xf>
    <xf numFmtId="176" fontId="5" fillId="0" borderId="0" xfId="19" applyNumberFormat="1" applyFont="1">
      <alignment/>
      <protection/>
    </xf>
    <xf numFmtId="177" fontId="5" fillId="0" borderId="0" xfId="19" applyNumberFormat="1" applyFont="1" applyProtection="1">
      <alignment/>
      <protection/>
    </xf>
    <xf numFmtId="37" fontId="5" fillId="0" borderId="0" xfId="19" applyNumberFormat="1" applyFont="1" applyAlignment="1" applyProtection="1">
      <alignment horizontal="left"/>
      <protection/>
    </xf>
    <xf numFmtId="177" fontId="5" fillId="0" borderId="2" xfId="19" applyNumberFormat="1" applyFont="1" applyBorder="1" applyProtection="1">
      <alignment/>
      <protection/>
    </xf>
    <xf numFmtId="5" fontId="5" fillId="0" borderId="0" xfId="19" applyNumberFormat="1" applyFont="1" applyBorder="1" applyAlignment="1">
      <alignment horizontal="left"/>
      <protection/>
    </xf>
    <xf numFmtId="177" fontId="5" fillId="0" borderId="0" xfId="21" applyNumberFormat="1" applyFont="1">
      <alignment/>
      <protection/>
    </xf>
    <xf numFmtId="176" fontId="5" fillId="0" borderId="0" xfId="21" applyNumberFormat="1" applyFont="1">
      <alignment/>
      <protection/>
    </xf>
    <xf numFmtId="177" fontId="5" fillId="0" borderId="2" xfId="21" applyNumberFormat="1" applyFont="1" applyBorder="1">
      <alignment/>
      <protection/>
    </xf>
    <xf numFmtId="5" fontId="5" fillId="0" borderId="0" xfId="21" applyNumberFormat="1" applyFont="1" applyBorder="1" applyAlignment="1" applyProtection="1">
      <alignment horizontal="left"/>
      <protection/>
    </xf>
    <xf numFmtId="177" fontId="5" fillId="0" borderId="2" xfId="21" applyNumberFormat="1" applyFont="1" applyBorder="1" applyAlignment="1" applyProtection="1">
      <alignment/>
      <protection/>
    </xf>
    <xf numFmtId="174" fontId="5" fillId="0" borderId="0" xfId="21" applyNumberFormat="1" applyFont="1" applyBorder="1" applyAlignment="1" applyProtection="1">
      <alignment horizontal="left"/>
      <protection/>
    </xf>
    <xf numFmtId="177" fontId="5" fillId="0" borderId="2" xfId="21" applyNumberFormat="1" applyFont="1" applyBorder="1" applyAlignment="1">
      <alignment horizontal="right"/>
      <protection/>
    </xf>
    <xf numFmtId="176" fontId="5" fillId="0" borderId="0" xfId="21" applyNumberFormat="1" applyFont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AS%93" xfId="19"/>
    <cellStyle name="Normal_CASCT2" xfId="20"/>
    <cellStyle name="Normal_STATS93" xfId="21"/>
    <cellStyle name="Normal_WIN%9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P448"/>
  <sheetViews>
    <sheetView showGridLines="0" tabSelected="1" zoomScale="75" zoomScaleNormal="75" workbookViewId="0" topLeftCell="A1">
      <selection activeCell="A1" sqref="A1"/>
    </sheetView>
  </sheetViews>
  <sheetFormatPr defaultColWidth="12.57421875" defaultRowHeight="12.75"/>
  <cols>
    <col min="1" max="1" width="12.57421875" style="2" customWidth="1"/>
    <col min="2" max="2" width="1.7109375" style="2" customWidth="1"/>
    <col min="3" max="3" width="9.7109375" style="2" customWidth="1"/>
    <col min="4" max="4" width="2.7109375" style="2" customWidth="1"/>
    <col min="5" max="5" width="9.7109375" style="2" customWidth="1"/>
    <col min="6" max="6" width="2.7109375" style="2" customWidth="1"/>
    <col min="7" max="7" width="9.7109375" style="2" customWidth="1"/>
    <col min="8" max="8" width="2.7109375" style="2" customWidth="1"/>
    <col min="9" max="9" width="9.7109375" style="2" customWidth="1"/>
    <col min="10" max="10" width="2.7109375" style="2" customWidth="1"/>
    <col min="11" max="11" width="9.7109375" style="2" customWidth="1"/>
    <col min="12" max="12" width="2.7109375" style="2" customWidth="1"/>
    <col min="13" max="13" width="9.7109375" style="2" customWidth="1"/>
    <col min="14" max="14" width="2.7109375" style="2" customWidth="1"/>
    <col min="15" max="15" width="9.7109375" style="2" customWidth="1"/>
    <col min="16" max="16" width="2.8515625" style="2" customWidth="1"/>
    <col min="17" max="17" width="9.7109375" style="2" customWidth="1"/>
    <col min="18" max="18" width="2.7109375" style="2" customWidth="1"/>
    <col min="19" max="19" width="9.7109375" style="2" customWidth="1"/>
    <col min="20" max="20" width="2.7109375" style="2" customWidth="1"/>
    <col min="21" max="21" width="9.7109375" style="2" customWidth="1"/>
    <col min="22" max="22" width="2.7109375" style="2" customWidth="1"/>
    <col min="23" max="23" width="9.7109375" style="2" customWidth="1"/>
    <col min="24" max="24" width="2.7109375" style="2" customWidth="1"/>
    <col min="25" max="25" width="9.7109375" style="2" customWidth="1"/>
    <col min="26" max="26" width="2.7109375" style="2" customWidth="1"/>
    <col min="27" max="27" width="2.8515625" style="2" customWidth="1"/>
    <col min="28" max="28" width="1.7109375" style="2" customWidth="1"/>
    <col min="29" max="29" width="12.57421875" style="2" customWidth="1"/>
    <col min="30" max="30" width="1.7109375" style="2" customWidth="1"/>
    <col min="31" max="16384" width="12.57421875" style="2" customWidth="1"/>
  </cols>
  <sheetData>
    <row r="1" spans="1:29" ht="12.75">
      <c r="A1" s="30" t="s">
        <v>0</v>
      </c>
      <c r="B1" s="31"/>
      <c r="C1" s="31"/>
      <c r="D1" s="31"/>
      <c r="E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11.25">
      <c r="A2" s="39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ht="11.25">
      <c r="A3" s="54" t="s">
        <v>88</v>
      </c>
      <c r="B3" s="32"/>
      <c r="C3" s="32"/>
      <c r="D3" s="32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29" ht="11.25">
      <c r="A4" s="30" t="s">
        <v>2</v>
      </c>
      <c r="B4" s="34"/>
      <c r="C4" s="34"/>
      <c r="D4" s="33"/>
      <c r="E4" s="33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1:29" ht="12.75">
      <c r="A5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spans="1:29" ht="11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  <row r="7" spans="1:29" ht="11.25">
      <c r="A7" s="31"/>
      <c r="B7" s="31"/>
      <c r="C7" s="35" t="s">
        <v>3</v>
      </c>
      <c r="D7" s="31"/>
      <c r="E7" s="35" t="s">
        <v>4</v>
      </c>
      <c r="F7" s="31"/>
      <c r="G7" s="35" t="s">
        <v>5</v>
      </c>
      <c r="H7" s="31"/>
      <c r="I7" s="35" t="s">
        <v>6</v>
      </c>
      <c r="J7" s="31"/>
      <c r="K7" s="35" t="s">
        <v>7</v>
      </c>
      <c r="L7" s="31"/>
      <c r="M7" s="35" t="s">
        <v>8</v>
      </c>
      <c r="N7" s="31"/>
      <c r="O7" s="35" t="s">
        <v>9</v>
      </c>
      <c r="P7" s="31"/>
      <c r="Q7" s="35" t="s">
        <v>10</v>
      </c>
      <c r="R7" s="31"/>
      <c r="S7" s="35" t="s">
        <v>11</v>
      </c>
      <c r="T7" s="31"/>
      <c r="U7" s="35" t="s">
        <v>12</v>
      </c>
      <c r="V7" s="31"/>
      <c r="W7" s="35" t="s">
        <v>13</v>
      </c>
      <c r="X7" s="31"/>
      <c r="Y7" s="35" t="s">
        <v>14</v>
      </c>
      <c r="Z7" s="31"/>
      <c r="AA7" s="31"/>
      <c r="AB7" s="31"/>
      <c r="AC7" s="31"/>
    </row>
    <row r="8" spans="1:29" ht="11.25">
      <c r="A8" s="31"/>
      <c r="B8" s="31"/>
      <c r="C8" s="34"/>
      <c r="D8" s="31"/>
      <c r="E8" s="34"/>
      <c r="F8" s="31"/>
      <c r="G8" s="34"/>
      <c r="H8" s="31"/>
      <c r="I8" s="34"/>
      <c r="J8" s="31"/>
      <c r="K8" s="34"/>
      <c r="L8" s="31"/>
      <c r="M8" s="34"/>
      <c r="N8" s="31"/>
      <c r="O8" s="34"/>
      <c r="P8" s="31"/>
      <c r="Q8" s="34"/>
      <c r="R8" s="31"/>
      <c r="S8" s="34"/>
      <c r="T8" s="31"/>
      <c r="U8" s="34"/>
      <c r="V8" s="31"/>
      <c r="W8" s="34"/>
      <c r="X8" s="31"/>
      <c r="Y8" s="34"/>
      <c r="Z8" s="31"/>
      <c r="AA8" s="31"/>
      <c r="AB8" s="31"/>
      <c r="AC8" s="31"/>
    </row>
    <row r="9" spans="1:29" ht="11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pans="1:29" ht="11.25">
      <c r="A10" s="30" t="s">
        <v>15</v>
      </c>
      <c r="B10" s="31"/>
      <c r="C10" s="36"/>
      <c r="D10" s="36"/>
      <c r="E10" s="36"/>
      <c r="F10" s="36"/>
      <c r="G10" s="36"/>
      <c r="H10" s="36"/>
      <c r="I10" s="36">
        <f>I90+I170</f>
        <v>93889</v>
      </c>
      <c r="J10" s="36"/>
      <c r="K10" s="36">
        <f>K90+K170</f>
        <v>141651</v>
      </c>
      <c r="L10" s="36"/>
      <c r="M10" s="36">
        <f>M90+M170</f>
        <v>144015</v>
      </c>
      <c r="N10" s="36"/>
      <c r="O10" s="36">
        <f>O90+O170</f>
        <v>147003</v>
      </c>
      <c r="P10" s="36"/>
      <c r="Q10" s="36">
        <f>Q90+Q170</f>
        <v>138498</v>
      </c>
      <c r="R10" s="36"/>
      <c r="S10" s="36">
        <f>S90+S170</f>
        <v>102992</v>
      </c>
      <c r="T10" s="36"/>
      <c r="U10" s="36">
        <f>U90+U170</f>
        <v>73516</v>
      </c>
      <c r="V10" s="36"/>
      <c r="W10" s="36">
        <f>W90+W170</f>
        <v>84164</v>
      </c>
      <c r="X10" s="36"/>
      <c r="Y10" s="36">
        <f>Y90+Y170</f>
        <v>30927</v>
      </c>
      <c r="Z10" s="79" t="s">
        <v>16</v>
      </c>
      <c r="AA10" s="37"/>
      <c r="AB10" s="31"/>
      <c r="AC10" s="31"/>
    </row>
    <row r="11" spans="1:29" ht="11.25">
      <c r="A11" s="31"/>
      <c r="B11" s="31"/>
      <c r="C11" s="37"/>
      <c r="D11" s="31"/>
      <c r="E11" s="37"/>
      <c r="F11" s="31"/>
      <c r="G11" s="37"/>
      <c r="H11" s="31"/>
      <c r="I11" s="37"/>
      <c r="J11" s="31"/>
      <c r="K11" s="37"/>
      <c r="L11" s="31"/>
      <c r="M11" s="37"/>
      <c r="N11" s="31"/>
      <c r="O11" s="37"/>
      <c r="P11" s="31"/>
      <c r="Q11" s="37"/>
      <c r="R11" s="31"/>
      <c r="S11" s="37"/>
      <c r="T11" s="31"/>
      <c r="U11" s="37"/>
      <c r="V11" s="31"/>
      <c r="W11" s="37"/>
      <c r="X11" s="31"/>
      <c r="Y11" s="37"/>
      <c r="Z11" s="31"/>
      <c r="AA11" s="31"/>
      <c r="AB11" s="31"/>
      <c r="AC11" s="31"/>
    </row>
    <row r="12" spans="1:29" ht="11.25">
      <c r="A12" s="30" t="s">
        <v>17</v>
      </c>
      <c r="B12" s="31"/>
      <c r="C12" s="37"/>
      <c r="D12" s="37"/>
      <c r="E12" s="37"/>
      <c r="F12" s="37"/>
      <c r="G12" s="36">
        <f>G92+G172</f>
        <v>4960</v>
      </c>
      <c r="H12" s="37"/>
      <c r="I12" s="37">
        <f>I92+I172</f>
        <v>157538</v>
      </c>
      <c r="J12" s="37"/>
      <c r="K12" s="37">
        <f>K92+K172</f>
        <v>184687</v>
      </c>
      <c r="L12" s="37"/>
      <c r="M12" s="37">
        <f>M92+M172</f>
        <v>262811</v>
      </c>
      <c r="N12" s="37"/>
      <c r="O12" s="37">
        <f>O92+O172</f>
        <v>251034</v>
      </c>
      <c r="P12" s="38"/>
      <c r="Q12" s="37">
        <f>Q92+Q172</f>
        <v>240507</v>
      </c>
      <c r="R12" s="37"/>
      <c r="S12" s="37">
        <f>S92+S172</f>
        <v>249940</v>
      </c>
      <c r="T12" s="37"/>
      <c r="U12" s="37">
        <f>U92+U172</f>
        <v>242367</v>
      </c>
      <c r="V12" s="37"/>
      <c r="W12" s="37">
        <f>W92+W172</f>
        <v>221631</v>
      </c>
      <c r="X12" s="37"/>
      <c r="Y12" s="37">
        <f>Y92+Y172</f>
        <v>210748</v>
      </c>
      <c r="Z12" s="37"/>
      <c r="AA12" s="31"/>
      <c r="AB12" s="31"/>
      <c r="AC12" s="31"/>
    </row>
    <row r="13" spans="1:29" ht="11.25">
      <c r="A13" s="31"/>
      <c r="B13" s="31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1"/>
      <c r="AB13" s="31"/>
      <c r="AC13" s="31"/>
    </row>
    <row r="14" spans="1:29" ht="11.25">
      <c r="A14" s="30" t="s">
        <v>18</v>
      </c>
      <c r="B14" s="31"/>
      <c r="C14" s="37"/>
      <c r="D14" s="37"/>
      <c r="E14" s="36">
        <f>E94+E174</f>
        <v>1252</v>
      </c>
      <c r="F14" s="37"/>
      <c r="G14" s="37">
        <f>G94+G174</f>
        <v>181524</v>
      </c>
      <c r="H14" s="37"/>
      <c r="I14" s="37">
        <f>I94+I174</f>
        <v>188834</v>
      </c>
      <c r="J14" s="37"/>
      <c r="K14" s="37">
        <f>K94+K174</f>
        <v>196422</v>
      </c>
      <c r="L14" s="37"/>
      <c r="M14" s="37">
        <f>M94+M174</f>
        <v>230814</v>
      </c>
      <c r="N14" s="37"/>
      <c r="O14" s="37">
        <f>O94+O174</f>
        <v>237140</v>
      </c>
      <c r="P14" s="37"/>
      <c r="Q14" s="37">
        <f>Q94+Q174</f>
        <v>224266</v>
      </c>
      <c r="R14" s="37"/>
      <c r="S14" s="37">
        <f>S94+S174</f>
        <v>228408</v>
      </c>
      <c r="T14" s="37"/>
      <c r="U14" s="37">
        <f>U94+U174</f>
        <v>249361</v>
      </c>
      <c r="V14" s="37"/>
      <c r="W14" s="37">
        <f>W94+W174</f>
        <v>269286</v>
      </c>
      <c r="X14" s="37"/>
      <c r="Y14" s="37">
        <f>Y94+Y174</f>
        <v>278890</v>
      </c>
      <c r="Z14" s="37"/>
      <c r="AA14" s="31"/>
      <c r="AB14" s="31"/>
      <c r="AC14" s="31"/>
    </row>
    <row r="15" spans="1:29" ht="11.25">
      <c r="A15" s="31"/>
      <c r="B15" s="31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1"/>
      <c r="AB15" s="31"/>
      <c r="AC15" s="31"/>
    </row>
    <row r="16" spans="1:29" ht="11.25">
      <c r="A16" s="30" t="s">
        <v>19</v>
      </c>
      <c r="B16" s="31"/>
      <c r="C16" s="37"/>
      <c r="D16" s="37"/>
      <c r="E16" s="37">
        <f>E96+E176</f>
        <v>91283</v>
      </c>
      <c r="F16" s="37"/>
      <c r="G16" s="37">
        <f>G96+G176</f>
        <v>208788</v>
      </c>
      <c r="H16" s="37"/>
      <c r="I16" s="37">
        <f>I96+I176</f>
        <v>194094</v>
      </c>
      <c r="J16" s="37"/>
      <c r="K16" s="37">
        <f>K96+K176</f>
        <v>194203</v>
      </c>
      <c r="L16" s="37"/>
      <c r="M16" s="37">
        <f>M96+M176</f>
        <v>213592</v>
      </c>
      <c r="N16" s="37"/>
      <c r="O16" s="37">
        <f>O96+O176</f>
        <v>223163</v>
      </c>
      <c r="P16" s="37"/>
      <c r="Q16" s="37">
        <f>Q96+Q176</f>
        <v>247091</v>
      </c>
      <c r="R16" s="37"/>
      <c r="S16" s="37">
        <f>S96+S176</f>
        <v>259632</v>
      </c>
      <c r="T16" s="37"/>
      <c r="U16" s="37">
        <f>U96+U176</f>
        <v>288254</v>
      </c>
      <c r="V16" s="37"/>
      <c r="W16" s="37">
        <f>W96+W176</f>
        <v>307600</v>
      </c>
      <c r="X16" s="37"/>
      <c r="Y16" s="37">
        <f>Y96+Y176</f>
        <v>303056</v>
      </c>
      <c r="Z16" s="37"/>
      <c r="AA16" s="31"/>
      <c r="AB16" s="31"/>
      <c r="AC16" s="31"/>
    </row>
    <row r="17" spans="1:29" ht="11.25">
      <c r="A17" s="31"/>
      <c r="B17" s="31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1"/>
      <c r="AB17" s="31"/>
      <c r="AC17" s="31"/>
    </row>
    <row r="18" spans="1:29" ht="11.25">
      <c r="A18" s="39" t="s">
        <v>20</v>
      </c>
      <c r="B18" s="31"/>
      <c r="C18" s="37"/>
      <c r="D18" s="37"/>
      <c r="E18" s="37"/>
      <c r="F18" s="37"/>
      <c r="G18" s="37"/>
      <c r="H18" s="37"/>
      <c r="I18" s="37">
        <f>I98+I178</f>
        <v>33004</v>
      </c>
      <c r="J18" s="37"/>
      <c r="K18" s="37">
        <f>K98+K178</f>
        <v>89593</v>
      </c>
      <c r="L18" s="37"/>
      <c r="M18" s="37">
        <f>M98+M178</f>
        <v>110205</v>
      </c>
      <c r="N18" s="38"/>
      <c r="O18" s="37">
        <f>O98+O178</f>
        <v>123140</v>
      </c>
      <c r="P18" s="37"/>
      <c r="Q18" s="37">
        <f>Q98+Q178</f>
        <v>119664</v>
      </c>
      <c r="R18" s="37"/>
      <c r="S18" s="37">
        <f>S98+S178</f>
        <v>119863</v>
      </c>
      <c r="T18" s="37"/>
      <c r="U18" s="37">
        <f>U98+U178</f>
        <v>124148</v>
      </c>
      <c r="V18" s="37"/>
      <c r="W18" s="37">
        <f>W98+W178</f>
        <v>132971</v>
      </c>
      <c r="X18" s="37"/>
      <c r="Y18" s="37">
        <f>Y98+Y178</f>
        <v>128641</v>
      </c>
      <c r="Z18" s="37"/>
      <c r="AA18" s="31"/>
      <c r="AB18" s="31"/>
      <c r="AC18" s="31"/>
    </row>
    <row r="19" spans="1:29" ht="11.25">
      <c r="A19" s="31"/>
      <c r="B19" s="31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1"/>
      <c r="AB19" s="31"/>
      <c r="AC19" s="31"/>
    </row>
    <row r="20" spans="1:29" ht="11.25">
      <c r="A20" s="30" t="s">
        <v>21</v>
      </c>
      <c r="B20" s="31"/>
      <c r="C20" s="37"/>
      <c r="D20" s="37"/>
      <c r="E20" s="37"/>
      <c r="F20" s="37"/>
      <c r="G20" s="37">
        <f>G100+G180</f>
        <v>7806</v>
      </c>
      <c r="H20" s="37"/>
      <c r="I20" s="37">
        <f>I100+I180</f>
        <v>142532</v>
      </c>
      <c r="J20" s="37"/>
      <c r="K20" s="37">
        <f>K100+K180</f>
        <v>175696</v>
      </c>
      <c r="L20" s="37"/>
      <c r="M20" s="37">
        <f>M100+M180</f>
        <v>201480</v>
      </c>
      <c r="N20" s="37"/>
      <c r="O20" s="37">
        <f>O100+O180</f>
        <v>210432</v>
      </c>
      <c r="P20" s="37"/>
      <c r="Q20" s="37">
        <f>Q100+Q180</f>
        <v>215481</v>
      </c>
      <c r="R20" s="37"/>
      <c r="S20" s="37">
        <f>S100+S180</f>
        <v>236511</v>
      </c>
      <c r="T20" s="37"/>
      <c r="U20" s="37">
        <f>U100+U180</f>
        <v>246489</v>
      </c>
      <c r="V20" s="37"/>
      <c r="W20" s="37">
        <f>W100+W180</f>
        <v>281347</v>
      </c>
      <c r="X20" s="37"/>
      <c r="Y20" s="37">
        <f>Y100+Y180</f>
        <v>293105</v>
      </c>
      <c r="Z20" s="37"/>
      <c r="AA20" s="31"/>
      <c r="AB20" s="31"/>
      <c r="AC20" s="31"/>
    </row>
    <row r="21" spans="1:29" ht="11.25">
      <c r="A21" s="31"/>
      <c r="B21" s="31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1"/>
      <c r="AB21" s="31"/>
      <c r="AC21" s="31"/>
    </row>
    <row r="22" spans="1:29" ht="11.25">
      <c r="A22" s="30" t="s">
        <v>22</v>
      </c>
      <c r="B22" s="31"/>
      <c r="C22" s="36">
        <f>C102+C182</f>
        <v>134073</v>
      </c>
      <c r="D22" s="37"/>
      <c r="E22" s="37">
        <f>E102+E182</f>
        <v>232945</v>
      </c>
      <c r="F22" s="38"/>
      <c r="G22" s="37">
        <f>G102+G182</f>
        <v>212317</v>
      </c>
      <c r="H22" s="38"/>
      <c r="I22" s="37">
        <f>I102+I182</f>
        <v>186528</v>
      </c>
      <c r="J22" s="38"/>
      <c r="K22" s="37">
        <f>K102+K182</f>
        <v>215475</v>
      </c>
      <c r="L22" s="37"/>
      <c r="M22" s="37">
        <f>M102+M182</f>
        <v>252472</v>
      </c>
      <c r="N22" s="37"/>
      <c r="O22" s="37">
        <f>O102+O182</f>
        <v>256215</v>
      </c>
      <c r="P22" s="37"/>
      <c r="Q22" s="37">
        <f>Q102+Q182</f>
        <v>243303</v>
      </c>
      <c r="R22" s="37"/>
      <c r="S22" s="37">
        <f>S102+S182</f>
        <v>234996</v>
      </c>
      <c r="T22" s="37"/>
      <c r="U22" s="37">
        <f>U102+U182</f>
        <v>239136</v>
      </c>
      <c r="V22" s="37"/>
      <c r="W22" s="37">
        <f>W102+W182</f>
        <v>242860</v>
      </c>
      <c r="X22" s="37"/>
      <c r="Y22" s="37">
        <f>Y102+Y182</f>
        <v>227384</v>
      </c>
      <c r="Z22" s="37"/>
      <c r="AA22" s="31"/>
      <c r="AB22" s="31"/>
      <c r="AC22" s="31"/>
    </row>
    <row r="23" spans="1:29" ht="11.25">
      <c r="A23" s="31"/>
      <c r="B23" s="31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1"/>
      <c r="AB23" s="31"/>
      <c r="AC23" s="31"/>
    </row>
    <row r="24" spans="1:29" ht="11.25">
      <c r="A24" s="30" t="s">
        <v>23</v>
      </c>
      <c r="B24" s="31"/>
      <c r="C24" s="37"/>
      <c r="D24" s="37"/>
      <c r="E24" s="37"/>
      <c r="F24" s="37"/>
      <c r="G24" s="37">
        <f>G104+G184</f>
        <v>27278</v>
      </c>
      <c r="H24" s="37"/>
      <c r="I24" s="37">
        <f>I104+I184</f>
        <v>92181</v>
      </c>
      <c r="J24" s="37"/>
      <c r="K24" s="37">
        <f>K104+K184</f>
        <v>145715</v>
      </c>
      <c r="L24" s="37"/>
      <c r="M24" s="37">
        <f>M104+M184</f>
        <v>156424</v>
      </c>
      <c r="N24" s="37"/>
      <c r="O24" s="37">
        <f>O104+O184</f>
        <v>159526</v>
      </c>
      <c r="P24" s="37"/>
      <c r="Q24" s="37">
        <f>Q104+Q184</f>
        <v>179012</v>
      </c>
      <c r="R24" s="37"/>
      <c r="S24" s="37">
        <f>S104+S184</f>
        <v>189936</v>
      </c>
      <c r="T24" s="37"/>
      <c r="U24" s="37">
        <f>U104+U184</f>
        <v>191066</v>
      </c>
      <c r="V24" s="37"/>
      <c r="W24" s="37">
        <f>W104+W184</f>
        <v>205448</v>
      </c>
      <c r="X24" s="37"/>
      <c r="Y24" s="37">
        <f>Y104+Y184</f>
        <v>219492</v>
      </c>
      <c r="Z24" s="37"/>
      <c r="AA24" s="31"/>
      <c r="AB24" s="31"/>
      <c r="AC24" s="31"/>
    </row>
    <row r="25" spans="1:29" ht="11.25">
      <c r="A25" s="31"/>
      <c r="B25" s="31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1"/>
      <c r="AB25" s="31"/>
      <c r="AC25" s="31"/>
    </row>
    <row r="26" spans="1:29" ht="11.25">
      <c r="A26" s="30" t="s">
        <v>24</v>
      </c>
      <c r="B26" s="31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>
        <f>U106+U186</f>
        <v>146442</v>
      </c>
      <c r="V26" s="37"/>
      <c r="W26" s="37">
        <f>W106+W186</f>
        <v>209414</v>
      </c>
      <c r="X26" s="37"/>
      <c r="Y26" s="37">
        <f>Y106+Y186</f>
        <v>258835</v>
      </c>
      <c r="Z26" s="37"/>
      <c r="AA26" s="31"/>
      <c r="AB26" s="31"/>
      <c r="AC26" s="31"/>
    </row>
    <row r="27" spans="1:29" ht="11.25">
      <c r="A27" s="31"/>
      <c r="B27" s="31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1"/>
      <c r="AB27" s="31"/>
      <c r="AC27" s="31"/>
    </row>
    <row r="28" spans="1:29" ht="11.25">
      <c r="A28" s="39" t="s">
        <v>25</v>
      </c>
      <c r="B28" s="31"/>
      <c r="C28" s="37"/>
      <c r="D28" s="37"/>
      <c r="E28" s="37"/>
      <c r="F28" s="37"/>
      <c r="G28" s="37"/>
      <c r="H28" s="37"/>
      <c r="I28" s="37">
        <f>I108+I188</f>
        <v>11181</v>
      </c>
      <c r="J28" s="37"/>
      <c r="K28" s="37">
        <f>K108+K188</f>
        <v>149721</v>
      </c>
      <c r="L28" s="37"/>
      <c r="M28" s="37">
        <f>M108+M188</f>
        <v>199130</v>
      </c>
      <c r="N28" s="37"/>
      <c r="O28" s="37">
        <f>O108+O188</f>
        <v>218492</v>
      </c>
      <c r="P28" s="37"/>
      <c r="Q28" s="37">
        <f>Q108+Q188</f>
        <v>211059</v>
      </c>
      <c r="R28" s="37"/>
      <c r="S28" s="37">
        <f>S108+S188</f>
        <v>214422</v>
      </c>
      <c r="T28" s="37"/>
      <c r="U28" s="37">
        <f>U108+U188</f>
        <v>211041</v>
      </c>
      <c r="V28" s="37"/>
      <c r="W28" s="37">
        <f>W108+W188</f>
        <v>232784</v>
      </c>
      <c r="X28" s="37"/>
      <c r="Y28" s="37">
        <f>Y108+Y188</f>
        <v>285421</v>
      </c>
      <c r="Z28" s="37"/>
      <c r="AA28" s="31"/>
      <c r="AB28" s="31"/>
      <c r="AC28" s="31"/>
    </row>
    <row r="29" spans="1:29" ht="11.25">
      <c r="A29" s="31"/>
      <c r="B29" s="31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1"/>
      <c r="AB29" s="31"/>
      <c r="AC29" s="31"/>
    </row>
    <row r="30" spans="1:29" ht="11.25">
      <c r="A30" s="30" t="s">
        <v>45</v>
      </c>
      <c r="B30" s="31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>
        <f>Q110+Q190</f>
        <v>116351</v>
      </c>
      <c r="R30" s="37"/>
      <c r="S30" s="37">
        <f>S110+S190</f>
        <v>226478</v>
      </c>
      <c r="T30" s="37"/>
      <c r="U30" s="37">
        <f>U110+U190</f>
        <v>239432</v>
      </c>
      <c r="V30" s="37"/>
      <c r="W30" s="37">
        <f>W110+W190</f>
        <v>246427</v>
      </c>
      <c r="X30" s="37"/>
      <c r="Y30" s="37">
        <f>Y110+Y190</f>
        <v>264835</v>
      </c>
      <c r="Z30" s="37"/>
      <c r="AA30" s="31"/>
      <c r="AB30" s="31"/>
      <c r="AC30" s="31"/>
    </row>
    <row r="31" spans="1:29" ht="11.25">
      <c r="A31" s="31"/>
      <c r="B31" s="31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1"/>
      <c r="AB31" s="31"/>
      <c r="AC31" s="31"/>
    </row>
    <row r="32" spans="1:29" ht="11.25">
      <c r="A32" s="30" t="s">
        <v>26</v>
      </c>
      <c r="B32" s="31"/>
      <c r="C32" s="40"/>
      <c r="D32" s="37"/>
      <c r="E32" s="40"/>
      <c r="F32" s="37"/>
      <c r="G32" s="40"/>
      <c r="H32" s="37"/>
      <c r="I32" s="40"/>
      <c r="J32" s="37"/>
      <c r="K32" s="40"/>
      <c r="L32" s="37"/>
      <c r="M32" s="40"/>
      <c r="N32" s="37"/>
      <c r="O32" s="40">
        <f>O112+O192</f>
        <v>125623</v>
      </c>
      <c r="P32" s="37"/>
      <c r="Q32" s="40">
        <f>Q112+Q192</f>
        <v>203419</v>
      </c>
      <c r="R32" s="37"/>
      <c r="S32" s="40">
        <f>S112+S192</f>
        <v>218026</v>
      </c>
      <c r="T32" s="37"/>
      <c r="U32" s="40">
        <f>U112+U192</f>
        <v>244422</v>
      </c>
      <c r="V32" s="37"/>
      <c r="W32" s="40">
        <f>W112+W192</f>
        <v>300841</v>
      </c>
      <c r="X32" s="37"/>
      <c r="Y32" s="40">
        <f>Y112+Y192</f>
        <v>305683</v>
      </c>
      <c r="Z32" s="37"/>
      <c r="AA32" s="31"/>
      <c r="AB32" s="31"/>
      <c r="AC32" s="31"/>
    </row>
    <row r="33" spans="1:29" ht="11.25">
      <c r="A33" s="31"/>
      <c r="B33" s="31"/>
      <c r="C33" s="34"/>
      <c r="D33" s="31"/>
      <c r="E33" s="34"/>
      <c r="F33" s="31"/>
      <c r="G33" s="34"/>
      <c r="H33" s="31"/>
      <c r="I33" s="34"/>
      <c r="J33" s="31"/>
      <c r="K33" s="34"/>
      <c r="L33" s="31"/>
      <c r="M33" s="34"/>
      <c r="N33" s="31"/>
      <c r="O33" s="34"/>
      <c r="P33" s="31"/>
      <c r="Q33" s="34"/>
      <c r="R33" s="31"/>
      <c r="S33" s="34"/>
      <c r="T33" s="31"/>
      <c r="U33" s="34"/>
      <c r="V33" s="31"/>
      <c r="W33" s="34"/>
      <c r="X33" s="31"/>
      <c r="Y33" s="34"/>
      <c r="Z33" s="31"/>
      <c r="AA33" s="31"/>
      <c r="AB33" s="31"/>
      <c r="AC33" s="31"/>
    </row>
    <row r="34" spans="1:29" ht="12" thickBot="1">
      <c r="A34" s="30" t="s">
        <v>38</v>
      </c>
      <c r="B34" s="31"/>
      <c r="C34" s="80">
        <f>SUM(C10:C32)</f>
        <v>134073</v>
      </c>
      <c r="D34" s="81"/>
      <c r="E34" s="80">
        <f>SUM(E10:E32)</f>
        <v>325480</v>
      </c>
      <c r="F34" s="81"/>
      <c r="G34" s="80">
        <f>SUM(G10:G32)</f>
        <v>642673</v>
      </c>
      <c r="H34" s="81"/>
      <c r="I34" s="80">
        <f>SUM(I10:I32)</f>
        <v>1099781</v>
      </c>
      <c r="J34" s="81"/>
      <c r="K34" s="80">
        <f>SUM(K10:K32)</f>
        <v>1493163</v>
      </c>
      <c r="L34" s="81"/>
      <c r="M34" s="80">
        <f>SUM(M10:M32)</f>
        <v>1770943</v>
      </c>
      <c r="N34" s="81"/>
      <c r="O34" s="80">
        <f>SUM(O10:O32)</f>
        <v>1951768</v>
      </c>
      <c r="P34" s="81"/>
      <c r="Q34" s="80">
        <f>SUM(Q10:Q32)</f>
        <v>2138651</v>
      </c>
      <c r="R34" s="81"/>
      <c r="S34" s="80">
        <f>SUM(S10:S32)</f>
        <v>2281204</v>
      </c>
      <c r="T34" s="81"/>
      <c r="U34" s="80">
        <f>SUM(U10:U32)</f>
        <v>2495674</v>
      </c>
      <c r="V34" s="81"/>
      <c r="W34" s="80">
        <f>SUM(W10:W32)</f>
        <v>2734773</v>
      </c>
      <c r="X34" s="81"/>
      <c r="Y34" s="80">
        <f>SUM(Y10:Y32)</f>
        <v>2807017</v>
      </c>
      <c r="Z34" s="81"/>
      <c r="AA34" s="31"/>
      <c r="AB34" s="31"/>
      <c r="AC34" s="31"/>
    </row>
    <row r="35" spans="1:29" ht="12" thickTop="1">
      <c r="A35" s="31"/>
      <c r="B35" s="31"/>
      <c r="C35" s="34"/>
      <c r="D35" s="31"/>
      <c r="E35" s="34"/>
      <c r="F35" s="33"/>
      <c r="G35" s="34"/>
      <c r="H35" s="31"/>
      <c r="I35" s="34"/>
      <c r="J35" s="31"/>
      <c r="K35" s="34"/>
      <c r="L35" s="31"/>
      <c r="M35" s="34"/>
      <c r="N35" s="31"/>
      <c r="O35" s="34"/>
      <c r="P35" s="31"/>
      <c r="Q35" s="34"/>
      <c r="R35" s="31"/>
      <c r="S35" s="34"/>
      <c r="T35" s="31"/>
      <c r="U35" s="34"/>
      <c r="V35" s="31"/>
      <c r="W35" s="34"/>
      <c r="X35" s="31"/>
      <c r="Y35" s="34"/>
      <c r="Z35" s="31"/>
      <c r="AA35" s="31"/>
      <c r="AB35" s="31"/>
      <c r="AC35" s="31"/>
    </row>
    <row r="36" spans="1:29" ht="11.25">
      <c r="A36" s="44" t="s">
        <v>49</v>
      </c>
      <c r="B36" s="31"/>
      <c r="C36" s="34"/>
      <c r="D36" s="31"/>
      <c r="E36" s="34"/>
      <c r="F36" s="33"/>
      <c r="G36" s="34"/>
      <c r="H36" s="31"/>
      <c r="I36" s="34"/>
      <c r="J36" s="31"/>
      <c r="K36" s="34"/>
      <c r="L36" s="31"/>
      <c r="M36" s="34"/>
      <c r="N36" s="31"/>
      <c r="O36" s="34"/>
      <c r="P36" s="31"/>
      <c r="Q36" s="34"/>
      <c r="R36" s="31"/>
      <c r="S36" s="34"/>
      <c r="T36" s="31"/>
      <c r="U36" s="34"/>
      <c r="V36" s="31"/>
      <c r="W36" s="34"/>
      <c r="X36" s="31"/>
      <c r="Y36" s="34"/>
      <c r="Z36" s="31"/>
      <c r="AA36" s="31"/>
      <c r="AB36" s="31"/>
      <c r="AC36" s="31"/>
    </row>
    <row r="37" spans="1:29" ht="11.25">
      <c r="A37" s="44" t="s">
        <v>47</v>
      </c>
      <c r="B37" s="31"/>
      <c r="C37" s="34"/>
      <c r="D37" s="31"/>
      <c r="E37" s="34"/>
      <c r="F37" s="33"/>
      <c r="G37" s="34"/>
      <c r="H37" s="31"/>
      <c r="I37" s="34"/>
      <c r="J37" s="31"/>
      <c r="K37" s="34"/>
      <c r="L37" s="31"/>
      <c r="M37" s="34"/>
      <c r="N37" s="31"/>
      <c r="O37" s="34"/>
      <c r="P37" s="31"/>
      <c r="Q37" s="34"/>
      <c r="R37" s="31"/>
      <c r="S37" s="34"/>
      <c r="T37" s="31"/>
      <c r="U37" s="34"/>
      <c r="V37" s="31"/>
      <c r="W37" s="34"/>
      <c r="X37" s="31"/>
      <c r="Y37" s="34"/>
      <c r="Z37" s="31"/>
      <c r="AA37" s="31"/>
      <c r="AB37" s="31"/>
      <c r="AC37" s="31"/>
    </row>
    <row r="38" spans="1:29" ht="11.25">
      <c r="A38" s="44"/>
      <c r="B38" s="31"/>
      <c r="C38" s="34"/>
      <c r="D38" s="31"/>
      <c r="E38" s="34"/>
      <c r="F38" s="33"/>
      <c r="G38" s="34"/>
      <c r="H38" s="31"/>
      <c r="I38" s="34"/>
      <c r="J38" s="31"/>
      <c r="K38" s="34"/>
      <c r="L38" s="31"/>
      <c r="M38" s="34"/>
      <c r="N38" s="31"/>
      <c r="O38" s="34"/>
      <c r="P38" s="31"/>
      <c r="Q38" s="34"/>
      <c r="R38" s="31"/>
      <c r="S38" s="34"/>
      <c r="T38" s="31"/>
      <c r="U38" s="34"/>
      <c r="V38" s="31"/>
      <c r="W38" s="34"/>
      <c r="X38" s="31"/>
      <c r="Y38" s="34"/>
      <c r="Z38" s="31"/>
      <c r="AA38" s="31"/>
      <c r="AB38" s="31"/>
      <c r="AC38" s="31"/>
    </row>
    <row r="39" spans="1:29" ht="11.25">
      <c r="A39" s="69"/>
      <c r="B39" s="31"/>
      <c r="C39" s="70"/>
      <c r="D39" s="31"/>
      <c r="E39" s="34"/>
      <c r="F39" s="31"/>
      <c r="G39" s="34"/>
      <c r="H39" s="31"/>
      <c r="I39" s="34"/>
      <c r="J39" s="31"/>
      <c r="K39" s="34"/>
      <c r="L39" s="31"/>
      <c r="M39" s="34"/>
      <c r="N39" s="31"/>
      <c r="O39" s="34"/>
      <c r="P39" s="31"/>
      <c r="Q39" s="34"/>
      <c r="R39" s="31"/>
      <c r="S39" s="34"/>
      <c r="T39" s="31"/>
      <c r="U39" s="34"/>
      <c r="V39" s="31"/>
      <c r="W39" s="34"/>
      <c r="X39" s="31"/>
      <c r="Y39" s="34"/>
      <c r="Z39" s="31"/>
      <c r="AA39" s="31"/>
      <c r="AB39" s="31"/>
      <c r="AC39" s="31"/>
    </row>
    <row r="40" spans="1:29" ht="11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t="11.25">
      <c r="A41" s="30" t="s">
        <v>0</v>
      </c>
      <c r="B41" s="31"/>
      <c r="C41" s="31"/>
      <c r="D41" s="31"/>
      <c r="E41" s="68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11.25">
      <c r="A42" s="39" t="s">
        <v>27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29" ht="11.25">
      <c r="A43" s="54" t="str">
        <f>A3</f>
        <v>1978-1989</v>
      </c>
      <c r="B43" s="32"/>
      <c r="C43" s="32"/>
      <c r="D43" s="33"/>
      <c r="E43" s="33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</row>
    <row r="44" spans="1:29" ht="11.25">
      <c r="A44" s="34"/>
      <c r="B44" s="34"/>
      <c r="C44" s="34"/>
      <c r="D44" s="33"/>
      <c r="E44" s="33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</row>
    <row r="45" spans="1:29" ht="11.25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spans="1:29" ht="12.75">
      <c r="A46" s="31"/>
      <c r="B46" s="31"/>
      <c r="C46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</row>
    <row r="47" spans="1:29" ht="11.25">
      <c r="A47" s="31"/>
      <c r="B47" s="31"/>
      <c r="C47" s="208"/>
      <c r="D47" s="31"/>
      <c r="E47" s="35" t="s">
        <v>4</v>
      </c>
      <c r="F47" s="31"/>
      <c r="G47" s="35" t="s">
        <v>5</v>
      </c>
      <c r="H47" s="31"/>
      <c r="I47" s="35" t="s">
        <v>6</v>
      </c>
      <c r="J47" s="31"/>
      <c r="K47" s="35" t="s">
        <v>7</v>
      </c>
      <c r="L47" s="31"/>
      <c r="M47" s="35" t="s">
        <v>8</v>
      </c>
      <c r="N47" s="31"/>
      <c r="O47" s="35" t="s">
        <v>9</v>
      </c>
      <c r="P47" s="31"/>
      <c r="Q47" s="35" t="s">
        <v>10</v>
      </c>
      <c r="R47" s="31"/>
      <c r="S47" s="35" t="s">
        <v>11</v>
      </c>
      <c r="T47" s="31"/>
      <c r="U47" s="35" t="s">
        <v>12</v>
      </c>
      <c r="V47" s="31"/>
      <c r="W47" s="35" t="s">
        <v>13</v>
      </c>
      <c r="X47" s="31"/>
      <c r="Y47" s="35" t="s">
        <v>14</v>
      </c>
      <c r="Z47" s="31"/>
      <c r="AA47" s="31"/>
      <c r="AB47" s="31"/>
      <c r="AC47" s="31"/>
    </row>
    <row r="48" spans="1:29" ht="12.75">
      <c r="A48" s="31" t="s">
        <v>28</v>
      </c>
      <c r="B48" s="31"/>
      <c r="C48"/>
      <c r="D48" s="31"/>
      <c r="E48" s="34"/>
      <c r="F48" s="31"/>
      <c r="G48" s="34"/>
      <c r="H48" s="31"/>
      <c r="I48" s="34"/>
      <c r="J48" s="31"/>
      <c r="K48" s="34"/>
      <c r="L48" s="31"/>
      <c r="M48" s="34"/>
      <c r="N48" s="31"/>
      <c r="O48" s="34"/>
      <c r="P48" s="31"/>
      <c r="Q48" s="34"/>
      <c r="R48" s="31"/>
      <c r="S48" s="34"/>
      <c r="T48" s="31"/>
      <c r="U48" s="34"/>
      <c r="V48" s="31"/>
      <c r="W48" s="34"/>
      <c r="X48" s="31"/>
      <c r="Y48" s="34"/>
      <c r="Z48" s="31"/>
      <c r="AA48" s="31"/>
      <c r="AB48" s="31"/>
      <c r="AC48" s="31"/>
    </row>
    <row r="49" spans="1:29" ht="11.25">
      <c r="A49" s="31"/>
      <c r="B49" s="31"/>
      <c r="C49" s="31"/>
      <c r="D49" s="31"/>
      <c r="E49" s="31"/>
      <c r="F49" s="31"/>
      <c r="G49" s="42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</row>
    <row r="50" spans="1:29" ht="11.25">
      <c r="A50" s="30" t="s">
        <v>15</v>
      </c>
      <c r="B50" s="31"/>
      <c r="C50" s="42"/>
      <c r="D50" s="36"/>
      <c r="E50" s="43"/>
      <c r="F50" s="36"/>
      <c r="G50" s="42"/>
      <c r="H50" s="36"/>
      <c r="I50" s="42"/>
      <c r="J50" s="37"/>
      <c r="K50" s="42">
        <f>(K10-I10)/I10</f>
        <v>0.509</v>
      </c>
      <c r="L50" s="42"/>
      <c r="M50" s="42">
        <f>(M10-K10)/K10</f>
        <v>0.017</v>
      </c>
      <c r="N50" s="42"/>
      <c r="O50" s="42">
        <f>(O10-M10)/M10</f>
        <v>0.021</v>
      </c>
      <c r="P50" s="42"/>
      <c r="Q50" s="42">
        <f>(Q10-O10)/O10</f>
        <v>-0.058</v>
      </c>
      <c r="R50" s="37"/>
      <c r="S50" s="42">
        <f>(S10-Q10)/Q10</f>
        <v>-0.256</v>
      </c>
      <c r="T50" s="37"/>
      <c r="U50" s="42">
        <f>(U10-S10)/S10</f>
        <v>-0.286</v>
      </c>
      <c r="V50" s="37"/>
      <c r="W50" s="42">
        <f>(W10-U10)/U10</f>
        <v>0.145</v>
      </c>
      <c r="X50" s="37"/>
      <c r="Y50" s="42">
        <f>(Y10-W10)/W10</f>
        <v>-0.633</v>
      </c>
      <c r="Z50" s="38" t="s">
        <v>46</v>
      </c>
      <c r="AA50" s="37"/>
      <c r="AB50" s="31"/>
      <c r="AC50" s="31"/>
    </row>
    <row r="51" spans="1:29" ht="11.25">
      <c r="A51" s="31"/>
      <c r="B51" s="31"/>
      <c r="C51" s="42"/>
      <c r="D51" s="31"/>
      <c r="E51" s="31"/>
      <c r="F51" s="31"/>
      <c r="G51" s="42"/>
      <c r="H51" s="31"/>
      <c r="I51" s="42"/>
      <c r="J51" s="31"/>
      <c r="K51" s="42"/>
      <c r="L51" s="31"/>
      <c r="M51" s="42"/>
      <c r="N51" s="31"/>
      <c r="O51" s="42"/>
      <c r="P51" s="31"/>
      <c r="Q51" s="42"/>
      <c r="R51" s="31"/>
      <c r="S51" s="42"/>
      <c r="T51" s="31"/>
      <c r="U51" s="42"/>
      <c r="V51" s="31"/>
      <c r="W51" s="42"/>
      <c r="X51" s="31"/>
      <c r="Y51" s="42"/>
      <c r="Z51" s="31"/>
      <c r="AA51" s="31"/>
      <c r="AB51" s="31"/>
      <c r="AC51" s="31"/>
    </row>
    <row r="52" spans="1:29" ht="11.25">
      <c r="A52" s="30" t="s">
        <v>17</v>
      </c>
      <c r="B52" s="31"/>
      <c r="C52" s="42"/>
      <c r="D52" s="37"/>
      <c r="E52" s="42"/>
      <c r="F52" s="37"/>
      <c r="G52" s="42"/>
      <c r="H52" s="37"/>
      <c r="I52" s="42">
        <f>(I12-G12)/G12</f>
        <v>30.762</v>
      </c>
      <c r="J52" s="37"/>
      <c r="K52" s="42">
        <f>(K12-I12)/I12</f>
        <v>0.172</v>
      </c>
      <c r="L52" s="37"/>
      <c r="M52" s="42">
        <f>(M12-K12)/K12</f>
        <v>0.423</v>
      </c>
      <c r="N52" s="37"/>
      <c r="O52" s="42">
        <f>(O12-M12)/M12</f>
        <v>-0.045</v>
      </c>
      <c r="P52" s="38"/>
      <c r="Q52" s="42">
        <f>(Q12-O12)/O12</f>
        <v>-0.042</v>
      </c>
      <c r="R52" s="37"/>
      <c r="S52" s="42">
        <f>(S12-Q12)/Q12</f>
        <v>0.039</v>
      </c>
      <c r="T52" s="37"/>
      <c r="U52" s="42">
        <f>(U12-S12)/S12</f>
        <v>-0.03</v>
      </c>
      <c r="V52" s="37"/>
      <c r="W52" s="42">
        <f>(W12-U12)/U12</f>
        <v>-0.086</v>
      </c>
      <c r="X52" s="37"/>
      <c r="Y52" s="42">
        <f>(Y12-W12)/W12</f>
        <v>-0.049</v>
      </c>
      <c r="Z52" s="37"/>
      <c r="AA52" s="31"/>
      <c r="AB52" s="31"/>
      <c r="AC52" s="31"/>
    </row>
    <row r="53" spans="1:29" ht="11.25">
      <c r="A53" s="31"/>
      <c r="B53" s="31"/>
      <c r="C53" s="42"/>
      <c r="D53" s="37"/>
      <c r="E53" s="42"/>
      <c r="F53" s="37"/>
      <c r="G53" s="42"/>
      <c r="H53" s="37"/>
      <c r="I53" s="42"/>
      <c r="J53" s="37"/>
      <c r="K53" s="42"/>
      <c r="L53" s="37"/>
      <c r="M53" s="42"/>
      <c r="N53" s="37"/>
      <c r="O53" s="42"/>
      <c r="P53" s="37"/>
      <c r="Q53" s="42"/>
      <c r="R53" s="37"/>
      <c r="S53" s="42"/>
      <c r="T53" s="37"/>
      <c r="U53" s="42"/>
      <c r="V53" s="37"/>
      <c r="W53" s="42"/>
      <c r="X53" s="37"/>
      <c r="Y53" s="42"/>
      <c r="Z53" s="37"/>
      <c r="AA53" s="31"/>
      <c r="AB53" s="31"/>
      <c r="AC53" s="31"/>
    </row>
    <row r="54" spans="1:29" ht="11.25">
      <c r="A54" s="30" t="s">
        <v>18</v>
      </c>
      <c r="B54" s="31"/>
      <c r="C54" s="42"/>
      <c r="D54" s="37"/>
      <c r="E54" s="43"/>
      <c r="F54" s="37"/>
      <c r="G54" s="42">
        <f>(G14-E14)/E14</f>
        <v>143.987</v>
      </c>
      <c r="H54" s="37"/>
      <c r="I54" s="42">
        <f>(I14-G14)/G14</f>
        <v>0.04</v>
      </c>
      <c r="J54" s="37"/>
      <c r="K54" s="42">
        <f>(K14-I14)/I14</f>
        <v>0.04</v>
      </c>
      <c r="L54" s="37"/>
      <c r="M54" s="42">
        <f>(M14-K14)/K14</f>
        <v>0.175</v>
      </c>
      <c r="N54" s="37"/>
      <c r="O54" s="42">
        <f>(O14-M14)/M14</f>
        <v>0.027</v>
      </c>
      <c r="P54" s="37"/>
      <c r="Q54" s="42">
        <f>(Q14-O14)/O14</f>
        <v>-0.054</v>
      </c>
      <c r="R54" s="37"/>
      <c r="S54" s="42">
        <f>(S14-Q14)/Q14</f>
        <v>0.018</v>
      </c>
      <c r="T54" s="37"/>
      <c r="U54" s="42">
        <f>(U14-S14)/S14</f>
        <v>0.092</v>
      </c>
      <c r="V54" s="37"/>
      <c r="W54" s="42">
        <f>(W14-U14)/U14</f>
        <v>0.08</v>
      </c>
      <c r="X54" s="37"/>
      <c r="Y54" s="42">
        <f>(Y14-W14)/W14</f>
        <v>0.036</v>
      </c>
      <c r="Z54" s="37"/>
      <c r="AA54" s="31"/>
      <c r="AB54" s="31"/>
      <c r="AC54" s="31"/>
    </row>
    <row r="55" spans="1:29" ht="11.25">
      <c r="A55" s="31"/>
      <c r="B55" s="31"/>
      <c r="C55" s="42"/>
      <c r="D55" s="37"/>
      <c r="E55" s="42"/>
      <c r="F55" s="37"/>
      <c r="G55" s="42"/>
      <c r="H55" s="37"/>
      <c r="I55" s="42"/>
      <c r="J55" s="37"/>
      <c r="K55" s="42"/>
      <c r="L55" s="37"/>
      <c r="M55" s="42"/>
      <c r="N55" s="37"/>
      <c r="O55" s="42"/>
      <c r="P55" s="37"/>
      <c r="Q55" s="42"/>
      <c r="R55" s="37"/>
      <c r="S55" s="42"/>
      <c r="T55" s="37"/>
      <c r="U55" s="42"/>
      <c r="V55" s="37"/>
      <c r="W55" s="42"/>
      <c r="X55" s="37"/>
      <c r="Y55" s="42"/>
      <c r="Z55" s="37"/>
      <c r="AA55" s="31"/>
      <c r="AB55" s="31"/>
      <c r="AC55" s="31"/>
    </row>
    <row r="56" spans="1:29" ht="11.25">
      <c r="A56" s="30" t="s">
        <v>19</v>
      </c>
      <c r="B56" s="31"/>
      <c r="C56" s="42"/>
      <c r="D56" s="37"/>
      <c r="E56" s="43"/>
      <c r="F56" s="37"/>
      <c r="G56" s="42">
        <f>(G16-E16)/E16</f>
        <v>1.287</v>
      </c>
      <c r="H56" s="37"/>
      <c r="I56" s="42">
        <f>(I16-G16)/G16</f>
        <v>-0.07</v>
      </c>
      <c r="J56" s="37"/>
      <c r="K56" s="42">
        <f>(K16-I16)/I16</f>
        <v>0.001</v>
      </c>
      <c r="L56" s="37"/>
      <c r="M56" s="42">
        <f>(M16-K16)/K16</f>
        <v>0.1</v>
      </c>
      <c r="N56" s="37"/>
      <c r="O56" s="42">
        <f>(O16-M16)/M16</f>
        <v>0.045</v>
      </c>
      <c r="P56" s="37"/>
      <c r="Q56" s="42">
        <f>(Q16-O16)/O16</f>
        <v>0.107</v>
      </c>
      <c r="R56" s="37"/>
      <c r="S56" s="42">
        <f>(S16-Q16)/Q16</f>
        <v>0.051</v>
      </c>
      <c r="T56" s="37"/>
      <c r="U56" s="42">
        <f>(U16-S16)/S16</f>
        <v>0.11</v>
      </c>
      <c r="V56" s="37"/>
      <c r="W56" s="42">
        <f>(W16-U16)/U16</f>
        <v>0.067</v>
      </c>
      <c r="X56" s="37"/>
      <c r="Y56" s="42">
        <f>(Y16-W16)/W16</f>
        <v>-0.015</v>
      </c>
      <c r="Z56" s="37"/>
      <c r="AA56" s="31"/>
      <c r="AB56" s="31"/>
      <c r="AC56" s="31"/>
    </row>
    <row r="57" spans="1:29" ht="11.25">
      <c r="A57" s="31"/>
      <c r="B57" s="31"/>
      <c r="C57" s="42"/>
      <c r="D57" s="37"/>
      <c r="E57" s="42"/>
      <c r="F57" s="37"/>
      <c r="G57" s="42"/>
      <c r="H57" s="37"/>
      <c r="I57" s="42"/>
      <c r="J57" s="37"/>
      <c r="K57" s="42"/>
      <c r="L57" s="37"/>
      <c r="M57" s="42"/>
      <c r="N57" s="37"/>
      <c r="O57" s="42"/>
      <c r="P57" s="37"/>
      <c r="Q57" s="42"/>
      <c r="R57" s="37"/>
      <c r="S57" s="42"/>
      <c r="T57" s="37"/>
      <c r="U57" s="42"/>
      <c r="V57" s="37"/>
      <c r="W57" s="42"/>
      <c r="X57" s="37"/>
      <c r="Y57" s="42"/>
      <c r="Z57" s="37"/>
      <c r="AA57" s="31"/>
      <c r="AB57" s="31"/>
      <c r="AC57" s="31"/>
    </row>
    <row r="58" spans="1:29" ht="11.25">
      <c r="A58" s="39" t="s">
        <v>20</v>
      </c>
      <c r="B58" s="31"/>
      <c r="C58" s="42"/>
      <c r="D58" s="37"/>
      <c r="E58" s="42"/>
      <c r="F58" s="37"/>
      <c r="G58" s="42"/>
      <c r="H58" s="37"/>
      <c r="I58" s="42"/>
      <c r="J58" s="37"/>
      <c r="K58" s="42">
        <f>(K18-I18)/I18</f>
        <v>1.715</v>
      </c>
      <c r="L58" s="37"/>
      <c r="M58" s="42">
        <f>(M18-K18)/K18</f>
        <v>0.23</v>
      </c>
      <c r="N58" s="38"/>
      <c r="O58" s="42">
        <f>(O18-M18)/M18</f>
        <v>0.117</v>
      </c>
      <c r="P58" s="37"/>
      <c r="Q58" s="42">
        <f>(Q18-O18)/O18</f>
        <v>-0.028</v>
      </c>
      <c r="R58" s="37"/>
      <c r="S58" s="42">
        <f>(S18-Q18)/Q18</f>
        <v>0.002</v>
      </c>
      <c r="T58" s="37"/>
      <c r="U58" s="42">
        <f>(U18-S18)/S18</f>
        <v>0.036</v>
      </c>
      <c r="V58" s="37"/>
      <c r="W58" s="42">
        <f>(W18-U18)/U18</f>
        <v>0.071</v>
      </c>
      <c r="X58" s="37"/>
      <c r="Y58" s="42">
        <f>(Y18-W18)/W18</f>
        <v>-0.033</v>
      </c>
      <c r="Z58" s="37"/>
      <c r="AA58" s="31"/>
      <c r="AB58" s="31"/>
      <c r="AC58" s="31"/>
    </row>
    <row r="59" spans="1:29" ht="11.25">
      <c r="A59" s="31"/>
      <c r="B59" s="31"/>
      <c r="C59" s="42"/>
      <c r="D59" s="37"/>
      <c r="E59" s="42"/>
      <c r="F59" s="37"/>
      <c r="G59" s="42"/>
      <c r="H59" s="37"/>
      <c r="I59" s="42"/>
      <c r="J59" s="37"/>
      <c r="K59" s="42"/>
      <c r="L59" s="37"/>
      <c r="M59" s="42"/>
      <c r="N59" s="37"/>
      <c r="O59" s="42"/>
      <c r="P59" s="37"/>
      <c r="Q59" s="42"/>
      <c r="R59" s="37"/>
      <c r="S59" s="42"/>
      <c r="T59" s="37"/>
      <c r="U59" s="42"/>
      <c r="V59" s="37"/>
      <c r="W59" s="42"/>
      <c r="X59" s="37"/>
      <c r="Y59" s="42"/>
      <c r="Z59" s="37"/>
      <c r="AA59" s="31"/>
      <c r="AB59" s="31"/>
      <c r="AC59" s="31"/>
    </row>
    <row r="60" spans="1:29" ht="11.25">
      <c r="A60" s="30" t="s">
        <v>21</v>
      </c>
      <c r="B60" s="31"/>
      <c r="C60" s="42"/>
      <c r="D60" s="37"/>
      <c r="E60" s="42"/>
      <c r="F60" s="37"/>
      <c r="G60" s="42"/>
      <c r="H60" s="37"/>
      <c r="I60" s="42">
        <f>(I20-G20)/G20</f>
        <v>17.259</v>
      </c>
      <c r="J60" s="37"/>
      <c r="K60" s="42">
        <f>(K20-I20)/I20</f>
        <v>0.233</v>
      </c>
      <c r="L60" s="37"/>
      <c r="M60" s="42">
        <f>(M20-K20)/K20</f>
        <v>0.147</v>
      </c>
      <c r="N60" s="37"/>
      <c r="O60" s="42">
        <f>(O20-M20)/M20</f>
        <v>0.044</v>
      </c>
      <c r="P60" s="37"/>
      <c r="Q60" s="42">
        <f>(Q20-O20)/O20</f>
        <v>0.024</v>
      </c>
      <c r="R60" s="37"/>
      <c r="S60" s="42">
        <f>(S20-Q20)/Q20</f>
        <v>0.098</v>
      </c>
      <c r="T60" s="37"/>
      <c r="U60" s="42">
        <f>(U20-S20)/S20</f>
        <v>0.042</v>
      </c>
      <c r="V60" s="37"/>
      <c r="W60" s="42">
        <f>(W20-U20)/U20</f>
        <v>0.141</v>
      </c>
      <c r="X60" s="37"/>
      <c r="Y60" s="42">
        <f>(Y20-W20)/W20</f>
        <v>0.042</v>
      </c>
      <c r="Z60" s="37"/>
      <c r="AA60" s="31"/>
      <c r="AB60" s="31"/>
      <c r="AC60" s="31"/>
    </row>
    <row r="61" spans="1:29" ht="11.25">
      <c r="A61" s="31"/>
      <c r="B61" s="31"/>
      <c r="C61" s="42"/>
      <c r="D61" s="37"/>
      <c r="E61" s="42"/>
      <c r="F61" s="37"/>
      <c r="G61" s="42"/>
      <c r="H61" s="37"/>
      <c r="I61" s="42"/>
      <c r="J61" s="37"/>
      <c r="K61" s="42"/>
      <c r="L61" s="37"/>
      <c r="M61" s="42"/>
      <c r="N61" s="37"/>
      <c r="O61" s="42"/>
      <c r="P61" s="37"/>
      <c r="Q61" s="42"/>
      <c r="R61" s="37"/>
      <c r="S61" s="42"/>
      <c r="T61" s="37"/>
      <c r="U61" s="42"/>
      <c r="V61" s="37"/>
      <c r="W61" s="42"/>
      <c r="X61" s="37"/>
      <c r="Y61" s="42"/>
      <c r="Z61" s="37"/>
      <c r="AA61" s="31"/>
      <c r="AB61" s="31"/>
      <c r="AC61" s="31"/>
    </row>
    <row r="62" spans="1:29" ht="11.25">
      <c r="A62" s="30" t="s">
        <v>22</v>
      </c>
      <c r="B62" s="31"/>
      <c r="C62" s="43"/>
      <c r="D62" s="37"/>
      <c r="E62" s="42">
        <f>(E22-C22)/C22</f>
        <v>0.737</v>
      </c>
      <c r="F62" s="38"/>
      <c r="G62" s="42">
        <f>(G22-E22)/E22</f>
        <v>-0.089</v>
      </c>
      <c r="H62" s="38"/>
      <c r="I62" s="42">
        <f>(I22-G22)/G22</f>
        <v>-0.121</v>
      </c>
      <c r="J62" s="38"/>
      <c r="K62" s="42">
        <f>(K22-I22)/I22</f>
        <v>0.155</v>
      </c>
      <c r="L62" s="37"/>
      <c r="M62" s="42">
        <f>(M22-K22)/K22</f>
        <v>0.172</v>
      </c>
      <c r="N62" s="37"/>
      <c r="O62" s="42">
        <f>(O22-M22)/M22</f>
        <v>0.015</v>
      </c>
      <c r="P62" s="37"/>
      <c r="Q62" s="42">
        <f>(Q22-O22)/O22</f>
        <v>-0.05</v>
      </c>
      <c r="R62" s="37"/>
      <c r="S62" s="42">
        <f>(S22-Q22)/Q22</f>
        <v>-0.034</v>
      </c>
      <c r="T62" s="37"/>
      <c r="U62" s="42">
        <f>(U22-S22)/S22</f>
        <v>0.018</v>
      </c>
      <c r="V62" s="37"/>
      <c r="W62" s="42">
        <f>(W22-U22)/U22</f>
        <v>0.016</v>
      </c>
      <c r="X62" s="37"/>
      <c r="Y62" s="42">
        <f>(Y22-W22)/W22</f>
        <v>-0.064</v>
      </c>
      <c r="Z62" s="37"/>
      <c r="AA62" s="31"/>
      <c r="AB62" s="31"/>
      <c r="AC62" s="31"/>
    </row>
    <row r="63" spans="1:29" ht="11.25">
      <c r="A63" s="31"/>
      <c r="B63" s="31"/>
      <c r="C63" s="42"/>
      <c r="D63" s="37"/>
      <c r="E63" s="42"/>
      <c r="F63" s="37"/>
      <c r="G63" s="42"/>
      <c r="H63" s="37"/>
      <c r="I63" s="42"/>
      <c r="J63" s="37"/>
      <c r="K63" s="42"/>
      <c r="L63" s="37"/>
      <c r="M63" s="42"/>
      <c r="N63" s="37"/>
      <c r="O63" s="42"/>
      <c r="P63" s="37"/>
      <c r="Q63" s="42"/>
      <c r="R63" s="37"/>
      <c r="S63" s="42"/>
      <c r="T63" s="37"/>
      <c r="U63" s="42"/>
      <c r="V63" s="37"/>
      <c r="W63" s="42"/>
      <c r="X63" s="37"/>
      <c r="Y63" s="42"/>
      <c r="Z63" s="37"/>
      <c r="AA63" s="31"/>
      <c r="AB63" s="31"/>
      <c r="AC63" s="31"/>
    </row>
    <row r="64" spans="1:29" ht="11.25">
      <c r="A64" s="30" t="s">
        <v>23</v>
      </c>
      <c r="B64" s="31"/>
      <c r="C64" s="42"/>
      <c r="D64" s="37"/>
      <c r="E64" s="42"/>
      <c r="F64" s="43"/>
      <c r="G64" s="42"/>
      <c r="H64" s="37"/>
      <c r="I64" s="42">
        <f>(I24-G24)/G24</f>
        <v>2.379</v>
      </c>
      <c r="J64" s="37"/>
      <c r="K64" s="42">
        <f>(K24-I24)/I24</f>
        <v>0.581</v>
      </c>
      <c r="L64" s="37"/>
      <c r="M64" s="42">
        <f>(M24-K24)/K24</f>
        <v>0.073</v>
      </c>
      <c r="N64" s="37"/>
      <c r="O64" s="42">
        <f>(O24-M24)/M24</f>
        <v>0.02</v>
      </c>
      <c r="P64" s="37"/>
      <c r="Q64" s="42">
        <f>(Q24-O24)/O24</f>
        <v>0.122</v>
      </c>
      <c r="R64" s="37"/>
      <c r="S64" s="42">
        <f>(S24-Q24)/Q24</f>
        <v>0.061</v>
      </c>
      <c r="T64" s="37"/>
      <c r="U64" s="42">
        <f>(U24-S24)/S24</f>
        <v>0.006</v>
      </c>
      <c r="V64" s="37"/>
      <c r="W64" s="42">
        <f>(W24-U24)/U24</f>
        <v>0.075</v>
      </c>
      <c r="X64" s="37"/>
      <c r="Y64" s="42">
        <f>(Y24-W24)/W24</f>
        <v>0.068</v>
      </c>
      <c r="Z64" s="37"/>
      <c r="AA64" s="31"/>
      <c r="AB64" s="31"/>
      <c r="AC64" s="31"/>
    </row>
    <row r="65" spans="1:29" ht="11.25">
      <c r="A65" s="31"/>
      <c r="B65" s="31"/>
      <c r="C65" s="42"/>
      <c r="D65" s="37"/>
      <c r="E65" s="42"/>
      <c r="F65" s="37"/>
      <c r="G65" s="42"/>
      <c r="H65" s="37"/>
      <c r="I65" s="42"/>
      <c r="J65" s="37"/>
      <c r="K65" s="42"/>
      <c r="L65" s="37"/>
      <c r="M65" s="42"/>
      <c r="N65" s="37"/>
      <c r="O65" s="42"/>
      <c r="P65" s="37"/>
      <c r="Q65" s="42"/>
      <c r="R65" s="37"/>
      <c r="S65" s="42"/>
      <c r="T65" s="37"/>
      <c r="U65" s="42"/>
      <c r="V65" s="37"/>
      <c r="W65" s="42"/>
      <c r="X65" s="37"/>
      <c r="Y65" s="42"/>
      <c r="Z65" s="37"/>
      <c r="AA65" s="31"/>
      <c r="AB65" s="31"/>
      <c r="AC65" s="31"/>
    </row>
    <row r="66" spans="1:29" ht="11.25">
      <c r="A66" s="30" t="s">
        <v>24</v>
      </c>
      <c r="B66" s="31"/>
      <c r="C66" s="42"/>
      <c r="D66" s="37"/>
      <c r="E66" s="42"/>
      <c r="F66" s="43"/>
      <c r="G66" s="42"/>
      <c r="H66" s="37"/>
      <c r="I66" s="42"/>
      <c r="J66" s="37"/>
      <c r="K66" s="42"/>
      <c r="L66" s="37"/>
      <c r="M66" s="42"/>
      <c r="N66" s="37"/>
      <c r="O66" s="42"/>
      <c r="P66" s="37"/>
      <c r="Q66" s="42"/>
      <c r="R66" s="37"/>
      <c r="S66" s="42"/>
      <c r="T66" s="37"/>
      <c r="U66" s="42"/>
      <c r="V66" s="37"/>
      <c r="W66" s="42">
        <f>(W26-U26)/U26</f>
        <v>0.43</v>
      </c>
      <c r="X66" s="37"/>
      <c r="Y66" s="42">
        <f>(Y26-W26)/W26</f>
        <v>0.236</v>
      </c>
      <c r="Z66" s="37"/>
      <c r="AA66" s="31"/>
      <c r="AB66" s="31"/>
      <c r="AC66" s="31"/>
    </row>
    <row r="67" spans="1:29" ht="11.25">
      <c r="A67" s="31"/>
      <c r="B67" s="31"/>
      <c r="C67" s="42"/>
      <c r="D67" s="37"/>
      <c r="E67" s="42"/>
      <c r="F67" s="37"/>
      <c r="G67" s="42"/>
      <c r="H67" s="37"/>
      <c r="I67" s="42"/>
      <c r="J67" s="37"/>
      <c r="K67" s="42"/>
      <c r="L67" s="37"/>
      <c r="M67" s="42"/>
      <c r="N67" s="37"/>
      <c r="O67" s="42"/>
      <c r="P67" s="37"/>
      <c r="Q67" s="42"/>
      <c r="R67" s="37"/>
      <c r="S67" s="42"/>
      <c r="T67" s="37"/>
      <c r="U67" s="42"/>
      <c r="V67" s="37"/>
      <c r="W67" s="42"/>
      <c r="X67" s="37"/>
      <c r="Y67" s="42"/>
      <c r="Z67" s="37"/>
      <c r="AA67" s="31"/>
      <c r="AB67" s="31"/>
      <c r="AC67" s="31"/>
    </row>
    <row r="68" spans="1:29" ht="11.25">
      <c r="A68" s="39" t="s">
        <v>25</v>
      </c>
      <c r="B68" s="31"/>
      <c r="C68" s="42"/>
      <c r="D68" s="37"/>
      <c r="E68" s="42"/>
      <c r="F68" s="43"/>
      <c r="G68" s="42"/>
      <c r="H68" s="37"/>
      <c r="I68" s="42"/>
      <c r="J68" s="37"/>
      <c r="K68" s="42">
        <f>(K28-I28)/I28</f>
        <v>12.391</v>
      </c>
      <c r="L68" s="37"/>
      <c r="M68" s="42">
        <f>(M28-K28)/K28</f>
        <v>0.33</v>
      </c>
      <c r="N68" s="37"/>
      <c r="O68" s="42">
        <f>(O28-M28)/M28</f>
        <v>0.097</v>
      </c>
      <c r="P68" s="37"/>
      <c r="Q68" s="42">
        <f>(Q28-O28)/O28</f>
        <v>-0.034</v>
      </c>
      <c r="R68" s="37"/>
      <c r="S68" s="42">
        <f>(S28-Q28)/Q28</f>
        <v>0.016</v>
      </c>
      <c r="T68" s="37"/>
      <c r="U68" s="42">
        <f>(U28-S28)/S28</f>
        <v>-0.016</v>
      </c>
      <c r="V68" s="37"/>
      <c r="W68" s="42">
        <f>(W28-U28)/U28</f>
        <v>0.103</v>
      </c>
      <c r="X68" s="37"/>
      <c r="Y68" s="42">
        <f>(Y28-W28)/W28</f>
        <v>0.226</v>
      </c>
      <c r="Z68" s="37"/>
      <c r="AA68" s="31"/>
      <c r="AB68" s="31"/>
      <c r="AC68" s="31"/>
    </row>
    <row r="69" spans="1:29" ht="11.25">
      <c r="A69" s="31"/>
      <c r="B69" s="31"/>
      <c r="C69" s="42"/>
      <c r="D69" s="37"/>
      <c r="E69" s="42"/>
      <c r="F69" s="37"/>
      <c r="G69" s="42"/>
      <c r="H69" s="37"/>
      <c r="I69" s="42"/>
      <c r="J69" s="37"/>
      <c r="K69" s="42"/>
      <c r="L69" s="37"/>
      <c r="M69" s="42"/>
      <c r="N69" s="37"/>
      <c r="O69" s="42"/>
      <c r="P69" s="37"/>
      <c r="Q69" s="42"/>
      <c r="R69" s="37"/>
      <c r="S69" s="42"/>
      <c r="T69" s="37"/>
      <c r="U69" s="42"/>
      <c r="V69" s="37"/>
      <c r="W69" s="42"/>
      <c r="X69" s="37"/>
      <c r="Y69" s="42"/>
      <c r="Z69" s="37"/>
      <c r="AA69" s="31"/>
      <c r="AB69" s="31"/>
      <c r="AC69" s="31"/>
    </row>
    <row r="70" spans="1:29" ht="11.25">
      <c r="A70" s="30" t="s">
        <v>45</v>
      </c>
      <c r="B70" s="31"/>
      <c r="C70" s="42"/>
      <c r="D70" s="37"/>
      <c r="E70" s="42"/>
      <c r="F70" s="43"/>
      <c r="G70" s="42"/>
      <c r="H70" s="37"/>
      <c r="I70" s="42"/>
      <c r="J70" s="37"/>
      <c r="K70" s="42"/>
      <c r="L70" s="37"/>
      <c r="M70" s="42"/>
      <c r="N70" s="37"/>
      <c r="O70" s="42"/>
      <c r="P70" s="37"/>
      <c r="Q70" s="42"/>
      <c r="R70" s="37"/>
      <c r="S70" s="42">
        <f>(S30-Q30)/Q30</f>
        <v>0.947</v>
      </c>
      <c r="T70" s="37"/>
      <c r="U70" s="42">
        <f>(U30-S30)/S30</f>
        <v>0.057</v>
      </c>
      <c r="V70" s="37"/>
      <c r="W70" s="42">
        <f>(W30-U30)/U30</f>
        <v>0.029</v>
      </c>
      <c r="X70" s="37"/>
      <c r="Y70" s="42">
        <f>(Y30-W30)/W30</f>
        <v>0.075</v>
      </c>
      <c r="Z70" s="37"/>
      <c r="AA70" s="31"/>
      <c r="AB70" s="31"/>
      <c r="AC70" s="31"/>
    </row>
    <row r="71" spans="1:29" ht="11.25">
      <c r="A71" s="31"/>
      <c r="B71" s="31"/>
      <c r="C71" s="42"/>
      <c r="D71" s="37"/>
      <c r="E71" s="42"/>
      <c r="F71" s="37"/>
      <c r="G71" s="42"/>
      <c r="H71" s="37"/>
      <c r="I71" s="42"/>
      <c r="J71" s="37"/>
      <c r="K71" s="42"/>
      <c r="L71" s="37"/>
      <c r="M71" s="42"/>
      <c r="N71" s="37"/>
      <c r="O71" s="42"/>
      <c r="P71" s="37"/>
      <c r="Q71" s="42"/>
      <c r="R71" s="37"/>
      <c r="S71" s="42"/>
      <c r="T71" s="37"/>
      <c r="U71" s="42"/>
      <c r="V71" s="37"/>
      <c r="W71" s="42"/>
      <c r="X71" s="37"/>
      <c r="Y71" s="42"/>
      <c r="Z71" s="37"/>
      <c r="AA71" s="31"/>
      <c r="AB71" s="31"/>
      <c r="AC71" s="31"/>
    </row>
    <row r="72" spans="1:29" ht="11.25">
      <c r="A72" s="30" t="s">
        <v>26</v>
      </c>
      <c r="B72" s="31"/>
      <c r="C72" s="42"/>
      <c r="D72" s="37"/>
      <c r="E72" s="43"/>
      <c r="F72" s="43"/>
      <c r="G72" s="42"/>
      <c r="H72" s="37"/>
      <c r="I72" s="42"/>
      <c r="J72" s="37"/>
      <c r="K72" s="42"/>
      <c r="L72" s="37"/>
      <c r="M72" s="42"/>
      <c r="N72" s="37"/>
      <c r="O72" s="42"/>
      <c r="P72" s="37"/>
      <c r="Q72" s="42">
        <f>(Q32-O32)/O32</f>
        <v>0.619</v>
      </c>
      <c r="R72" s="37"/>
      <c r="S72" s="42">
        <f>(S32-Q32)/Q32</f>
        <v>0.072</v>
      </c>
      <c r="T72" s="37"/>
      <c r="U72" s="42">
        <f>(U32-S32)/S32</f>
        <v>0.121</v>
      </c>
      <c r="V72" s="37"/>
      <c r="W72" s="42">
        <f>(W32-U32)/U32</f>
        <v>0.231</v>
      </c>
      <c r="X72" s="37"/>
      <c r="Y72" s="42">
        <f>(Y32-W32)/W32</f>
        <v>0.016</v>
      </c>
      <c r="Z72" s="37"/>
      <c r="AA72" s="31"/>
      <c r="AB72" s="31"/>
      <c r="AC72" s="31"/>
    </row>
    <row r="73" spans="1:68" ht="11.25">
      <c r="A73" s="31"/>
      <c r="B73" s="31"/>
      <c r="C73" s="33"/>
      <c r="D73" s="33"/>
      <c r="E73" s="33"/>
      <c r="F73" s="33"/>
      <c r="G73" s="42"/>
      <c r="H73" s="33"/>
      <c r="I73" s="42"/>
      <c r="J73" s="33"/>
      <c r="K73" s="42"/>
      <c r="L73" s="33"/>
      <c r="M73" s="42"/>
      <c r="N73" s="33"/>
      <c r="O73" s="42"/>
      <c r="P73" s="33"/>
      <c r="Q73" s="42"/>
      <c r="R73" s="33"/>
      <c r="S73" s="42"/>
      <c r="T73" s="33"/>
      <c r="U73" s="42"/>
      <c r="V73" s="33"/>
      <c r="W73" s="42"/>
      <c r="X73" s="33"/>
      <c r="Y73" s="42"/>
      <c r="Z73" s="33"/>
      <c r="AA73" s="33"/>
      <c r="AB73" s="33"/>
      <c r="AC73" s="33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</row>
    <row r="74" spans="1:68" ht="11.25">
      <c r="A74" s="30" t="s">
        <v>38</v>
      </c>
      <c r="B74" s="31"/>
      <c r="C74" s="102"/>
      <c r="D74" s="41"/>
      <c r="E74" s="42">
        <f>(E34-C34)/C34</f>
        <v>1.428</v>
      </c>
      <c r="F74" s="41"/>
      <c r="G74" s="42">
        <f>(G34-E34)/E34</f>
        <v>0.975</v>
      </c>
      <c r="H74" s="41"/>
      <c r="I74" s="42">
        <f>(I34-G34)/G34</f>
        <v>0.711</v>
      </c>
      <c r="J74" s="41"/>
      <c r="K74" s="42">
        <f>(K34-I34)/I34</f>
        <v>0.358</v>
      </c>
      <c r="L74" s="41"/>
      <c r="M74" s="42">
        <f>(M34-K34)/K34</f>
        <v>0.186</v>
      </c>
      <c r="N74" s="41"/>
      <c r="O74" s="42">
        <f>(O34-M34)/M34</f>
        <v>0.102</v>
      </c>
      <c r="P74" s="41"/>
      <c r="Q74" s="42">
        <f>(Q34-O34)/O34</f>
        <v>0.096</v>
      </c>
      <c r="R74" s="41"/>
      <c r="S74" s="42">
        <f>(S34-Q34)/Q34</f>
        <v>0.067</v>
      </c>
      <c r="T74" s="41"/>
      <c r="U74" s="42">
        <f>(U34-S34)/S34</f>
        <v>0.094</v>
      </c>
      <c r="V74" s="41"/>
      <c r="W74" s="42">
        <f>(W34-U34)/U34</f>
        <v>0.096</v>
      </c>
      <c r="X74" s="41"/>
      <c r="Y74" s="42">
        <f>(Y34-W34)/W34</f>
        <v>0.026</v>
      </c>
      <c r="Z74" s="41"/>
      <c r="AA74" s="33"/>
      <c r="AB74" s="33"/>
      <c r="AC74" s="33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</row>
    <row r="75" spans="1:29" ht="11.25">
      <c r="A75" s="31"/>
      <c r="B75" s="31"/>
      <c r="C75" s="34"/>
      <c r="D75" s="31"/>
      <c r="E75" s="34"/>
      <c r="F75" s="31"/>
      <c r="G75" s="34"/>
      <c r="H75" s="31"/>
      <c r="I75" s="34"/>
      <c r="J75" s="31"/>
      <c r="K75" s="34"/>
      <c r="L75" s="31"/>
      <c r="M75" s="34"/>
      <c r="N75" s="31"/>
      <c r="O75" s="34"/>
      <c r="P75" s="31"/>
      <c r="Q75" s="34"/>
      <c r="R75" s="31"/>
      <c r="S75" s="34"/>
      <c r="T75" s="31"/>
      <c r="U75" s="34"/>
      <c r="V75" s="31"/>
      <c r="W75" s="34"/>
      <c r="X75" s="31"/>
      <c r="Y75" s="34"/>
      <c r="Z75" s="31"/>
      <c r="AA75" s="31"/>
      <c r="AB75" s="31"/>
      <c r="AC75" s="31"/>
    </row>
    <row r="76" spans="1:3" ht="11.25">
      <c r="A76" s="44" t="s">
        <v>93</v>
      </c>
      <c r="B76" s="31"/>
      <c r="C76" s="70"/>
    </row>
    <row r="77" ht="11.25">
      <c r="A77" s="44"/>
    </row>
    <row r="78" ht="11.25">
      <c r="A78" s="1"/>
    </row>
    <row r="79" spans="1:3" ht="12.75">
      <c r="A79"/>
      <c r="B79"/>
      <c r="C79"/>
    </row>
    <row r="80" ht="11.25">
      <c r="A80" s="1"/>
    </row>
    <row r="81" spans="1:5" ht="11.25">
      <c r="A81" s="1" t="s">
        <v>0</v>
      </c>
      <c r="E81" s="68"/>
    </row>
    <row r="82" ht="11.25">
      <c r="A82" s="28" t="s">
        <v>29</v>
      </c>
    </row>
    <row r="83" spans="1:4" ht="11.25">
      <c r="A83" s="45" t="str">
        <f>A3</f>
        <v>1978-1989</v>
      </c>
      <c r="B83" s="13"/>
      <c r="C83" s="13"/>
      <c r="D83" s="13"/>
    </row>
    <row r="84" spans="1:3" ht="11.25">
      <c r="A84" s="1" t="s">
        <v>2</v>
      </c>
      <c r="B84" s="3"/>
      <c r="C84" s="1"/>
    </row>
    <row r="85" ht="12.75">
      <c r="A85"/>
    </row>
    <row r="86" ht="11.25">
      <c r="A86" s="29"/>
    </row>
    <row r="87" spans="3:25" ht="11.25">
      <c r="C87" s="66" t="s">
        <v>3</v>
      </c>
      <c r="E87" s="66" t="s">
        <v>4</v>
      </c>
      <c r="G87" s="66" t="s">
        <v>5</v>
      </c>
      <c r="I87" s="66" t="s">
        <v>6</v>
      </c>
      <c r="K87" s="66" t="s">
        <v>7</v>
      </c>
      <c r="M87" s="66" t="s">
        <v>8</v>
      </c>
      <c r="O87" s="66" t="s">
        <v>9</v>
      </c>
      <c r="Q87" s="66" t="s">
        <v>10</v>
      </c>
      <c r="S87" s="66" t="s">
        <v>11</v>
      </c>
      <c r="U87" s="66" t="s">
        <v>12</v>
      </c>
      <c r="W87" s="66" t="s">
        <v>13</v>
      </c>
      <c r="Y87" s="66" t="s">
        <v>14</v>
      </c>
    </row>
    <row r="88" spans="3:25" ht="11.25">
      <c r="C88" s="3"/>
      <c r="E88" s="3"/>
      <c r="G88" s="3"/>
      <c r="I88" s="3"/>
      <c r="K88" s="3"/>
      <c r="M88" s="3"/>
      <c r="O88" s="3"/>
      <c r="Q88" s="3"/>
      <c r="S88" s="3"/>
      <c r="U88" s="3"/>
      <c r="W88" s="3"/>
      <c r="Y88" s="3"/>
    </row>
    <row r="90" spans="1:26" ht="11.25">
      <c r="A90" s="1" t="s">
        <v>15</v>
      </c>
      <c r="C90" s="6"/>
      <c r="D90" s="6"/>
      <c r="E90" s="6"/>
      <c r="F90" s="6"/>
      <c r="G90" s="6"/>
      <c r="H90" s="6"/>
      <c r="I90" s="6">
        <v>58388</v>
      </c>
      <c r="J90" s="6"/>
      <c r="K90" s="6">
        <v>73691</v>
      </c>
      <c r="L90" s="6"/>
      <c r="M90" s="6">
        <v>75216</v>
      </c>
      <c r="N90" s="6"/>
      <c r="O90" s="6">
        <v>73547</v>
      </c>
      <c r="P90" s="6"/>
      <c r="Q90" s="6">
        <v>66438</v>
      </c>
      <c r="R90" s="6"/>
      <c r="S90" s="6">
        <v>41788</v>
      </c>
      <c r="T90" s="6"/>
      <c r="U90" s="6">
        <v>27666</v>
      </c>
      <c r="V90" s="6"/>
      <c r="W90" s="6">
        <v>29952</v>
      </c>
      <c r="X90" s="6"/>
      <c r="Y90" s="6">
        <v>10172</v>
      </c>
      <c r="Z90" s="77" t="s">
        <v>46</v>
      </c>
    </row>
    <row r="92" spans="1:26" ht="11.25">
      <c r="A92" s="30" t="s">
        <v>17</v>
      </c>
      <c r="C92" s="5"/>
      <c r="D92" s="5"/>
      <c r="E92" s="5"/>
      <c r="F92" s="5"/>
      <c r="G92" s="6">
        <v>2684</v>
      </c>
      <c r="H92" s="5"/>
      <c r="I92" s="5">
        <v>91681</v>
      </c>
      <c r="J92" s="5"/>
      <c r="K92" s="5">
        <v>106006</v>
      </c>
      <c r="L92" s="5"/>
      <c r="M92" s="5">
        <v>136913</v>
      </c>
      <c r="N92" s="5"/>
      <c r="O92" s="5">
        <v>133973</v>
      </c>
      <c r="P92" s="100"/>
      <c r="Q92" s="5">
        <v>127552</v>
      </c>
      <c r="R92" s="5"/>
      <c r="S92" s="5">
        <v>126265</v>
      </c>
      <c r="T92" s="5"/>
      <c r="U92" s="5">
        <v>122163</v>
      </c>
      <c r="V92" s="5"/>
      <c r="W92" s="5">
        <v>108628</v>
      </c>
      <c r="X92" s="5"/>
      <c r="Y92" s="5">
        <v>100377</v>
      </c>
      <c r="Z92" s="5"/>
    </row>
    <row r="93" spans="1:26" ht="11.25">
      <c r="A93" s="3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1.25">
      <c r="A94" s="30" t="s">
        <v>18</v>
      </c>
      <c r="C94" s="5"/>
      <c r="D94" s="5"/>
      <c r="E94" s="6">
        <v>697</v>
      </c>
      <c r="F94" s="5"/>
      <c r="G94" s="5">
        <v>104769</v>
      </c>
      <c r="H94" s="5"/>
      <c r="I94" s="5">
        <v>98657</v>
      </c>
      <c r="J94" s="5"/>
      <c r="K94" s="5">
        <v>96248</v>
      </c>
      <c r="L94" s="7"/>
      <c r="M94" s="5">
        <v>105457</v>
      </c>
      <c r="N94" s="5"/>
      <c r="O94" s="5">
        <v>110200</v>
      </c>
      <c r="P94" s="5"/>
      <c r="Q94" s="5">
        <v>98928</v>
      </c>
      <c r="R94" s="5"/>
      <c r="S94" s="5">
        <v>97495</v>
      </c>
      <c r="T94" s="5"/>
      <c r="U94" s="5">
        <v>106870</v>
      </c>
      <c r="V94" s="5"/>
      <c r="W94" s="5">
        <v>110307</v>
      </c>
      <c r="X94" s="5"/>
      <c r="Y94" s="5">
        <v>111311</v>
      </c>
      <c r="Z94" s="5"/>
    </row>
    <row r="95" spans="1:26" ht="11.25">
      <c r="A95" s="3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1.25">
      <c r="A96" s="30" t="s">
        <v>19</v>
      </c>
      <c r="C96" s="5"/>
      <c r="D96" s="5"/>
      <c r="E96" s="5">
        <v>54076</v>
      </c>
      <c r="F96" s="5"/>
      <c r="G96" s="5">
        <v>131324</v>
      </c>
      <c r="H96" s="5"/>
      <c r="I96" s="5">
        <v>127877</v>
      </c>
      <c r="J96" s="5"/>
      <c r="K96" s="5">
        <v>120247</v>
      </c>
      <c r="L96" s="5"/>
      <c r="M96" s="5">
        <v>116743</v>
      </c>
      <c r="N96" s="5"/>
      <c r="O96" s="5">
        <v>122289</v>
      </c>
      <c r="P96" s="5"/>
      <c r="Q96" s="5">
        <v>135928</v>
      </c>
      <c r="R96" s="5"/>
      <c r="S96" s="5">
        <v>134075</v>
      </c>
      <c r="T96" s="5"/>
      <c r="U96" s="5">
        <v>154694</v>
      </c>
      <c r="V96" s="5"/>
      <c r="W96" s="5">
        <v>164954</v>
      </c>
      <c r="X96" s="5"/>
      <c r="Y96" s="5">
        <v>155140</v>
      </c>
      <c r="Z96" s="5"/>
    </row>
    <row r="97" spans="1:26" ht="11.25">
      <c r="A97" s="3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1.25">
      <c r="A98" s="39" t="s">
        <v>20</v>
      </c>
      <c r="C98" s="5"/>
      <c r="D98" s="5"/>
      <c r="E98" s="5"/>
      <c r="F98" s="5"/>
      <c r="G98" s="5"/>
      <c r="H98" s="5"/>
      <c r="I98" s="5">
        <v>17596</v>
      </c>
      <c r="J98" s="5"/>
      <c r="K98" s="5">
        <v>46173</v>
      </c>
      <c r="L98" s="5"/>
      <c r="M98" s="5">
        <v>56124</v>
      </c>
      <c r="N98" s="7"/>
      <c r="O98" s="5">
        <v>58027</v>
      </c>
      <c r="P98" s="5"/>
      <c r="Q98" s="5">
        <v>53846</v>
      </c>
      <c r="R98" s="5"/>
      <c r="S98" s="5">
        <v>55197</v>
      </c>
      <c r="T98" s="5"/>
      <c r="U98" s="5">
        <v>55408</v>
      </c>
      <c r="V98" s="5"/>
      <c r="W98" s="5">
        <v>55142</v>
      </c>
      <c r="X98" s="5"/>
      <c r="Y98" s="5">
        <v>48832</v>
      </c>
      <c r="Z98" s="5"/>
    </row>
    <row r="99" spans="1:26" ht="11.25">
      <c r="A99" s="3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1.25">
      <c r="A100" s="30" t="s">
        <v>21</v>
      </c>
      <c r="C100" s="5"/>
      <c r="D100" s="5"/>
      <c r="E100" s="5"/>
      <c r="F100" s="5"/>
      <c r="G100" s="5">
        <v>3412</v>
      </c>
      <c r="H100" s="5"/>
      <c r="I100" s="5">
        <v>69464</v>
      </c>
      <c r="J100" s="5"/>
      <c r="K100" s="5">
        <v>78539</v>
      </c>
      <c r="L100" s="5"/>
      <c r="M100" s="5">
        <v>84906</v>
      </c>
      <c r="N100" s="5"/>
      <c r="O100" s="5">
        <v>83927</v>
      </c>
      <c r="P100" s="5"/>
      <c r="Q100" s="5">
        <v>87059</v>
      </c>
      <c r="R100" s="5"/>
      <c r="S100" s="5">
        <v>102930</v>
      </c>
      <c r="T100" s="5"/>
      <c r="U100" s="5">
        <v>105011</v>
      </c>
      <c r="V100" s="5"/>
      <c r="W100" s="5">
        <v>113262</v>
      </c>
      <c r="X100" s="5"/>
      <c r="Y100" s="5">
        <v>112881</v>
      </c>
      <c r="Z100" s="5"/>
    </row>
    <row r="101" spans="1:26" ht="11.25">
      <c r="A101" s="3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1.25">
      <c r="A102" s="30" t="s">
        <v>22</v>
      </c>
      <c r="C102" s="6">
        <v>75491</v>
      </c>
      <c r="D102" s="5"/>
      <c r="E102" s="5">
        <v>133362</v>
      </c>
      <c r="F102" s="7"/>
      <c r="G102" s="5">
        <v>116861</v>
      </c>
      <c r="H102" s="7"/>
      <c r="I102" s="5">
        <v>102000</v>
      </c>
      <c r="J102" s="7"/>
      <c r="K102" s="5">
        <v>114228</v>
      </c>
      <c r="L102" s="7"/>
      <c r="M102" s="5">
        <v>126241</v>
      </c>
      <c r="N102" s="7"/>
      <c r="O102" s="5">
        <v>123059</v>
      </c>
      <c r="P102" s="5"/>
      <c r="Q102" s="5">
        <v>121502</v>
      </c>
      <c r="R102" s="5"/>
      <c r="S102" s="5">
        <v>115248</v>
      </c>
      <c r="T102" s="5"/>
      <c r="U102" s="5">
        <v>111424</v>
      </c>
      <c r="V102" s="5"/>
      <c r="W102" s="5">
        <v>111451</v>
      </c>
      <c r="X102" s="5"/>
      <c r="Y102" s="5">
        <v>101672</v>
      </c>
      <c r="Z102" s="5"/>
    </row>
    <row r="103" spans="1:26" ht="11.25">
      <c r="A103" s="3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1.25">
      <c r="A104" s="30" t="s">
        <v>23</v>
      </c>
      <c r="C104" s="5"/>
      <c r="D104" s="5"/>
      <c r="E104" s="5"/>
      <c r="F104" s="5"/>
      <c r="G104" s="5">
        <v>15796</v>
      </c>
      <c r="H104" s="5"/>
      <c r="I104" s="5">
        <v>56933</v>
      </c>
      <c r="J104" s="5"/>
      <c r="K104" s="5">
        <v>86125</v>
      </c>
      <c r="L104" s="5"/>
      <c r="M104" s="5">
        <v>88405</v>
      </c>
      <c r="N104" s="5"/>
      <c r="O104" s="5">
        <v>86120</v>
      </c>
      <c r="P104" s="5"/>
      <c r="Q104" s="5">
        <v>93406</v>
      </c>
      <c r="R104" s="5"/>
      <c r="S104" s="5">
        <v>96318</v>
      </c>
      <c r="T104" s="5"/>
      <c r="U104" s="5">
        <v>94618</v>
      </c>
      <c r="V104" s="5"/>
      <c r="W104" s="5">
        <v>97670</v>
      </c>
      <c r="X104" s="5"/>
      <c r="Y104" s="5">
        <v>105151</v>
      </c>
      <c r="Z104" s="5"/>
    </row>
    <row r="105" spans="1:26" ht="11.25">
      <c r="A105" s="3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1.25">
      <c r="A106" s="30" t="s">
        <v>24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>
        <v>60422</v>
      </c>
      <c r="V106" s="5"/>
      <c r="W106" s="5">
        <v>92843</v>
      </c>
      <c r="X106" s="5"/>
      <c r="Y106" s="5">
        <v>111609</v>
      </c>
      <c r="Z106" s="7"/>
    </row>
    <row r="107" spans="1:26" ht="11.25">
      <c r="A107" s="3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1.25">
      <c r="A108" s="39" t="s">
        <v>25</v>
      </c>
      <c r="C108" s="5"/>
      <c r="D108" s="5"/>
      <c r="E108" s="5"/>
      <c r="F108" s="5"/>
      <c r="G108" s="5"/>
      <c r="H108" s="5"/>
      <c r="I108" s="5">
        <v>6929</v>
      </c>
      <c r="J108" s="5"/>
      <c r="K108" s="5">
        <v>77917</v>
      </c>
      <c r="L108" s="5"/>
      <c r="M108" s="5">
        <v>103003</v>
      </c>
      <c r="N108" s="5"/>
      <c r="O108" s="5">
        <v>118830</v>
      </c>
      <c r="P108" s="5"/>
      <c r="Q108" s="5">
        <v>106200</v>
      </c>
      <c r="R108" s="5"/>
      <c r="S108" s="5">
        <v>105670</v>
      </c>
      <c r="T108" s="5"/>
      <c r="U108" s="5">
        <v>95343</v>
      </c>
      <c r="V108" s="5"/>
      <c r="W108" s="5">
        <v>93034</v>
      </c>
      <c r="X108" s="5"/>
      <c r="Y108" s="5">
        <v>112040</v>
      </c>
      <c r="Z108" s="5"/>
    </row>
    <row r="109" spans="3:26" ht="11.2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1.25">
      <c r="A110" s="1" t="s">
        <v>45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>
        <v>55866</v>
      </c>
      <c r="R110" s="5"/>
      <c r="S110" s="5">
        <v>111208</v>
      </c>
      <c r="T110" s="5"/>
      <c r="U110" s="5">
        <v>118239</v>
      </c>
      <c r="V110" s="5"/>
      <c r="W110" s="5">
        <v>117042</v>
      </c>
      <c r="X110" s="5"/>
      <c r="Y110" s="5">
        <v>117584</v>
      </c>
      <c r="Z110" s="7"/>
    </row>
    <row r="111" spans="3:26" ht="11.25">
      <c r="C111" s="5"/>
      <c r="D111" s="5"/>
      <c r="E111" s="5"/>
      <c r="F111" s="5"/>
      <c r="G111" s="5"/>
      <c r="H111" s="5"/>
      <c r="I111" s="5"/>
      <c r="J111" s="5"/>
      <c r="K111" s="58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1.25">
      <c r="A112" s="1" t="s">
        <v>26</v>
      </c>
      <c r="C112" s="67"/>
      <c r="D112" s="5"/>
      <c r="E112" s="67"/>
      <c r="F112" s="5"/>
      <c r="G112" s="67"/>
      <c r="H112" s="5"/>
      <c r="I112" s="67"/>
      <c r="J112" s="5"/>
      <c r="K112" s="67"/>
      <c r="L112" s="5"/>
      <c r="M112" s="67"/>
      <c r="N112" s="5"/>
      <c r="O112" s="67">
        <v>61697</v>
      </c>
      <c r="P112" s="5"/>
      <c r="Q112" s="67">
        <v>104184</v>
      </c>
      <c r="R112" s="5"/>
      <c r="S112" s="67">
        <v>109649</v>
      </c>
      <c r="T112" s="7"/>
      <c r="U112" s="67">
        <v>117725</v>
      </c>
      <c r="V112" s="5"/>
      <c r="W112" s="67">
        <v>146911</v>
      </c>
      <c r="X112" s="7"/>
      <c r="Y112" s="67">
        <v>143032</v>
      </c>
      <c r="Z112" s="5"/>
    </row>
    <row r="113" spans="3:25" ht="11.25">
      <c r="C113" s="3"/>
      <c r="E113" s="3"/>
      <c r="G113" s="3"/>
      <c r="I113" s="3"/>
      <c r="K113" s="3"/>
      <c r="M113" s="3"/>
      <c r="O113" s="3"/>
      <c r="Q113" s="3"/>
      <c r="S113" s="3"/>
      <c r="U113" s="3"/>
      <c r="W113" s="3"/>
      <c r="Y113" s="3"/>
    </row>
    <row r="114" spans="1:26" ht="12" thickBot="1">
      <c r="A114" s="30" t="s">
        <v>38</v>
      </c>
      <c r="C114" s="86">
        <f>SUM(C90:C112)</f>
        <v>75491</v>
      </c>
      <c r="D114" s="6"/>
      <c r="E114" s="86">
        <f>SUM(E90:E112)</f>
        <v>188135</v>
      </c>
      <c r="F114" s="6"/>
      <c r="G114" s="86">
        <f>SUM(G90:G112)</f>
        <v>374846</v>
      </c>
      <c r="H114" s="6"/>
      <c r="I114" s="86">
        <f>SUM(I90:I112)</f>
        <v>629525</v>
      </c>
      <c r="J114" s="6"/>
      <c r="K114" s="86">
        <f>SUM(K90:K112)</f>
        <v>799174</v>
      </c>
      <c r="L114" s="6"/>
      <c r="M114" s="86">
        <f>SUM(M90:M112)</f>
        <v>893008</v>
      </c>
      <c r="N114" s="6"/>
      <c r="O114" s="86">
        <f>SUM(O90:O112)</f>
        <v>971669</v>
      </c>
      <c r="P114" s="6"/>
      <c r="Q114" s="86">
        <f>SUM(Q90:Q112)</f>
        <v>1050909</v>
      </c>
      <c r="R114" s="6"/>
      <c r="S114" s="86">
        <f>SUM(S90:S112)</f>
        <v>1095843</v>
      </c>
      <c r="T114" s="6"/>
      <c r="U114" s="86">
        <f>SUM(U90:U112)</f>
        <v>1169583</v>
      </c>
      <c r="V114" s="6"/>
      <c r="W114" s="86">
        <f>SUM(W90:W112)</f>
        <v>1241196</v>
      </c>
      <c r="X114" s="6"/>
      <c r="Y114" s="86">
        <f>SUM(Y90:Y112)</f>
        <v>1229801</v>
      </c>
      <c r="Z114" s="6"/>
    </row>
    <row r="115" spans="3:25" ht="13.5" thickTop="1">
      <c r="C115" s="3"/>
      <c r="E115"/>
      <c r="G115" s="3"/>
      <c r="I115" s="3"/>
      <c r="K115" s="3"/>
      <c r="M115" s="3"/>
      <c r="O115" s="3"/>
      <c r="Q115" s="3"/>
      <c r="S115" s="3"/>
      <c r="U115" s="3"/>
      <c r="W115" s="3"/>
      <c r="Y115" s="3"/>
    </row>
    <row r="116" spans="1:3" ht="11.25">
      <c r="A116" s="44" t="s">
        <v>48</v>
      </c>
      <c r="B116" s="31"/>
      <c r="C116" s="70"/>
    </row>
    <row r="117" spans="1:3" ht="11.25">
      <c r="A117" s="44"/>
      <c r="B117" s="31"/>
      <c r="C117" s="70"/>
    </row>
    <row r="118" spans="1:3" ht="11.25">
      <c r="A118" s="69"/>
      <c r="B118" s="31"/>
      <c r="C118" s="70"/>
    </row>
    <row r="119" spans="1:3" ht="11.25">
      <c r="A119" s="69"/>
      <c r="B119" s="31"/>
      <c r="C119" s="70"/>
    </row>
    <row r="120" ht="11.25">
      <c r="A120" s="28"/>
    </row>
    <row r="121" spans="1:5" ht="11.25">
      <c r="A121" s="1" t="s">
        <v>0</v>
      </c>
      <c r="E121" s="68"/>
    </row>
    <row r="122" ht="11.25">
      <c r="A122" s="28" t="s">
        <v>31</v>
      </c>
    </row>
    <row r="123" spans="1:4" ht="11.25">
      <c r="A123" s="45" t="str">
        <f>A3</f>
        <v>1978-1989</v>
      </c>
      <c r="B123" s="13"/>
      <c r="C123" s="13"/>
      <c r="D123" s="13"/>
    </row>
    <row r="124" spans="1:3" ht="11.25">
      <c r="A124" s="3"/>
      <c r="B124" s="3"/>
      <c r="C124" s="1"/>
    </row>
    <row r="125" ht="12.75">
      <c r="C125"/>
    </row>
    <row r="126" spans="3:25" ht="11.25">
      <c r="C126" s="208"/>
      <c r="E126" s="66" t="s">
        <v>4</v>
      </c>
      <c r="G126" s="66" t="s">
        <v>5</v>
      </c>
      <c r="I126" s="66" t="s">
        <v>6</v>
      </c>
      <c r="K126" s="66" t="s">
        <v>7</v>
      </c>
      <c r="M126" s="66" t="s">
        <v>8</v>
      </c>
      <c r="O126" s="66" t="s">
        <v>9</v>
      </c>
      <c r="Q126" s="66" t="s">
        <v>10</v>
      </c>
      <c r="S126" s="66" t="s">
        <v>11</v>
      </c>
      <c r="U126" s="66" t="s">
        <v>12</v>
      </c>
      <c r="W126" s="66" t="s">
        <v>13</v>
      </c>
      <c r="Y126" s="66" t="s">
        <v>14</v>
      </c>
    </row>
    <row r="127" spans="3:25" ht="12.75">
      <c r="C127"/>
      <c r="E127" s="3"/>
      <c r="G127" s="3"/>
      <c r="I127" s="3"/>
      <c r="K127" s="3"/>
      <c r="M127" s="3"/>
      <c r="O127" s="3"/>
      <c r="Q127" s="3"/>
      <c r="S127" s="3"/>
      <c r="U127" s="3"/>
      <c r="W127" s="3"/>
      <c r="Y127" s="3"/>
    </row>
    <row r="128" ht="12.75">
      <c r="C128"/>
    </row>
    <row r="129" spans="1:26" ht="11.25">
      <c r="A129" s="1" t="s">
        <v>15</v>
      </c>
      <c r="C129" s="10"/>
      <c r="D129" s="10"/>
      <c r="E129" s="10"/>
      <c r="F129" s="10"/>
      <c r="G129" s="10"/>
      <c r="H129" s="10"/>
      <c r="I129" s="10"/>
      <c r="J129" s="10"/>
      <c r="K129" s="10">
        <f>(K90-I90)/I90</f>
        <v>0.262</v>
      </c>
      <c r="L129" s="10"/>
      <c r="M129" s="10">
        <f>(M90-K90)/K90</f>
        <v>0.021</v>
      </c>
      <c r="N129" s="10"/>
      <c r="O129" s="10">
        <f>(O90-M90)/M90</f>
        <v>-0.022</v>
      </c>
      <c r="P129" s="10"/>
      <c r="Q129" s="10">
        <f>(Q90-O90)/O90</f>
        <v>-0.097</v>
      </c>
      <c r="R129" s="10"/>
      <c r="S129" s="10">
        <f>(S90-Q90)/Q90</f>
        <v>-0.371</v>
      </c>
      <c r="T129" s="10"/>
      <c r="U129" s="10">
        <f>(U90-S90)/S90</f>
        <v>-0.338</v>
      </c>
      <c r="V129" s="10"/>
      <c r="W129" s="10">
        <f>(W90-U90)/U90</f>
        <v>0.083</v>
      </c>
      <c r="X129" s="10"/>
      <c r="Y129" s="10">
        <f>(Y90-W90)/W90</f>
        <v>-0.66</v>
      </c>
      <c r="Z129" s="178" t="s">
        <v>46</v>
      </c>
    </row>
    <row r="130" spans="3:26" ht="11.25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1.25">
      <c r="A131" s="30" t="s">
        <v>17</v>
      </c>
      <c r="C131" s="10"/>
      <c r="D131" s="10"/>
      <c r="E131" s="10"/>
      <c r="F131" s="10"/>
      <c r="G131" s="10"/>
      <c r="H131" s="10"/>
      <c r="I131" s="10">
        <f>(I92-G92)/G92</f>
        <v>33.158</v>
      </c>
      <c r="J131" s="10"/>
      <c r="K131" s="10">
        <f>(K92-I92)/I92</f>
        <v>0.156</v>
      </c>
      <c r="L131" s="10"/>
      <c r="M131" s="10">
        <f>(M92-K92)/K92</f>
        <v>0.292</v>
      </c>
      <c r="N131" s="10"/>
      <c r="O131" s="10">
        <f>(O92-M92)/M92</f>
        <v>-0.021</v>
      </c>
      <c r="P131" s="10"/>
      <c r="Q131" s="10">
        <f>(Q92-O92)/O92</f>
        <v>-0.048</v>
      </c>
      <c r="R131" s="10"/>
      <c r="S131" s="10">
        <f>(S92-Q92)/Q92</f>
        <v>-0.01</v>
      </c>
      <c r="T131" s="10"/>
      <c r="U131" s="10">
        <f>(U92-S92)/S92</f>
        <v>-0.032</v>
      </c>
      <c r="V131" s="10"/>
      <c r="W131" s="10">
        <f>(W92-U92)/U92</f>
        <v>-0.111</v>
      </c>
      <c r="X131" s="10"/>
      <c r="Y131" s="10">
        <f>(Y92-W92)/W92</f>
        <v>-0.076</v>
      </c>
      <c r="Z131" s="10"/>
    </row>
    <row r="132" spans="1:26" ht="11.25">
      <c r="A132" s="31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1.25">
      <c r="A133" s="30" t="s">
        <v>18</v>
      </c>
      <c r="C133" s="10"/>
      <c r="D133" s="10"/>
      <c r="E133" s="10"/>
      <c r="F133" s="10"/>
      <c r="G133" s="10">
        <f>(G94-E94)/E94</f>
        <v>149.314</v>
      </c>
      <c r="H133" s="10"/>
      <c r="I133" s="10">
        <f>(I94-G94)/G94</f>
        <v>-0.058</v>
      </c>
      <c r="J133" s="10"/>
      <c r="K133" s="10">
        <f>(K94-I94)/I94</f>
        <v>-0.024</v>
      </c>
      <c r="L133" s="10"/>
      <c r="M133" s="10">
        <f>(M94-K94)/K94</f>
        <v>0.096</v>
      </c>
      <c r="N133" s="10"/>
      <c r="O133" s="10">
        <f>(O94-M94)/M94</f>
        <v>0.045</v>
      </c>
      <c r="P133" s="10"/>
      <c r="Q133" s="10">
        <f>(Q94-O94)/O94</f>
        <v>-0.102</v>
      </c>
      <c r="R133" s="10"/>
      <c r="S133" s="10">
        <f>(S94-Q94)/Q94</f>
        <v>-0.014</v>
      </c>
      <c r="T133" s="10"/>
      <c r="U133" s="10">
        <f>(U94-S94)/S94</f>
        <v>0.096</v>
      </c>
      <c r="V133" s="10"/>
      <c r="W133" s="10">
        <f>(W94-U94)/U94</f>
        <v>0.032</v>
      </c>
      <c r="X133" s="10"/>
      <c r="Y133" s="10">
        <f>(Y94-W94)/W94</f>
        <v>0.009</v>
      </c>
      <c r="Z133" s="10"/>
    </row>
    <row r="134" spans="1:26" ht="11.25">
      <c r="A134" s="31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1.25">
      <c r="A135" s="30" t="s">
        <v>19</v>
      </c>
      <c r="C135" s="10"/>
      <c r="D135" s="10"/>
      <c r="E135" s="10"/>
      <c r="F135" s="10"/>
      <c r="G135" s="10">
        <f>(G96-E96)/E96</f>
        <v>1.429</v>
      </c>
      <c r="H135" s="10"/>
      <c r="I135" s="10">
        <f>(I96-G96)/G96</f>
        <v>-0.026</v>
      </c>
      <c r="J135" s="10"/>
      <c r="K135" s="10">
        <f>(K96-I96)/I96</f>
        <v>-0.06</v>
      </c>
      <c r="L135" s="10"/>
      <c r="M135" s="10">
        <f>(M96-K96)/K96</f>
        <v>-0.029</v>
      </c>
      <c r="N135" s="10"/>
      <c r="O135" s="10">
        <f>(O96-M96)/M96</f>
        <v>0.048</v>
      </c>
      <c r="P135" s="10"/>
      <c r="Q135" s="10">
        <f>(Q96-O96)/O96</f>
        <v>0.112</v>
      </c>
      <c r="R135" s="10"/>
      <c r="S135" s="10">
        <f>(S96-Q96)/Q96</f>
        <v>-0.014</v>
      </c>
      <c r="T135" s="10"/>
      <c r="U135" s="10">
        <f>(U96-S96)/S96</f>
        <v>0.154</v>
      </c>
      <c r="V135" s="10"/>
      <c r="W135" s="10">
        <f>(W96-U96)/U96</f>
        <v>0.066</v>
      </c>
      <c r="X135" s="10"/>
      <c r="Y135" s="10">
        <f>(Y96-W96)/W96</f>
        <v>-0.059</v>
      </c>
      <c r="Z135" s="10"/>
    </row>
    <row r="136" spans="1:26" ht="11.25">
      <c r="A136" s="31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1.25">
      <c r="A137" s="39" t="s">
        <v>20</v>
      </c>
      <c r="C137" s="10"/>
      <c r="D137" s="10"/>
      <c r="E137" s="10"/>
      <c r="F137" s="10"/>
      <c r="G137" s="10"/>
      <c r="H137" s="10"/>
      <c r="I137" s="10"/>
      <c r="J137" s="10"/>
      <c r="K137" s="10">
        <f>(K98-I98)/I98</f>
        <v>1.624</v>
      </c>
      <c r="L137" s="10"/>
      <c r="M137" s="10">
        <f>(M98-K98)/K98</f>
        <v>0.216</v>
      </c>
      <c r="N137" s="10"/>
      <c r="O137" s="10">
        <f>(O98-M98)/M98</f>
        <v>0.034</v>
      </c>
      <c r="P137" s="10"/>
      <c r="Q137" s="10">
        <f>(Q98-O98)/O98</f>
        <v>-0.072</v>
      </c>
      <c r="R137" s="10"/>
      <c r="S137" s="10">
        <f>(S98-Q98)/Q98</f>
        <v>0.025</v>
      </c>
      <c r="T137" s="10"/>
      <c r="U137" s="10">
        <f>(U98-S98)/S98</f>
        <v>0.004</v>
      </c>
      <c r="V137" s="10"/>
      <c r="W137" s="10">
        <f>(W98-U98)/U98</f>
        <v>-0.005</v>
      </c>
      <c r="X137" s="10"/>
      <c r="Y137" s="10">
        <f>(Y98-W98)/W98</f>
        <v>-0.114</v>
      </c>
      <c r="Z137" s="10"/>
    </row>
    <row r="138" spans="1:26" ht="11.25">
      <c r="A138" s="31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1.25">
      <c r="A139" s="30" t="s">
        <v>21</v>
      </c>
      <c r="C139" s="10"/>
      <c r="D139" s="10"/>
      <c r="E139" s="10"/>
      <c r="F139" s="10"/>
      <c r="G139" s="10"/>
      <c r="H139" s="10"/>
      <c r="I139" s="10">
        <f>(I100-G100)/G100</f>
        <v>19.359</v>
      </c>
      <c r="J139" s="10"/>
      <c r="K139" s="10">
        <f>(K100-I100)/I100</f>
        <v>0.131</v>
      </c>
      <c r="L139" s="10"/>
      <c r="M139" s="10">
        <f>(M100-K100)/K100</f>
        <v>0.081</v>
      </c>
      <c r="N139" s="10"/>
      <c r="O139" s="10">
        <f>(O100-M100)/M100</f>
        <v>-0.012</v>
      </c>
      <c r="P139" s="10"/>
      <c r="Q139" s="10">
        <f>(Q100-O100)/O100</f>
        <v>0.037</v>
      </c>
      <c r="R139" s="10"/>
      <c r="S139" s="10">
        <f>(S100-Q100)/Q100</f>
        <v>0.182</v>
      </c>
      <c r="T139" s="10"/>
      <c r="U139" s="10">
        <f>(U100-S100)/S100</f>
        <v>0.02</v>
      </c>
      <c r="V139" s="10"/>
      <c r="W139" s="10">
        <f>(W100-U100)/U100</f>
        <v>0.079</v>
      </c>
      <c r="X139" s="10"/>
      <c r="Y139" s="10">
        <f>(Y100-W100)/W100</f>
        <v>-0.003</v>
      </c>
      <c r="Z139" s="10"/>
    </row>
    <row r="140" spans="1:26" ht="11.25">
      <c r="A140" s="3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1.25">
      <c r="A141" s="30" t="s">
        <v>22</v>
      </c>
      <c r="C141" s="10"/>
      <c r="D141" s="10"/>
      <c r="E141" s="10">
        <f>(E102-C102)/C102</f>
        <v>0.767</v>
      </c>
      <c r="F141" s="10"/>
      <c r="G141" s="10">
        <f>(G102-E102)/E102</f>
        <v>-0.124</v>
      </c>
      <c r="H141" s="10"/>
      <c r="I141" s="10">
        <f>(I102-G102)/G102</f>
        <v>-0.127</v>
      </c>
      <c r="J141" s="10"/>
      <c r="K141" s="10">
        <f>(K102-I102)/I102</f>
        <v>0.12</v>
      </c>
      <c r="L141" s="10"/>
      <c r="M141" s="10">
        <f>(M102-K102)/K102</f>
        <v>0.105</v>
      </c>
      <c r="N141" s="10"/>
      <c r="O141" s="10">
        <f>(O102-M102)/M102</f>
        <v>-0.025</v>
      </c>
      <c r="P141" s="10"/>
      <c r="Q141" s="10">
        <f>(Q102-O102)/O102</f>
        <v>-0.013</v>
      </c>
      <c r="R141" s="10"/>
      <c r="S141" s="10">
        <f>(S102-Q102)/Q102</f>
        <v>-0.051</v>
      </c>
      <c r="T141" s="10"/>
      <c r="U141" s="10">
        <f>(U102-S102)/S102</f>
        <v>-0.033</v>
      </c>
      <c r="V141" s="10"/>
      <c r="W141" s="10">
        <f>(W102-U102)/U102</f>
        <v>0</v>
      </c>
      <c r="X141" s="10"/>
      <c r="Y141" s="10">
        <f>(Y102-W102)/W102</f>
        <v>-0.088</v>
      </c>
      <c r="Z141" s="10"/>
    </row>
    <row r="142" spans="1:26" ht="11.25">
      <c r="A142" s="3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1.25">
      <c r="A143" s="30" t="s">
        <v>23</v>
      </c>
      <c r="C143" s="10"/>
      <c r="D143" s="10"/>
      <c r="E143" s="10"/>
      <c r="F143" s="10"/>
      <c r="G143" s="10"/>
      <c r="H143" s="10"/>
      <c r="I143" s="10">
        <f>(I104-G104)/G104</f>
        <v>2.604</v>
      </c>
      <c r="J143" s="10"/>
      <c r="K143" s="10">
        <f>(K104-I104)/I104</f>
        <v>0.513</v>
      </c>
      <c r="L143" s="10"/>
      <c r="M143" s="10">
        <f>(M104-K104)/K104</f>
        <v>0.026</v>
      </c>
      <c r="N143" s="10"/>
      <c r="O143" s="10">
        <f>(O104-M104)/M104</f>
        <v>-0.026</v>
      </c>
      <c r="P143" s="10"/>
      <c r="Q143" s="10">
        <f>(Q104-O104)/O104</f>
        <v>0.085</v>
      </c>
      <c r="R143" s="10"/>
      <c r="S143" s="10">
        <f>(S104-Q104)/Q104</f>
        <v>0.031</v>
      </c>
      <c r="T143" s="10"/>
      <c r="U143" s="10">
        <f>(U104-S104)/S104</f>
        <v>-0.018</v>
      </c>
      <c r="V143" s="10"/>
      <c r="W143" s="10">
        <f>(W104-U104)/U104</f>
        <v>0.032</v>
      </c>
      <c r="X143" s="10"/>
      <c r="Y143" s="10">
        <f>(Y104-W104)/W104</f>
        <v>0.077</v>
      </c>
      <c r="Z143" s="10"/>
    </row>
    <row r="144" spans="1:26" ht="11.25">
      <c r="A144" s="31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1.25">
      <c r="A145" s="30" t="s">
        <v>24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>
        <f>(W106-U106)/U106</f>
        <v>0.537</v>
      </c>
      <c r="X145" s="10"/>
      <c r="Y145" s="10">
        <f>(Y106-W106)/W106</f>
        <v>0.202</v>
      </c>
      <c r="Z145" s="10"/>
    </row>
    <row r="146" spans="1:26" ht="11.25">
      <c r="A146" s="31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1.25">
      <c r="A147" s="39" t="s">
        <v>25</v>
      </c>
      <c r="C147" s="10"/>
      <c r="D147" s="10"/>
      <c r="E147" s="10"/>
      <c r="F147" s="10"/>
      <c r="G147" s="10"/>
      <c r="H147" s="10"/>
      <c r="I147" s="10"/>
      <c r="J147" s="10"/>
      <c r="K147" s="10">
        <f>(K108-I108)/I108</f>
        <v>10.245</v>
      </c>
      <c r="L147" s="10"/>
      <c r="M147" s="10">
        <f>(M108-K108)/K108</f>
        <v>0.322</v>
      </c>
      <c r="N147" s="10"/>
      <c r="O147" s="10">
        <f>(O108-M108)/M108</f>
        <v>0.154</v>
      </c>
      <c r="P147" s="10"/>
      <c r="Q147" s="10">
        <f>(Q108-O108)/O108</f>
        <v>-0.106</v>
      </c>
      <c r="R147" s="10"/>
      <c r="S147" s="10">
        <f>(S108-Q108)/Q108</f>
        <v>-0.005</v>
      </c>
      <c r="T147" s="10"/>
      <c r="U147" s="10">
        <f>(U108-S108)/S108</f>
        <v>-0.098</v>
      </c>
      <c r="V147" s="10"/>
      <c r="W147" s="10">
        <f>(W108-U108)/U108</f>
        <v>-0.024</v>
      </c>
      <c r="X147" s="10"/>
      <c r="Y147" s="10">
        <f>(Y108-W108)/W108</f>
        <v>0.204</v>
      </c>
      <c r="Z147" s="10"/>
    </row>
    <row r="148" spans="3:26" ht="11.25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1.25">
      <c r="A149" s="1" t="s">
        <v>45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>
        <f>(S110-Q110)/Q110</f>
        <v>0.991</v>
      </c>
      <c r="T149" s="10"/>
      <c r="U149" s="10">
        <f>(U110-S110)/S110</f>
        <v>0.063</v>
      </c>
      <c r="V149" s="10"/>
      <c r="W149" s="10">
        <f>(W110-U110)/U110</f>
        <v>-0.01</v>
      </c>
      <c r="X149" s="10"/>
      <c r="Y149" s="10">
        <f>(Y110-W110)/W110</f>
        <v>0.005</v>
      </c>
      <c r="Z149" s="10"/>
    </row>
    <row r="150" spans="3:26" ht="11.25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1.25">
      <c r="A151" s="1" t="s">
        <v>26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>
        <f>(Q112-O112)/O112</f>
        <v>0.689</v>
      </c>
      <c r="R151" s="10"/>
      <c r="S151" s="10">
        <f>(S112-Q112)/Q112</f>
        <v>0.052</v>
      </c>
      <c r="T151" s="10"/>
      <c r="U151" s="10">
        <f>(U112-S112)/S112</f>
        <v>0.074</v>
      </c>
      <c r="V151" s="10"/>
      <c r="W151" s="10">
        <f>(W112-U112)/U112</f>
        <v>0.248</v>
      </c>
      <c r="X151" s="10"/>
      <c r="Y151" s="10">
        <f>(Y112-W112)/W112</f>
        <v>-0.026</v>
      </c>
      <c r="Z151" s="10"/>
    </row>
    <row r="152" spans="3:27" ht="11.25">
      <c r="C152" s="62"/>
      <c r="D152" s="57"/>
      <c r="E152" s="10"/>
      <c r="F152" s="57"/>
      <c r="G152" s="10"/>
      <c r="H152" s="57"/>
      <c r="I152" s="10"/>
      <c r="J152" s="57"/>
      <c r="K152" s="10"/>
      <c r="L152" s="57"/>
      <c r="M152" s="10"/>
      <c r="N152" s="57"/>
      <c r="O152" s="10"/>
      <c r="P152" s="57"/>
      <c r="Q152" s="10"/>
      <c r="R152" s="57"/>
      <c r="S152" s="10"/>
      <c r="T152" s="57"/>
      <c r="U152" s="10"/>
      <c r="V152" s="57"/>
      <c r="W152" s="10"/>
      <c r="X152" s="57"/>
      <c r="Y152" s="10"/>
      <c r="Z152" s="57"/>
      <c r="AA152" s="57"/>
    </row>
    <row r="153" spans="1:27" ht="11.25">
      <c r="A153" s="30" t="s">
        <v>38</v>
      </c>
      <c r="C153" s="104"/>
      <c r="D153" s="57"/>
      <c r="E153" s="10">
        <f>(E114-C114)/C114</f>
        <v>1.492</v>
      </c>
      <c r="F153" s="89"/>
      <c r="G153" s="10">
        <f>(G114-E114)/E114</f>
        <v>0.992</v>
      </c>
      <c r="H153" s="89"/>
      <c r="I153" s="10">
        <f>(I114-G114)/G114</f>
        <v>0.679</v>
      </c>
      <c r="J153" s="89"/>
      <c r="K153" s="10">
        <f>(K114-I114)/I114</f>
        <v>0.269</v>
      </c>
      <c r="L153" s="89"/>
      <c r="M153" s="10">
        <f>(M114-K114)/K114</f>
        <v>0.117</v>
      </c>
      <c r="N153" s="89"/>
      <c r="O153" s="10">
        <f>(O114-M114)/M114</f>
        <v>0.088</v>
      </c>
      <c r="P153" s="89"/>
      <c r="Q153" s="10">
        <f>(Q114-O114)/O114</f>
        <v>0.082</v>
      </c>
      <c r="R153" s="89"/>
      <c r="S153" s="10">
        <f>(S114-Q114)/Q114</f>
        <v>0.043</v>
      </c>
      <c r="T153" s="89"/>
      <c r="U153" s="10">
        <f>(U114-S114)/S114</f>
        <v>0.067</v>
      </c>
      <c r="V153" s="89"/>
      <c r="W153" s="10">
        <f>(W114-U114)/U114</f>
        <v>0.061</v>
      </c>
      <c r="X153" s="89"/>
      <c r="Y153" s="10">
        <f>(Y114-W114)/W114</f>
        <v>-0.009</v>
      </c>
      <c r="Z153" s="89"/>
      <c r="AA153" s="57"/>
    </row>
    <row r="154" spans="3:27" ht="11.25">
      <c r="C154" s="62"/>
      <c r="D154" s="57"/>
      <c r="E154" s="62"/>
      <c r="F154" s="57"/>
      <c r="G154" s="62"/>
      <c r="H154" s="57"/>
      <c r="I154" s="62"/>
      <c r="J154" s="57"/>
      <c r="K154" s="62"/>
      <c r="L154" s="57"/>
      <c r="M154" s="62"/>
      <c r="N154" s="57"/>
      <c r="O154" s="62"/>
      <c r="P154" s="57"/>
      <c r="Q154" s="62"/>
      <c r="R154" s="57"/>
      <c r="S154" s="62"/>
      <c r="T154" s="57"/>
      <c r="U154" s="62"/>
      <c r="V154" s="57"/>
      <c r="W154" s="62"/>
      <c r="X154" s="57"/>
      <c r="Y154" s="62"/>
      <c r="Z154" s="57"/>
      <c r="AA154" s="57"/>
    </row>
    <row r="155" spans="1:27" ht="11.25">
      <c r="A155" s="44" t="s">
        <v>48</v>
      </c>
      <c r="C155" s="62"/>
      <c r="D155" s="57"/>
      <c r="E155" s="62"/>
      <c r="F155" s="57"/>
      <c r="G155" s="62"/>
      <c r="H155" s="57"/>
      <c r="I155" s="62"/>
      <c r="J155" s="57"/>
      <c r="K155" s="62"/>
      <c r="L155" s="57"/>
      <c r="M155" s="62"/>
      <c r="N155" s="57"/>
      <c r="O155" s="62"/>
      <c r="P155" s="57"/>
      <c r="Q155" s="62"/>
      <c r="R155" s="57"/>
      <c r="S155" s="62"/>
      <c r="T155" s="57"/>
      <c r="U155" s="62"/>
      <c r="V155" s="57"/>
      <c r="W155" s="62"/>
      <c r="X155" s="57"/>
      <c r="Y155" s="62"/>
      <c r="Z155" s="57"/>
      <c r="AA155" s="57"/>
    </row>
    <row r="156" spans="1:25" ht="11.25">
      <c r="A156" s="69"/>
      <c r="B156" s="31"/>
      <c r="C156" s="70"/>
      <c r="E156" s="3"/>
      <c r="G156" s="3"/>
      <c r="I156" s="3"/>
      <c r="K156" s="3"/>
      <c r="M156" s="3"/>
      <c r="O156" s="3"/>
      <c r="Q156" s="3"/>
      <c r="S156" s="3"/>
      <c r="U156" s="3"/>
      <c r="W156" s="3"/>
      <c r="Y156" s="3"/>
    </row>
    <row r="157" spans="1:25" ht="11.25">
      <c r="A157" s="69"/>
      <c r="B157" s="31"/>
      <c r="C157" s="70"/>
      <c r="E157" s="3"/>
      <c r="G157" s="3"/>
      <c r="I157" s="3"/>
      <c r="K157" s="3"/>
      <c r="M157" s="3"/>
      <c r="O157" s="3"/>
      <c r="Q157" s="3"/>
      <c r="S157" s="3"/>
      <c r="U157" s="3"/>
      <c r="W157" s="3"/>
      <c r="Y157" s="3"/>
    </row>
    <row r="158" spans="1:25" ht="11.25">
      <c r="A158" s="69"/>
      <c r="B158" s="31"/>
      <c r="C158" s="70"/>
      <c r="E158" s="3"/>
      <c r="G158" s="3"/>
      <c r="I158" s="3"/>
      <c r="K158" s="3"/>
      <c r="M158" s="3"/>
      <c r="O158" s="3"/>
      <c r="Q158" s="3"/>
      <c r="S158" s="3"/>
      <c r="U158" s="3"/>
      <c r="W158" s="3"/>
      <c r="Y158" s="3"/>
    </row>
    <row r="159" spans="3:25" ht="11.25">
      <c r="C159" s="3"/>
      <c r="E159" s="3"/>
      <c r="G159" s="3"/>
      <c r="I159" s="3"/>
      <c r="K159" s="3"/>
      <c r="M159" s="3"/>
      <c r="O159" s="3"/>
      <c r="Q159" s="3"/>
      <c r="S159" s="3"/>
      <c r="U159" s="3"/>
      <c r="W159" s="3"/>
      <c r="Y159" s="3"/>
    </row>
    <row r="160" ht="11.25">
      <c r="A160" s="1"/>
    </row>
    <row r="161" spans="1:26" ht="11.25">
      <c r="A161" s="30" t="s">
        <v>0</v>
      </c>
      <c r="B161" s="31"/>
      <c r="C161" s="31"/>
      <c r="D161" s="31"/>
      <c r="E161" s="68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1.25">
      <c r="A162" s="39" t="s">
        <v>32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1.25">
      <c r="A163" s="54" t="str">
        <f>A3</f>
        <v>1978-1989</v>
      </c>
      <c r="B163" s="32"/>
      <c r="C163" s="32"/>
      <c r="D163" s="32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1.25">
      <c r="A164" s="30" t="s">
        <v>2</v>
      </c>
      <c r="B164" s="34"/>
      <c r="C164" s="34"/>
      <c r="D164" s="30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2.75">
      <c r="A165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1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9" ht="12.75">
      <c r="A167" s="31"/>
      <c r="B167" s="31"/>
      <c r="C167" s="35" t="s">
        <v>3</v>
      </c>
      <c r="D167" s="31"/>
      <c r="E167" s="35" t="s">
        <v>4</v>
      </c>
      <c r="F167" s="31"/>
      <c r="G167" s="35" t="s">
        <v>5</v>
      </c>
      <c r="H167" s="31"/>
      <c r="I167" s="35" t="s">
        <v>6</v>
      </c>
      <c r="J167" s="31"/>
      <c r="K167" s="35" t="s">
        <v>7</v>
      </c>
      <c r="L167" s="31"/>
      <c r="M167" s="35" t="s">
        <v>8</v>
      </c>
      <c r="N167" s="31"/>
      <c r="O167" s="35" t="s">
        <v>9</v>
      </c>
      <c r="P167" s="31"/>
      <c r="Q167" s="35" t="s">
        <v>10</v>
      </c>
      <c r="R167" s="31"/>
      <c r="S167" s="35" t="s">
        <v>11</v>
      </c>
      <c r="T167" s="31"/>
      <c r="U167" s="35" t="s">
        <v>12</v>
      </c>
      <c r="V167" s="31"/>
      <c r="W167" s="35" t="s">
        <v>13</v>
      </c>
      <c r="X167" s="31"/>
      <c r="Y167" s="35" t="s">
        <v>14</v>
      </c>
      <c r="Z167" s="31"/>
      <c r="AC167"/>
    </row>
    <row r="168" spans="1:29" ht="12.75">
      <c r="A168" s="31"/>
      <c r="B168" s="31"/>
      <c r="C168" s="34"/>
      <c r="D168" s="31"/>
      <c r="E168" s="34"/>
      <c r="F168" s="31"/>
      <c r="G168" s="34"/>
      <c r="H168" s="31"/>
      <c r="I168" s="34"/>
      <c r="J168" s="31"/>
      <c r="K168" s="34"/>
      <c r="L168" s="31"/>
      <c r="M168" s="34"/>
      <c r="N168" s="31"/>
      <c r="O168" s="34"/>
      <c r="P168" s="31"/>
      <c r="Q168" s="34"/>
      <c r="R168" s="31"/>
      <c r="S168" s="34"/>
      <c r="T168" s="31"/>
      <c r="U168" s="34"/>
      <c r="V168" s="31"/>
      <c r="W168" s="34"/>
      <c r="X168" s="31"/>
      <c r="Y168" s="34"/>
      <c r="Z168" s="31"/>
      <c r="AC168"/>
    </row>
    <row r="169" spans="1:29" ht="12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C169"/>
    </row>
    <row r="170" spans="1:29" ht="12.75">
      <c r="A170" s="30" t="s">
        <v>15</v>
      </c>
      <c r="B170" s="31"/>
      <c r="C170" s="36"/>
      <c r="D170" s="36"/>
      <c r="E170" s="36"/>
      <c r="F170" s="36"/>
      <c r="G170" s="36"/>
      <c r="H170" s="36"/>
      <c r="I170" s="36">
        <v>35501</v>
      </c>
      <c r="J170" s="36"/>
      <c r="K170" s="36">
        <v>67960</v>
      </c>
      <c r="L170" s="36"/>
      <c r="M170" s="36">
        <v>68799</v>
      </c>
      <c r="N170" s="36"/>
      <c r="O170" s="36">
        <v>73456</v>
      </c>
      <c r="P170" s="36"/>
      <c r="Q170" s="36">
        <v>72060</v>
      </c>
      <c r="R170" s="36"/>
      <c r="S170" s="36">
        <v>61204</v>
      </c>
      <c r="T170" s="36"/>
      <c r="U170" s="36">
        <v>45850</v>
      </c>
      <c r="V170" s="36"/>
      <c r="W170" s="36">
        <v>54212</v>
      </c>
      <c r="X170" s="36"/>
      <c r="Y170" s="36">
        <v>20755</v>
      </c>
      <c r="Z170" s="79" t="s">
        <v>46</v>
      </c>
      <c r="AC170"/>
    </row>
    <row r="171" spans="1:29" ht="12.7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C171"/>
    </row>
    <row r="172" spans="1:29" ht="12.75">
      <c r="A172" s="30" t="s">
        <v>17</v>
      </c>
      <c r="B172" s="31"/>
      <c r="C172" s="37"/>
      <c r="D172" s="37"/>
      <c r="E172" s="37"/>
      <c r="F172" s="37"/>
      <c r="G172" s="36">
        <v>2276</v>
      </c>
      <c r="H172" s="37"/>
      <c r="I172" s="37">
        <v>65857</v>
      </c>
      <c r="J172" s="37"/>
      <c r="K172" s="37">
        <v>78681</v>
      </c>
      <c r="L172" s="37"/>
      <c r="M172" s="37">
        <v>125898</v>
      </c>
      <c r="N172" s="37"/>
      <c r="O172" s="37">
        <v>117061</v>
      </c>
      <c r="P172" s="101"/>
      <c r="Q172" s="37">
        <v>112955</v>
      </c>
      <c r="R172" s="37"/>
      <c r="S172" s="37">
        <v>123675</v>
      </c>
      <c r="T172" s="37"/>
      <c r="U172" s="37">
        <v>120204</v>
      </c>
      <c r="V172" s="37"/>
      <c r="W172" s="37">
        <v>113003</v>
      </c>
      <c r="X172" s="37"/>
      <c r="Y172" s="37">
        <v>110371</v>
      </c>
      <c r="Z172" s="37"/>
      <c r="AC172"/>
    </row>
    <row r="173" spans="1:29" ht="12.75">
      <c r="A173" s="31"/>
      <c r="B173" s="31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C173"/>
    </row>
    <row r="174" spans="1:29" ht="12.75">
      <c r="A174" s="30" t="s">
        <v>18</v>
      </c>
      <c r="B174" s="31"/>
      <c r="C174" s="37"/>
      <c r="D174" s="37"/>
      <c r="E174" s="36">
        <v>555</v>
      </c>
      <c r="F174" s="37"/>
      <c r="G174" s="37">
        <v>76755</v>
      </c>
      <c r="H174" s="37"/>
      <c r="I174" s="37">
        <v>90177</v>
      </c>
      <c r="J174" s="37"/>
      <c r="K174" s="37">
        <v>100174</v>
      </c>
      <c r="L174" s="38"/>
      <c r="M174" s="37">
        <v>125357</v>
      </c>
      <c r="N174" s="37"/>
      <c r="O174" s="37">
        <v>126940</v>
      </c>
      <c r="P174" s="37"/>
      <c r="Q174" s="37">
        <v>125338</v>
      </c>
      <c r="R174" s="37"/>
      <c r="S174" s="37">
        <v>130913</v>
      </c>
      <c r="T174" s="37"/>
      <c r="U174" s="37">
        <v>142491</v>
      </c>
      <c r="V174" s="37"/>
      <c r="W174" s="37">
        <v>158979</v>
      </c>
      <c r="X174" s="37"/>
      <c r="Y174" s="37">
        <v>167579</v>
      </c>
      <c r="Z174" s="37"/>
      <c r="AC174"/>
    </row>
    <row r="175" spans="1:29" ht="12.75">
      <c r="A175" s="31"/>
      <c r="B175" s="31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C175"/>
    </row>
    <row r="176" spans="1:29" ht="12.75">
      <c r="A176" s="30" t="s">
        <v>19</v>
      </c>
      <c r="B176" s="31"/>
      <c r="C176" s="37"/>
      <c r="D176" s="37"/>
      <c r="E176" s="37">
        <v>37207</v>
      </c>
      <c r="F176" s="37"/>
      <c r="G176" s="37">
        <v>77464</v>
      </c>
      <c r="H176" s="38"/>
      <c r="I176" s="37">
        <v>66217</v>
      </c>
      <c r="J176" s="38"/>
      <c r="K176" s="37">
        <v>73956</v>
      </c>
      <c r="L176" s="37"/>
      <c r="M176" s="37">
        <v>96849</v>
      </c>
      <c r="N176" s="37"/>
      <c r="O176" s="37">
        <v>100874</v>
      </c>
      <c r="P176" s="37"/>
      <c r="Q176" s="37">
        <v>111163</v>
      </c>
      <c r="R176" s="37"/>
      <c r="S176" s="37">
        <v>125557</v>
      </c>
      <c r="T176" s="37"/>
      <c r="U176" s="37">
        <v>133560</v>
      </c>
      <c r="V176" s="37"/>
      <c r="W176" s="37">
        <v>142646</v>
      </c>
      <c r="X176" s="37"/>
      <c r="Y176" s="37">
        <v>147916</v>
      </c>
      <c r="Z176" s="37"/>
      <c r="AC176"/>
    </row>
    <row r="177" spans="1:29" ht="12.75">
      <c r="A177" s="31"/>
      <c r="B177" s="31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C177"/>
    </row>
    <row r="178" spans="1:29" ht="12.75">
      <c r="A178" s="39" t="s">
        <v>20</v>
      </c>
      <c r="B178" s="31"/>
      <c r="C178" s="37"/>
      <c r="D178" s="37"/>
      <c r="E178" s="37"/>
      <c r="F178" s="37"/>
      <c r="G178" s="37"/>
      <c r="H178" s="37"/>
      <c r="I178" s="37">
        <v>15408</v>
      </c>
      <c r="J178" s="37"/>
      <c r="K178" s="37">
        <v>43420</v>
      </c>
      <c r="L178" s="37"/>
      <c r="M178" s="37">
        <v>54081</v>
      </c>
      <c r="N178" s="38"/>
      <c r="O178" s="37">
        <v>65113</v>
      </c>
      <c r="P178" s="37"/>
      <c r="Q178" s="37">
        <v>65818</v>
      </c>
      <c r="R178" s="37"/>
      <c r="S178" s="37">
        <v>64666</v>
      </c>
      <c r="T178" s="37"/>
      <c r="U178" s="37">
        <v>68740</v>
      </c>
      <c r="V178" s="37"/>
      <c r="W178" s="37">
        <v>77829</v>
      </c>
      <c r="X178" s="37"/>
      <c r="Y178" s="37">
        <v>79809</v>
      </c>
      <c r="Z178" s="37"/>
      <c r="AC178"/>
    </row>
    <row r="179" spans="1:29" ht="12.75">
      <c r="A179" s="31"/>
      <c r="B179" s="31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C179"/>
    </row>
    <row r="180" spans="1:29" ht="12.75">
      <c r="A180" s="30" t="s">
        <v>21</v>
      </c>
      <c r="B180" s="31"/>
      <c r="C180" s="37"/>
      <c r="D180" s="37"/>
      <c r="E180" s="37"/>
      <c r="F180" s="37"/>
      <c r="G180" s="37">
        <v>4394</v>
      </c>
      <c r="H180" s="37"/>
      <c r="I180" s="37">
        <v>73068</v>
      </c>
      <c r="J180" s="37"/>
      <c r="K180" s="37">
        <v>97157</v>
      </c>
      <c r="L180" s="37"/>
      <c r="M180" s="37">
        <v>116574</v>
      </c>
      <c r="N180" s="37"/>
      <c r="O180" s="37">
        <v>126505</v>
      </c>
      <c r="P180" s="37"/>
      <c r="Q180" s="37">
        <v>128422</v>
      </c>
      <c r="R180" s="37"/>
      <c r="S180" s="37">
        <v>133581</v>
      </c>
      <c r="T180" s="37"/>
      <c r="U180" s="37">
        <v>141478</v>
      </c>
      <c r="V180" s="37"/>
      <c r="W180" s="37">
        <v>168085</v>
      </c>
      <c r="X180" s="37"/>
      <c r="Y180" s="37">
        <v>180224</v>
      </c>
      <c r="Z180" s="37"/>
      <c r="AC180"/>
    </row>
    <row r="181" spans="1:29" ht="12.75">
      <c r="A181" s="31"/>
      <c r="B181" s="31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C181"/>
    </row>
    <row r="182" spans="1:29" ht="12.75">
      <c r="A182" s="30" t="s">
        <v>22</v>
      </c>
      <c r="B182" s="31"/>
      <c r="C182" s="36">
        <v>58582</v>
      </c>
      <c r="D182" s="37"/>
      <c r="E182" s="37">
        <v>99583</v>
      </c>
      <c r="F182" s="38"/>
      <c r="G182" s="37">
        <v>95456</v>
      </c>
      <c r="H182" s="38"/>
      <c r="I182" s="37">
        <v>84528</v>
      </c>
      <c r="J182" s="38"/>
      <c r="K182" s="37">
        <v>101247</v>
      </c>
      <c r="L182" s="38"/>
      <c r="M182" s="37">
        <v>126231</v>
      </c>
      <c r="N182" s="38"/>
      <c r="O182" s="37">
        <v>133156</v>
      </c>
      <c r="P182" s="37"/>
      <c r="Q182" s="37">
        <v>121801</v>
      </c>
      <c r="R182" s="37"/>
      <c r="S182" s="37">
        <v>119748</v>
      </c>
      <c r="T182" s="37"/>
      <c r="U182" s="37">
        <v>127712</v>
      </c>
      <c r="V182" s="37"/>
      <c r="W182" s="37">
        <v>131409</v>
      </c>
      <c r="X182" s="37"/>
      <c r="Y182" s="37">
        <v>125712</v>
      </c>
      <c r="Z182" s="37"/>
      <c r="AC182"/>
    </row>
    <row r="183" spans="1:29" ht="12.75">
      <c r="A183" s="31"/>
      <c r="B183" s="31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C183"/>
    </row>
    <row r="184" spans="1:29" ht="12.75">
      <c r="A184" s="30" t="s">
        <v>23</v>
      </c>
      <c r="B184" s="31"/>
      <c r="C184" s="37"/>
      <c r="D184" s="37"/>
      <c r="E184" s="37"/>
      <c r="F184" s="37"/>
      <c r="G184" s="37">
        <v>11482</v>
      </c>
      <c r="H184" s="37"/>
      <c r="I184" s="37">
        <v>35248</v>
      </c>
      <c r="J184" s="37"/>
      <c r="K184" s="37">
        <v>59590</v>
      </c>
      <c r="L184" s="37"/>
      <c r="M184" s="37">
        <v>68019</v>
      </c>
      <c r="N184" s="37"/>
      <c r="O184" s="37">
        <v>73406</v>
      </c>
      <c r="P184" s="37"/>
      <c r="Q184" s="37">
        <v>85606</v>
      </c>
      <c r="R184" s="37"/>
      <c r="S184" s="37">
        <v>93618</v>
      </c>
      <c r="T184" s="37"/>
      <c r="U184" s="37">
        <v>96448</v>
      </c>
      <c r="V184" s="37"/>
      <c r="W184" s="37">
        <v>107778</v>
      </c>
      <c r="X184" s="37"/>
      <c r="Y184" s="37">
        <v>114341</v>
      </c>
      <c r="Z184" s="37"/>
      <c r="AC184"/>
    </row>
    <row r="185" spans="1:29" ht="12.75">
      <c r="A185" s="31"/>
      <c r="B185" s="31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C185"/>
    </row>
    <row r="186" spans="1:29" ht="12.75">
      <c r="A186" s="30" t="s">
        <v>24</v>
      </c>
      <c r="B186" s="31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>
        <v>86020</v>
      </c>
      <c r="V186" s="37"/>
      <c r="W186" s="37">
        <v>116571</v>
      </c>
      <c r="X186" s="37"/>
      <c r="Y186" s="37">
        <v>147226</v>
      </c>
      <c r="Z186" s="38"/>
      <c r="AC186"/>
    </row>
    <row r="187" spans="1:29" ht="12.75">
      <c r="A187" s="31"/>
      <c r="B187" s="31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C187"/>
    </row>
    <row r="188" spans="1:29" ht="12.75">
      <c r="A188" s="39" t="s">
        <v>25</v>
      </c>
      <c r="B188" s="31"/>
      <c r="C188" s="37"/>
      <c r="D188" s="37"/>
      <c r="E188" s="37"/>
      <c r="F188" s="37"/>
      <c r="G188" s="37"/>
      <c r="H188" s="37"/>
      <c r="I188" s="37">
        <v>4252</v>
      </c>
      <c r="J188" s="37"/>
      <c r="K188" s="37">
        <v>71804</v>
      </c>
      <c r="L188" s="37"/>
      <c r="M188" s="37">
        <v>96127</v>
      </c>
      <c r="N188" s="37"/>
      <c r="O188" s="37">
        <v>99662</v>
      </c>
      <c r="P188" s="37"/>
      <c r="Q188" s="37">
        <v>104859</v>
      </c>
      <c r="R188" s="37"/>
      <c r="S188" s="37">
        <v>108752</v>
      </c>
      <c r="T188" s="37"/>
      <c r="U188" s="37">
        <v>115698</v>
      </c>
      <c r="V188" s="37"/>
      <c r="W188" s="37">
        <v>139750</v>
      </c>
      <c r="X188" s="37"/>
      <c r="Y188" s="37">
        <v>173381</v>
      </c>
      <c r="Z188" s="37"/>
      <c r="AC188"/>
    </row>
    <row r="189" spans="1:29" ht="12.75">
      <c r="A189" s="31"/>
      <c r="B189" s="31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C189"/>
    </row>
    <row r="190" spans="1:29" ht="12.75">
      <c r="A190" s="30" t="s">
        <v>45</v>
      </c>
      <c r="B190" s="31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>
        <v>60485</v>
      </c>
      <c r="R190" s="37"/>
      <c r="S190" s="37">
        <v>115270</v>
      </c>
      <c r="T190" s="37"/>
      <c r="U190" s="37">
        <v>121193</v>
      </c>
      <c r="V190" s="37"/>
      <c r="W190" s="37">
        <v>129385</v>
      </c>
      <c r="X190" s="37"/>
      <c r="Y190" s="37">
        <v>147251</v>
      </c>
      <c r="Z190" s="38"/>
      <c r="AC190"/>
    </row>
    <row r="191" spans="1:29" ht="12.75">
      <c r="A191" s="31"/>
      <c r="B191" s="31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C191"/>
    </row>
    <row r="192" spans="1:29" ht="12.75">
      <c r="A192" s="30" t="s">
        <v>26</v>
      </c>
      <c r="B192" s="31"/>
      <c r="C192" s="40"/>
      <c r="D192" s="41"/>
      <c r="E192" s="40"/>
      <c r="F192" s="41"/>
      <c r="G192" s="40"/>
      <c r="H192" s="41"/>
      <c r="I192" s="40"/>
      <c r="J192" s="41"/>
      <c r="K192" s="40"/>
      <c r="L192" s="41"/>
      <c r="M192" s="40"/>
      <c r="N192" s="41"/>
      <c r="O192" s="40">
        <v>63926</v>
      </c>
      <c r="P192" s="41"/>
      <c r="Q192" s="40">
        <v>99235</v>
      </c>
      <c r="R192" s="41"/>
      <c r="S192" s="40">
        <v>108377</v>
      </c>
      <c r="T192" s="205"/>
      <c r="U192" s="40">
        <v>126697</v>
      </c>
      <c r="V192" s="41"/>
      <c r="W192" s="40">
        <v>153930</v>
      </c>
      <c r="X192" s="205"/>
      <c r="Y192" s="40">
        <v>162651</v>
      </c>
      <c r="Z192" s="41"/>
      <c r="AA192" s="57"/>
      <c r="AC192"/>
    </row>
    <row r="193" spans="1:29" ht="12.75">
      <c r="A193" s="31"/>
      <c r="B193" s="31"/>
      <c r="C193" s="34"/>
      <c r="D193" s="31"/>
      <c r="E193" s="34"/>
      <c r="F193" s="31"/>
      <c r="G193" s="34"/>
      <c r="H193" s="31"/>
      <c r="I193" s="34"/>
      <c r="J193" s="31"/>
      <c r="K193" s="34"/>
      <c r="L193" s="31"/>
      <c r="M193" s="34"/>
      <c r="N193" s="31"/>
      <c r="O193" s="34"/>
      <c r="P193" s="31"/>
      <c r="Q193" s="34"/>
      <c r="R193" s="31"/>
      <c r="S193" s="34"/>
      <c r="T193" s="33"/>
      <c r="U193" s="34"/>
      <c r="V193" s="31"/>
      <c r="W193" s="34"/>
      <c r="X193" s="31"/>
      <c r="Y193" s="34"/>
      <c r="Z193" s="31"/>
      <c r="AC193"/>
    </row>
    <row r="194" spans="1:29" ht="13.5" thickBot="1">
      <c r="A194" s="30" t="s">
        <v>38</v>
      </c>
      <c r="B194" s="31"/>
      <c r="C194" s="80">
        <f>SUM(C170:C192)</f>
        <v>58582</v>
      </c>
      <c r="D194" s="36"/>
      <c r="E194" s="80">
        <f>SUM(E170:E192)</f>
        <v>137345</v>
      </c>
      <c r="F194" s="36"/>
      <c r="G194" s="80">
        <f>SUM(G170:G192)</f>
        <v>267827</v>
      </c>
      <c r="H194" s="36"/>
      <c r="I194" s="80">
        <f>SUM(I170:I192)</f>
        <v>470256</v>
      </c>
      <c r="J194" s="36"/>
      <c r="K194" s="80">
        <f>SUM(K170:K192)</f>
        <v>693989</v>
      </c>
      <c r="L194" s="36"/>
      <c r="M194" s="80">
        <f>SUM(M170:M192)</f>
        <v>877935</v>
      </c>
      <c r="N194" s="36"/>
      <c r="O194" s="80">
        <f>SUM(O170:O192)</f>
        <v>980099</v>
      </c>
      <c r="P194" s="36"/>
      <c r="Q194" s="80">
        <f>SUM(Q170:Q192)</f>
        <v>1087742</v>
      </c>
      <c r="R194" s="36"/>
      <c r="S194" s="80">
        <f>SUM(S170:S192)</f>
        <v>1185361</v>
      </c>
      <c r="T194" s="36"/>
      <c r="U194" s="80">
        <f>SUM(U170:U192)</f>
        <v>1326091</v>
      </c>
      <c r="V194" s="36"/>
      <c r="W194" s="80">
        <f>SUM(W170:W192)</f>
        <v>1493577</v>
      </c>
      <c r="X194" s="36"/>
      <c r="Y194" s="80">
        <f>SUM(Y170:Y192)</f>
        <v>1577216</v>
      </c>
      <c r="Z194" s="36"/>
      <c r="AC194"/>
    </row>
    <row r="195" spans="1:29" ht="13.5" thickTop="1">
      <c r="A195" s="31"/>
      <c r="B195" s="31"/>
      <c r="C195" s="34"/>
      <c r="D195" s="31"/>
      <c r="E195" s="34"/>
      <c r="F195" s="31"/>
      <c r="G195" s="34"/>
      <c r="H195" s="31"/>
      <c r="I195" s="34"/>
      <c r="J195" s="31"/>
      <c r="K195" s="34"/>
      <c r="L195" s="31"/>
      <c r="M195" s="34"/>
      <c r="N195" s="31"/>
      <c r="O195" s="34"/>
      <c r="P195" s="31"/>
      <c r="Q195" s="34"/>
      <c r="R195" s="31"/>
      <c r="S195" s="34"/>
      <c r="T195" s="31"/>
      <c r="U195" s="34"/>
      <c r="V195" s="31"/>
      <c r="W195" s="34"/>
      <c r="X195" s="31"/>
      <c r="Y195" s="34"/>
      <c r="Z195" s="31"/>
      <c r="AC195"/>
    </row>
    <row r="196" spans="1:29" ht="12.75">
      <c r="A196" s="44" t="s">
        <v>48</v>
      </c>
      <c r="B196" s="31"/>
      <c r="C196" s="70"/>
      <c r="D196" s="31"/>
      <c r="E196" s="34"/>
      <c r="F196" s="31"/>
      <c r="G196" s="34"/>
      <c r="H196" s="31"/>
      <c r="I196" s="34"/>
      <c r="J196" s="31"/>
      <c r="K196" s="34"/>
      <c r="L196" s="31"/>
      <c r="M196" s="34"/>
      <c r="N196" s="31"/>
      <c r="O196" s="34"/>
      <c r="P196" s="31"/>
      <c r="Q196" s="34"/>
      <c r="R196" s="31"/>
      <c r="S196" s="34"/>
      <c r="T196" s="31"/>
      <c r="U196" s="34"/>
      <c r="V196" s="31"/>
      <c r="W196" s="34"/>
      <c r="X196" s="31"/>
      <c r="Y196" s="34"/>
      <c r="Z196" s="31"/>
      <c r="AC196"/>
    </row>
    <row r="197" spans="1:29" ht="12.75">
      <c r="A197" s="44"/>
      <c r="B197" s="31"/>
      <c r="C197" s="34"/>
      <c r="D197" s="31"/>
      <c r="E197" s="34"/>
      <c r="F197" s="31"/>
      <c r="G197" s="34"/>
      <c r="H197" s="31"/>
      <c r="I197" s="34"/>
      <c r="J197" s="31"/>
      <c r="K197" s="34"/>
      <c r="L197" s="31"/>
      <c r="M197" s="34"/>
      <c r="N197" s="31"/>
      <c r="O197" s="34"/>
      <c r="P197" s="31"/>
      <c r="Q197" s="34"/>
      <c r="R197" s="31"/>
      <c r="S197" s="34"/>
      <c r="T197" s="31"/>
      <c r="U197" s="34"/>
      <c r="V197" s="31"/>
      <c r="W197" s="34"/>
      <c r="X197" s="31"/>
      <c r="Y197" s="34"/>
      <c r="Z197" s="31"/>
      <c r="AC197"/>
    </row>
    <row r="198" spans="1:29" ht="12.75">
      <c r="A198" s="28"/>
      <c r="AC198"/>
    </row>
    <row r="199" spans="1:29" ht="12.75">
      <c r="A199" s="1"/>
      <c r="AC199"/>
    </row>
    <row r="200" ht="11.25">
      <c r="A200" s="1"/>
    </row>
    <row r="201" spans="1:5" ht="11.25">
      <c r="A201" s="1" t="s">
        <v>0</v>
      </c>
      <c r="E201" s="68"/>
    </row>
    <row r="202" spans="1:5" ht="11.25">
      <c r="A202" s="28" t="s">
        <v>33</v>
      </c>
      <c r="E202" s="57"/>
    </row>
    <row r="203" spans="1:5" ht="11.25">
      <c r="A203" s="45" t="str">
        <f>A3</f>
        <v>1978-1989</v>
      </c>
      <c r="B203" s="13"/>
      <c r="C203" s="13"/>
      <c r="D203" s="13"/>
      <c r="E203" s="57"/>
    </row>
    <row r="204" spans="1:5" ht="11.25">
      <c r="A204" s="3"/>
      <c r="B204" s="3"/>
      <c r="C204" s="1"/>
      <c r="E204" s="57"/>
    </row>
    <row r="205" ht="11.25">
      <c r="E205" s="57"/>
    </row>
    <row r="206" spans="3:25" ht="11.25">
      <c r="C206" s="208"/>
      <c r="E206" s="66" t="s">
        <v>4</v>
      </c>
      <c r="G206" s="66" t="s">
        <v>5</v>
      </c>
      <c r="I206" s="66" t="s">
        <v>6</v>
      </c>
      <c r="K206" s="66" t="s">
        <v>7</v>
      </c>
      <c r="M206" s="66" t="s">
        <v>8</v>
      </c>
      <c r="O206" s="66" t="s">
        <v>9</v>
      </c>
      <c r="Q206" s="66" t="s">
        <v>10</v>
      </c>
      <c r="S206" s="66" t="s">
        <v>11</v>
      </c>
      <c r="U206" s="66" t="s">
        <v>12</v>
      </c>
      <c r="W206" s="66" t="s">
        <v>13</v>
      </c>
      <c r="Y206" s="66" t="s">
        <v>14</v>
      </c>
    </row>
    <row r="207" ht="12.75">
      <c r="C207"/>
    </row>
    <row r="208" spans="1:26" ht="11.25">
      <c r="A208" s="1" t="s">
        <v>15</v>
      </c>
      <c r="C208" s="11"/>
      <c r="D208" s="11"/>
      <c r="E208" s="11"/>
      <c r="F208" s="11"/>
      <c r="G208" s="11"/>
      <c r="H208" s="11"/>
      <c r="I208" s="11"/>
      <c r="J208" s="11"/>
      <c r="K208" s="11">
        <f>(K170-I170)/I170</f>
        <v>0.914</v>
      </c>
      <c r="L208" s="11"/>
      <c r="M208" s="11">
        <f>(M170-K170)/K170</f>
        <v>0.012</v>
      </c>
      <c r="N208" s="11"/>
      <c r="O208" s="11">
        <f>(O170-M170)/M170</f>
        <v>0.068</v>
      </c>
      <c r="P208" s="11"/>
      <c r="Q208" s="11">
        <f>(Q170-O170)/O170</f>
        <v>-0.019</v>
      </c>
      <c r="R208" s="11"/>
      <c r="S208" s="11">
        <f>(S170-Q170)/Q170</f>
        <v>-0.151</v>
      </c>
      <c r="T208" s="11"/>
      <c r="U208" s="11">
        <f>(U170-S170)/S170</f>
        <v>-0.251</v>
      </c>
      <c r="V208" s="11"/>
      <c r="W208" s="11">
        <f>(W170-U170)/U170</f>
        <v>0.182</v>
      </c>
      <c r="X208" s="11"/>
      <c r="Y208" s="11">
        <f>(Y170-W170)/W170</f>
        <v>-0.617</v>
      </c>
      <c r="Z208" s="11" t="s">
        <v>46</v>
      </c>
    </row>
    <row r="209" spans="3:26" ht="11.25">
      <c r="C209" s="88"/>
      <c r="D209" s="11"/>
      <c r="E209" s="88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1.25">
      <c r="A210" s="30" t="s">
        <v>17</v>
      </c>
      <c r="C210" s="11"/>
      <c r="D210" s="11"/>
      <c r="E210" s="11"/>
      <c r="F210" s="11"/>
      <c r="G210" s="11"/>
      <c r="H210" s="11"/>
      <c r="I210" s="11">
        <f>(I172-G172)/G172</f>
        <v>27.935</v>
      </c>
      <c r="J210" s="11"/>
      <c r="K210" s="11">
        <f>(K172-I172)/I172</f>
        <v>0.195</v>
      </c>
      <c r="L210" s="11"/>
      <c r="M210" s="11">
        <f>(M172-K172)/K172</f>
        <v>0.6</v>
      </c>
      <c r="N210" s="11"/>
      <c r="O210" s="11">
        <f>(O172-M172)/M172</f>
        <v>-0.07</v>
      </c>
      <c r="P210" s="11"/>
      <c r="Q210" s="11">
        <f>(Q172-O172)/O172</f>
        <v>-0.035</v>
      </c>
      <c r="R210" s="11"/>
      <c r="S210" s="11">
        <f>(S172-Q172)/Q172</f>
        <v>0.095</v>
      </c>
      <c r="T210" s="11"/>
      <c r="U210" s="11">
        <f>(U172-S172)/S172</f>
        <v>-0.028</v>
      </c>
      <c r="V210" s="11"/>
      <c r="W210" s="11">
        <f>(W172-U172)/U172</f>
        <v>-0.06</v>
      </c>
      <c r="X210" s="11"/>
      <c r="Y210" s="11">
        <f>(Y172-W172)/W172</f>
        <v>-0.023</v>
      </c>
      <c r="Z210" s="11"/>
    </row>
    <row r="211" spans="1:26" ht="11.25">
      <c r="A211" s="3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1.25">
      <c r="A212" s="30" t="s">
        <v>18</v>
      </c>
      <c r="C212" s="11"/>
      <c r="D212" s="11"/>
      <c r="E212" s="11"/>
      <c r="F212" s="11"/>
      <c r="G212" s="11">
        <f>(G174-E174)/E174</f>
        <v>137.297</v>
      </c>
      <c r="H212" s="11"/>
      <c r="I212" s="11">
        <f>(I174-G174)/G174</f>
        <v>0.175</v>
      </c>
      <c r="J212" s="11"/>
      <c r="K212" s="11">
        <f>(K174-I174)/I174</f>
        <v>0.111</v>
      </c>
      <c r="L212" s="11"/>
      <c r="M212" s="11">
        <f>(M174-K174)/K174</f>
        <v>0.251</v>
      </c>
      <c r="N212" s="11"/>
      <c r="O212" s="11">
        <f>(O174-M174)/M174</f>
        <v>0.013</v>
      </c>
      <c r="P212" s="11"/>
      <c r="Q212" s="11">
        <f>(Q174-O174)/O174</f>
        <v>-0.013</v>
      </c>
      <c r="R212" s="11"/>
      <c r="S212" s="11">
        <f>(S174-Q174)/Q174</f>
        <v>0.044</v>
      </c>
      <c r="T212" s="11"/>
      <c r="U212" s="11">
        <f>(U174-S174)/S174</f>
        <v>0.088</v>
      </c>
      <c r="V212" s="11"/>
      <c r="W212" s="11">
        <f>(W174-U174)/U174</f>
        <v>0.116</v>
      </c>
      <c r="X212" s="11"/>
      <c r="Y212" s="11">
        <f>(Y174-W174)/W174</f>
        <v>0.054</v>
      </c>
      <c r="Z212" s="11"/>
    </row>
    <row r="213" spans="1:26" ht="11.25">
      <c r="A213" s="3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1.25">
      <c r="A214" s="30" t="s">
        <v>19</v>
      </c>
      <c r="C214" s="11"/>
      <c r="D214" s="11"/>
      <c r="E214" s="11"/>
      <c r="F214" s="11"/>
      <c r="G214" s="11">
        <f>(G176-E176)/E176</f>
        <v>1.082</v>
      </c>
      <c r="H214" s="11"/>
      <c r="I214" s="11">
        <f>(I176-G176)/G176</f>
        <v>-0.145</v>
      </c>
      <c r="J214" s="11"/>
      <c r="K214" s="11">
        <f>(K176-I176)/I176</f>
        <v>0.117</v>
      </c>
      <c r="L214" s="11"/>
      <c r="M214" s="11">
        <f>(M176-K176)/K176</f>
        <v>0.31</v>
      </c>
      <c r="N214" s="11"/>
      <c r="O214" s="11">
        <f>(O176-M176)/M176</f>
        <v>0.042</v>
      </c>
      <c r="P214" s="11"/>
      <c r="Q214" s="11">
        <f>(Q176-O176)/O176</f>
        <v>0.102</v>
      </c>
      <c r="R214" s="11"/>
      <c r="S214" s="11">
        <f>(S176-Q176)/Q176</f>
        <v>0.129</v>
      </c>
      <c r="T214" s="11"/>
      <c r="U214" s="11">
        <f>(U176-S176)/S176</f>
        <v>0.064</v>
      </c>
      <c r="V214" s="11"/>
      <c r="W214" s="11">
        <f>(W176-U176)/U176</f>
        <v>0.068</v>
      </c>
      <c r="X214" s="11"/>
      <c r="Y214" s="11">
        <f>(Y176-W176)/W176</f>
        <v>0.037</v>
      </c>
      <c r="Z214" s="11"/>
    </row>
    <row r="215" spans="1:26" ht="11.25">
      <c r="A215" s="3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1.25">
      <c r="A216" s="39" t="s">
        <v>20</v>
      </c>
      <c r="C216" s="11"/>
      <c r="D216" s="11"/>
      <c r="E216" s="11"/>
      <c r="F216" s="11"/>
      <c r="G216" s="11"/>
      <c r="H216" s="11"/>
      <c r="I216" s="11"/>
      <c r="J216" s="11"/>
      <c r="K216" s="11">
        <f>(K178-I178)/I178</f>
        <v>1.818</v>
      </c>
      <c r="L216" s="11"/>
      <c r="M216" s="11">
        <f>(M178-K178)/K178</f>
        <v>0.246</v>
      </c>
      <c r="N216" s="11"/>
      <c r="O216" s="11">
        <f>(O178-M178)/M178</f>
        <v>0.204</v>
      </c>
      <c r="P216" s="11"/>
      <c r="Q216" s="11">
        <f>(Q178-O178)/O178</f>
        <v>0.011</v>
      </c>
      <c r="R216" s="11"/>
      <c r="S216" s="11">
        <f>(S178-Q178)/Q178</f>
        <v>-0.018</v>
      </c>
      <c r="T216" s="11"/>
      <c r="U216" s="11">
        <f>(U178-S178)/S178</f>
        <v>0.063</v>
      </c>
      <c r="V216" s="11"/>
      <c r="W216" s="11">
        <f>(W178-U178)/U178</f>
        <v>0.132</v>
      </c>
      <c r="X216" s="11"/>
      <c r="Y216" s="11">
        <f>(Y178-W178)/W178</f>
        <v>0.025</v>
      </c>
      <c r="Z216" s="11"/>
    </row>
    <row r="217" spans="1:26" ht="11.25">
      <c r="A217" s="3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1.25">
      <c r="A218" s="30" t="s">
        <v>21</v>
      </c>
      <c r="C218" s="11"/>
      <c r="D218" s="11"/>
      <c r="E218" s="11"/>
      <c r="F218" s="11"/>
      <c r="G218" s="11"/>
      <c r="H218" s="11"/>
      <c r="I218" s="11">
        <f>(I180-G180)/G180</f>
        <v>15.629</v>
      </c>
      <c r="J218" s="11"/>
      <c r="K218" s="11">
        <f>(K180-I180)/I180</f>
        <v>0.33</v>
      </c>
      <c r="L218" s="11"/>
      <c r="M218" s="11">
        <f>(M180-K180)/K180</f>
        <v>0.2</v>
      </c>
      <c r="N218" s="11"/>
      <c r="O218" s="11">
        <f>(O180-M180)/M180</f>
        <v>0.085</v>
      </c>
      <c r="P218" s="11"/>
      <c r="Q218" s="11">
        <f>(Q180-O180)/O180</f>
        <v>0.015</v>
      </c>
      <c r="R218" s="11"/>
      <c r="S218" s="11">
        <f>(S180-Q180)/Q180</f>
        <v>0.04</v>
      </c>
      <c r="T218" s="11"/>
      <c r="U218" s="11">
        <f>(U180-S180)/S180</f>
        <v>0.059</v>
      </c>
      <c r="V218" s="11"/>
      <c r="W218" s="11">
        <f>(W180-U180)/U180</f>
        <v>0.188</v>
      </c>
      <c r="X218" s="11"/>
      <c r="Y218" s="11">
        <f>(Y180-W180)/W180</f>
        <v>0.072</v>
      </c>
      <c r="Z218" s="11"/>
    </row>
    <row r="219" spans="1:26" ht="11.25">
      <c r="A219" s="3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1.25">
      <c r="A220" s="30" t="s">
        <v>22</v>
      </c>
      <c r="C220" s="11"/>
      <c r="D220" s="11"/>
      <c r="E220" s="11">
        <f>(E182-C182)/C182</f>
        <v>0.7</v>
      </c>
      <c r="F220" s="11"/>
      <c r="G220" s="11">
        <f>(G182-E182)/E182</f>
        <v>-0.041</v>
      </c>
      <c r="H220" s="11"/>
      <c r="I220" s="11">
        <f>(I182-G182)/G182</f>
        <v>-0.114</v>
      </c>
      <c r="J220" s="11"/>
      <c r="K220" s="11">
        <f>(K182-I182)/I182</f>
        <v>0.198</v>
      </c>
      <c r="L220" s="11"/>
      <c r="M220" s="11">
        <f>(M182-K182)/K182</f>
        <v>0.247</v>
      </c>
      <c r="N220" s="11"/>
      <c r="O220" s="11">
        <f>(O182-M182)/M182</f>
        <v>0.055</v>
      </c>
      <c r="P220" s="11"/>
      <c r="Q220" s="11">
        <f>(Q182-O182)/O182</f>
        <v>-0.085</v>
      </c>
      <c r="R220" s="11"/>
      <c r="S220" s="11">
        <f>(S182-Q182)/Q182</f>
        <v>-0.017</v>
      </c>
      <c r="T220" s="11"/>
      <c r="U220" s="11">
        <f>(U182-S182)/S182</f>
        <v>0.067</v>
      </c>
      <c r="V220" s="11"/>
      <c r="W220" s="11">
        <f>(W182-U182)/U182</f>
        <v>0.029</v>
      </c>
      <c r="X220" s="11"/>
      <c r="Y220" s="11">
        <f>(Y182-W182)/W182</f>
        <v>-0.043</v>
      </c>
      <c r="Z220" s="11"/>
    </row>
    <row r="221" spans="1:26" ht="11.25">
      <c r="A221" s="3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1.25">
      <c r="A222" s="30" t="s">
        <v>23</v>
      </c>
      <c r="C222" s="11"/>
      <c r="D222" s="11"/>
      <c r="E222" s="11"/>
      <c r="F222" s="11"/>
      <c r="G222" s="11"/>
      <c r="H222" s="11"/>
      <c r="I222" s="11">
        <f>(I184-G184)/G184</f>
        <v>2.07</v>
      </c>
      <c r="J222" s="11"/>
      <c r="K222" s="11">
        <f>(K184-I184)/I184</f>
        <v>0.691</v>
      </c>
      <c r="L222" s="11"/>
      <c r="M222" s="11">
        <f>(M184-K184)/K184</f>
        <v>0.141</v>
      </c>
      <c r="N222" s="11"/>
      <c r="O222" s="11">
        <f>(O184-M184)/M184</f>
        <v>0.079</v>
      </c>
      <c r="P222" s="11"/>
      <c r="Q222" s="11">
        <f>(Q184-O184)/O184</f>
        <v>0.166</v>
      </c>
      <c r="R222" s="11"/>
      <c r="S222" s="11">
        <f>(S184-Q184)/Q184</f>
        <v>0.094</v>
      </c>
      <c r="T222" s="11"/>
      <c r="U222" s="11">
        <f>(U184-S184)/S184</f>
        <v>0.03</v>
      </c>
      <c r="V222" s="11"/>
      <c r="W222" s="11">
        <f>(W184-U184)/U184</f>
        <v>0.117</v>
      </c>
      <c r="X222" s="11"/>
      <c r="Y222" s="11">
        <f>(Y184-W184)/W184</f>
        <v>0.061</v>
      </c>
      <c r="Z222" s="11"/>
    </row>
    <row r="223" spans="1:26" ht="11.25">
      <c r="A223" s="3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1.25">
      <c r="A224" s="30" t="s">
        <v>24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>
        <f>(W186-U186)/U186</f>
        <v>0.355</v>
      </c>
      <c r="X224" s="11"/>
      <c r="Y224" s="11">
        <f>(Y186-W186)/W186</f>
        <v>0.263</v>
      </c>
      <c r="Z224" s="11"/>
    </row>
    <row r="225" spans="1:26" ht="11.25">
      <c r="A225" s="3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1.25">
      <c r="A226" s="39" t="s">
        <v>25</v>
      </c>
      <c r="C226" s="11"/>
      <c r="D226" s="11"/>
      <c r="E226" s="11"/>
      <c r="F226" s="11"/>
      <c r="G226" s="11"/>
      <c r="H226" s="11"/>
      <c r="I226" s="11"/>
      <c r="J226" s="11"/>
      <c r="K226" s="11">
        <f>(K188-I188)/I188</f>
        <v>15.887</v>
      </c>
      <c r="L226" s="11"/>
      <c r="M226" s="11">
        <f>(M188-K188)/K188</f>
        <v>0.339</v>
      </c>
      <c r="N226" s="11"/>
      <c r="O226" s="11">
        <f>(O188-M188)/M188</f>
        <v>0.037</v>
      </c>
      <c r="P226" s="11"/>
      <c r="Q226" s="11">
        <f>(Q188-O188)/O188</f>
        <v>0.052</v>
      </c>
      <c r="R226" s="11"/>
      <c r="S226" s="11">
        <f>(S188-Q188)/Q188</f>
        <v>0.037</v>
      </c>
      <c r="T226" s="11"/>
      <c r="U226" s="11">
        <f>(U188-S188)/S188</f>
        <v>0.064</v>
      </c>
      <c r="V226" s="11"/>
      <c r="W226" s="11">
        <f>(W188-U188)/U188</f>
        <v>0.208</v>
      </c>
      <c r="X226" s="11"/>
      <c r="Y226" s="11">
        <f>(Y188-W188)/W188</f>
        <v>0.241</v>
      </c>
      <c r="Z226" s="11"/>
    </row>
    <row r="227" spans="3:26" ht="11.2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1.25">
      <c r="A228" s="1" t="s">
        <v>45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>
        <f>(S190-Q190)/Q190</f>
        <v>0.906</v>
      </c>
      <c r="T228" s="11"/>
      <c r="U228" s="11">
        <f>(U190-S190)/S190</f>
        <v>0.051</v>
      </c>
      <c r="V228" s="11"/>
      <c r="W228" s="11">
        <f>(W190-U190)/U190</f>
        <v>0.068</v>
      </c>
      <c r="X228" s="11"/>
      <c r="Y228" s="11">
        <f>(Y190-W190)/W190</f>
        <v>0.138</v>
      </c>
      <c r="Z228" s="11"/>
    </row>
    <row r="229" spans="3:26" ht="11.2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1.25">
      <c r="A230" s="1" t="s">
        <v>26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>
        <f>(Q192-O192)/O192</f>
        <v>0.552</v>
      </c>
      <c r="R230" s="11"/>
      <c r="S230" s="11">
        <f>(S192-Q192)/Q192</f>
        <v>0.092</v>
      </c>
      <c r="T230" s="11"/>
      <c r="U230" s="11">
        <f>(U192-S192)/S192</f>
        <v>0.169</v>
      </c>
      <c r="V230" s="11"/>
      <c r="W230" s="11">
        <f>(W192-U192)/U192</f>
        <v>0.215</v>
      </c>
      <c r="X230" s="11"/>
      <c r="Y230" s="11">
        <f>(Y192-W192)/W192</f>
        <v>0.057</v>
      </c>
      <c r="Z230" s="11"/>
    </row>
    <row r="231" spans="3:64" ht="11.25">
      <c r="C231" s="105"/>
      <c r="D231" s="105"/>
      <c r="E231" s="105"/>
      <c r="F231" s="105"/>
      <c r="G231" s="11"/>
      <c r="H231" s="105"/>
      <c r="I231" s="11"/>
      <c r="J231" s="105"/>
      <c r="K231" s="11"/>
      <c r="L231" s="105"/>
      <c r="M231" s="11"/>
      <c r="N231" s="105"/>
      <c r="O231" s="11"/>
      <c r="P231" s="105"/>
      <c r="Q231" s="11"/>
      <c r="R231" s="105"/>
      <c r="S231" s="11"/>
      <c r="T231" s="105"/>
      <c r="U231" s="11"/>
      <c r="V231" s="105"/>
      <c r="W231" s="11"/>
      <c r="X231" s="105"/>
      <c r="Y231" s="11"/>
      <c r="Z231" s="105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</row>
    <row r="232" spans="1:64" ht="11.25">
      <c r="A232" s="1" t="s">
        <v>38</v>
      </c>
      <c r="C232" s="104"/>
      <c r="D232" s="105"/>
      <c r="E232" s="11">
        <f>(E194-C194)/C194</f>
        <v>1.344</v>
      </c>
      <c r="F232" s="103"/>
      <c r="G232" s="11">
        <f>(G194-E194)/E194</f>
        <v>0.95</v>
      </c>
      <c r="H232" s="103"/>
      <c r="I232" s="11">
        <f>(I194-G194)/G194</f>
        <v>0.756</v>
      </c>
      <c r="J232" s="103"/>
      <c r="K232" s="11">
        <f>(K194-I194)/I194</f>
        <v>0.476</v>
      </c>
      <c r="L232" s="103"/>
      <c r="M232" s="11">
        <f>(M194-K194)/K194</f>
        <v>0.265</v>
      </c>
      <c r="N232" s="103"/>
      <c r="O232" s="11">
        <f>(O194-M194)/M194</f>
        <v>0.116</v>
      </c>
      <c r="P232" s="103"/>
      <c r="Q232" s="11">
        <f>(Q194-O194)/O194</f>
        <v>0.11</v>
      </c>
      <c r="R232" s="103"/>
      <c r="S232" s="11">
        <f>(S194-Q194)/Q194</f>
        <v>0.09</v>
      </c>
      <c r="T232" s="103"/>
      <c r="U232" s="11">
        <f>(U194-S194)/S194</f>
        <v>0.119</v>
      </c>
      <c r="V232" s="103"/>
      <c r="W232" s="11">
        <f>(W194-U194)/U194</f>
        <v>0.126</v>
      </c>
      <c r="X232" s="103"/>
      <c r="Y232" s="11">
        <f>(Y194-W194)/W194</f>
        <v>0.056</v>
      </c>
      <c r="Z232" s="103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</row>
    <row r="233" spans="3:64" ht="11.25">
      <c r="C233" s="62"/>
      <c r="D233" s="57"/>
      <c r="E233" s="62"/>
      <c r="F233" s="57"/>
      <c r="G233" s="62"/>
      <c r="H233" s="57"/>
      <c r="I233" s="62"/>
      <c r="J233" s="57"/>
      <c r="K233" s="62"/>
      <c r="L233" s="57"/>
      <c r="M233" s="62"/>
      <c r="N233" s="57"/>
      <c r="O233" s="62"/>
      <c r="P233" s="57"/>
      <c r="Q233" s="62"/>
      <c r="R233" s="57"/>
      <c r="S233" s="62"/>
      <c r="T233" s="57"/>
      <c r="U233" s="62"/>
      <c r="V233" s="57"/>
      <c r="W233" s="62"/>
      <c r="X233" s="57"/>
      <c r="Y233" s="62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</row>
    <row r="234" spans="1:25" ht="11.25">
      <c r="A234" s="44" t="s">
        <v>48</v>
      </c>
      <c r="B234" s="31"/>
      <c r="C234" s="70"/>
      <c r="E234" s="3"/>
      <c r="G234" s="3"/>
      <c r="I234" s="3"/>
      <c r="K234" s="3"/>
      <c r="M234" s="3"/>
      <c r="O234" s="3"/>
      <c r="Q234" s="3"/>
      <c r="S234" s="3"/>
      <c r="U234" s="3"/>
      <c r="W234" s="3"/>
      <c r="Y234" s="3"/>
    </row>
    <row r="235" spans="1:25" ht="11.25">
      <c r="A235" s="69"/>
      <c r="B235" s="31"/>
      <c r="C235" s="70"/>
      <c r="E235" s="3"/>
      <c r="G235" s="3"/>
      <c r="I235" s="3"/>
      <c r="K235" s="3"/>
      <c r="M235" s="3"/>
      <c r="O235" s="3"/>
      <c r="Q235" s="3"/>
      <c r="S235" s="3"/>
      <c r="U235" s="3"/>
      <c r="W235" s="3"/>
      <c r="Y235" s="3"/>
    </row>
    <row r="236" spans="1:25" ht="11.25">
      <c r="A236" s="69"/>
      <c r="B236" s="31"/>
      <c r="C236" s="70"/>
      <c r="E236" s="3"/>
      <c r="G236" s="3"/>
      <c r="I236" s="3"/>
      <c r="K236" s="3"/>
      <c r="M236" s="3"/>
      <c r="O236" s="3"/>
      <c r="Q236" s="3"/>
      <c r="S236" s="3"/>
      <c r="U236" s="3"/>
      <c r="W236" s="3"/>
      <c r="Y236" s="3"/>
    </row>
    <row r="237" spans="1:25" ht="11.25">
      <c r="A237" s="69"/>
      <c r="B237" s="31"/>
      <c r="C237" s="70"/>
      <c r="E237" s="3"/>
      <c r="G237" s="3"/>
      <c r="I237" s="3"/>
      <c r="K237" s="3"/>
      <c r="M237" s="3"/>
      <c r="O237" s="3"/>
      <c r="Q237" s="3"/>
      <c r="S237" s="3"/>
      <c r="U237" s="3"/>
      <c r="W237" s="3"/>
      <c r="Y237" s="3"/>
    </row>
    <row r="238" ht="11.25">
      <c r="A238" s="1"/>
    </row>
    <row r="239" spans="1:5" ht="11.25">
      <c r="A239" s="1" t="s">
        <v>0</v>
      </c>
      <c r="E239" s="68"/>
    </row>
    <row r="240" spans="1:7" ht="11.25">
      <c r="A240" s="1" t="s">
        <v>34</v>
      </c>
      <c r="G240" s="57"/>
    </row>
    <row r="241" spans="1:7" ht="11.25">
      <c r="A241" s="45" t="str">
        <f>A3</f>
        <v>1978-1989</v>
      </c>
      <c r="B241" s="13"/>
      <c r="C241" s="13"/>
      <c r="D241" s="13"/>
      <c r="E241" s="13"/>
      <c r="F241" s="13"/>
      <c r="G241" s="57"/>
    </row>
    <row r="242" spans="1:7" ht="11.25">
      <c r="A242" s="3"/>
      <c r="B242" s="3"/>
      <c r="C242" s="3"/>
      <c r="D242" s="3"/>
      <c r="E242" s="1"/>
      <c r="G242" s="57"/>
    </row>
    <row r="243" ht="11.25">
      <c r="A243" s="29"/>
    </row>
    <row r="244" spans="3:25" ht="12" customHeight="1">
      <c r="C244" s="66" t="s">
        <v>3</v>
      </c>
      <c r="E244" s="66" t="s">
        <v>4</v>
      </c>
      <c r="G244" s="66" t="s">
        <v>5</v>
      </c>
      <c r="I244" s="66" t="s">
        <v>6</v>
      </c>
      <c r="K244" s="66" t="s">
        <v>7</v>
      </c>
      <c r="M244" s="66" t="s">
        <v>8</v>
      </c>
      <c r="O244" s="66" t="s">
        <v>9</v>
      </c>
      <c r="Q244" s="66" t="s">
        <v>10</v>
      </c>
      <c r="S244" s="66" t="s">
        <v>11</v>
      </c>
      <c r="U244" s="66" t="s">
        <v>12</v>
      </c>
      <c r="W244" s="66" t="s">
        <v>13</v>
      </c>
      <c r="Y244" s="66" t="s">
        <v>14</v>
      </c>
    </row>
    <row r="246" spans="1:26" ht="11.25">
      <c r="A246" s="1" t="s">
        <v>15</v>
      </c>
      <c r="C246" s="10"/>
      <c r="D246" s="10"/>
      <c r="E246" s="10"/>
      <c r="F246" s="10"/>
      <c r="G246" s="10"/>
      <c r="H246" s="10"/>
      <c r="I246" s="10">
        <f>I90/I10</f>
        <v>0.622</v>
      </c>
      <c r="J246" s="10"/>
      <c r="K246" s="10">
        <f>K90/K10</f>
        <v>0.52</v>
      </c>
      <c r="L246" s="10"/>
      <c r="M246" s="10">
        <f>M90/M10</f>
        <v>0.522</v>
      </c>
      <c r="N246" s="10"/>
      <c r="O246" s="10">
        <f>O90/O10</f>
        <v>0.5</v>
      </c>
      <c r="P246" s="10"/>
      <c r="Q246" s="10">
        <f>Q90/Q10</f>
        <v>0.48</v>
      </c>
      <c r="R246" s="10"/>
      <c r="S246" s="10">
        <f>S90/S10</f>
        <v>0.406</v>
      </c>
      <c r="T246" s="10"/>
      <c r="U246" s="10">
        <f>U90/U10</f>
        <v>0.376</v>
      </c>
      <c r="V246" s="10"/>
      <c r="W246" s="10">
        <f>W90/W10</f>
        <v>0.356</v>
      </c>
      <c r="X246" s="10"/>
      <c r="Y246" s="10">
        <f>Y90/Y10</f>
        <v>0.329</v>
      </c>
      <c r="Z246" s="10" t="s">
        <v>46</v>
      </c>
    </row>
    <row r="247" spans="3:26" ht="11.25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1.25">
      <c r="A248" s="30" t="s">
        <v>17</v>
      </c>
      <c r="C248" s="10"/>
      <c r="D248" s="10"/>
      <c r="E248" s="10"/>
      <c r="F248" s="10"/>
      <c r="G248" s="10">
        <f>G92/G12</f>
        <v>0.541</v>
      </c>
      <c r="H248" s="10"/>
      <c r="I248" s="10">
        <f>I92/I12</f>
        <v>0.582</v>
      </c>
      <c r="J248" s="10"/>
      <c r="K248" s="10">
        <f>K92/K12</f>
        <v>0.574</v>
      </c>
      <c r="L248" s="10"/>
      <c r="M248" s="10">
        <f>M92/M12</f>
        <v>0.521</v>
      </c>
      <c r="N248" s="10"/>
      <c r="O248" s="10">
        <f>O92/O12</f>
        <v>0.534</v>
      </c>
      <c r="P248" s="10"/>
      <c r="Q248" s="10">
        <f>Q92/Q12</f>
        <v>0.53</v>
      </c>
      <c r="R248" s="10"/>
      <c r="S248" s="10">
        <f>S92/S12</f>
        <v>0.505</v>
      </c>
      <c r="T248" s="10"/>
      <c r="U248" s="10">
        <f>U92/U12</f>
        <v>0.504</v>
      </c>
      <c r="V248" s="10"/>
      <c r="W248" s="10">
        <f>W92/W12</f>
        <v>0.49</v>
      </c>
      <c r="X248" s="10"/>
      <c r="Y248" s="10">
        <f>Y92/Y12</f>
        <v>0.476</v>
      </c>
      <c r="Z248" s="10"/>
    </row>
    <row r="249" spans="1:26" ht="11.25">
      <c r="A249" s="31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1.25">
      <c r="A250" s="30" t="s">
        <v>18</v>
      </c>
      <c r="C250" s="10"/>
      <c r="D250" s="10"/>
      <c r="E250" s="10">
        <f>E94/E14</f>
        <v>0.557</v>
      </c>
      <c r="F250" s="10"/>
      <c r="G250" s="10">
        <f>G94/G14</f>
        <v>0.577</v>
      </c>
      <c r="H250" s="10"/>
      <c r="I250" s="10">
        <f>I94/I14</f>
        <v>0.522</v>
      </c>
      <c r="J250" s="10"/>
      <c r="K250" s="10">
        <f>K94/K14</f>
        <v>0.49</v>
      </c>
      <c r="L250" s="10"/>
      <c r="M250" s="10">
        <f>M94/M14</f>
        <v>0.457</v>
      </c>
      <c r="N250" s="10"/>
      <c r="O250" s="10">
        <f>O94/O14</f>
        <v>0.465</v>
      </c>
      <c r="P250" s="10"/>
      <c r="Q250" s="10">
        <f>Q94/Q14</f>
        <v>0.441</v>
      </c>
      <c r="R250" s="10"/>
      <c r="S250" s="10">
        <f>S94/S14</f>
        <v>0.427</v>
      </c>
      <c r="T250" s="10"/>
      <c r="U250" s="10">
        <f>U94/U14</f>
        <v>0.429</v>
      </c>
      <c r="V250" s="10"/>
      <c r="W250" s="10">
        <f>W94/W14</f>
        <v>0.41</v>
      </c>
      <c r="X250" s="10"/>
      <c r="Y250" s="10">
        <f>Y94/Y14</f>
        <v>0.399</v>
      </c>
      <c r="Z250" s="10"/>
    </row>
    <row r="251" spans="1:26" ht="11.25">
      <c r="A251" s="31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1.25">
      <c r="A252" s="30" t="s">
        <v>19</v>
      </c>
      <c r="C252" s="10"/>
      <c r="D252" s="10"/>
      <c r="E252" s="10">
        <f>E96/E16</f>
        <v>0.592</v>
      </c>
      <c r="F252" s="10"/>
      <c r="G252" s="10">
        <f>G96/G16</f>
        <v>0.629</v>
      </c>
      <c r="H252" s="10"/>
      <c r="I252" s="10">
        <f>I96/I16</f>
        <v>0.659</v>
      </c>
      <c r="J252" s="10"/>
      <c r="K252" s="10">
        <f>K96/K16</f>
        <v>0.619</v>
      </c>
      <c r="L252" s="10"/>
      <c r="M252" s="10">
        <f>M96/M16</f>
        <v>0.547</v>
      </c>
      <c r="N252" s="10"/>
      <c r="O252" s="10">
        <f>O96/O16</f>
        <v>0.548</v>
      </c>
      <c r="P252" s="10"/>
      <c r="Q252" s="10">
        <f>Q96/Q16</f>
        <v>0.55</v>
      </c>
      <c r="R252" s="10"/>
      <c r="S252" s="10">
        <f>S96/S16</f>
        <v>0.516</v>
      </c>
      <c r="T252" s="10"/>
      <c r="U252" s="10">
        <f>U96/U16</f>
        <v>0.537</v>
      </c>
      <c r="V252" s="10"/>
      <c r="W252" s="10">
        <f>W96/W16</f>
        <v>0.536</v>
      </c>
      <c r="X252" s="10"/>
      <c r="Y252" s="10">
        <f>Y96/Y16</f>
        <v>0.512</v>
      </c>
      <c r="Z252" s="10"/>
    </row>
    <row r="253" spans="1:26" ht="11.25">
      <c r="A253" s="31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1.25">
      <c r="A254" s="39" t="s">
        <v>20</v>
      </c>
      <c r="C254" s="10"/>
      <c r="D254" s="10"/>
      <c r="E254" s="10"/>
      <c r="F254" s="10"/>
      <c r="G254" s="10"/>
      <c r="H254" s="10"/>
      <c r="I254" s="10">
        <f>I98/I18</f>
        <v>0.533</v>
      </c>
      <c r="J254" s="10"/>
      <c r="K254" s="10">
        <f>K98/K18</f>
        <v>0.515</v>
      </c>
      <c r="L254" s="10"/>
      <c r="M254" s="10">
        <f>M98/M18</f>
        <v>0.509</v>
      </c>
      <c r="N254" s="10"/>
      <c r="O254" s="10">
        <f>O98/O18</f>
        <v>0.471</v>
      </c>
      <c r="P254" s="10"/>
      <c r="Q254" s="10">
        <f>Q98/Q18</f>
        <v>0.45</v>
      </c>
      <c r="R254" s="10"/>
      <c r="S254" s="10">
        <f>S98/S18</f>
        <v>0.461</v>
      </c>
      <c r="T254" s="10"/>
      <c r="U254" s="10">
        <f>U98/U18</f>
        <v>0.446</v>
      </c>
      <c r="V254" s="10"/>
      <c r="W254" s="10">
        <f>W98/W18</f>
        <v>0.415</v>
      </c>
      <c r="X254" s="10"/>
      <c r="Y254" s="10">
        <f>Y98/Y18</f>
        <v>0.38</v>
      </c>
      <c r="Z254" s="10"/>
    </row>
    <row r="255" spans="1:26" ht="11.25">
      <c r="A255" s="31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1.25">
      <c r="A256" s="30" t="s">
        <v>21</v>
      </c>
      <c r="C256" s="10"/>
      <c r="D256" s="10"/>
      <c r="E256" s="10"/>
      <c r="F256" s="10"/>
      <c r="G256" s="10">
        <f>G100/G20</f>
        <v>0.437</v>
      </c>
      <c r="H256" s="10"/>
      <c r="I256" s="10">
        <f>I100/I20</f>
        <v>0.487</v>
      </c>
      <c r="J256" s="10"/>
      <c r="K256" s="10">
        <f>K100/K20</f>
        <v>0.447</v>
      </c>
      <c r="L256" s="10"/>
      <c r="M256" s="10">
        <f>M100/M20</f>
        <v>0.421</v>
      </c>
      <c r="N256" s="10"/>
      <c r="O256" s="10">
        <f>O100/O20</f>
        <v>0.399</v>
      </c>
      <c r="P256" s="10"/>
      <c r="Q256" s="10">
        <f>Q100/Q20</f>
        <v>0.404</v>
      </c>
      <c r="R256" s="10"/>
      <c r="S256" s="10">
        <f>S100/S20</f>
        <v>0.435</v>
      </c>
      <c r="T256" s="10"/>
      <c r="U256" s="10">
        <f>U100/U20</f>
        <v>0.426</v>
      </c>
      <c r="V256" s="10"/>
      <c r="W256" s="10">
        <f>W100/W20</f>
        <v>0.403</v>
      </c>
      <c r="X256" s="10"/>
      <c r="Y256" s="10">
        <f>Y100/Y20</f>
        <v>0.385</v>
      </c>
      <c r="Z256" s="10"/>
    </row>
    <row r="257" spans="1:26" ht="11.25">
      <c r="A257" s="31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1.25">
      <c r="A258" s="30" t="s">
        <v>22</v>
      </c>
      <c r="C258" s="10">
        <f>C102/C22</f>
        <v>0.563</v>
      </c>
      <c r="D258" s="10"/>
      <c r="E258" s="10">
        <f>E102/E22</f>
        <v>0.573</v>
      </c>
      <c r="F258" s="10"/>
      <c r="G258" s="10">
        <f>G102/G22</f>
        <v>0.55</v>
      </c>
      <c r="H258" s="10"/>
      <c r="I258" s="10">
        <f>I102/I22</f>
        <v>0.547</v>
      </c>
      <c r="J258" s="10"/>
      <c r="K258" s="10">
        <f>K102/K22</f>
        <v>0.53</v>
      </c>
      <c r="L258" s="10"/>
      <c r="M258" s="10">
        <f>M102/M22</f>
        <v>0.5</v>
      </c>
      <c r="N258" s="10"/>
      <c r="O258" s="10">
        <f>O102/O22</f>
        <v>0.48</v>
      </c>
      <c r="P258" s="10"/>
      <c r="Q258" s="10">
        <f>Q102/Q22</f>
        <v>0.499</v>
      </c>
      <c r="R258" s="10"/>
      <c r="S258" s="10">
        <f>S102/S22</f>
        <v>0.49</v>
      </c>
      <c r="T258" s="10"/>
      <c r="U258" s="10">
        <f>U102/U22</f>
        <v>0.466</v>
      </c>
      <c r="V258" s="10"/>
      <c r="W258" s="10">
        <f>W102/W22</f>
        <v>0.459</v>
      </c>
      <c r="X258" s="10"/>
      <c r="Y258" s="10">
        <f>Y102/Y22</f>
        <v>0.447</v>
      </c>
      <c r="Z258" s="10"/>
    </row>
    <row r="259" spans="1:26" ht="11.25">
      <c r="A259" s="31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1.25">
      <c r="A260" s="30" t="s">
        <v>23</v>
      </c>
      <c r="C260" s="10"/>
      <c r="D260" s="10"/>
      <c r="E260" s="10"/>
      <c r="F260" s="10"/>
      <c r="G260" s="10">
        <f>G104/G24</f>
        <v>0.579</v>
      </c>
      <c r="H260" s="10"/>
      <c r="I260" s="10">
        <f>I104/I24</f>
        <v>0.618</v>
      </c>
      <c r="J260" s="10"/>
      <c r="K260" s="10">
        <f>K104/K24</f>
        <v>0.591</v>
      </c>
      <c r="L260" s="10"/>
      <c r="M260" s="10">
        <f>M104/M24</f>
        <v>0.565</v>
      </c>
      <c r="N260" s="10"/>
      <c r="O260" s="10">
        <f>O104/O24</f>
        <v>0.54</v>
      </c>
      <c r="P260" s="10"/>
      <c r="Q260" s="10">
        <f>Q104/Q24</f>
        <v>0.522</v>
      </c>
      <c r="R260" s="10"/>
      <c r="S260" s="10">
        <f>S104/S24</f>
        <v>0.507</v>
      </c>
      <c r="T260" s="10"/>
      <c r="U260" s="10">
        <f>U104/U24</f>
        <v>0.495</v>
      </c>
      <c r="V260" s="10"/>
      <c r="W260" s="10">
        <f>W104/W24</f>
        <v>0.475</v>
      </c>
      <c r="X260" s="10"/>
      <c r="Y260" s="10">
        <f>Y104/Y24</f>
        <v>0.479</v>
      </c>
      <c r="Z260" s="10"/>
    </row>
    <row r="261" spans="1:26" ht="11.25">
      <c r="A261" s="31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1.25">
      <c r="A262" s="30" t="s">
        <v>24</v>
      </c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>
        <f>U106/U26</f>
        <v>0.413</v>
      </c>
      <c r="V262" s="10"/>
      <c r="W262" s="10">
        <f>W106/W26</f>
        <v>0.443</v>
      </c>
      <c r="X262" s="10"/>
      <c r="Y262" s="10">
        <f>Y106/Y26</f>
        <v>0.431</v>
      </c>
      <c r="Z262" s="10"/>
    </row>
    <row r="263" spans="1:26" ht="11.25">
      <c r="A263" s="31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1.25">
      <c r="A264" s="39" t="s">
        <v>25</v>
      </c>
      <c r="C264" s="10"/>
      <c r="D264" s="10"/>
      <c r="E264" s="10"/>
      <c r="F264" s="10"/>
      <c r="G264" s="10"/>
      <c r="H264" s="10"/>
      <c r="I264" s="10">
        <f>I108/I28</f>
        <v>0.62</v>
      </c>
      <c r="J264" s="10"/>
      <c r="K264" s="10">
        <f>K108/K28</f>
        <v>0.52</v>
      </c>
      <c r="L264" s="10"/>
      <c r="M264" s="10">
        <f>M108/M28</f>
        <v>0.517</v>
      </c>
      <c r="N264" s="10"/>
      <c r="O264" s="10">
        <f>O108/O28</f>
        <v>0.544</v>
      </c>
      <c r="P264" s="10"/>
      <c r="Q264" s="10">
        <f>Q108/Q28</f>
        <v>0.503</v>
      </c>
      <c r="R264" s="10"/>
      <c r="S264" s="10">
        <f>S108/S28</f>
        <v>0.493</v>
      </c>
      <c r="T264" s="10"/>
      <c r="U264" s="10">
        <f>U108/U28</f>
        <v>0.452</v>
      </c>
      <c r="V264" s="10"/>
      <c r="W264" s="10">
        <f>W108/W28</f>
        <v>0.4</v>
      </c>
      <c r="X264" s="10"/>
      <c r="Y264" s="10">
        <f>Y108/Y28</f>
        <v>0.393</v>
      </c>
      <c r="Z264" s="10"/>
    </row>
    <row r="265" spans="3:26" ht="11.25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1.25">
      <c r="A266" s="1" t="s">
        <v>45</v>
      </c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>
        <f>Q110/Q30</f>
        <v>0.48</v>
      </c>
      <c r="R266" s="10"/>
      <c r="S266" s="10">
        <f>S110/S30</f>
        <v>0.491</v>
      </c>
      <c r="T266" s="10"/>
      <c r="U266" s="10">
        <f>U110/U30</f>
        <v>0.494</v>
      </c>
      <c r="V266" s="10"/>
      <c r="W266" s="10">
        <f>W110/W30</f>
        <v>0.475</v>
      </c>
      <c r="X266" s="10"/>
      <c r="Y266" s="10">
        <f>Y110/Y30</f>
        <v>0.444</v>
      </c>
      <c r="Z266" s="10"/>
    </row>
    <row r="267" spans="3:26" ht="11.25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1.25">
      <c r="A268" s="1" t="s">
        <v>26</v>
      </c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>
        <f>O112/O32</f>
        <v>0.491</v>
      </c>
      <c r="P268" s="10"/>
      <c r="Q268" s="10">
        <f>Q112/Q32</f>
        <v>0.512</v>
      </c>
      <c r="R268" s="10"/>
      <c r="S268" s="10">
        <f>S112/S32</f>
        <v>0.503</v>
      </c>
      <c r="T268" s="10"/>
      <c r="U268" s="10">
        <f>U112/U32</f>
        <v>0.482</v>
      </c>
      <c r="V268" s="10"/>
      <c r="W268" s="10">
        <f>W112/W32</f>
        <v>0.488</v>
      </c>
      <c r="X268" s="10"/>
      <c r="Y268" s="10">
        <f>Y112/Y32</f>
        <v>0.468</v>
      </c>
      <c r="Z268" s="10"/>
    </row>
    <row r="269" spans="3:62" ht="11.25">
      <c r="C269" s="57"/>
      <c r="D269" s="57"/>
      <c r="E269" s="10"/>
      <c r="F269" s="57"/>
      <c r="G269" s="10"/>
      <c r="H269" s="57"/>
      <c r="I269" s="10"/>
      <c r="J269" s="57"/>
      <c r="K269" s="10"/>
      <c r="L269" s="57"/>
      <c r="M269" s="10"/>
      <c r="N269" s="57"/>
      <c r="O269" s="10"/>
      <c r="P269" s="57"/>
      <c r="Q269" s="10"/>
      <c r="R269" s="57"/>
      <c r="S269" s="10"/>
      <c r="T269" s="57"/>
      <c r="U269" s="10"/>
      <c r="V269" s="57"/>
      <c r="W269" s="10"/>
      <c r="X269" s="57"/>
      <c r="Y269" s="10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</row>
    <row r="270" spans="1:62" ht="11.25">
      <c r="A270" s="1" t="s">
        <v>38</v>
      </c>
      <c r="C270" s="10">
        <f>C114/C34</f>
        <v>0.563</v>
      </c>
      <c r="D270" s="89"/>
      <c r="E270" s="10">
        <f>E114/E34</f>
        <v>0.578</v>
      </c>
      <c r="F270" s="89"/>
      <c r="G270" s="10">
        <f>G114/G34</f>
        <v>0.583</v>
      </c>
      <c r="H270" s="89"/>
      <c r="I270" s="10">
        <f>I114/I34</f>
        <v>0.572</v>
      </c>
      <c r="J270" s="89"/>
      <c r="K270" s="10">
        <f>K114/K34</f>
        <v>0.535</v>
      </c>
      <c r="L270" s="89"/>
      <c r="M270" s="10">
        <f>M114/M34</f>
        <v>0.504</v>
      </c>
      <c r="N270" s="89"/>
      <c r="O270" s="10">
        <f>O114/O34</f>
        <v>0.498</v>
      </c>
      <c r="P270" s="89"/>
      <c r="Q270" s="10">
        <f>Q114/Q34</f>
        <v>0.491</v>
      </c>
      <c r="R270" s="89"/>
      <c r="S270" s="10">
        <f>S114/S34</f>
        <v>0.48</v>
      </c>
      <c r="T270" s="89"/>
      <c r="U270" s="10">
        <f>U114/U34</f>
        <v>0.469</v>
      </c>
      <c r="V270" s="89"/>
      <c r="W270" s="10">
        <f>W114/W34</f>
        <v>0.454</v>
      </c>
      <c r="X270" s="89"/>
      <c r="Y270" s="10">
        <f>Y114/Y34</f>
        <v>0.438</v>
      </c>
      <c r="Z270" s="89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</row>
    <row r="271" spans="3:62" ht="11.25">
      <c r="C271" s="62"/>
      <c r="D271" s="57"/>
      <c r="E271" s="62"/>
      <c r="F271" s="57"/>
      <c r="G271" s="62"/>
      <c r="H271" s="57"/>
      <c r="I271" s="62"/>
      <c r="J271" s="57"/>
      <c r="K271" s="62"/>
      <c r="L271" s="57"/>
      <c r="M271" s="62"/>
      <c r="N271" s="57"/>
      <c r="O271" s="62"/>
      <c r="P271" s="57"/>
      <c r="Q271" s="62"/>
      <c r="R271" s="57"/>
      <c r="S271" s="62"/>
      <c r="T271" s="57"/>
      <c r="U271" s="62"/>
      <c r="V271" s="57"/>
      <c r="W271" s="62"/>
      <c r="X271" s="57"/>
      <c r="Y271" s="62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</row>
    <row r="272" spans="1:25" ht="11.25">
      <c r="A272" s="44" t="s">
        <v>48</v>
      </c>
      <c r="B272" s="31"/>
      <c r="C272" s="70"/>
      <c r="E272" s="3"/>
      <c r="G272" s="3"/>
      <c r="I272" s="3"/>
      <c r="K272" s="3"/>
      <c r="M272" s="3"/>
      <c r="O272" s="3"/>
      <c r="Q272" s="3"/>
      <c r="S272" s="3"/>
      <c r="U272" s="3"/>
      <c r="W272" s="3"/>
      <c r="Y272" s="3"/>
    </row>
    <row r="273" spans="1:25" ht="11.25">
      <c r="A273" s="69"/>
      <c r="B273" s="31"/>
      <c r="C273" s="70"/>
      <c r="E273" s="3"/>
      <c r="G273" s="3"/>
      <c r="I273" s="3"/>
      <c r="K273" s="3"/>
      <c r="M273" s="3"/>
      <c r="O273" s="3"/>
      <c r="Q273" s="3"/>
      <c r="S273" s="3"/>
      <c r="U273" s="3"/>
      <c r="W273" s="3"/>
      <c r="Y273" s="3"/>
    </row>
    <row r="274" spans="1:25" ht="11.25">
      <c r="A274" s="69"/>
      <c r="B274" s="31"/>
      <c r="C274" s="70"/>
      <c r="E274" s="3"/>
      <c r="G274" s="3"/>
      <c r="I274" s="3"/>
      <c r="K274" s="3"/>
      <c r="M274" s="3"/>
      <c r="O274" s="3"/>
      <c r="Q274" s="3"/>
      <c r="S274" s="3"/>
      <c r="U274" s="3"/>
      <c r="W274" s="3"/>
      <c r="Y274" s="3"/>
    </row>
    <row r="275" spans="1:25" ht="11.25">
      <c r="A275" s="69"/>
      <c r="B275" s="31"/>
      <c r="C275" s="70"/>
      <c r="E275" s="3"/>
      <c r="G275" s="3"/>
      <c r="I275" s="3"/>
      <c r="K275" s="3"/>
      <c r="M275" s="3"/>
      <c r="O275" s="3"/>
      <c r="Q275" s="3"/>
      <c r="S275" s="3"/>
      <c r="U275" s="3"/>
      <c r="W275" s="3"/>
      <c r="Y275" s="3"/>
    </row>
    <row r="276" ht="11.25">
      <c r="A276" s="1"/>
    </row>
    <row r="277" spans="1:5" ht="11.25">
      <c r="A277" s="1" t="s">
        <v>0</v>
      </c>
      <c r="E277" s="68"/>
    </row>
    <row r="278" ht="11.25">
      <c r="A278" s="1" t="s">
        <v>35</v>
      </c>
    </row>
    <row r="279" spans="1:7" ht="11.25">
      <c r="A279" s="45" t="str">
        <f>A3</f>
        <v>1978-1989</v>
      </c>
      <c r="B279" s="13"/>
      <c r="C279" s="13"/>
      <c r="D279" s="13"/>
      <c r="E279" s="13"/>
      <c r="F279" s="13"/>
      <c r="G279" s="13"/>
    </row>
    <row r="280" spans="1:5" ht="11.25">
      <c r="A280" s="3"/>
      <c r="B280" s="3"/>
      <c r="C280" s="3"/>
      <c r="D280" s="3"/>
      <c r="E280" s="1"/>
    </row>
    <row r="282" spans="3:26" ht="13.5" customHeight="1">
      <c r="C282" s="66" t="s">
        <v>3</v>
      </c>
      <c r="D282" s="57"/>
      <c r="E282" s="66" t="s">
        <v>4</v>
      </c>
      <c r="F282" s="57"/>
      <c r="G282" s="66" t="s">
        <v>5</v>
      </c>
      <c r="H282" s="57"/>
      <c r="I282" s="66" t="s">
        <v>6</v>
      </c>
      <c r="J282" s="57"/>
      <c r="K282" s="66" t="s">
        <v>7</v>
      </c>
      <c r="L282" s="57"/>
      <c r="M282" s="66" t="s">
        <v>8</v>
      </c>
      <c r="N282" s="57"/>
      <c r="O282" s="66" t="s">
        <v>9</v>
      </c>
      <c r="P282" s="57"/>
      <c r="Q282" s="66" t="s">
        <v>10</v>
      </c>
      <c r="R282" s="57"/>
      <c r="S282" s="66" t="s">
        <v>11</v>
      </c>
      <c r="T282" s="57"/>
      <c r="U282" s="66" t="s">
        <v>12</v>
      </c>
      <c r="V282" s="57"/>
      <c r="W282" s="66" t="s">
        <v>13</v>
      </c>
      <c r="X282" s="57"/>
      <c r="Y282" s="66" t="s">
        <v>14</v>
      </c>
      <c r="Z282" s="57"/>
    </row>
    <row r="284" spans="1:26" ht="11.25">
      <c r="A284" s="1" t="s">
        <v>15</v>
      </c>
      <c r="C284" s="10"/>
      <c r="D284" s="10"/>
      <c r="E284" s="10"/>
      <c r="F284" s="10"/>
      <c r="G284" s="10"/>
      <c r="H284" s="10"/>
      <c r="I284" s="10">
        <f>I170/I10</f>
        <v>0.378</v>
      </c>
      <c r="J284" s="10"/>
      <c r="K284" s="10">
        <f>K170/K10</f>
        <v>0.48</v>
      </c>
      <c r="L284" s="10"/>
      <c r="M284" s="10">
        <f>M170/M10</f>
        <v>0.478</v>
      </c>
      <c r="N284" s="10"/>
      <c r="O284" s="10">
        <f>O170/O10</f>
        <v>0.5</v>
      </c>
      <c r="P284" s="10"/>
      <c r="Q284" s="10">
        <f>Q170/Q10</f>
        <v>0.52</v>
      </c>
      <c r="R284" s="10"/>
      <c r="S284" s="10">
        <f>S170/S10</f>
        <v>0.594</v>
      </c>
      <c r="T284" s="10"/>
      <c r="U284" s="10">
        <f>U170/U10</f>
        <v>0.624</v>
      </c>
      <c r="V284" s="10"/>
      <c r="W284" s="10">
        <f>W170/W10</f>
        <v>0.644</v>
      </c>
      <c r="X284" s="10"/>
      <c r="Y284" s="10">
        <f>Y170/Y10</f>
        <v>0.671</v>
      </c>
      <c r="Z284" s="10" t="s">
        <v>46</v>
      </c>
    </row>
    <row r="285" spans="3:26" ht="11.25"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1.25">
      <c r="A286" s="30" t="s">
        <v>17</v>
      </c>
      <c r="C286" s="10"/>
      <c r="D286" s="10"/>
      <c r="E286" s="10"/>
      <c r="F286" s="10"/>
      <c r="G286" s="10">
        <f>G172/G12</f>
        <v>0.459</v>
      </c>
      <c r="H286" s="10"/>
      <c r="I286" s="10">
        <f>I172/I12</f>
        <v>0.418</v>
      </c>
      <c r="J286" s="10"/>
      <c r="K286" s="10">
        <f>K172/K12</f>
        <v>0.426</v>
      </c>
      <c r="L286" s="10"/>
      <c r="M286" s="10">
        <f>M172/M12</f>
        <v>0.479</v>
      </c>
      <c r="N286" s="10"/>
      <c r="O286" s="10">
        <f>O172/O12</f>
        <v>0.466</v>
      </c>
      <c r="P286" s="10"/>
      <c r="Q286" s="10">
        <f>Q172/Q12</f>
        <v>0.47</v>
      </c>
      <c r="R286" s="10"/>
      <c r="S286" s="10">
        <f>S172/S12</f>
        <v>0.495</v>
      </c>
      <c r="T286" s="10"/>
      <c r="U286" s="10">
        <f>U172/U12</f>
        <v>0.496</v>
      </c>
      <c r="V286" s="10"/>
      <c r="W286" s="10">
        <f>W172/W12</f>
        <v>0.51</v>
      </c>
      <c r="X286" s="10"/>
      <c r="Y286" s="10">
        <f>Y172/Y12</f>
        <v>0.524</v>
      </c>
      <c r="Z286" s="10"/>
    </row>
    <row r="287" spans="1:26" ht="11.25">
      <c r="A287" s="31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1.25">
      <c r="A288" s="30" t="s">
        <v>18</v>
      </c>
      <c r="C288" s="10"/>
      <c r="D288" s="10"/>
      <c r="E288" s="10">
        <f>E174/E14</f>
        <v>0.443</v>
      </c>
      <c r="F288" s="10"/>
      <c r="G288" s="10">
        <f>G174/G14</f>
        <v>0.423</v>
      </c>
      <c r="H288" s="10"/>
      <c r="I288" s="10">
        <f>I174/I14</f>
        <v>0.478</v>
      </c>
      <c r="J288" s="10"/>
      <c r="K288" s="10">
        <f>K174/K14</f>
        <v>0.51</v>
      </c>
      <c r="L288" s="10"/>
      <c r="M288" s="10">
        <f>M174/M14</f>
        <v>0.543</v>
      </c>
      <c r="N288" s="10"/>
      <c r="O288" s="10">
        <f>O174/O14</f>
        <v>0.535</v>
      </c>
      <c r="P288" s="10"/>
      <c r="Q288" s="10">
        <f>Q174/Q14</f>
        <v>0.559</v>
      </c>
      <c r="R288" s="10"/>
      <c r="S288" s="10">
        <f>S174/S14</f>
        <v>0.573</v>
      </c>
      <c r="T288" s="10"/>
      <c r="U288" s="10">
        <f>U174/U14</f>
        <v>0.571</v>
      </c>
      <c r="V288" s="10"/>
      <c r="W288" s="10">
        <f>W174/W14</f>
        <v>0.59</v>
      </c>
      <c r="X288" s="10"/>
      <c r="Y288" s="10">
        <f>Y174/Y14</f>
        <v>0.601</v>
      </c>
      <c r="Z288" s="10"/>
    </row>
    <row r="289" spans="1:26" ht="11.25">
      <c r="A289" s="31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1.25">
      <c r="A290" s="30" t="s">
        <v>19</v>
      </c>
      <c r="C290" s="10"/>
      <c r="D290" s="10"/>
      <c r="E290" s="10">
        <f>E176/E16</f>
        <v>0.408</v>
      </c>
      <c r="F290" s="10"/>
      <c r="G290" s="10">
        <f>G176/G16</f>
        <v>0.371</v>
      </c>
      <c r="H290" s="10"/>
      <c r="I290" s="10">
        <f>I176/I16</f>
        <v>0.341</v>
      </c>
      <c r="J290" s="10"/>
      <c r="K290" s="10">
        <f>K176/K16</f>
        <v>0.381</v>
      </c>
      <c r="L290" s="10"/>
      <c r="M290" s="10">
        <f>M176/M16</f>
        <v>0.453</v>
      </c>
      <c r="N290" s="10"/>
      <c r="O290" s="10">
        <f>O176/O16</f>
        <v>0.452</v>
      </c>
      <c r="P290" s="10"/>
      <c r="Q290" s="10">
        <f>Q176/Q16</f>
        <v>0.45</v>
      </c>
      <c r="R290" s="10"/>
      <c r="S290" s="10">
        <f>S176/S16</f>
        <v>0.484</v>
      </c>
      <c r="T290" s="10"/>
      <c r="U290" s="10">
        <f>U176/U16</f>
        <v>0.463</v>
      </c>
      <c r="V290" s="10"/>
      <c r="W290" s="10">
        <f>W176/W16</f>
        <v>0.464</v>
      </c>
      <c r="X290" s="10"/>
      <c r="Y290" s="10">
        <f>Y176/Y16</f>
        <v>0.488</v>
      </c>
      <c r="Z290" s="10"/>
    </row>
    <row r="291" spans="1:26" ht="11.25">
      <c r="A291" s="31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1.25">
      <c r="A292" s="39" t="s">
        <v>20</v>
      </c>
      <c r="C292" s="10"/>
      <c r="D292" s="10"/>
      <c r="E292" s="10"/>
      <c r="F292" s="10"/>
      <c r="G292" s="10"/>
      <c r="H292" s="10"/>
      <c r="I292" s="10">
        <f>I178/I18</f>
        <v>0.467</v>
      </c>
      <c r="J292" s="10"/>
      <c r="K292" s="10">
        <f>K178/K18</f>
        <v>0.485</v>
      </c>
      <c r="L292" s="10"/>
      <c r="M292" s="10">
        <f>M178/M18</f>
        <v>0.491</v>
      </c>
      <c r="N292" s="10"/>
      <c r="O292" s="10">
        <f>O178/O18</f>
        <v>0.529</v>
      </c>
      <c r="P292" s="10"/>
      <c r="Q292" s="10">
        <f>Q178/Q18</f>
        <v>0.55</v>
      </c>
      <c r="R292" s="10"/>
      <c r="S292" s="10">
        <f>S178/S18</f>
        <v>0.539</v>
      </c>
      <c r="T292" s="10"/>
      <c r="U292" s="10">
        <f>U178/U18</f>
        <v>0.554</v>
      </c>
      <c r="V292" s="10"/>
      <c r="W292" s="10">
        <f>W178/W18</f>
        <v>0.585</v>
      </c>
      <c r="X292" s="10"/>
      <c r="Y292" s="10">
        <f>Y178/Y18</f>
        <v>0.62</v>
      </c>
      <c r="Z292" s="10"/>
    </row>
    <row r="293" spans="1:26" ht="11.25">
      <c r="A293" s="31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1.25">
      <c r="A294" s="30" t="s">
        <v>21</v>
      </c>
      <c r="C294" s="10"/>
      <c r="D294" s="10"/>
      <c r="E294" s="10"/>
      <c r="F294" s="10"/>
      <c r="G294" s="10">
        <f>G180/G20</f>
        <v>0.563</v>
      </c>
      <c r="H294" s="10"/>
      <c r="I294" s="10">
        <f>I180/I20</f>
        <v>0.513</v>
      </c>
      <c r="J294" s="10"/>
      <c r="K294" s="10">
        <f>K180/K20</f>
        <v>0.553</v>
      </c>
      <c r="L294" s="10"/>
      <c r="M294" s="10">
        <f>M180/M20</f>
        <v>0.579</v>
      </c>
      <c r="N294" s="10"/>
      <c r="O294" s="10">
        <f>O180/O20</f>
        <v>0.601</v>
      </c>
      <c r="P294" s="10"/>
      <c r="Q294" s="10">
        <f>Q180/Q20</f>
        <v>0.596</v>
      </c>
      <c r="R294" s="10"/>
      <c r="S294" s="10">
        <f>S180/S20</f>
        <v>0.565</v>
      </c>
      <c r="T294" s="10"/>
      <c r="U294" s="10">
        <f>U180/U20</f>
        <v>0.574</v>
      </c>
      <c r="V294" s="10"/>
      <c r="W294" s="10">
        <f>W180/W20</f>
        <v>0.597</v>
      </c>
      <c r="X294" s="10"/>
      <c r="Y294" s="10">
        <f>Y180/Y20</f>
        <v>0.615</v>
      </c>
      <c r="Z294" s="10"/>
    </row>
    <row r="295" spans="1:26" ht="11.25">
      <c r="A295" s="31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1.25">
      <c r="A296" s="30" t="s">
        <v>22</v>
      </c>
      <c r="C296" s="10">
        <f>C182/C22</f>
        <v>0.437</v>
      </c>
      <c r="D296" s="10"/>
      <c r="E296" s="10">
        <f>E182/E22</f>
        <v>0.427</v>
      </c>
      <c r="F296" s="10"/>
      <c r="G296" s="10">
        <f>G182/G22</f>
        <v>0.45</v>
      </c>
      <c r="H296" s="10"/>
      <c r="I296" s="10">
        <f>I182/I22</f>
        <v>0.453</v>
      </c>
      <c r="J296" s="10"/>
      <c r="K296" s="10">
        <f>K182/K22</f>
        <v>0.47</v>
      </c>
      <c r="L296" s="10"/>
      <c r="M296" s="10">
        <f>M182/M22</f>
        <v>0.5</v>
      </c>
      <c r="N296" s="10"/>
      <c r="O296" s="10">
        <f>O182/O22</f>
        <v>0.52</v>
      </c>
      <c r="P296" s="10"/>
      <c r="Q296" s="10">
        <f>Q182/Q22</f>
        <v>0.501</v>
      </c>
      <c r="R296" s="10"/>
      <c r="S296" s="10">
        <f>S182/S22</f>
        <v>0.51</v>
      </c>
      <c r="T296" s="10"/>
      <c r="U296" s="10">
        <f>U182/U22</f>
        <v>0.534</v>
      </c>
      <c r="V296" s="10"/>
      <c r="W296" s="10">
        <f>W182/W22</f>
        <v>0.541</v>
      </c>
      <c r="X296" s="10"/>
      <c r="Y296" s="10">
        <f>Y182/Y22</f>
        <v>0.553</v>
      </c>
      <c r="Z296" s="10"/>
    </row>
    <row r="297" spans="1:26" ht="11.25">
      <c r="A297" s="31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1.25">
      <c r="A298" s="30" t="s">
        <v>23</v>
      </c>
      <c r="C298" s="10"/>
      <c r="D298" s="10"/>
      <c r="E298" s="10"/>
      <c r="F298" s="10"/>
      <c r="G298" s="10">
        <f>G184/G24</f>
        <v>0.421</v>
      </c>
      <c r="H298" s="10"/>
      <c r="I298" s="10">
        <f>I184/I24</f>
        <v>0.382</v>
      </c>
      <c r="J298" s="10"/>
      <c r="K298" s="10">
        <f>K184/K24</f>
        <v>0.409</v>
      </c>
      <c r="L298" s="10"/>
      <c r="M298" s="10">
        <f>M184/M24</f>
        <v>0.435</v>
      </c>
      <c r="N298" s="10"/>
      <c r="O298" s="10">
        <f>O184/O24</f>
        <v>0.46</v>
      </c>
      <c r="P298" s="10"/>
      <c r="Q298" s="10">
        <f>Q184/Q24</f>
        <v>0.478</v>
      </c>
      <c r="R298" s="10"/>
      <c r="S298" s="10">
        <f>S184/S24</f>
        <v>0.493</v>
      </c>
      <c r="T298" s="10"/>
      <c r="U298" s="10">
        <f>U184/U24</f>
        <v>0.505</v>
      </c>
      <c r="V298" s="10"/>
      <c r="W298" s="10">
        <f>W184/W24</f>
        <v>0.525</v>
      </c>
      <c r="X298" s="10"/>
      <c r="Y298" s="10">
        <f>Y184/Y24</f>
        <v>0.521</v>
      </c>
      <c r="Z298" s="10"/>
    </row>
    <row r="299" spans="1:26" ht="11.25">
      <c r="A299" s="31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1.25">
      <c r="A300" s="30" t="s">
        <v>24</v>
      </c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>
        <f>U186/U26</f>
        <v>0.587</v>
      </c>
      <c r="V300" s="10"/>
      <c r="W300" s="10">
        <f>W186/W26</f>
        <v>0.557</v>
      </c>
      <c r="X300" s="10"/>
      <c r="Y300" s="10">
        <f>Y186/Y26</f>
        <v>0.569</v>
      </c>
      <c r="Z300" s="10"/>
    </row>
    <row r="301" spans="1:26" ht="11.25">
      <c r="A301" s="31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1.25">
      <c r="A302" s="39" t="s">
        <v>25</v>
      </c>
      <c r="C302" s="10"/>
      <c r="D302" s="10"/>
      <c r="E302" s="10"/>
      <c r="F302" s="10"/>
      <c r="G302" s="10"/>
      <c r="H302" s="10"/>
      <c r="I302" s="10">
        <f>I188/I28</f>
        <v>0.38</v>
      </c>
      <c r="J302" s="10"/>
      <c r="K302" s="10">
        <f>K188/K28</f>
        <v>0.48</v>
      </c>
      <c r="L302" s="10"/>
      <c r="M302" s="10">
        <f>M188/M28</f>
        <v>0.483</v>
      </c>
      <c r="N302" s="10"/>
      <c r="O302" s="10">
        <f>O188/O28</f>
        <v>0.456</v>
      </c>
      <c r="P302" s="10"/>
      <c r="Q302" s="10">
        <f>Q188/Q28</f>
        <v>0.497</v>
      </c>
      <c r="R302" s="10"/>
      <c r="S302" s="10">
        <f>S188/S28</f>
        <v>0.507</v>
      </c>
      <c r="T302" s="10"/>
      <c r="U302" s="10">
        <f>U188/U28</f>
        <v>0.548</v>
      </c>
      <c r="V302" s="10"/>
      <c r="W302" s="10">
        <f>W188/W28</f>
        <v>0.6</v>
      </c>
      <c r="X302" s="10"/>
      <c r="Y302" s="10">
        <f>Y188/Y28</f>
        <v>0.607</v>
      </c>
      <c r="Z302" s="10"/>
    </row>
    <row r="303" spans="3:26" ht="11.25"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1.25">
      <c r="A304" s="1" t="s">
        <v>45</v>
      </c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>
        <f>Q190/Q30</f>
        <v>0.52</v>
      </c>
      <c r="R304" s="10"/>
      <c r="S304" s="10">
        <f>S190/S30</f>
        <v>0.509</v>
      </c>
      <c r="T304" s="10"/>
      <c r="U304" s="10">
        <f>U190/U30</f>
        <v>0.506</v>
      </c>
      <c r="V304" s="10"/>
      <c r="W304" s="10">
        <f>W190/W30</f>
        <v>0.525</v>
      </c>
      <c r="X304" s="10"/>
      <c r="Y304" s="10">
        <f>Y190/Y30</f>
        <v>0.556</v>
      </c>
      <c r="Z304" s="10"/>
    </row>
    <row r="305" spans="3:26" ht="11.25"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1.25">
      <c r="A306" s="1" t="s">
        <v>26</v>
      </c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>
        <f>O192/O32</f>
        <v>0.509</v>
      </c>
      <c r="P306" s="10"/>
      <c r="Q306" s="10">
        <f>Q192/Q32</f>
        <v>0.488</v>
      </c>
      <c r="R306" s="10"/>
      <c r="S306" s="10">
        <f>S192/S32</f>
        <v>0.497</v>
      </c>
      <c r="T306" s="10"/>
      <c r="U306" s="10">
        <f>U192/U32</f>
        <v>0.518</v>
      </c>
      <c r="V306" s="10"/>
      <c r="W306" s="10">
        <f>W192/W32</f>
        <v>0.512</v>
      </c>
      <c r="X306" s="10"/>
      <c r="Y306" s="10">
        <f>Y192/Y32</f>
        <v>0.532</v>
      </c>
      <c r="Z306" s="10"/>
    </row>
    <row r="307" spans="3:30" ht="11.25">
      <c r="C307" s="57"/>
      <c r="D307" s="57"/>
      <c r="E307" s="10"/>
      <c r="F307" s="57"/>
      <c r="G307" s="10"/>
      <c r="H307" s="57"/>
      <c r="I307" s="10"/>
      <c r="J307" s="57"/>
      <c r="K307" s="10"/>
      <c r="L307" s="57"/>
      <c r="M307" s="10"/>
      <c r="N307" s="57"/>
      <c r="O307" s="10"/>
      <c r="P307" s="57"/>
      <c r="Q307" s="10"/>
      <c r="R307" s="57"/>
      <c r="S307" s="10"/>
      <c r="T307" s="57"/>
      <c r="U307" s="10"/>
      <c r="V307" s="57"/>
      <c r="W307" s="10"/>
      <c r="X307" s="57"/>
      <c r="Y307" s="10"/>
      <c r="Z307" s="57"/>
      <c r="AA307" s="57"/>
      <c r="AB307" s="57"/>
      <c r="AC307" s="57"/>
      <c r="AD307" s="57"/>
    </row>
    <row r="308" spans="1:26" s="57" customFormat="1" ht="11.25">
      <c r="A308" s="56" t="s">
        <v>38</v>
      </c>
      <c r="C308" s="10">
        <f>C194/C34</f>
        <v>0.437</v>
      </c>
      <c r="D308" s="89"/>
      <c r="E308" s="10">
        <f>E194/E34</f>
        <v>0.422</v>
      </c>
      <c r="F308" s="89"/>
      <c r="G308" s="10">
        <f>G194/G34</f>
        <v>0.417</v>
      </c>
      <c r="H308" s="89"/>
      <c r="I308" s="10">
        <f>I194/I34</f>
        <v>0.428</v>
      </c>
      <c r="J308" s="89"/>
      <c r="K308" s="10">
        <f>K194/K34</f>
        <v>0.465</v>
      </c>
      <c r="L308" s="89"/>
      <c r="M308" s="10">
        <f>M194/M34</f>
        <v>0.496</v>
      </c>
      <c r="N308" s="89"/>
      <c r="O308" s="10">
        <f>O194/O34</f>
        <v>0.502</v>
      </c>
      <c r="P308" s="89"/>
      <c r="Q308" s="10">
        <f>Q194/Q34</f>
        <v>0.509</v>
      </c>
      <c r="R308" s="89"/>
      <c r="S308" s="10">
        <f>S194/S34</f>
        <v>0.52</v>
      </c>
      <c r="T308" s="89"/>
      <c r="U308" s="10">
        <f>U194/U34</f>
        <v>0.531</v>
      </c>
      <c r="V308" s="89"/>
      <c r="W308" s="10">
        <f>W194/W34</f>
        <v>0.546</v>
      </c>
      <c r="X308" s="89"/>
      <c r="Y308" s="10">
        <f>Y194/Y34</f>
        <v>0.562</v>
      </c>
      <c r="Z308" s="89"/>
    </row>
    <row r="309" spans="3:30" ht="11.25">
      <c r="C309" s="62"/>
      <c r="D309" s="57"/>
      <c r="E309" s="62"/>
      <c r="F309" s="57"/>
      <c r="G309" s="62"/>
      <c r="H309" s="57"/>
      <c r="I309" s="62"/>
      <c r="J309" s="57"/>
      <c r="K309" s="62"/>
      <c r="L309" s="57"/>
      <c r="M309" s="62"/>
      <c r="N309" s="57"/>
      <c r="O309" s="62"/>
      <c r="P309" s="57"/>
      <c r="Q309" s="62"/>
      <c r="R309" s="57"/>
      <c r="S309" s="62"/>
      <c r="T309" s="57"/>
      <c r="U309" s="62"/>
      <c r="V309" s="57"/>
      <c r="W309" s="62"/>
      <c r="X309" s="57"/>
      <c r="Y309" s="62"/>
      <c r="Z309" s="57"/>
      <c r="AA309" s="57"/>
      <c r="AB309" s="57"/>
      <c r="AC309" s="57"/>
      <c r="AD309" s="57"/>
    </row>
    <row r="310" spans="1:25" ht="11.25">
      <c r="A310" s="44" t="s">
        <v>48</v>
      </c>
      <c r="B310" s="31"/>
      <c r="C310" s="70"/>
      <c r="E310" s="3"/>
      <c r="F310" s="57"/>
      <c r="G310" s="3"/>
      <c r="I310" s="3"/>
      <c r="K310" s="3"/>
      <c r="M310" s="3"/>
      <c r="O310" s="3"/>
      <c r="Q310" s="3"/>
      <c r="S310" s="3"/>
      <c r="U310" s="3"/>
      <c r="W310" s="3"/>
      <c r="Y310" s="3"/>
    </row>
    <row r="311" ht="11.25">
      <c r="A311" s="1"/>
    </row>
    <row r="312" spans="1:26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</row>
    <row r="313" spans="1:26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</row>
    <row r="314" spans="1:26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</row>
    <row r="315" spans="1:26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</row>
    <row r="316" spans="1:26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</row>
    <row r="317" spans="1:26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</row>
    <row r="318" spans="1:26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</row>
    <row r="319" spans="1:26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</row>
    <row r="320" spans="1:26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</row>
    <row r="321" spans="1:26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</row>
    <row r="322" spans="1:26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</row>
    <row r="323" spans="1:26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</row>
    <row r="324" spans="1:26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</row>
    <row r="325" spans="1:26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</row>
    <row r="326" spans="1:26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</row>
    <row r="327" spans="1:26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</row>
    <row r="328" spans="1:26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</row>
    <row r="329" spans="1:26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</row>
    <row r="330" spans="1:26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</row>
    <row r="331" spans="1:26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</row>
    <row r="332" spans="1:26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</row>
    <row r="333" spans="1:26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</row>
    <row r="334" spans="1:26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</row>
    <row r="335" spans="1:26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</row>
    <row r="336" spans="1:26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</row>
    <row r="337" spans="1:26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</row>
    <row r="338" spans="1:26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</row>
    <row r="339" spans="1:26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</row>
    <row r="340" spans="1:26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</row>
    <row r="341" spans="1:26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</row>
    <row r="342" spans="1:26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</row>
    <row r="343" spans="1:26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</row>
    <row r="344" spans="1:26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</row>
    <row r="345" spans="1:26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</row>
    <row r="346" spans="1:26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</row>
    <row r="347" spans="1:26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</row>
    <row r="348" spans="1:26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</row>
    <row r="349" spans="2:26" ht="11.25">
      <c r="B349" s="5"/>
      <c r="C349" s="9"/>
      <c r="D349" s="5"/>
      <c r="E349" s="9"/>
      <c r="F349" s="5"/>
      <c r="G349" s="9"/>
      <c r="H349" s="5"/>
      <c r="I349" s="9"/>
      <c r="J349" s="5"/>
      <c r="K349" s="9"/>
      <c r="L349" s="5"/>
      <c r="M349" s="9"/>
      <c r="N349" s="5"/>
      <c r="O349" s="9"/>
      <c r="P349" s="5"/>
      <c r="Q349" s="9"/>
      <c r="R349" s="5"/>
      <c r="S349" s="9"/>
      <c r="T349" s="5"/>
      <c r="U349" s="9"/>
      <c r="V349" s="5"/>
      <c r="W349" s="9"/>
      <c r="X349" s="5"/>
      <c r="Y349" s="9"/>
      <c r="Z349" s="5"/>
    </row>
    <row r="350" spans="2:26" ht="11.25">
      <c r="B350" s="5"/>
      <c r="C350" s="9"/>
      <c r="D350" s="5"/>
      <c r="E350" s="9"/>
      <c r="F350" s="5"/>
      <c r="G350" s="9"/>
      <c r="H350" s="5"/>
      <c r="I350" s="9"/>
      <c r="J350" s="5"/>
      <c r="K350" s="9"/>
      <c r="L350" s="5"/>
      <c r="M350" s="9"/>
      <c r="N350" s="5"/>
      <c r="O350" s="9"/>
      <c r="P350" s="5"/>
      <c r="Q350" s="9"/>
      <c r="R350" s="5"/>
      <c r="S350" s="9"/>
      <c r="T350" s="5"/>
      <c r="U350" s="9"/>
      <c r="V350" s="5"/>
      <c r="W350" s="9"/>
      <c r="X350" s="5"/>
      <c r="Y350" s="9"/>
      <c r="Z350" s="5"/>
    </row>
    <row r="351" ht="11.25">
      <c r="A351" s="1"/>
    </row>
    <row r="352" ht="12.75">
      <c r="A352"/>
    </row>
    <row r="353" ht="11.25">
      <c r="A353" s="1"/>
    </row>
    <row r="354" spans="1:5" ht="11.25">
      <c r="A354" s="60"/>
      <c r="B354" s="57"/>
      <c r="C354" s="57"/>
      <c r="D354" s="57"/>
      <c r="E354" s="57"/>
    </row>
    <row r="355" spans="1:5" ht="11.25">
      <c r="A355" s="61"/>
      <c r="B355" s="62"/>
      <c r="C355" s="62"/>
      <c r="D355" s="62"/>
      <c r="E355" s="56"/>
    </row>
    <row r="357" spans="3:25" ht="11.25">
      <c r="C357" s="4"/>
      <c r="E357" s="4"/>
      <c r="G357" s="4"/>
      <c r="I357" s="4"/>
      <c r="K357" s="4"/>
      <c r="M357" s="4"/>
      <c r="O357" s="4"/>
      <c r="Q357" s="4"/>
      <c r="S357" s="4"/>
      <c r="U357" s="4"/>
      <c r="W357" s="4"/>
      <c r="Y357" s="4"/>
    </row>
    <row r="358" spans="3:25" ht="11.25">
      <c r="C358" s="3"/>
      <c r="E358" s="3"/>
      <c r="G358" s="3"/>
      <c r="I358" s="3"/>
      <c r="K358" s="3"/>
      <c r="M358" s="3"/>
      <c r="O358" s="3"/>
      <c r="Q358" s="3"/>
      <c r="S358" s="3"/>
      <c r="U358" s="3"/>
      <c r="W358" s="3"/>
      <c r="Y358" s="3"/>
    </row>
    <row r="359" ht="11.25">
      <c r="A359" s="1"/>
    </row>
    <row r="360" spans="1:26" ht="11.25">
      <c r="A360" s="1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3:26" ht="11.25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1.25">
      <c r="A362" s="1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3:26" ht="11.25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1.25">
      <c r="A364" s="1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3:26" ht="11.25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1.25">
      <c r="A366" s="1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3:26" ht="11.25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5" ht="11.25">
      <c r="A368" s="1"/>
      <c r="I368" s="8"/>
      <c r="K368" s="8"/>
      <c r="M368" s="8"/>
      <c r="O368" s="8"/>
      <c r="Q368" s="8"/>
      <c r="S368" s="8"/>
      <c r="U368" s="8"/>
      <c r="W368" s="8"/>
      <c r="Y368" s="8"/>
    </row>
    <row r="370" spans="1:25" ht="11.25">
      <c r="A370" s="1"/>
      <c r="G370" s="8"/>
      <c r="I370" s="8"/>
      <c r="K370" s="8"/>
      <c r="M370" s="8"/>
      <c r="O370" s="8"/>
      <c r="Q370" s="8"/>
      <c r="S370" s="8"/>
      <c r="U370" s="8"/>
      <c r="W370" s="8"/>
      <c r="Y370" s="8"/>
    </row>
    <row r="372" spans="1:25" ht="11.25">
      <c r="A372" s="1"/>
      <c r="C372" s="8"/>
      <c r="E372" s="8"/>
      <c r="G372" s="8"/>
      <c r="I372" s="8"/>
      <c r="K372" s="8"/>
      <c r="M372" s="8"/>
      <c r="O372" s="8"/>
      <c r="Q372" s="8"/>
      <c r="S372" s="8"/>
      <c r="U372" s="8"/>
      <c r="W372" s="8"/>
      <c r="Y372" s="8"/>
    </row>
    <row r="374" spans="1:25" ht="11.25">
      <c r="A374" s="1"/>
      <c r="G374" s="8"/>
      <c r="I374" s="8"/>
      <c r="K374" s="8"/>
      <c r="M374" s="8"/>
      <c r="O374" s="8"/>
      <c r="Q374" s="8"/>
      <c r="S374" s="8"/>
      <c r="U374" s="8"/>
      <c r="W374" s="8"/>
      <c r="Y374" s="8"/>
    </row>
    <row r="376" spans="1:25" ht="11.25">
      <c r="A376" s="1"/>
      <c r="U376" s="8"/>
      <c r="W376" s="8"/>
      <c r="Y376" s="8"/>
    </row>
    <row r="378" spans="1:25" ht="11.25">
      <c r="A378" s="1"/>
      <c r="I378" s="8"/>
      <c r="K378" s="8"/>
      <c r="M378" s="8"/>
      <c r="O378" s="8"/>
      <c r="Q378" s="8"/>
      <c r="S378" s="8"/>
      <c r="U378" s="8"/>
      <c r="W378" s="8"/>
      <c r="Y378" s="8"/>
    </row>
    <row r="380" spans="1:25" ht="11.25">
      <c r="A380" s="1"/>
      <c r="Q380" s="8"/>
      <c r="S380" s="8"/>
      <c r="U380" s="8"/>
      <c r="W380" s="8"/>
      <c r="Y380" s="8"/>
    </row>
    <row r="382" spans="1:26" ht="11.25">
      <c r="A382" s="1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2:26" ht="11.2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1.25">
      <c r="A384" s="1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2:26" ht="11.25">
      <c r="B385" s="5"/>
      <c r="C385" s="9"/>
      <c r="D385" s="5"/>
      <c r="E385" s="9"/>
      <c r="F385" s="5"/>
      <c r="G385" s="9"/>
      <c r="H385" s="5"/>
      <c r="I385" s="9"/>
      <c r="J385" s="5"/>
      <c r="K385" s="9"/>
      <c r="L385" s="5"/>
      <c r="M385" s="9"/>
      <c r="N385" s="5"/>
      <c r="O385" s="9"/>
      <c r="P385" s="5"/>
      <c r="Q385" s="9"/>
      <c r="R385" s="5"/>
      <c r="S385" s="9"/>
      <c r="T385" s="5"/>
      <c r="U385" s="9"/>
      <c r="V385" s="5"/>
      <c r="W385" s="9"/>
      <c r="X385" s="5"/>
      <c r="Y385" s="9"/>
      <c r="Z385" s="5"/>
    </row>
    <row r="386" spans="2:26" ht="11.2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1.25">
      <c r="A387" s="1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2:26" ht="11.25">
      <c r="B388" s="5"/>
      <c r="C388" s="9"/>
      <c r="D388" s="5"/>
      <c r="E388" s="9"/>
      <c r="F388" s="5"/>
      <c r="G388" s="9"/>
      <c r="H388" s="5"/>
      <c r="I388" s="9"/>
      <c r="J388" s="5"/>
      <c r="K388" s="9"/>
      <c r="L388" s="5"/>
      <c r="M388" s="9"/>
      <c r="N388" s="5"/>
      <c r="O388" s="9"/>
      <c r="P388" s="5"/>
      <c r="Q388" s="9"/>
      <c r="R388" s="5"/>
      <c r="S388" s="9"/>
      <c r="T388" s="5"/>
      <c r="U388" s="9"/>
      <c r="V388" s="5"/>
      <c r="W388" s="9"/>
      <c r="X388" s="5"/>
      <c r="Y388" s="9"/>
      <c r="Z388" s="5"/>
    </row>
    <row r="400" spans="3:26" ht="11.25">
      <c r="C400" s="12"/>
      <c r="E400" s="12"/>
      <c r="F400" s="12"/>
      <c r="G400" s="12"/>
      <c r="I400" s="12"/>
      <c r="J400" s="12"/>
      <c r="K400" s="12"/>
      <c r="M400" s="12"/>
      <c r="N400" s="12"/>
      <c r="O400" s="12"/>
      <c r="Q400" s="12"/>
      <c r="R400" s="12"/>
      <c r="S400" s="12"/>
      <c r="U400" s="12"/>
      <c r="V400" s="12"/>
      <c r="W400" s="12"/>
      <c r="Y400" s="12"/>
      <c r="Z400" s="12"/>
    </row>
    <row r="401" spans="3:26" ht="11.25">
      <c r="C401" s="12"/>
      <c r="E401" s="12"/>
      <c r="F401" s="12"/>
      <c r="G401" s="12"/>
      <c r="I401" s="12"/>
      <c r="J401" s="12"/>
      <c r="K401" s="12"/>
      <c r="M401" s="12"/>
      <c r="N401" s="12"/>
      <c r="O401" s="12"/>
      <c r="Q401" s="12"/>
      <c r="R401" s="12"/>
      <c r="S401" s="12"/>
      <c r="U401" s="12"/>
      <c r="V401" s="12"/>
      <c r="W401" s="12"/>
      <c r="Y401" s="12"/>
      <c r="Z401" s="12"/>
    </row>
    <row r="402" spans="3:26" ht="11.25">
      <c r="C402" s="12"/>
      <c r="E402" s="12"/>
      <c r="F402" s="12"/>
      <c r="G402" s="12"/>
      <c r="I402" s="12"/>
      <c r="J402" s="12"/>
      <c r="K402" s="12"/>
      <c r="M402" s="12"/>
      <c r="N402" s="12"/>
      <c r="O402" s="12"/>
      <c r="Q402" s="12"/>
      <c r="R402" s="12"/>
      <c r="S402" s="12"/>
      <c r="U402" s="12"/>
      <c r="V402" s="12"/>
      <c r="W402" s="12"/>
      <c r="Y402" s="12"/>
      <c r="Z402" s="12"/>
    </row>
    <row r="403" spans="3:26" ht="11.25">
      <c r="C403" s="12"/>
      <c r="E403" s="12"/>
      <c r="F403" s="12"/>
      <c r="G403" s="12"/>
      <c r="I403" s="12"/>
      <c r="J403" s="12"/>
      <c r="K403" s="12"/>
      <c r="M403" s="12"/>
      <c r="N403" s="12"/>
      <c r="O403" s="12"/>
      <c r="Q403" s="12"/>
      <c r="R403" s="12"/>
      <c r="S403" s="12"/>
      <c r="U403" s="12"/>
      <c r="V403" s="12"/>
      <c r="W403" s="12"/>
      <c r="Y403" s="12"/>
      <c r="Z403" s="12"/>
    </row>
    <row r="404" spans="3:26" ht="11.25">
      <c r="C404" s="12"/>
      <c r="E404" s="12"/>
      <c r="F404" s="12"/>
      <c r="G404" s="12"/>
      <c r="I404" s="12"/>
      <c r="J404" s="12"/>
      <c r="K404" s="12"/>
      <c r="M404" s="12"/>
      <c r="N404" s="12"/>
      <c r="O404" s="12"/>
      <c r="Q404" s="12"/>
      <c r="R404" s="12"/>
      <c r="S404" s="12"/>
      <c r="U404" s="12"/>
      <c r="V404" s="12"/>
      <c r="W404" s="12"/>
      <c r="Y404" s="12"/>
      <c r="Z404" s="12"/>
    </row>
    <row r="405" spans="3:26" ht="11.25">
      <c r="C405" s="12"/>
      <c r="E405" s="12"/>
      <c r="F405" s="12"/>
      <c r="G405" s="12"/>
      <c r="I405" s="12"/>
      <c r="J405" s="12"/>
      <c r="K405" s="12"/>
      <c r="M405" s="12"/>
      <c r="N405" s="12"/>
      <c r="O405" s="12"/>
      <c r="Q405" s="12"/>
      <c r="R405" s="12"/>
      <c r="S405" s="12"/>
      <c r="U405" s="12"/>
      <c r="V405" s="12"/>
      <c r="W405" s="12"/>
      <c r="Y405" s="12"/>
      <c r="Z405" s="12"/>
    </row>
    <row r="406" spans="3:26" ht="11.25">
      <c r="C406" s="12"/>
      <c r="E406" s="12"/>
      <c r="F406" s="12"/>
      <c r="G406" s="12"/>
      <c r="I406" s="12"/>
      <c r="J406" s="12"/>
      <c r="K406" s="12"/>
      <c r="M406" s="12"/>
      <c r="N406" s="12"/>
      <c r="O406" s="12"/>
      <c r="Q406" s="12"/>
      <c r="R406" s="12"/>
      <c r="S406" s="12"/>
      <c r="U406" s="12"/>
      <c r="V406" s="12"/>
      <c r="W406" s="12"/>
      <c r="Y406" s="12"/>
      <c r="Z406" s="12"/>
    </row>
    <row r="407" spans="3:26" ht="11.25">
      <c r="C407" s="12"/>
      <c r="E407" s="12"/>
      <c r="F407" s="12"/>
      <c r="G407" s="12"/>
      <c r="I407" s="12"/>
      <c r="J407" s="12"/>
      <c r="K407" s="12"/>
      <c r="M407" s="12"/>
      <c r="N407" s="12"/>
      <c r="O407" s="12"/>
      <c r="Q407" s="12"/>
      <c r="R407" s="12"/>
      <c r="S407" s="12"/>
      <c r="U407" s="12"/>
      <c r="V407" s="12"/>
      <c r="W407" s="12"/>
      <c r="Y407" s="12"/>
      <c r="Z407" s="12"/>
    </row>
    <row r="408" spans="3:26" ht="11.25">
      <c r="C408" s="12"/>
      <c r="E408" s="12"/>
      <c r="F408" s="12"/>
      <c r="G408" s="12"/>
      <c r="I408" s="12"/>
      <c r="J408" s="12"/>
      <c r="K408" s="12"/>
      <c r="M408" s="12"/>
      <c r="N408" s="12"/>
      <c r="O408" s="12"/>
      <c r="Q408" s="12"/>
      <c r="R408" s="12"/>
      <c r="S408" s="12"/>
      <c r="U408" s="12"/>
      <c r="V408" s="12"/>
      <c r="W408" s="12"/>
      <c r="Y408" s="12"/>
      <c r="Z408" s="12"/>
    </row>
    <row r="409" spans="3:26" ht="11.25">
      <c r="C409" s="12"/>
      <c r="E409" s="12"/>
      <c r="F409" s="12"/>
      <c r="G409" s="12"/>
      <c r="I409" s="12"/>
      <c r="J409" s="12"/>
      <c r="K409" s="12"/>
      <c r="M409" s="12"/>
      <c r="N409" s="12"/>
      <c r="O409" s="12"/>
      <c r="Q409" s="12"/>
      <c r="R409" s="12"/>
      <c r="S409" s="12"/>
      <c r="U409" s="12"/>
      <c r="V409" s="12"/>
      <c r="W409" s="12"/>
      <c r="Y409" s="12"/>
      <c r="Z409" s="12"/>
    </row>
    <row r="410" spans="3:26" ht="11.25">
      <c r="C410" s="12"/>
      <c r="E410" s="12"/>
      <c r="F410" s="12"/>
      <c r="G410" s="12"/>
      <c r="I410" s="12"/>
      <c r="J410" s="12"/>
      <c r="K410" s="12"/>
      <c r="M410" s="12"/>
      <c r="N410" s="12"/>
      <c r="O410" s="12"/>
      <c r="Q410" s="12"/>
      <c r="R410" s="12"/>
      <c r="S410" s="12"/>
      <c r="U410" s="12"/>
      <c r="V410" s="12"/>
      <c r="W410" s="12"/>
      <c r="Y410" s="12"/>
      <c r="Z410" s="12"/>
    </row>
    <row r="411" spans="3:26" ht="11.25">
      <c r="C411" s="12"/>
      <c r="E411" s="12"/>
      <c r="F411" s="12"/>
      <c r="G411" s="12"/>
      <c r="I411" s="12"/>
      <c r="J411" s="12"/>
      <c r="K411" s="12"/>
      <c r="M411" s="12"/>
      <c r="N411" s="12"/>
      <c r="O411" s="12"/>
      <c r="Q411" s="12"/>
      <c r="R411" s="12"/>
      <c r="S411" s="12"/>
      <c r="U411" s="12"/>
      <c r="V411" s="12"/>
      <c r="W411" s="12"/>
      <c r="Y411" s="12"/>
      <c r="Z411" s="12"/>
    </row>
    <row r="412" spans="3:26" ht="11.25">
      <c r="C412" s="12"/>
      <c r="E412" s="12"/>
      <c r="F412" s="12"/>
      <c r="G412" s="12"/>
      <c r="I412" s="12"/>
      <c r="J412" s="12"/>
      <c r="K412" s="12"/>
      <c r="M412" s="12"/>
      <c r="N412" s="12"/>
      <c r="O412" s="12"/>
      <c r="Q412" s="12"/>
      <c r="R412" s="12"/>
      <c r="S412" s="12"/>
      <c r="U412" s="12"/>
      <c r="V412" s="12"/>
      <c r="W412" s="12"/>
      <c r="Y412" s="12"/>
      <c r="Z412" s="12"/>
    </row>
    <row r="413" spans="3:26" ht="11.25">
      <c r="C413" s="12"/>
      <c r="E413" s="12"/>
      <c r="F413" s="12"/>
      <c r="G413" s="12"/>
      <c r="I413" s="12"/>
      <c r="J413" s="12"/>
      <c r="K413" s="12"/>
      <c r="M413" s="12"/>
      <c r="N413" s="12"/>
      <c r="O413" s="12"/>
      <c r="Q413" s="12"/>
      <c r="R413" s="12"/>
      <c r="S413" s="12"/>
      <c r="U413" s="12"/>
      <c r="V413" s="12"/>
      <c r="W413" s="12"/>
      <c r="Y413" s="12"/>
      <c r="Z413" s="12"/>
    </row>
    <row r="414" spans="3:26" ht="11.25">
      <c r="C414" s="12"/>
      <c r="E414" s="12"/>
      <c r="F414" s="12"/>
      <c r="G414" s="12"/>
      <c r="I414" s="12"/>
      <c r="J414" s="12"/>
      <c r="K414" s="12"/>
      <c r="M414" s="12"/>
      <c r="N414" s="12"/>
      <c r="O414" s="12"/>
      <c r="Q414" s="12"/>
      <c r="R414" s="12"/>
      <c r="S414" s="12"/>
      <c r="U414" s="12"/>
      <c r="V414" s="12"/>
      <c r="W414" s="12"/>
      <c r="Y414" s="12"/>
      <c r="Z414" s="12"/>
    </row>
    <row r="415" spans="3:26" ht="11.25">
      <c r="C415" s="12"/>
      <c r="E415" s="12"/>
      <c r="F415" s="12"/>
      <c r="G415" s="12"/>
      <c r="I415" s="12"/>
      <c r="J415" s="12"/>
      <c r="K415" s="12"/>
      <c r="M415" s="12"/>
      <c r="N415" s="12"/>
      <c r="O415" s="12"/>
      <c r="Q415" s="12"/>
      <c r="R415" s="12"/>
      <c r="S415" s="12"/>
      <c r="U415" s="12"/>
      <c r="V415" s="12"/>
      <c r="W415" s="12"/>
      <c r="Y415" s="12"/>
      <c r="Z415" s="12"/>
    </row>
    <row r="416" spans="3:26" ht="11.25">
      <c r="C416" s="12"/>
      <c r="E416" s="12"/>
      <c r="F416" s="12"/>
      <c r="G416" s="12"/>
      <c r="I416" s="12"/>
      <c r="J416" s="12"/>
      <c r="K416" s="12"/>
      <c r="M416" s="12"/>
      <c r="N416" s="12"/>
      <c r="O416" s="12"/>
      <c r="Q416" s="12"/>
      <c r="R416" s="12"/>
      <c r="S416" s="12"/>
      <c r="U416" s="12"/>
      <c r="V416" s="12"/>
      <c r="W416" s="12"/>
      <c r="Y416" s="12"/>
      <c r="Z416" s="12"/>
    </row>
    <row r="417" spans="3:26" ht="11.25">
      <c r="C417" s="12"/>
      <c r="E417" s="12"/>
      <c r="F417" s="12"/>
      <c r="G417" s="12"/>
      <c r="I417" s="12"/>
      <c r="J417" s="12"/>
      <c r="K417" s="12"/>
      <c r="M417" s="12"/>
      <c r="N417" s="12"/>
      <c r="O417" s="12"/>
      <c r="Q417" s="12"/>
      <c r="R417" s="12"/>
      <c r="S417" s="12"/>
      <c r="U417" s="12"/>
      <c r="V417" s="12"/>
      <c r="W417" s="12"/>
      <c r="Y417" s="12"/>
      <c r="Z417" s="12"/>
    </row>
    <row r="418" spans="3:26" ht="11.25">
      <c r="C418" s="12"/>
      <c r="E418" s="12"/>
      <c r="F418" s="12"/>
      <c r="G418" s="12"/>
      <c r="I418" s="12"/>
      <c r="J418" s="12"/>
      <c r="K418" s="12"/>
      <c r="M418" s="12"/>
      <c r="N418" s="12"/>
      <c r="O418" s="12"/>
      <c r="Q418" s="12"/>
      <c r="R418" s="12"/>
      <c r="S418" s="12"/>
      <c r="U418" s="12"/>
      <c r="V418" s="12"/>
      <c r="W418" s="12"/>
      <c r="Y418" s="12"/>
      <c r="Z418" s="12"/>
    </row>
    <row r="419" spans="3:26" ht="11.25">
      <c r="C419" s="12"/>
      <c r="E419" s="12"/>
      <c r="F419" s="12"/>
      <c r="G419" s="12"/>
      <c r="I419" s="12"/>
      <c r="J419" s="12"/>
      <c r="K419" s="12"/>
      <c r="M419" s="12"/>
      <c r="N419" s="12"/>
      <c r="O419" s="12"/>
      <c r="Q419" s="12"/>
      <c r="R419" s="12"/>
      <c r="S419" s="12"/>
      <c r="U419" s="12"/>
      <c r="V419" s="12"/>
      <c r="W419" s="12"/>
      <c r="Y419" s="12"/>
      <c r="Z419" s="12"/>
    </row>
    <row r="420" spans="3:26" ht="11.25">
      <c r="C420" s="12"/>
      <c r="E420" s="12"/>
      <c r="F420" s="12"/>
      <c r="G420" s="12"/>
      <c r="I420" s="12"/>
      <c r="J420" s="12"/>
      <c r="K420" s="12"/>
      <c r="M420" s="12"/>
      <c r="N420" s="12"/>
      <c r="O420" s="12"/>
      <c r="Q420" s="12"/>
      <c r="R420" s="12"/>
      <c r="S420" s="12"/>
      <c r="U420" s="12"/>
      <c r="V420" s="12"/>
      <c r="W420" s="12"/>
      <c r="Y420" s="12"/>
      <c r="Z420" s="12"/>
    </row>
    <row r="421" spans="3:26" ht="11.25">
      <c r="C421" s="12"/>
      <c r="E421" s="12"/>
      <c r="F421" s="12"/>
      <c r="G421" s="12"/>
      <c r="I421" s="12"/>
      <c r="J421" s="12"/>
      <c r="K421" s="12"/>
      <c r="M421" s="12"/>
      <c r="N421" s="12"/>
      <c r="O421" s="12"/>
      <c r="Q421" s="12"/>
      <c r="R421" s="12"/>
      <c r="S421" s="12"/>
      <c r="U421" s="12"/>
      <c r="V421" s="12"/>
      <c r="W421" s="12"/>
      <c r="Y421" s="12"/>
      <c r="Z421" s="12"/>
    </row>
    <row r="422" spans="3:26" ht="11.25">
      <c r="C422" s="12"/>
      <c r="E422" s="12"/>
      <c r="F422" s="12"/>
      <c r="G422" s="12"/>
      <c r="I422" s="12"/>
      <c r="J422" s="12"/>
      <c r="K422" s="12"/>
      <c r="M422" s="12"/>
      <c r="N422" s="12"/>
      <c r="O422" s="12"/>
      <c r="Q422" s="12"/>
      <c r="R422" s="12"/>
      <c r="S422" s="12"/>
      <c r="U422" s="12"/>
      <c r="V422" s="12"/>
      <c r="W422" s="12"/>
      <c r="Y422" s="12"/>
      <c r="Z422" s="12"/>
    </row>
    <row r="423" spans="3:26" ht="11.25">
      <c r="C423" s="12"/>
      <c r="E423" s="12"/>
      <c r="F423" s="12"/>
      <c r="G423" s="12"/>
      <c r="I423" s="12"/>
      <c r="J423" s="12"/>
      <c r="K423" s="12"/>
      <c r="M423" s="12"/>
      <c r="N423" s="12"/>
      <c r="O423" s="12"/>
      <c r="Q423" s="12"/>
      <c r="R423" s="12"/>
      <c r="S423" s="12"/>
      <c r="U423" s="12"/>
      <c r="V423" s="12"/>
      <c r="W423" s="12"/>
      <c r="Y423" s="12"/>
      <c r="Z423" s="12"/>
    </row>
    <row r="424" spans="3:26" ht="11.25">
      <c r="C424" s="12"/>
      <c r="E424" s="12"/>
      <c r="F424" s="12"/>
      <c r="G424" s="12"/>
      <c r="I424" s="12"/>
      <c r="J424" s="12"/>
      <c r="K424" s="12"/>
      <c r="M424" s="12"/>
      <c r="N424" s="12"/>
      <c r="O424" s="12"/>
      <c r="Q424" s="12"/>
      <c r="R424" s="12"/>
      <c r="S424" s="12"/>
      <c r="U424" s="12"/>
      <c r="V424" s="12"/>
      <c r="W424" s="12"/>
      <c r="Y424" s="12"/>
      <c r="Z424" s="12"/>
    </row>
    <row r="425" spans="3:26" ht="11.25">
      <c r="C425" s="12"/>
      <c r="E425" s="12"/>
      <c r="F425" s="12"/>
      <c r="G425" s="12"/>
      <c r="I425" s="12"/>
      <c r="J425" s="12"/>
      <c r="K425" s="12"/>
      <c r="M425" s="12"/>
      <c r="N425" s="12"/>
      <c r="O425" s="12"/>
      <c r="Q425" s="12"/>
      <c r="R425" s="12"/>
      <c r="S425" s="12"/>
      <c r="U425" s="12"/>
      <c r="V425" s="12"/>
      <c r="W425" s="12"/>
      <c r="Y425" s="12"/>
      <c r="Z425" s="12"/>
    </row>
    <row r="426" spans="3:26" ht="11.25">
      <c r="C426" s="12"/>
      <c r="E426" s="12"/>
      <c r="F426" s="12"/>
      <c r="G426" s="12"/>
      <c r="I426" s="12"/>
      <c r="J426" s="12"/>
      <c r="K426" s="12"/>
      <c r="M426" s="12"/>
      <c r="N426" s="12"/>
      <c r="O426" s="12"/>
      <c r="Q426" s="12"/>
      <c r="R426" s="12"/>
      <c r="S426" s="12"/>
      <c r="U426" s="12"/>
      <c r="V426" s="12"/>
      <c r="W426" s="12"/>
      <c r="Y426" s="12"/>
      <c r="Z426" s="12"/>
    </row>
    <row r="427" spans="3:26" ht="11.25">
      <c r="C427" s="12"/>
      <c r="E427" s="12"/>
      <c r="F427" s="12"/>
      <c r="G427" s="12"/>
      <c r="I427" s="12"/>
      <c r="J427" s="12"/>
      <c r="K427" s="12"/>
      <c r="M427" s="12"/>
      <c r="N427" s="12"/>
      <c r="O427" s="12"/>
      <c r="Q427" s="12"/>
      <c r="R427" s="12"/>
      <c r="S427" s="12"/>
      <c r="U427" s="12"/>
      <c r="V427" s="12"/>
      <c r="W427" s="12"/>
      <c r="Y427" s="12"/>
      <c r="Z427" s="12"/>
    </row>
    <row r="440" spans="3:26" ht="11.25">
      <c r="C440" s="12"/>
      <c r="E440" s="12"/>
      <c r="F440" s="12"/>
      <c r="G440" s="12"/>
      <c r="I440" s="12"/>
      <c r="J440" s="12"/>
      <c r="K440" s="12"/>
      <c r="M440" s="12"/>
      <c r="N440" s="12"/>
      <c r="O440" s="12"/>
      <c r="Q440" s="12"/>
      <c r="R440" s="12"/>
      <c r="S440" s="12"/>
      <c r="U440" s="12"/>
      <c r="V440" s="12"/>
      <c r="W440" s="12"/>
      <c r="Y440" s="12"/>
      <c r="Z440" s="12"/>
    </row>
    <row r="441" spans="3:26" ht="11.25">
      <c r="C441" s="12"/>
      <c r="E441" s="12"/>
      <c r="F441" s="12"/>
      <c r="G441" s="12"/>
      <c r="I441" s="12"/>
      <c r="J441" s="12"/>
      <c r="K441" s="12"/>
      <c r="M441" s="12"/>
      <c r="N441" s="12"/>
      <c r="O441" s="12"/>
      <c r="Q441" s="12"/>
      <c r="R441" s="12"/>
      <c r="S441" s="12"/>
      <c r="U441" s="12"/>
      <c r="V441" s="12"/>
      <c r="W441" s="12"/>
      <c r="Y441" s="12"/>
      <c r="Z441" s="12"/>
    </row>
    <row r="442" spans="3:26" ht="11.25">
      <c r="C442" s="12"/>
      <c r="E442" s="12"/>
      <c r="F442" s="12"/>
      <c r="G442" s="12"/>
      <c r="I442" s="12"/>
      <c r="J442" s="12"/>
      <c r="K442" s="12"/>
      <c r="M442" s="12"/>
      <c r="N442" s="12"/>
      <c r="O442" s="12"/>
      <c r="Q442" s="12"/>
      <c r="R442" s="12"/>
      <c r="S442" s="12"/>
      <c r="U442" s="12"/>
      <c r="V442" s="12"/>
      <c r="W442" s="12"/>
      <c r="Y442" s="12"/>
      <c r="Z442" s="12"/>
    </row>
    <row r="443" spans="3:26" ht="11.25">
      <c r="C443" s="12"/>
      <c r="E443" s="12"/>
      <c r="F443" s="12"/>
      <c r="G443" s="12"/>
      <c r="I443" s="12"/>
      <c r="J443" s="12"/>
      <c r="K443" s="12"/>
      <c r="M443" s="12"/>
      <c r="N443" s="12"/>
      <c r="O443" s="12"/>
      <c r="Q443" s="12"/>
      <c r="R443" s="12"/>
      <c r="S443" s="12"/>
      <c r="U443" s="12"/>
      <c r="V443" s="12"/>
      <c r="W443" s="12"/>
      <c r="Y443" s="12"/>
      <c r="Z443" s="12"/>
    </row>
    <row r="444" spans="3:26" ht="11.25">
      <c r="C444" s="12"/>
      <c r="E444" s="12"/>
      <c r="F444" s="12"/>
      <c r="G444" s="12"/>
      <c r="I444" s="12"/>
      <c r="J444" s="12"/>
      <c r="K444" s="12"/>
      <c r="M444" s="12"/>
      <c r="N444" s="12"/>
      <c r="O444" s="12"/>
      <c r="Q444" s="12"/>
      <c r="R444" s="12"/>
      <c r="S444" s="12"/>
      <c r="U444" s="12"/>
      <c r="V444" s="12"/>
      <c r="W444" s="12"/>
      <c r="Y444" s="12"/>
      <c r="Z444" s="12"/>
    </row>
    <row r="445" spans="3:26" ht="11.25">
      <c r="C445" s="12"/>
      <c r="E445" s="12"/>
      <c r="F445" s="12"/>
      <c r="G445" s="12"/>
      <c r="I445" s="12"/>
      <c r="J445" s="12"/>
      <c r="K445" s="12"/>
      <c r="M445" s="12"/>
      <c r="N445" s="12"/>
      <c r="O445" s="12"/>
      <c r="Q445" s="12"/>
      <c r="R445" s="12"/>
      <c r="S445" s="12"/>
      <c r="U445" s="12"/>
      <c r="V445" s="12"/>
      <c r="W445" s="12"/>
      <c r="Y445" s="12"/>
      <c r="Z445" s="12"/>
    </row>
    <row r="446" spans="3:26" ht="11.25">
      <c r="C446" s="12"/>
      <c r="E446" s="12"/>
      <c r="F446" s="12"/>
      <c r="G446" s="12"/>
      <c r="I446" s="12"/>
      <c r="J446" s="12"/>
      <c r="K446" s="12"/>
      <c r="M446" s="12"/>
      <c r="N446" s="12"/>
      <c r="O446" s="12"/>
      <c r="Q446" s="12"/>
      <c r="R446" s="12"/>
      <c r="S446" s="12"/>
      <c r="U446" s="12"/>
      <c r="V446" s="12"/>
      <c r="W446" s="12"/>
      <c r="Y446" s="12"/>
      <c r="Z446" s="12"/>
    </row>
    <row r="447" spans="3:26" ht="11.25">
      <c r="C447" s="12"/>
      <c r="E447" s="12"/>
      <c r="F447" s="12"/>
      <c r="G447" s="12"/>
      <c r="I447" s="12"/>
      <c r="J447" s="12"/>
      <c r="K447" s="12"/>
      <c r="M447" s="12"/>
      <c r="N447" s="12"/>
      <c r="O447" s="12"/>
      <c r="Q447" s="12"/>
      <c r="R447" s="12"/>
      <c r="S447" s="12"/>
      <c r="U447" s="12"/>
      <c r="V447" s="12"/>
      <c r="W447" s="12"/>
      <c r="Y447" s="12"/>
      <c r="Z447" s="12"/>
    </row>
    <row r="448" spans="3:19" ht="11.25">
      <c r="C448" s="12"/>
      <c r="E448" s="12"/>
      <c r="F448" s="12"/>
      <c r="G448" s="12"/>
      <c r="I448" s="12"/>
      <c r="J448" s="12"/>
      <c r="K448" s="12"/>
      <c r="M448" s="12"/>
      <c r="N448" s="12"/>
      <c r="O448" s="12"/>
      <c r="Q448" s="12"/>
      <c r="R448" s="12"/>
      <c r="S448" s="12"/>
    </row>
  </sheetData>
  <printOptions/>
  <pageMargins left="0.75" right="0.5" top="0.87" bottom="0.55" header="0.5" footer="0.5"/>
  <pageSetup fitToHeight="0" fitToWidth="1" horizontalDpi="300" verticalDpi="300" orientation="landscape" paperSize="5" scale="99" r:id="rId1"/>
  <rowBreaks count="7" manualBreakCount="7">
    <brk id="39" max="26" man="1"/>
    <brk id="79" max="26" man="1"/>
    <brk id="119" max="26" man="1"/>
    <brk id="159" max="26" man="1"/>
    <brk id="199" max="26" man="1"/>
    <brk id="237" max="26" man="1"/>
    <brk id="275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E312"/>
  <sheetViews>
    <sheetView showGridLines="0" zoomScale="75" zoomScaleNormal="75" workbookViewId="0" topLeftCell="A1">
      <selection activeCell="A1" sqref="A1"/>
    </sheetView>
  </sheetViews>
  <sheetFormatPr defaultColWidth="12.57421875" defaultRowHeight="12.75"/>
  <cols>
    <col min="1" max="1" width="12.57421875" style="19" customWidth="1"/>
    <col min="2" max="2" width="1.7109375" style="19" customWidth="1"/>
    <col min="3" max="3" width="9.7109375" style="19" customWidth="1"/>
    <col min="4" max="4" width="2.7109375" style="19" customWidth="1"/>
    <col min="5" max="5" width="9.7109375" style="19" customWidth="1"/>
    <col min="6" max="6" width="2.7109375" style="19" customWidth="1"/>
    <col min="7" max="7" width="9.7109375" style="19" customWidth="1"/>
    <col min="8" max="8" width="2.7109375" style="19" customWidth="1"/>
    <col min="9" max="9" width="9.7109375" style="19" customWidth="1"/>
    <col min="10" max="10" width="2.7109375" style="19" customWidth="1"/>
    <col min="11" max="11" width="9.7109375" style="19" customWidth="1"/>
    <col min="12" max="12" width="2.7109375" style="19" customWidth="1"/>
    <col min="13" max="13" width="9.7109375" style="19" customWidth="1"/>
    <col min="14" max="14" width="2.7109375" style="19" customWidth="1"/>
    <col min="15" max="15" width="9.7109375" style="19" customWidth="1"/>
    <col min="16" max="16" width="2.7109375" style="19" customWidth="1"/>
    <col min="17" max="17" width="9.7109375" style="19" customWidth="1"/>
    <col min="18" max="18" width="2.7109375" style="19" customWidth="1"/>
    <col min="19" max="19" width="9.7109375" style="19" customWidth="1"/>
    <col min="20" max="20" width="2.7109375" style="19" customWidth="1"/>
    <col min="21" max="21" width="10.7109375" style="19" customWidth="1"/>
    <col min="22" max="22" width="2.7109375" style="19" customWidth="1"/>
    <col min="23" max="23" width="10.7109375" style="19" customWidth="1"/>
    <col min="24" max="24" width="2.7109375" style="19" customWidth="1"/>
    <col min="25" max="25" width="10.7109375" style="19" customWidth="1"/>
    <col min="26" max="28" width="2.7109375" style="19" customWidth="1"/>
    <col min="29" max="16384" width="12.57421875" style="19" customWidth="1"/>
  </cols>
  <sheetData>
    <row r="1" spans="1:5" ht="12.75">
      <c r="A1" s="18" t="s">
        <v>0</v>
      </c>
      <c r="E1"/>
    </row>
    <row r="2" ht="11.25">
      <c r="A2" s="18" t="s">
        <v>39</v>
      </c>
    </row>
    <row r="3" spans="1:4" ht="11.25">
      <c r="A3" s="64" t="s">
        <v>88</v>
      </c>
      <c r="B3" s="26"/>
      <c r="C3" s="26"/>
      <c r="D3" s="26"/>
    </row>
    <row r="4" ht="11.25">
      <c r="A4" s="18"/>
    </row>
    <row r="5" ht="11.25">
      <c r="A5" s="18"/>
    </row>
    <row r="6" ht="11.25">
      <c r="A6" s="31"/>
    </row>
    <row r="7" ht="11.25">
      <c r="A7" s="31"/>
    </row>
    <row r="8" spans="3:25" ht="11.25">
      <c r="C8" s="90" t="s">
        <v>3</v>
      </c>
      <c r="E8" s="90" t="s">
        <v>4</v>
      </c>
      <c r="G8" s="90" t="s">
        <v>5</v>
      </c>
      <c r="I8" s="90" t="s">
        <v>6</v>
      </c>
      <c r="K8" s="90" t="s">
        <v>7</v>
      </c>
      <c r="M8" s="90" t="s">
        <v>8</v>
      </c>
      <c r="O8" s="90" t="s">
        <v>9</v>
      </c>
      <c r="Q8" s="90" t="s">
        <v>10</v>
      </c>
      <c r="S8" s="90" t="s">
        <v>11</v>
      </c>
      <c r="U8" s="90" t="s">
        <v>12</v>
      </c>
      <c r="W8" s="90" t="s">
        <v>13</v>
      </c>
      <c r="Y8" s="90" t="s">
        <v>14</v>
      </c>
    </row>
    <row r="10" spans="1:26" ht="11.25">
      <c r="A10" s="18" t="s">
        <v>15</v>
      </c>
      <c r="C10" s="91"/>
      <c r="D10" s="72"/>
      <c r="E10" s="91"/>
      <c r="F10" s="72"/>
      <c r="G10" s="91"/>
      <c r="H10" s="72"/>
      <c r="I10" s="91">
        <f>WIN!I170/PERCENT!I131</f>
        <v>0.134</v>
      </c>
      <c r="J10" s="72"/>
      <c r="K10" s="91">
        <f>WIN!K170/PERCENT!K131</f>
        <v>0.135</v>
      </c>
      <c r="L10" s="72"/>
      <c r="M10" s="91">
        <f>WIN!M170/PERCENT!M131</f>
        <v>0.133</v>
      </c>
      <c r="N10" s="72"/>
      <c r="O10" s="91">
        <f>WIN!O170/PERCENT!O131</f>
        <v>0.13</v>
      </c>
      <c r="P10" s="72"/>
      <c r="Q10" s="91">
        <f>WIN!Q170/PERCENT!Q131</f>
        <v>0.13</v>
      </c>
      <c r="R10" s="72"/>
      <c r="S10" s="91">
        <f>WIN!S170/PERCENT!S131</f>
        <v>0.127</v>
      </c>
      <c r="T10" s="72"/>
      <c r="U10" s="91">
        <f>WIN!U170/PERCENT!U131</f>
        <v>0.121</v>
      </c>
      <c r="V10" s="72"/>
      <c r="W10" s="91">
        <f>WIN!W170/PERCENT!W131</f>
        <v>0.11</v>
      </c>
      <c r="X10" s="72"/>
      <c r="Y10" s="91">
        <f>WIN!Y170/PERCENT!Y131</f>
        <v>0.112</v>
      </c>
      <c r="Z10" s="72" t="s">
        <v>46</v>
      </c>
    </row>
    <row r="11" spans="3:26" ht="11.25">
      <c r="C11" s="72"/>
      <c r="D11" s="72"/>
      <c r="E11" s="91"/>
      <c r="F11" s="72"/>
      <c r="G11" s="91"/>
      <c r="H11" s="72"/>
      <c r="I11" s="91"/>
      <c r="J11" s="72"/>
      <c r="K11" s="91"/>
      <c r="L11" s="72"/>
      <c r="M11" s="91"/>
      <c r="N11" s="72"/>
      <c r="O11" s="91"/>
      <c r="P11" s="72"/>
      <c r="Q11" s="91"/>
      <c r="R11" s="72"/>
      <c r="S11" s="91"/>
      <c r="T11" s="72"/>
      <c r="U11" s="91"/>
      <c r="V11" s="72"/>
      <c r="W11" s="91"/>
      <c r="X11" s="72"/>
      <c r="Y11" s="91"/>
      <c r="Z11" s="72"/>
    </row>
    <row r="12" spans="1:26" ht="11.25">
      <c r="A12" s="18" t="s">
        <v>17</v>
      </c>
      <c r="C12" s="91"/>
      <c r="D12" s="72"/>
      <c r="E12" s="91"/>
      <c r="F12" s="72"/>
      <c r="G12" s="91">
        <f>WIN!G172/PERCENT!G133</f>
        <v>0.143</v>
      </c>
      <c r="H12" s="72"/>
      <c r="I12" s="91">
        <f>WIN!I172/PERCENT!I133</f>
        <v>0.142</v>
      </c>
      <c r="J12" s="72"/>
      <c r="K12" s="91">
        <f>WIN!K172/PERCENT!K133</f>
        <v>0.133</v>
      </c>
      <c r="L12" s="72"/>
      <c r="M12" s="91">
        <f>WIN!M172/PERCENT!M133</f>
        <v>0.126</v>
      </c>
      <c r="N12" s="72"/>
      <c r="O12" s="91">
        <f>WIN!O172/PERCENT!O133</f>
        <v>0.119</v>
      </c>
      <c r="P12" s="72"/>
      <c r="Q12" s="91">
        <f>WIN!Q172/PERCENT!Q133</f>
        <v>0.118</v>
      </c>
      <c r="R12" s="72"/>
      <c r="S12" s="91">
        <f>WIN!S172/PERCENT!S133</f>
        <v>0.12</v>
      </c>
      <c r="T12" s="72"/>
      <c r="U12" s="91">
        <f>WIN!U172/PERCENT!U133</f>
        <v>0.121</v>
      </c>
      <c r="V12" s="72"/>
      <c r="W12" s="91">
        <f>WIN!W172/PERCENT!W133</f>
        <v>0.113</v>
      </c>
      <c r="X12" s="72"/>
      <c r="Y12" s="91">
        <f>WIN!Y172/PERCENT!Y133</f>
        <v>0.111</v>
      </c>
      <c r="Z12" s="72"/>
    </row>
    <row r="13" spans="3:26" ht="11.25">
      <c r="C13" s="72"/>
      <c r="D13" s="72"/>
      <c r="E13" s="91"/>
      <c r="F13" s="72"/>
      <c r="G13" s="91"/>
      <c r="H13" s="72"/>
      <c r="I13" s="91"/>
      <c r="J13" s="72"/>
      <c r="K13" s="91"/>
      <c r="L13" s="72"/>
      <c r="M13" s="91"/>
      <c r="N13" s="72"/>
      <c r="O13" s="91"/>
      <c r="P13" s="72"/>
      <c r="Q13" s="91"/>
      <c r="R13" s="72"/>
      <c r="S13" s="91"/>
      <c r="T13" s="72"/>
      <c r="U13" s="91"/>
      <c r="V13" s="72"/>
      <c r="W13" s="91"/>
      <c r="X13" s="72"/>
      <c r="Y13" s="91"/>
      <c r="Z13" s="72"/>
    </row>
    <row r="14" spans="1:26" ht="11.25">
      <c r="A14" s="18" t="s">
        <v>18</v>
      </c>
      <c r="C14" s="91"/>
      <c r="D14" s="72"/>
      <c r="E14" s="91">
        <f>WIN!E174/PERCENT!E135</f>
        <v>0.097</v>
      </c>
      <c r="F14" s="72"/>
      <c r="G14" s="91">
        <f>WIN!G174/PERCENT!G135</f>
        <v>0.118</v>
      </c>
      <c r="H14" s="72"/>
      <c r="I14" s="91">
        <f>WIN!I174/PERCENT!I135</f>
        <v>0.142</v>
      </c>
      <c r="J14" s="72"/>
      <c r="K14" s="91">
        <f>WIN!K174/PERCENT!K135</f>
        <v>0.142</v>
      </c>
      <c r="L14" s="72"/>
      <c r="M14" s="91">
        <f>WIN!M174/PERCENT!M135</f>
        <v>0.142</v>
      </c>
      <c r="N14" s="72"/>
      <c r="O14" s="91">
        <f>WIN!O174/PERCENT!O135</f>
        <v>0.14</v>
      </c>
      <c r="P14" s="72"/>
      <c r="Q14" s="91">
        <f>WIN!Q174/PERCENT!Q135</f>
        <v>0.14</v>
      </c>
      <c r="R14" s="72"/>
      <c r="S14" s="91">
        <f>WIN!S174/PERCENT!S135</f>
        <v>0.138</v>
      </c>
      <c r="T14" s="72"/>
      <c r="U14" s="91">
        <f>WIN!U174/PERCENT!U135</f>
        <v>0.136</v>
      </c>
      <c r="V14" s="72"/>
      <c r="W14" s="91">
        <f>WIN!W174/PERCENT!W135</f>
        <v>0.124</v>
      </c>
      <c r="X14" s="72"/>
      <c r="Y14" s="91">
        <f>WIN!Y174/PERCENT!Y135</f>
        <v>0.112</v>
      </c>
      <c r="Z14" s="72"/>
    </row>
    <row r="15" spans="3:26" ht="11.25">
      <c r="C15" s="72"/>
      <c r="D15" s="72"/>
      <c r="E15" s="91"/>
      <c r="F15" s="72"/>
      <c r="G15" s="91"/>
      <c r="H15" s="72"/>
      <c r="I15" s="91"/>
      <c r="J15" s="72"/>
      <c r="K15" s="91"/>
      <c r="L15" s="72"/>
      <c r="M15" s="91"/>
      <c r="N15" s="72"/>
      <c r="O15" s="91"/>
      <c r="P15" s="72"/>
      <c r="Q15" s="91"/>
      <c r="R15" s="72"/>
      <c r="S15" s="91"/>
      <c r="T15" s="72"/>
      <c r="U15" s="91"/>
      <c r="V15" s="72"/>
      <c r="W15" s="91"/>
      <c r="X15" s="72"/>
      <c r="Y15" s="91"/>
      <c r="Z15" s="72"/>
    </row>
    <row r="16" spans="1:26" ht="11.25">
      <c r="A16" s="18" t="s">
        <v>19</v>
      </c>
      <c r="C16" s="91"/>
      <c r="D16" s="72"/>
      <c r="E16" s="91">
        <f>WIN!E176/PERCENT!E137</f>
        <v>0.131</v>
      </c>
      <c r="F16" s="72"/>
      <c r="G16" s="91">
        <f>WIN!G176/PERCENT!G137</f>
        <v>0.143</v>
      </c>
      <c r="H16" s="72"/>
      <c r="I16" s="91">
        <f>WIN!I176/PERCENT!I137</f>
        <v>0.144</v>
      </c>
      <c r="J16" s="72"/>
      <c r="K16" s="91">
        <f>WIN!K176/PERCENT!K137</f>
        <v>0.139</v>
      </c>
      <c r="L16" s="72"/>
      <c r="M16" s="91">
        <f>WIN!M176/PERCENT!M137</f>
        <v>0.123</v>
      </c>
      <c r="N16" s="72"/>
      <c r="O16" s="91">
        <f>WIN!O176/PERCENT!O137</f>
        <v>0.132</v>
      </c>
      <c r="P16" s="72"/>
      <c r="Q16" s="91">
        <f>WIN!Q176/PERCENT!Q137</f>
        <v>0.133</v>
      </c>
      <c r="R16" s="72"/>
      <c r="S16" s="91">
        <f>WIN!S176/PERCENT!S137</f>
        <v>0.133</v>
      </c>
      <c r="T16" s="72"/>
      <c r="U16" s="91">
        <f>WIN!U176/PERCENT!U137</f>
        <v>0.127</v>
      </c>
      <c r="V16" s="72"/>
      <c r="W16" s="91">
        <f>WIN!W176/PERCENT!W137</f>
        <v>0.121</v>
      </c>
      <c r="X16" s="72"/>
      <c r="Y16" s="91">
        <f>WIN!Y176/PERCENT!Y137</f>
        <v>0.115</v>
      </c>
      <c r="Z16" s="72"/>
    </row>
    <row r="17" spans="3:26" ht="11.25">
      <c r="C17" s="72"/>
      <c r="D17" s="72"/>
      <c r="E17" s="91"/>
      <c r="F17" s="72"/>
      <c r="G17" s="91"/>
      <c r="H17" s="72"/>
      <c r="I17" s="91"/>
      <c r="J17" s="72"/>
      <c r="K17" s="91"/>
      <c r="L17" s="72"/>
      <c r="M17" s="91"/>
      <c r="N17" s="72"/>
      <c r="O17" s="91"/>
      <c r="P17" s="72"/>
      <c r="Q17" s="91"/>
      <c r="R17" s="72"/>
      <c r="S17" s="91"/>
      <c r="T17" s="72"/>
      <c r="U17" s="91"/>
      <c r="V17" s="72"/>
      <c r="W17" s="91"/>
      <c r="X17" s="72"/>
      <c r="Y17" s="91"/>
      <c r="Z17" s="72"/>
    </row>
    <row r="18" spans="1:26" ht="11.25">
      <c r="A18" s="18" t="s">
        <v>20</v>
      </c>
      <c r="C18" s="91"/>
      <c r="D18" s="72"/>
      <c r="E18" s="91"/>
      <c r="F18" s="72"/>
      <c r="G18" s="91"/>
      <c r="H18" s="72"/>
      <c r="I18" s="91">
        <f>WIN!I178/PERCENT!I139</f>
        <v>0.143</v>
      </c>
      <c r="J18" s="72"/>
      <c r="K18" s="91">
        <f>WIN!K178/PERCENT!K139</f>
        <v>0.136</v>
      </c>
      <c r="L18" s="72"/>
      <c r="M18" s="91">
        <f>WIN!M178/PERCENT!M139</f>
        <v>0.122</v>
      </c>
      <c r="N18" s="72"/>
      <c r="O18" s="91">
        <f>WIN!O178/PERCENT!O139</f>
        <v>0.125</v>
      </c>
      <c r="P18" s="72"/>
      <c r="Q18" s="91">
        <f>WIN!Q178/PERCENT!Q139</f>
        <v>0.12</v>
      </c>
      <c r="R18" s="72"/>
      <c r="S18" s="91">
        <f>WIN!S178/PERCENT!S139</f>
        <v>0.119</v>
      </c>
      <c r="T18" s="72"/>
      <c r="U18" s="91">
        <f>WIN!U178/PERCENT!U139</f>
        <v>0.115</v>
      </c>
      <c r="V18" s="72"/>
      <c r="W18" s="91">
        <f>WIN!W178/PERCENT!W139</f>
        <v>0.122</v>
      </c>
      <c r="X18" s="72"/>
      <c r="Y18" s="91">
        <f>WIN!Y178/PERCENT!Y139</f>
        <v>0.125</v>
      </c>
      <c r="Z18" s="72"/>
    </row>
    <row r="19" spans="3:26" ht="11.25">
      <c r="C19" s="72"/>
      <c r="D19" s="72"/>
      <c r="E19" s="91"/>
      <c r="F19" s="72"/>
      <c r="G19" s="91"/>
      <c r="H19" s="72"/>
      <c r="I19" s="91"/>
      <c r="J19" s="72"/>
      <c r="K19" s="91"/>
      <c r="L19" s="72"/>
      <c r="M19" s="91"/>
      <c r="N19" s="72"/>
      <c r="O19" s="91"/>
      <c r="P19" s="72"/>
      <c r="Q19" s="91"/>
      <c r="R19" s="72"/>
      <c r="S19" s="91"/>
      <c r="T19" s="72"/>
      <c r="U19" s="91"/>
      <c r="V19" s="72"/>
      <c r="W19" s="91"/>
      <c r="X19" s="72"/>
      <c r="Y19" s="91"/>
      <c r="Z19" s="72"/>
    </row>
    <row r="20" spans="1:26" ht="11.25">
      <c r="A20" s="18" t="s">
        <v>21</v>
      </c>
      <c r="C20" s="91"/>
      <c r="D20" s="72"/>
      <c r="E20" s="91"/>
      <c r="F20" s="72"/>
      <c r="G20" s="91">
        <f>WIN!G180/PERCENT!G141</f>
        <v>0.14</v>
      </c>
      <c r="H20" s="72"/>
      <c r="I20" s="91">
        <f>WIN!I180/PERCENT!I141</f>
        <v>0.125</v>
      </c>
      <c r="J20" s="72"/>
      <c r="K20" s="91">
        <f>WIN!K180/PERCENT!K141</f>
        <v>0.126</v>
      </c>
      <c r="L20" s="72"/>
      <c r="M20" s="91">
        <f>WIN!M180/PERCENT!M141</f>
        <v>0.118</v>
      </c>
      <c r="N20" s="72"/>
      <c r="O20" s="91">
        <f>WIN!O180/PERCENT!O141</f>
        <v>0.12</v>
      </c>
      <c r="P20" s="72"/>
      <c r="Q20" s="91">
        <f>WIN!Q180/PERCENT!Q141</f>
        <v>0.12</v>
      </c>
      <c r="R20" s="72"/>
      <c r="S20" s="91">
        <f>WIN!S180/PERCENT!S141</f>
        <v>0.118</v>
      </c>
      <c r="T20" s="72"/>
      <c r="U20" s="91">
        <f>WIN!U180/PERCENT!U141</f>
        <v>0.113</v>
      </c>
      <c r="V20" s="72"/>
      <c r="W20" s="91">
        <f>WIN!W180/PERCENT!W141</f>
        <v>0.106</v>
      </c>
      <c r="X20" s="72"/>
      <c r="Y20" s="91">
        <f>WIN!Y180/PERCENT!Y141</f>
        <v>0.104</v>
      </c>
      <c r="Z20" s="72"/>
    </row>
    <row r="21" spans="3:26" ht="11.25">
      <c r="C21" s="72"/>
      <c r="D21" s="72"/>
      <c r="E21" s="91"/>
      <c r="F21" s="72"/>
      <c r="G21" s="91"/>
      <c r="H21" s="72"/>
      <c r="I21" s="91"/>
      <c r="J21" s="72"/>
      <c r="K21" s="91"/>
      <c r="L21" s="72"/>
      <c r="M21" s="91"/>
      <c r="N21" s="72"/>
      <c r="O21" s="91"/>
      <c r="P21" s="72"/>
      <c r="Q21" s="91"/>
      <c r="R21" s="72"/>
      <c r="S21" s="91"/>
      <c r="T21" s="72"/>
      <c r="U21" s="91"/>
      <c r="V21" s="72"/>
      <c r="W21" s="91"/>
      <c r="X21" s="72"/>
      <c r="Y21" s="91"/>
      <c r="Z21" s="72"/>
    </row>
    <row r="22" spans="1:26" ht="11.25">
      <c r="A22" s="18" t="s">
        <v>22</v>
      </c>
      <c r="C22" s="91">
        <f>WIN!C182/PERCENT!C143</f>
        <v>0.144</v>
      </c>
      <c r="D22" s="72"/>
      <c r="E22" s="91">
        <f>WIN!E182/PERCENT!E143</f>
        <v>0.139</v>
      </c>
      <c r="F22" s="72"/>
      <c r="G22" s="91">
        <f>WIN!G182/PERCENT!G143</f>
        <v>0.141</v>
      </c>
      <c r="H22" s="72"/>
      <c r="I22" s="91">
        <f>WIN!I182/PERCENT!I143</f>
        <v>0.145</v>
      </c>
      <c r="J22" s="72"/>
      <c r="K22" s="91">
        <f>WIN!K182/PERCENT!K143</f>
        <v>0.14</v>
      </c>
      <c r="L22" s="72"/>
      <c r="M22" s="91">
        <f>WIN!M182/PERCENT!M143</f>
        <v>0.134</v>
      </c>
      <c r="N22" s="72"/>
      <c r="O22" s="91">
        <f>WIN!O182/PERCENT!O143</f>
        <v>0.136</v>
      </c>
      <c r="P22" s="72"/>
      <c r="Q22" s="91">
        <f>WIN!Q182/PERCENT!Q143</f>
        <v>0.134</v>
      </c>
      <c r="R22" s="72"/>
      <c r="S22" s="91">
        <f>WIN!S182/PERCENT!S143</f>
        <v>0.127</v>
      </c>
      <c r="T22" s="72"/>
      <c r="U22" s="91">
        <f>WIN!U182/PERCENT!U143</f>
        <v>0.126</v>
      </c>
      <c r="V22" s="72"/>
      <c r="W22" s="91">
        <f>WIN!W182/PERCENT!W143</f>
        <v>0.123</v>
      </c>
      <c r="X22" s="72"/>
      <c r="Y22" s="91">
        <f>WIN!Y182/PERCENT!Y143</f>
        <v>0.123</v>
      </c>
      <c r="Z22" s="72"/>
    </row>
    <row r="23" spans="3:26" ht="11.25">
      <c r="C23" s="72"/>
      <c r="D23" s="72"/>
      <c r="E23" s="91"/>
      <c r="F23" s="72"/>
      <c r="G23" s="91"/>
      <c r="H23" s="72"/>
      <c r="I23" s="91"/>
      <c r="J23" s="72"/>
      <c r="K23" s="91"/>
      <c r="L23" s="72"/>
      <c r="M23" s="91"/>
      <c r="N23" s="72"/>
      <c r="O23" s="91"/>
      <c r="P23" s="72"/>
      <c r="Q23" s="91"/>
      <c r="R23" s="72"/>
      <c r="S23" s="91"/>
      <c r="T23" s="72"/>
      <c r="U23" s="91"/>
      <c r="V23" s="72"/>
      <c r="W23" s="91"/>
      <c r="X23" s="72"/>
      <c r="Y23" s="91"/>
      <c r="Z23" s="72"/>
    </row>
    <row r="24" spans="1:26" ht="11.25">
      <c r="A24" s="18" t="s">
        <v>23</v>
      </c>
      <c r="C24" s="91"/>
      <c r="D24" s="72"/>
      <c r="E24" s="91"/>
      <c r="F24" s="72"/>
      <c r="G24" s="91">
        <f>WIN!G184/PERCENT!G145</f>
        <v>0.147</v>
      </c>
      <c r="H24" s="72"/>
      <c r="I24" s="91">
        <f>WIN!I184/PERCENT!I145</f>
        <v>0.147</v>
      </c>
      <c r="J24" s="72"/>
      <c r="K24" s="91">
        <f>WIN!K184/PERCENT!K145</f>
        <v>0.142</v>
      </c>
      <c r="L24" s="72"/>
      <c r="M24" s="91">
        <f>WIN!M184/PERCENT!M145</f>
        <v>0.142</v>
      </c>
      <c r="N24" s="72"/>
      <c r="O24" s="91">
        <f>WIN!O184/PERCENT!O145</f>
        <v>0.137</v>
      </c>
      <c r="P24" s="72"/>
      <c r="Q24" s="91">
        <f>WIN!Q184/PERCENT!Q145</f>
        <v>0.133</v>
      </c>
      <c r="R24" s="72"/>
      <c r="S24" s="91">
        <f>WIN!S184/PERCENT!S145</f>
        <v>0.123</v>
      </c>
      <c r="T24" s="72"/>
      <c r="U24" s="91">
        <f>WIN!U184/PERCENT!U145</f>
        <v>0.117</v>
      </c>
      <c r="V24" s="72"/>
      <c r="W24" s="91">
        <f>WIN!W184/PERCENT!W145</f>
        <v>0.121</v>
      </c>
      <c r="X24" s="72"/>
      <c r="Y24" s="91">
        <f>WIN!Y184/PERCENT!Y145</f>
        <v>0.116</v>
      </c>
      <c r="Z24" s="72"/>
    </row>
    <row r="25" spans="3:26" ht="11.25">
      <c r="C25" s="72"/>
      <c r="D25" s="72"/>
      <c r="E25" s="91"/>
      <c r="F25" s="72"/>
      <c r="G25" s="91"/>
      <c r="H25" s="72"/>
      <c r="I25" s="91"/>
      <c r="J25" s="72"/>
      <c r="K25" s="91"/>
      <c r="L25" s="72"/>
      <c r="M25" s="91"/>
      <c r="N25" s="72"/>
      <c r="O25" s="91"/>
      <c r="P25" s="72"/>
      <c r="Q25" s="91"/>
      <c r="R25" s="72"/>
      <c r="S25" s="91"/>
      <c r="T25" s="72"/>
      <c r="U25" s="91"/>
      <c r="V25" s="72"/>
      <c r="W25" s="91"/>
      <c r="X25" s="72"/>
      <c r="Y25" s="91"/>
      <c r="Z25" s="72"/>
    </row>
    <row r="26" spans="1:26" ht="11.25">
      <c r="A26" s="18" t="s">
        <v>24</v>
      </c>
      <c r="C26" s="91"/>
      <c r="D26" s="72"/>
      <c r="E26" s="91"/>
      <c r="F26" s="72"/>
      <c r="G26" s="91"/>
      <c r="H26" s="72"/>
      <c r="I26" s="91"/>
      <c r="J26" s="72"/>
      <c r="K26" s="91"/>
      <c r="L26" s="72"/>
      <c r="M26" s="91"/>
      <c r="N26" s="72"/>
      <c r="O26" s="91"/>
      <c r="P26" s="72"/>
      <c r="Q26" s="91"/>
      <c r="R26" s="72"/>
      <c r="S26" s="91"/>
      <c r="T26" s="72"/>
      <c r="U26" s="91">
        <f>WIN!U186/PERCENT!U147</f>
        <v>0.129</v>
      </c>
      <c r="V26" s="72"/>
      <c r="W26" s="91">
        <f>WIN!W186/PERCENT!W147</f>
        <v>0.116</v>
      </c>
      <c r="X26" s="72"/>
      <c r="Y26" s="91">
        <f>WIN!Y186/PERCENT!Y147</f>
        <v>0.102</v>
      </c>
      <c r="Z26" s="72"/>
    </row>
    <row r="27" spans="3:26" ht="11.25">
      <c r="C27" s="72"/>
      <c r="D27" s="72"/>
      <c r="E27" s="91"/>
      <c r="F27" s="72"/>
      <c r="G27" s="91"/>
      <c r="H27" s="72"/>
      <c r="I27" s="91"/>
      <c r="J27" s="72"/>
      <c r="K27" s="91"/>
      <c r="L27" s="72"/>
      <c r="M27" s="91"/>
      <c r="N27" s="72"/>
      <c r="O27" s="91"/>
      <c r="P27" s="72"/>
      <c r="Q27" s="91"/>
      <c r="R27" s="72"/>
      <c r="S27" s="91"/>
      <c r="T27" s="72"/>
      <c r="U27" s="91"/>
      <c r="V27" s="72"/>
      <c r="W27" s="91"/>
      <c r="X27" s="72"/>
      <c r="Y27" s="91"/>
      <c r="Z27" s="72"/>
    </row>
    <row r="28" spans="1:26" ht="11.25">
      <c r="A28" s="50" t="s">
        <v>25</v>
      </c>
      <c r="C28" s="91"/>
      <c r="D28" s="72"/>
      <c r="E28" s="91"/>
      <c r="F28" s="72"/>
      <c r="G28" s="91"/>
      <c r="H28" s="72"/>
      <c r="I28" s="91">
        <f>WIN!I188/PERCENT!I149</f>
        <v>0.135</v>
      </c>
      <c r="J28" s="72"/>
      <c r="K28" s="91">
        <f>WIN!K188/PERCENT!K149</f>
        <v>0.143</v>
      </c>
      <c r="L28" s="72"/>
      <c r="M28" s="91">
        <f>WIN!M188/PERCENT!M149</f>
        <v>0.132</v>
      </c>
      <c r="N28" s="72"/>
      <c r="O28" s="91">
        <f>WIN!O188/PERCENT!O149</f>
        <v>0.123</v>
      </c>
      <c r="P28" s="72"/>
      <c r="Q28" s="91">
        <f>WIN!Q188/PERCENT!Q149</f>
        <v>0.124</v>
      </c>
      <c r="R28" s="72"/>
      <c r="S28" s="91">
        <f>WIN!S188/PERCENT!S149</f>
        <v>0.124</v>
      </c>
      <c r="T28" s="72"/>
      <c r="U28" s="91">
        <f>WIN!U188/PERCENT!U149</f>
        <v>0.117</v>
      </c>
      <c r="V28" s="72"/>
      <c r="W28" s="91">
        <f>WIN!W188/PERCENT!W149</f>
        <v>0.113</v>
      </c>
      <c r="X28" s="72"/>
      <c r="Y28" s="91">
        <f>WIN!Y188/PERCENT!Y149</f>
        <v>0.111</v>
      </c>
      <c r="Z28" s="72"/>
    </row>
    <row r="29" spans="3:26" ht="11.25">
      <c r="C29" s="72"/>
      <c r="D29" s="72"/>
      <c r="E29" s="91"/>
      <c r="F29" s="72"/>
      <c r="G29" s="91"/>
      <c r="H29" s="72"/>
      <c r="I29" s="91"/>
      <c r="J29" s="72"/>
      <c r="K29" s="91"/>
      <c r="L29" s="72"/>
      <c r="M29" s="91"/>
      <c r="N29" s="72"/>
      <c r="O29" s="91"/>
      <c r="P29" s="72"/>
      <c r="Q29" s="91"/>
      <c r="R29" s="72"/>
      <c r="S29" s="91"/>
      <c r="T29" s="72"/>
      <c r="U29" s="91"/>
      <c r="V29" s="72"/>
      <c r="W29" s="91"/>
      <c r="X29" s="72"/>
      <c r="Y29" s="91"/>
      <c r="Z29" s="72"/>
    </row>
    <row r="30" spans="1:26" ht="11.25">
      <c r="A30" s="18" t="s">
        <v>45</v>
      </c>
      <c r="C30" s="91"/>
      <c r="D30" s="72"/>
      <c r="E30" s="91"/>
      <c r="F30" s="72"/>
      <c r="G30" s="91"/>
      <c r="H30" s="72"/>
      <c r="I30" s="91"/>
      <c r="J30" s="72"/>
      <c r="K30" s="91"/>
      <c r="L30" s="72"/>
      <c r="M30" s="91"/>
      <c r="N30" s="72"/>
      <c r="O30" s="91"/>
      <c r="P30" s="72"/>
      <c r="Q30" s="91">
        <f>WIN!Q190/PERCENT!Q151</f>
        <v>0.127</v>
      </c>
      <c r="R30" s="72"/>
      <c r="S30" s="91">
        <f>WIN!S190/PERCENT!S151</f>
        <v>0.122</v>
      </c>
      <c r="T30" s="72"/>
      <c r="U30" s="91">
        <f>WIN!U190/PERCENT!U151</f>
        <v>0.12</v>
      </c>
      <c r="V30" s="72"/>
      <c r="W30" s="91">
        <f>WIN!W190/PERCENT!W151</f>
        <v>0.114</v>
      </c>
      <c r="X30" s="72"/>
      <c r="Y30" s="91">
        <f>WIN!Y190/PERCENT!Y151</f>
        <v>0.11</v>
      </c>
      <c r="Z30" s="72"/>
    </row>
    <row r="31" spans="3:26" ht="11.25">
      <c r="C31" s="72"/>
      <c r="D31" s="72"/>
      <c r="E31" s="91"/>
      <c r="F31" s="72"/>
      <c r="G31" s="91"/>
      <c r="H31" s="72"/>
      <c r="I31" s="91"/>
      <c r="J31" s="72"/>
      <c r="K31" s="91"/>
      <c r="L31" s="72"/>
      <c r="M31" s="91"/>
      <c r="N31" s="72"/>
      <c r="O31" s="91"/>
      <c r="P31" s="72"/>
      <c r="Q31" s="91"/>
      <c r="R31" s="72"/>
      <c r="S31" s="91"/>
      <c r="T31" s="72"/>
      <c r="U31" s="91"/>
      <c r="V31" s="72"/>
      <c r="W31" s="91"/>
      <c r="X31" s="72"/>
      <c r="Y31" s="91"/>
      <c r="Z31" s="72"/>
    </row>
    <row r="32" spans="1:26" ht="11.25">
      <c r="A32" s="18" t="s">
        <v>26</v>
      </c>
      <c r="C32" s="91"/>
      <c r="D32" s="72"/>
      <c r="E32" s="91"/>
      <c r="F32" s="72"/>
      <c r="G32" s="91"/>
      <c r="H32" s="72"/>
      <c r="I32" s="91"/>
      <c r="J32" s="72"/>
      <c r="K32" s="91"/>
      <c r="L32" s="72"/>
      <c r="M32" s="91"/>
      <c r="N32" s="72"/>
      <c r="O32" s="91">
        <f>WIN!O192/PERCENT!O153</f>
        <v>0.126</v>
      </c>
      <c r="P32" s="72"/>
      <c r="Q32" s="91">
        <f>WIN!Q192/PERCENT!Q153</f>
        <v>0.122</v>
      </c>
      <c r="R32" s="72"/>
      <c r="S32" s="91">
        <f>WIN!S192/PERCENT!S153</f>
        <v>0.121</v>
      </c>
      <c r="T32" s="72"/>
      <c r="U32" s="91">
        <f>WIN!U192/PERCENT!U153</f>
        <v>0.119</v>
      </c>
      <c r="V32" s="72"/>
      <c r="W32" s="91">
        <f>WIN!W192/PERCENT!W153</f>
        <v>0.113</v>
      </c>
      <c r="X32" s="72"/>
      <c r="Y32" s="91">
        <f>WIN!Y192/PERCENT!Y153</f>
        <v>0.114</v>
      </c>
      <c r="Z32" s="72"/>
    </row>
    <row r="33" spans="3:53" ht="11.25">
      <c r="C33" s="106"/>
      <c r="D33" s="106"/>
      <c r="E33" s="91"/>
      <c r="F33" s="106"/>
      <c r="G33" s="91"/>
      <c r="H33" s="106"/>
      <c r="I33" s="91"/>
      <c r="J33" s="106"/>
      <c r="K33" s="91"/>
      <c r="L33" s="106"/>
      <c r="M33" s="91"/>
      <c r="N33" s="106"/>
      <c r="O33" s="91"/>
      <c r="P33" s="106"/>
      <c r="Q33" s="91"/>
      <c r="R33" s="106"/>
      <c r="S33" s="91"/>
      <c r="T33" s="106"/>
      <c r="U33" s="91"/>
      <c r="V33" s="106"/>
      <c r="W33" s="91"/>
      <c r="X33" s="106"/>
      <c r="Y33" s="91"/>
      <c r="Z33" s="106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1.25">
      <c r="A34" s="18" t="s">
        <v>38</v>
      </c>
      <c r="C34" s="91">
        <f>WIN!C194/PERCENT!C155</f>
        <v>0.144</v>
      </c>
      <c r="D34" s="106"/>
      <c r="E34" s="91">
        <f>WIN!E194/PERCENT!E155</f>
        <v>0.137</v>
      </c>
      <c r="F34" s="106"/>
      <c r="G34" s="91">
        <f>WIN!G194/PERCENT!G155</f>
        <v>0.134</v>
      </c>
      <c r="H34" s="106"/>
      <c r="I34" s="91">
        <f>WIN!I194/PERCENT!I155</f>
        <v>0.14</v>
      </c>
      <c r="J34" s="106"/>
      <c r="K34" s="91">
        <f>WIN!K194/PERCENT!K155</f>
        <v>0.137</v>
      </c>
      <c r="L34" s="106"/>
      <c r="M34" s="91">
        <f>WIN!M194/PERCENT!M155</f>
        <v>0.13</v>
      </c>
      <c r="N34" s="106"/>
      <c r="O34" s="91">
        <f>WIN!O194/PERCENT!O155</f>
        <v>0.129</v>
      </c>
      <c r="P34" s="106"/>
      <c r="Q34" s="91">
        <f>WIN!Q194/PERCENT!Q155</f>
        <v>0.127</v>
      </c>
      <c r="R34" s="106"/>
      <c r="S34" s="91">
        <f>WIN!S194/PERCENT!S155</f>
        <v>0.125</v>
      </c>
      <c r="T34" s="106"/>
      <c r="U34" s="91">
        <f>WIN!U194/PERCENT!U155</f>
        <v>0.122</v>
      </c>
      <c r="V34" s="106"/>
      <c r="W34" s="91">
        <f>WIN!W194/PERCENT!W155</f>
        <v>0.116</v>
      </c>
      <c r="X34" s="106"/>
      <c r="Y34" s="91">
        <f>WIN!Y194/PERCENT!Y155</f>
        <v>0.112</v>
      </c>
      <c r="Z34" s="106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3:53" ht="11.25">
      <c r="C35" s="93"/>
      <c r="D35" s="106"/>
      <c r="E35" s="93"/>
      <c r="F35" s="106"/>
      <c r="G35" s="93"/>
      <c r="H35" s="106"/>
      <c r="I35" s="93"/>
      <c r="J35" s="106"/>
      <c r="K35" s="93"/>
      <c r="L35" s="106"/>
      <c r="M35" s="93"/>
      <c r="N35" s="106"/>
      <c r="O35" s="93"/>
      <c r="P35" s="106"/>
      <c r="Q35" s="93"/>
      <c r="R35" s="106"/>
      <c r="S35" s="93"/>
      <c r="T35" s="106"/>
      <c r="U35" s="93"/>
      <c r="V35" s="106"/>
      <c r="W35" s="93"/>
      <c r="X35" s="106"/>
      <c r="Y35" s="93"/>
      <c r="Z35" s="106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25" ht="11.25">
      <c r="A36" s="111" t="s">
        <v>48</v>
      </c>
      <c r="E36" s="20"/>
      <c r="G36" s="20"/>
      <c r="I36" s="20"/>
      <c r="K36" s="20"/>
      <c r="M36" s="20"/>
      <c r="O36" s="94"/>
      <c r="Q36" s="20"/>
      <c r="S36" s="20"/>
      <c r="U36" s="20"/>
      <c r="W36" s="20"/>
      <c r="Y36" s="20"/>
    </row>
    <row r="37" spans="1:25" ht="11.25">
      <c r="A37" s="44"/>
      <c r="C37" s="73"/>
      <c r="E37" s="20"/>
      <c r="G37" s="20"/>
      <c r="I37" s="20"/>
      <c r="K37" s="20"/>
      <c r="M37" s="20"/>
      <c r="O37" s="94"/>
      <c r="Q37" s="20"/>
      <c r="S37" s="20"/>
      <c r="U37" s="20"/>
      <c r="W37" s="20"/>
      <c r="Y37" s="20"/>
    </row>
    <row r="38" spans="1:25" ht="11.25">
      <c r="A38" s="72"/>
      <c r="C38" s="73"/>
      <c r="E38" s="20"/>
      <c r="G38" s="20"/>
      <c r="I38" s="20"/>
      <c r="K38" s="20"/>
      <c r="M38" s="20"/>
      <c r="O38" s="94"/>
      <c r="Q38" s="20"/>
      <c r="S38" s="20"/>
      <c r="U38" s="20"/>
      <c r="W38" s="20"/>
      <c r="Y38" s="20"/>
    </row>
    <row r="39" spans="1:25" ht="11.25">
      <c r="A39" s="72"/>
      <c r="C39" s="73"/>
      <c r="E39" s="20"/>
      <c r="G39" s="20"/>
      <c r="I39" s="20"/>
      <c r="K39" s="20"/>
      <c r="M39" s="20"/>
      <c r="O39" s="20"/>
      <c r="Q39" s="20"/>
      <c r="S39" s="20"/>
      <c r="U39" s="20"/>
      <c r="W39" s="20"/>
      <c r="Y39" s="20"/>
    </row>
    <row r="40" ht="11.25">
      <c r="A40" s="18"/>
    </row>
    <row r="41" spans="1:5" ht="11.25">
      <c r="A41" s="18" t="s">
        <v>0</v>
      </c>
      <c r="E41" s="65"/>
    </row>
    <row r="42" ht="11.25">
      <c r="A42" s="50" t="s">
        <v>91</v>
      </c>
    </row>
    <row r="43" spans="1:8" ht="11.25">
      <c r="A43" s="64" t="str">
        <f>A3</f>
        <v>1978-1989</v>
      </c>
      <c r="B43" s="26"/>
      <c r="C43" s="26"/>
      <c r="D43" s="26"/>
      <c r="E43" s="95"/>
      <c r="F43" s="95"/>
      <c r="G43" s="95"/>
      <c r="H43" s="95"/>
    </row>
    <row r="44" spans="1:5" ht="11.25">
      <c r="A44" s="18"/>
      <c r="B44" s="20"/>
      <c r="C44" s="20"/>
      <c r="D44" s="20"/>
      <c r="E44" s="18"/>
    </row>
    <row r="45" spans="1:5" ht="11.25">
      <c r="A45" s="18"/>
      <c r="B45" s="20"/>
      <c r="C45" s="20"/>
      <c r="D45" s="20"/>
      <c r="E45" s="18"/>
    </row>
    <row r="46" ht="11.25">
      <c r="A46" s="44"/>
    </row>
    <row r="47" ht="11.25">
      <c r="A47" s="44"/>
    </row>
    <row r="48" spans="3:27" ht="11.25">
      <c r="C48" s="90" t="s">
        <v>3</v>
      </c>
      <c r="E48" s="90" t="s">
        <v>4</v>
      </c>
      <c r="G48" s="90" t="s">
        <v>5</v>
      </c>
      <c r="I48" s="90" t="s">
        <v>6</v>
      </c>
      <c r="K48" s="90" t="s">
        <v>7</v>
      </c>
      <c r="M48" s="90" t="s">
        <v>8</v>
      </c>
      <c r="O48" s="90" t="s">
        <v>9</v>
      </c>
      <c r="Q48" s="90" t="s">
        <v>10</v>
      </c>
      <c r="S48" s="90" t="s">
        <v>11</v>
      </c>
      <c r="U48" s="90" t="s">
        <v>12</v>
      </c>
      <c r="W48" s="90" t="s">
        <v>13</v>
      </c>
      <c r="Y48" s="90" t="s">
        <v>14</v>
      </c>
      <c r="AA48" s="18"/>
    </row>
    <row r="49" ht="11.25">
      <c r="E49" s="21"/>
    </row>
    <row r="50" spans="1:26" ht="11.25">
      <c r="A50" s="18" t="s">
        <v>15</v>
      </c>
      <c r="C50" s="92"/>
      <c r="D50" s="92"/>
      <c r="E50" s="92"/>
      <c r="F50" s="92"/>
      <c r="G50" s="92"/>
      <c r="H50" s="92"/>
      <c r="I50" s="92">
        <f>(WIN!I90-PERCENT!I90)/PERCENT!I170</f>
        <v>0.167</v>
      </c>
      <c r="J50" s="92"/>
      <c r="K50" s="92">
        <f>(WIN!K90-PERCENT!K90)/PERCENT!K170</f>
        <v>0.162</v>
      </c>
      <c r="L50" s="92"/>
      <c r="M50" s="92">
        <f>(WIN!M90-PERCENT!M90)/PERCENT!M170</f>
        <v>0.17</v>
      </c>
      <c r="N50" s="92"/>
      <c r="O50" s="92">
        <f>(WIN!O90-PERCENT!O90)/PERCENT!O170</f>
        <v>0.167</v>
      </c>
      <c r="P50" s="92"/>
      <c r="Q50" s="92">
        <f>(WIN!Q90-PERCENT!Q90)/PERCENT!Q170</f>
        <v>0.158</v>
      </c>
      <c r="R50" s="92"/>
      <c r="S50" s="92">
        <f>(WIN!S90-PERCENT!S90)/PERCENT!S170</f>
        <v>0.183</v>
      </c>
      <c r="T50" s="92"/>
      <c r="U50" s="92">
        <f>(WIN!U90-PERCENT!U90)/PERCENT!U170</f>
        <v>0.188</v>
      </c>
      <c r="V50" s="92"/>
      <c r="W50" s="92">
        <f>(WIN!W90-PERCENT!W90)/PERCENT!W170</f>
        <v>0.185</v>
      </c>
      <c r="X50" s="92"/>
      <c r="Y50" s="92">
        <f>(WIN!Y90-PERCENT!Y90)/PERCENT!Y170</f>
        <v>0.176</v>
      </c>
      <c r="Z50" s="113" t="s">
        <v>46</v>
      </c>
    </row>
    <row r="51" spans="3:26" ht="11.25"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</row>
    <row r="52" spans="1:27" ht="11.25">
      <c r="A52" s="18" t="s">
        <v>17</v>
      </c>
      <c r="C52" s="92"/>
      <c r="D52" s="92"/>
      <c r="E52" s="92"/>
      <c r="F52" s="92"/>
      <c r="G52" s="92">
        <f>(WIN!G92-PERCENT!G92)/PERCENT!G172</f>
        <v>0.14</v>
      </c>
      <c r="H52" s="92"/>
      <c r="I52" s="92">
        <f>(WIN!I92-PERCENT!I92)/PERCENT!I172</f>
        <v>0.177</v>
      </c>
      <c r="J52" s="92"/>
      <c r="K52" s="92">
        <f>(WIN!K92-PERCENT!K92)/PERCENT!K172</f>
        <v>0.176</v>
      </c>
      <c r="L52" s="92"/>
      <c r="M52" s="92">
        <f>(WIN!M92-PERCENT!M92)/PERCENT!M172</f>
        <v>0.178</v>
      </c>
      <c r="N52" s="92"/>
      <c r="O52" s="92">
        <f>(WIN!O92-PERCENT!O92)/PERCENT!O172</f>
        <v>0.158</v>
      </c>
      <c r="P52" s="92"/>
      <c r="Q52" s="92">
        <f>(WIN!Q92-PERCENT!Q92)/PERCENT!Q172</f>
        <v>0.166</v>
      </c>
      <c r="R52" s="92"/>
      <c r="S52" s="92">
        <f>(WIN!S92-PERCENT!S92)/PERCENT!S172</f>
        <v>0.16</v>
      </c>
      <c r="T52" s="92"/>
      <c r="U52" s="92">
        <f>(WIN!U92-PERCENT!U92)/PERCENT!U172</f>
        <v>0.163</v>
      </c>
      <c r="V52" s="92"/>
      <c r="W52" s="92">
        <f>(WIN!W92-PERCENT!W92)/PERCENT!W172</f>
        <v>0.162</v>
      </c>
      <c r="X52" s="92"/>
      <c r="Y52" s="92">
        <f>(WIN!Y92-PERCENT!Y92)/PERCENT!Y172</f>
        <v>0.165</v>
      </c>
      <c r="Z52" s="92"/>
      <c r="AA52" s="22"/>
    </row>
    <row r="53" spans="3:26" ht="11.25"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</row>
    <row r="54" spans="1:27" ht="11.25">
      <c r="A54" s="18" t="s">
        <v>18</v>
      </c>
      <c r="C54" s="92"/>
      <c r="D54" s="92"/>
      <c r="E54" s="92">
        <f>(WIN!E94-PERCENT!E94)/PERCENT!E174</f>
        <v>0.18</v>
      </c>
      <c r="F54" s="92"/>
      <c r="G54" s="92">
        <f>(WIN!G94-PERCENT!G94)/PERCENT!G174</f>
        <v>0.156</v>
      </c>
      <c r="H54" s="92"/>
      <c r="I54" s="92">
        <f>(WIN!I94-PERCENT!I94)/PERCENT!I174</f>
        <v>0.161</v>
      </c>
      <c r="J54" s="92"/>
      <c r="K54" s="92">
        <f>(WIN!K94-PERCENT!K94)/PERCENT!K174</f>
        <v>0.17</v>
      </c>
      <c r="L54" s="92"/>
      <c r="M54" s="92">
        <f>(WIN!M94-PERCENT!M94)/PERCENT!M174</f>
        <v>0.16</v>
      </c>
      <c r="N54" s="92"/>
      <c r="O54" s="92">
        <f>(WIN!O94-PERCENT!O94)/PERCENT!O174</f>
        <v>0.172</v>
      </c>
      <c r="P54" s="92"/>
      <c r="Q54" s="92">
        <f>(WIN!Q94-PERCENT!Q94)/PERCENT!Q174</f>
        <v>0.175</v>
      </c>
      <c r="R54" s="92"/>
      <c r="S54" s="92">
        <f>(WIN!S94-PERCENT!S94)/PERCENT!S174</f>
        <v>0.18</v>
      </c>
      <c r="T54" s="92"/>
      <c r="U54" s="92">
        <f>(WIN!U94-PERCENT!U94)/PERCENT!U174</f>
        <v>0.18</v>
      </c>
      <c r="V54" s="92"/>
      <c r="W54" s="92">
        <f>(WIN!W94-PERCENT!W94)/PERCENT!W174</f>
        <v>0.178</v>
      </c>
      <c r="X54" s="92"/>
      <c r="Y54" s="92">
        <f>(WIN!Y94-PERCENT!Y94)/PERCENT!Y174</f>
        <v>0.18</v>
      </c>
      <c r="Z54" s="92"/>
      <c r="AA54" s="22"/>
    </row>
    <row r="55" spans="3:26" ht="11.25"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</row>
    <row r="56" spans="1:27" ht="11.25">
      <c r="A56" s="18" t="s">
        <v>19</v>
      </c>
      <c r="C56" s="92"/>
      <c r="D56" s="92"/>
      <c r="E56" s="92">
        <f>(WIN!E96-PERCENT!E96)/PERCENT!E176</f>
        <v>0.175</v>
      </c>
      <c r="F56" s="92"/>
      <c r="G56" s="92">
        <f>(WIN!G96-PERCENT!G96)/PERCENT!G176</f>
        <v>0.159</v>
      </c>
      <c r="H56" s="92"/>
      <c r="I56" s="92">
        <f>(WIN!I96-PERCENT!I96)/PERCENT!I176</f>
        <v>0.166</v>
      </c>
      <c r="J56" s="92"/>
      <c r="K56" s="92">
        <f>(WIN!K96-PERCENT!K96)/PERCENT!K176</f>
        <v>0.161</v>
      </c>
      <c r="L56" s="92"/>
      <c r="M56" s="92">
        <f>(WIN!M96-PERCENT!M96)/PERCENT!M176</f>
        <v>0.151</v>
      </c>
      <c r="N56" s="92"/>
      <c r="O56" s="92">
        <f>(WIN!O96-PERCENT!O96)/PERCENT!O176</f>
        <v>0.151</v>
      </c>
      <c r="P56" s="92"/>
      <c r="Q56" s="92">
        <f>(WIN!Q96-PERCENT!Q96)/PERCENT!Q176</f>
        <v>0.158</v>
      </c>
      <c r="R56" s="92"/>
      <c r="S56" s="92">
        <f>(WIN!S96-PERCENT!S96)/PERCENT!S176</f>
        <v>0.155</v>
      </c>
      <c r="T56" s="92"/>
      <c r="U56" s="92">
        <f>(WIN!U96-PERCENT!U96)/PERCENT!U176</f>
        <v>0.171</v>
      </c>
      <c r="V56" s="92"/>
      <c r="W56" s="92">
        <f>(WIN!W96-PERCENT!W96)/PERCENT!W176</f>
        <v>0.178</v>
      </c>
      <c r="X56" s="92"/>
      <c r="Y56" s="92">
        <f>(WIN!Y96-PERCENT!Y96)/PERCENT!Y176</f>
        <v>0.165</v>
      </c>
      <c r="Z56" s="92"/>
      <c r="AA56" s="22"/>
    </row>
    <row r="57" spans="3:26" ht="11.25"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</row>
    <row r="58" spans="1:27" ht="11.25">
      <c r="A58" s="18" t="s">
        <v>20</v>
      </c>
      <c r="C58" s="92"/>
      <c r="D58" s="92"/>
      <c r="E58" s="92"/>
      <c r="F58" s="92"/>
      <c r="G58" s="92"/>
      <c r="H58" s="92"/>
      <c r="I58" s="92">
        <f>(WIN!I98-PERCENT!I98)/PERCENT!I178</f>
        <v>0.161</v>
      </c>
      <c r="J58" s="92"/>
      <c r="K58" s="92">
        <f>(WIN!K98-PERCENT!K98)/PERCENT!K178</f>
        <v>0.164</v>
      </c>
      <c r="L58" s="92"/>
      <c r="M58" s="92">
        <f>(WIN!M98-PERCENT!M98)/PERCENT!M178</f>
        <v>0.162</v>
      </c>
      <c r="N58" s="92"/>
      <c r="O58" s="92">
        <f>(WIN!O98-PERCENT!O98)/PERCENT!O178</f>
        <v>0.158</v>
      </c>
      <c r="P58" s="92"/>
      <c r="Q58" s="92">
        <f>(WIN!Q98-PERCENT!Q98)/PERCENT!Q178</f>
        <v>0.159</v>
      </c>
      <c r="R58" s="92"/>
      <c r="S58" s="92">
        <f>(WIN!S98-PERCENT!S98)/PERCENT!S178</f>
        <v>0.149</v>
      </c>
      <c r="T58" s="92"/>
      <c r="U58" s="92">
        <f>(WIN!U98-PERCENT!U98)/PERCENT!U178</f>
        <v>0.154</v>
      </c>
      <c r="V58" s="92"/>
      <c r="W58" s="92">
        <f>(WIN!W98-PERCENT!W98)/PERCENT!W178</f>
        <v>0.145</v>
      </c>
      <c r="X58" s="92"/>
      <c r="Y58" s="92">
        <f>(WIN!Y98-PERCENT!Y98)/PERCENT!Y178</f>
        <v>0.144</v>
      </c>
      <c r="Z58" s="92"/>
      <c r="AA58" s="22"/>
    </row>
    <row r="59" spans="3:26" ht="11.25"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</row>
    <row r="60" spans="1:27" ht="11.25">
      <c r="A60" s="18" t="s">
        <v>21</v>
      </c>
      <c r="C60" s="92"/>
      <c r="D60" s="92"/>
      <c r="E60" s="92"/>
      <c r="F60" s="92"/>
      <c r="G60" s="92">
        <f>(WIN!G100-PERCENT!G100)/PERCENT!G180</f>
        <v>0.129</v>
      </c>
      <c r="H60" s="92"/>
      <c r="I60" s="92">
        <f>(WIN!I100-PERCENT!I100)/PERCENT!I180</f>
        <v>0.185</v>
      </c>
      <c r="J60" s="92"/>
      <c r="K60" s="92">
        <f>(WIN!K100-PERCENT!K100)/PERCENT!K180</f>
        <v>0.186</v>
      </c>
      <c r="L60" s="92"/>
      <c r="M60" s="92">
        <f>(WIN!M100-PERCENT!M100)/PERCENT!M180</f>
        <v>0.183</v>
      </c>
      <c r="N60" s="92"/>
      <c r="O60" s="92">
        <f>(WIN!O100-PERCENT!O100)/PERCENT!O180</f>
        <v>0.177</v>
      </c>
      <c r="P60" s="92"/>
      <c r="Q60" s="92">
        <f>(WIN!Q100-PERCENT!Q100)/PERCENT!Q180</f>
        <v>0.172</v>
      </c>
      <c r="R60" s="92"/>
      <c r="S60" s="92">
        <f>(WIN!S100-PERCENT!S100)/PERCENT!S180</f>
        <v>0.167</v>
      </c>
      <c r="T60" s="92"/>
      <c r="U60" s="92">
        <f>(WIN!U100-PERCENT!U100)/PERCENT!U180</f>
        <v>0.155</v>
      </c>
      <c r="V60" s="92"/>
      <c r="W60" s="92">
        <f>(WIN!W100-PERCENT!W100)/PERCENT!W180</f>
        <v>0.158</v>
      </c>
      <c r="X60" s="92"/>
      <c r="Y60" s="92">
        <f>(WIN!Y100-PERCENT!Y100)/PERCENT!Y180</f>
        <v>0.166</v>
      </c>
      <c r="Z60" s="92"/>
      <c r="AA60" s="22"/>
    </row>
    <row r="61" spans="3:26" ht="11.25"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</row>
    <row r="62" spans="1:27" ht="11.25">
      <c r="A62" s="18" t="s">
        <v>22</v>
      </c>
      <c r="C62" s="92">
        <f>(WIN!C102-PERCENT!C102)/PERCENT!C182</f>
        <v>0.192</v>
      </c>
      <c r="D62" s="92"/>
      <c r="E62" s="92">
        <f>(WIN!E102-PERCENT!E102)/PERCENT!E182</f>
        <v>0.188</v>
      </c>
      <c r="F62" s="92"/>
      <c r="G62" s="92">
        <f>(WIN!G102-PERCENT!G102)/PERCENT!G182</f>
        <v>0.18</v>
      </c>
      <c r="H62" s="92"/>
      <c r="I62" s="92">
        <f>(WIN!I102-PERCENT!I102)/PERCENT!I182</f>
        <v>0.18</v>
      </c>
      <c r="J62" s="92"/>
      <c r="K62" s="92">
        <f>(WIN!K102-PERCENT!K102)/PERCENT!K182</f>
        <v>0.172</v>
      </c>
      <c r="L62" s="92"/>
      <c r="M62" s="92">
        <f>(WIN!M102-PERCENT!M102)/PERCENT!M182</f>
        <v>0.166</v>
      </c>
      <c r="N62" s="92"/>
      <c r="O62" s="92">
        <f>(WIN!O102-PERCENT!O102)/PERCENT!O182</f>
        <v>0.152</v>
      </c>
      <c r="P62" s="92"/>
      <c r="Q62" s="92">
        <f>(WIN!Q102-PERCENT!Q102)/PERCENT!Q182</f>
        <v>0.158</v>
      </c>
      <c r="R62" s="92"/>
      <c r="S62" s="92">
        <f>(WIN!S102-PERCENT!S102)/PERCENT!S182</f>
        <v>0.159</v>
      </c>
      <c r="T62" s="92"/>
      <c r="U62" s="92">
        <f>(WIN!U102-PERCENT!U102)/PERCENT!U182</f>
        <v>0.155</v>
      </c>
      <c r="V62" s="92"/>
      <c r="W62" s="92">
        <f>(WIN!W102-PERCENT!W102)/PERCENT!W182</f>
        <v>0.152</v>
      </c>
      <c r="X62" s="92"/>
      <c r="Y62" s="92">
        <f>(WIN!Y102-PERCENT!Y102)/PERCENT!Y182</f>
        <v>0.155</v>
      </c>
      <c r="Z62" s="92"/>
      <c r="AA62" s="22"/>
    </row>
    <row r="63" spans="3:26" ht="11.25"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</row>
    <row r="64" spans="1:27" ht="11.25">
      <c r="A64" s="18" t="s">
        <v>23</v>
      </c>
      <c r="C64" s="92"/>
      <c r="D64" s="92"/>
      <c r="E64" s="92"/>
      <c r="F64" s="92"/>
      <c r="G64" s="92">
        <f>(WIN!G104-PERCENT!G104)/PERCENT!G184</f>
        <v>0.168</v>
      </c>
      <c r="H64" s="92"/>
      <c r="I64" s="92">
        <f>(WIN!I104-PERCENT!I104)/PERCENT!I184</f>
        <v>0.163</v>
      </c>
      <c r="J64" s="92"/>
      <c r="K64" s="92">
        <f>(WIN!K104-PERCENT!K104)/PERCENT!K184</f>
        <v>0.163</v>
      </c>
      <c r="L64" s="92"/>
      <c r="M64" s="92">
        <f>(WIN!M104-PERCENT!M104)/PERCENT!M184</f>
        <v>0.157</v>
      </c>
      <c r="N64" s="92"/>
      <c r="O64" s="92">
        <f>(WIN!O104-PERCENT!O104)/PERCENT!O184</f>
        <v>0.153</v>
      </c>
      <c r="P64" s="92"/>
      <c r="Q64" s="92">
        <f>(WIN!Q104-PERCENT!Q104)/PERCENT!Q184</f>
        <v>0.165</v>
      </c>
      <c r="R64" s="92"/>
      <c r="S64" s="92">
        <f>(WIN!S104-PERCENT!S104)/PERCENT!S184</f>
        <v>0.172</v>
      </c>
      <c r="T64" s="92"/>
      <c r="U64" s="92">
        <f>(WIN!U104-PERCENT!U104)/PERCENT!U184</f>
        <v>0.159</v>
      </c>
      <c r="V64" s="92"/>
      <c r="W64" s="92">
        <f>(WIN!W104-PERCENT!W104)/PERCENT!W184</f>
        <v>0.151</v>
      </c>
      <c r="X64" s="92"/>
      <c r="Y64" s="92">
        <f>(WIN!Y104-PERCENT!Y104)/PERCENT!Y184</f>
        <v>0.161</v>
      </c>
      <c r="Z64" s="92"/>
      <c r="AA64" s="22"/>
    </row>
    <row r="65" spans="3:26" ht="11.25"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</row>
    <row r="66" spans="1:27" ht="11.25">
      <c r="A66" s="18" t="s">
        <v>24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>
        <f>(WIN!U106-PERCENT!U106)/PERCENT!U186</f>
        <v>0.173</v>
      </c>
      <c r="V66" s="92"/>
      <c r="W66" s="92">
        <f>(WIN!W106-PERCENT!W106)/PERCENT!W186</f>
        <v>0.163</v>
      </c>
      <c r="X66" s="92"/>
      <c r="Y66" s="92">
        <f>(WIN!Y106-PERCENT!Y106)/PERCENT!Y186</f>
        <v>0.161</v>
      </c>
      <c r="Z66" s="92"/>
      <c r="AA66" s="22"/>
    </row>
    <row r="67" spans="3:26" ht="11.25"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</row>
    <row r="68" spans="1:27" ht="11.25">
      <c r="A68" s="50" t="s">
        <v>25</v>
      </c>
      <c r="C68" s="92"/>
      <c r="D68" s="92"/>
      <c r="E68" s="92"/>
      <c r="F68" s="92"/>
      <c r="G68" s="92"/>
      <c r="H68" s="92"/>
      <c r="I68" s="92">
        <f>(WIN!I108-PERCENT!I108)/PERCENT!I188</f>
        <v>0.181</v>
      </c>
      <c r="J68" s="92"/>
      <c r="K68" s="92">
        <f>(WIN!K108-PERCENT!K108)/PERCENT!K188</f>
        <v>0.173</v>
      </c>
      <c r="L68" s="92"/>
      <c r="M68" s="92">
        <f>(WIN!M108-PERCENT!M108)/PERCENT!M188</f>
        <v>0.157</v>
      </c>
      <c r="N68" s="92"/>
      <c r="O68" s="92">
        <f>(WIN!O108-PERCENT!O108)/PERCENT!O188</f>
        <v>0.153</v>
      </c>
      <c r="P68" s="92"/>
      <c r="Q68" s="92">
        <f>(WIN!Q108-PERCENT!Q108)/PERCENT!Q188</f>
        <v>0.159</v>
      </c>
      <c r="R68" s="92"/>
      <c r="S68" s="92">
        <f>(WIN!S108-PERCENT!S108)/PERCENT!S188</f>
        <v>0.18</v>
      </c>
      <c r="T68" s="92"/>
      <c r="U68" s="92">
        <f>(WIN!U108-PERCENT!U108)/PERCENT!U188</f>
        <v>0.161</v>
      </c>
      <c r="V68" s="92"/>
      <c r="W68" s="92">
        <f>(WIN!W108-PERCENT!W108)/PERCENT!W188</f>
        <v>0.162</v>
      </c>
      <c r="X68" s="92"/>
      <c r="Y68" s="92">
        <f>(WIN!Y108-PERCENT!Y108)/PERCENT!Y188</f>
        <v>0.151</v>
      </c>
      <c r="Z68" s="92"/>
      <c r="AA68" s="22"/>
    </row>
    <row r="69" spans="3:26" ht="11.25"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</row>
    <row r="70" spans="1:27" ht="11.25">
      <c r="A70" s="18" t="s">
        <v>45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>
        <f>(WIN!Q110-PERCENT!Q110)/PERCENT!Q190</f>
        <v>0.165</v>
      </c>
      <c r="R70" s="92"/>
      <c r="S70" s="92">
        <f>(WIN!S110-PERCENT!S110)/PERCENT!S190</f>
        <v>0.164</v>
      </c>
      <c r="T70" s="92"/>
      <c r="U70" s="92">
        <f>(WIN!U110-PERCENT!U110)/PERCENT!U190</f>
        <v>0.163</v>
      </c>
      <c r="V70" s="92"/>
      <c r="W70" s="92">
        <f>(WIN!W110-PERCENT!W110)/PERCENT!W190</f>
        <v>0.154</v>
      </c>
      <c r="X70" s="92"/>
      <c r="Y70" s="92">
        <f>(WIN!Y110-PERCENT!Y110)/PERCENT!Y190</f>
        <v>0.158</v>
      </c>
      <c r="Z70" s="92"/>
      <c r="AA70" s="22"/>
    </row>
    <row r="71" spans="3:26" ht="11.25"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</row>
    <row r="72" spans="1:27" ht="11.25">
      <c r="A72" s="18" t="s">
        <v>26</v>
      </c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>
        <f>(WIN!O112-PERCENT!O112)/PERCENT!O192</f>
        <v>0.15</v>
      </c>
      <c r="P72" s="92"/>
      <c r="Q72" s="92">
        <f>(WIN!Q112-PERCENT!Q112)/PERCENT!Q192</f>
        <v>0.156</v>
      </c>
      <c r="R72" s="92"/>
      <c r="S72" s="92">
        <f>(WIN!S112-PERCENT!S112)/PERCENT!S192</f>
        <v>0.163</v>
      </c>
      <c r="T72" s="92"/>
      <c r="U72" s="92">
        <f>(WIN!U112-PERCENT!U112)/PERCENT!U192</f>
        <v>0.157</v>
      </c>
      <c r="V72" s="92"/>
      <c r="W72" s="92">
        <f>(WIN!W112-PERCENT!W112)/PERCENT!W192</f>
        <v>0.164</v>
      </c>
      <c r="X72" s="92"/>
      <c r="Y72" s="92">
        <f>(WIN!Y112-PERCENT!Y112)/PERCENT!Y192</f>
        <v>0.154</v>
      </c>
      <c r="Z72" s="92"/>
      <c r="AA72" s="22"/>
    </row>
    <row r="73" spans="3:57" ht="11.25">
      <c r="C73" s="96"/>
      <c r="D73" s="96"/>
      <c r="E73" s="92"/>
      <c r="F73" s="96"/>
      <c r="G73" s="92"/>
      <c r="H73" s="96"/>
      <c r="I73" s="92"/>
      <c r="J73" s="96"/>
      <c r="K73" s="92"/>
      <c r="L73" s="96"/>
      <c r="M73" s="92"/>
      <c r="N73" s="96"/>
      <c r="O73" s="92"/>
      <c r="P73" s="96"/>
      <c r="Q73" s="92"/>
      <c r="R73" s="96"/>
      <c r="S73" s="92"/>
      <c r="T73" s="96"/>
      <c r="U73" s="92"/>
      <c r="V73" s="96"/>
      <c r="W73" s="92"/>
      <c r="X73" s="96"/>
      <c r="Y73" s="92"/>
      <c r="Z73" s="96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</row>
    <row r="74" spans="1:57" ht="11.25">
      <c r="A74" s="18" t="s">
        <v>38</v>
      </c>
      <c r="C74" s="92">
        <f>(WIN!C114-PERCENT!C114)/PERCENT!C194</f>
        <v>0.192</v>
      </c>
      <c r="D74" s="96"/>
      <c r="E74" s="92">
        <f>(WIN!E114-PERCENT!E114)/PERCENT!E194</f>
        <v>0.184</v>
      </c>
      <c r="F74" s="96"/>
      <c r="G74" s="92">
        <f>(WIN!G114-PERCENT!G114)/PERCENT!G194</f>
        <v>0.164</v>
      </c>
      <c r="H74" s="96"/>
      <c r="I74" s="92">
        <f>(WIN!I114-PERCENT!I114)/PERCENT!I194</f>
        <v>0.171</v>
      </c>
      <c r="J74" s="96"/>
      <c r="K74" s="92">
        <f>(WIN!K114-PERCENT!K114)/PERCENT!K194</f>
        <v>0.17</v>
      </c>
      <c r="L74" s="96"/>
      <c r="M74" s="92">
        <f>(WIN!M114-PERCENT!M114)/PERCENT!M194</f>
        <v>0.165</v>
      </c>
      <c r="N74" s="96"/>
      <c r="O74" s="92">
        <f>(WIN!O114-PERCENT!O114)/PERCENT!O194</f>
        <v>0.158</v>
      </c>
      <c r="P74" s="96"/>
      <c r="Q74" s="92">
        <f>(WIN!Q114-PERCENT!Q114)/PERCENT!Q194</f>
        <v>0.163</v>
      </c>
      <c r="R74" s="96"/>
      <c r="S74" s="92">
        <f>(WIN!S114-PERCENT!S114)/PERCENT!S194</f>
        <v>0.165</v>
      </c>
      <c r="T74" s="96"/>
      <c r="U74" s="92">
        <f>(WIN!U114-PERCENT!U114)/PERCENT!U194</f>
        <v>0.163</v>
      </c>
      <c r="V74" s="96"/>
      <c r="W74" s="92">
        <f>(WIN!W114-PERCENT!W114)/PERCENT!W194</f>
        <v>0.162</v>
      </c>
      <c r="X74" s="96"/>
      <c r="Y74" s="92">
        <f>(WIN!Y114-PERCENT!Y114)/PERCENT!Y194</f>
        <v>0.16</v>
      </c>
      <c r="Z74" s="96"/>
      <c r="AA74" s="107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</row>
    <row r="75" spans="3:57" ht="11.25">
      <c r="C75" s="94"/>
      <c r="D75" s="95"/>
      <c r="E75" s="94"/>
      <c r="F75" s="95"/>
      <c r="G75" s="94"/>
      <c r="H75" s="95"/>
      <c r="I75" s="94"/>
      <c r="J75" s="95"/>
      <c r="K75" s="94"/>
      <c r="L75" s="95"/>
      <c r="M75" s="94"/>
      <c r="N75" s="95"/>
      <c r="O75" s="94"/>
      <c r="P75" s="95"/>
      <c r="Q75" s="94"/>
      <c r="R75" s="95"/>
      <c r="S75" s="94"/>
      <c r="T75" s="95"/>
      <c r="U75" s="94"/>
      <c r="V75" s="95"/>
      <c r="W75" s="94"/>
      <c r="X75" s="95"/>
      <c r="Y75" s="94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</row>
    <row r="76" spans="1:25" ht="11.25">
      <c r="A76" s="114" t="s">
        <v>48</v>
      </c>
      <c r="C76" s="73"/>
      <c r="E76" s="20"/>
      <c r="G76" s="20"/>
      <c r="I76" s="20"/>
      <c r="K76" s="20"/>
      <c r="M76" s="20"/>
      <c r="O76" s="20"/>
      <c r="Q76" s="20"/>
      <c r="S76" s="20"/>
      <c r="U76" s="20"/>
      <c r="W76" s="20"/>
      <c r="Y76" s="20"/>
    </row>
    <row r="77" spans="1:25" ht="11.25">
      <c r="A77" s="72"/>
      <c r="C77" s="73"/>
      <c r="E77" s="20"/>
      <c r="G77" s="20"/>
      <c r="I77" s="20"/>
      <c r="K77" s="20"/>
      <c r="M77" s="20"/>
      <c r="O77" s="20"/>
      <c r="Q77" s="20"/>
      <c r="S77" s="20"/>
      <c r="U77" s="20"/>
      <c r="W77" s="20"/>
      <c r="Y77" s="20"/>
    </row>
    <row r="78" spans="1:25" ht="11.25">
      <c r="A78" s="72"/>
      <c r="C78" s="73"/>
      <c r="E78" s="20"/>
      <c r="G78" s="20"/>
      <c r="I78" s="20"/>
      <c r="K78" s="20"/>
      <c r="M78" s="20"/>
      <c r="O78" s="20"/>
      <c r="Q78" s="20"/>
      <c r="S78" s="20"/>
      <c r="U78" s="20"/>
      <c r="W78" s="20"/>
      <c r="Y78" s="20"/>
    </row>
    <row r="79" spans="3:25" ht="11.25">
      <c r="C79" s="20"/>
      <c r="E79" s="20"/>
      <c r="G79" s="20"/>
      <c r="I79" s="20"/>
      <c r="K79" s="20"/>
      <c r="M79" s="20"/>
      <c r="O79" s="20"/>
      <c r="Q79" s="20"/>
      <c r="S79" s="20"/>
      <c r="U79" s="20"/>
      <c r="W79" s="20"/>
      <c r="Y79" s="20"/>
    </row>
    <row r="80" ht="11.25">
      <c r="A80" s="18"/>
    </row>
    <row r="81" spans="1:27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3" ht="11.25">
      <c r="A118" s="72"/>
      <c r="C118" s="73"/>
    </row>
    <row r="119" spans="1:3" ht="11.25">
      <c r="A119" s="72"/>
      <c r="C119" s="73"/>
    </row>
    <row r="120" spans="1:3" ht="11.25">
      <c r="A120" s="72"/>
      <c r="C120" s="73"/>
    </row>
    <row r="121" spans="1:3" ht="11.25">
      <c r="A121" s="72"/>
      <c r="C121" s="73"/>
    </row>
    <row r="122" ht="11.25">
      <c r="A122" s="18"/>
    </row>
    <row r="123" spans="1:26" ht="11.25">
      <c r="A123" s="1" t="s">
        <v>0</v>
      </c>
      <c r="B123" s="2"/>
      <c r="C123" s="2"/>
      <c r="D123" s="2"/>
      <c r="E123" s="6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>
      <c r="A124" s="1" t="s">
        <v>40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>
      <c r="A125" s="45" t="str">
        <f>A3</f>
        <v>1978-1989</v>
      </c>
      <c r="B125" s="13"/>
      <c r="C125" s="13"/>
      <c r="D125" s="1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>
      <c r="A126" s="27" t="s">
        <v>2</v>
      </c>
      <c r="B126" s="3"/>
      <c r="C126" s="3"/>
      <c r="D126" s="3"/>
      <c r="E126" s="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>
      <c r="A128" s="2"/>
      <c r="B128" s="2"/>
      <c r="C128" s="66" t="s">
        <v>3</v>
      </c>
      <c r="D128" s="2"/>
      <c r="E128" s="66" t="s">
        <v>4</v>
      </c>
      <c r="F128" s="2"/>
      <c r="G128" s="66" t="s">
        <v>5</v>
      </c>
      <c r="H128" s="2"/>
      <c r="I128" s="66" t="s">
        <v>6</v>
      </c>
      <c r="J128" s="2"/>
      <c r="K128" s="66" t="s">
        <v>7</v>
      </c>
      <c r="L128" s="2"/>
      <c r="M128" s="66" t="s">
        <v>8</v>
      </c>
      <c r="N128" s="2"/>
      <c r="O128" s="66" t="s">
        <v>9</v>
      </c>
      <c r="P128" s="2"/>
      <c r="Q128" s="66" t="s">
        <v>10</v>
      </c>
      <c r="R128" s="2"/>
      <c r="S128" s="66" t="s">
        <v>11</v>
      </c>
      <c r="T128" s="2"/>
      <c r="U128" s="66" t="s">
        <v>12</v>
      </c>
      <c r="V128" s="2"/>
      <c r="W128" s="66" t="s">
        <v>13</v>
      </c>
      <c r="X128" s="2"/>
      <c r="Y128" s="66" t="s">
        <v>14</v>
      </c>
      <c r="Z128" s="2"/>
    </row>
    <row r="129" spans="1:26" ht="11.25">
      <c r="A129" s="2"/>
      <c r="B129" s="2"/>
      <c r="C129" s="3"/>
      <c r="D129" s="2"/>
      <c r="E129" s="3"/>
      <c r="F129" s="2"/>
      <c r="G129" s="3"/>
      <c r="H129" s="2"/>
      <c r="I129" s="3"/>
      <c r="J129" s="2"/>
      <c r="K129" s="3"/>
      <c r="L129" s="2"/>
      <c r="M129" s="3"/>
      <c r="N129" s="2"/>
      <c r="O129" s="3"/>
      <c r="P129" s="2"/>
      <c r="Q129" s="3"/>
      <c r="R129" s="2"/>
      <c r="S129" s="3"/>
      <c r="T129" s="2"/>
      <c r="U129" s="3"/>
      <c r="V129" s="2"/>
      <c r="W129" s="3"/>
      <c r="X129" s="2"/>
      <c r="Y129" s="3"/>
      <c r="Z129" s="2"/>
    </row>
    <row r="130" spans="1:26" ht="11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>
      <c r="A131" s="1" t="s">
        <v>15</v>
      </c>
      <c r="B131" s="2"/>
      <c r="C131" s="6"/>
      <c r="D131" s="6"/>
      <c r="E131" s="6"/>
      <c r="F131" s="6"/>
      <c r="G131" s="6"/>
      <c r="H131" s="6"/>
      <c r="I131" s="6">
        <v>264325</v>
      </c>
      <c r="J131" s="6"/>
      <c r="K131" s="6">
        <v>501987</v>
      </c>
      <c r="L131" s="6"/>
      <c r="M131" s="6">
        <v>515830</v>
      </c>
      <c r="N131" s="6"/>
      <c r="O131" s="6">
        <v>564042</v>
      </c>
      <c r="P131" s="6"/>
      <c r="Q131" s="6">
        <v>552339</v>
      </c>
      <c r="R131" s="6"/>
      <c r="S131" s="6">
        <v>480322</v>
      </c>
      <c r="T131" s="6"/>
      <c r="U131" s="6">
        <v>378622</v>
      </c>
      <c r="V131" s="6"/>
      <c r="W131" s="6">
        <v>494766</v>
      </c>
      <c r="X131" s="6"/>
      <c r="Y131" s="6">
        <v>184550</v>
      </c>
      <c r="Z131" s="77" t="s">
        <v>46</v>
      </c>
    </row>
    <row r="132" spans="1:26" ht="11.25">
      <c r="A132" s="2"/>
      <c r="B132" s="2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1.25">
      <c r="A133" s="18" t="s">
        <v>17</v>
      </c>
      <c r="B133" s="2"/>
      <c r="C133" s="5"/>
      <c r="D133" s="5"/>
      <c r="E133" s="5"/>
      <c r="F133" s="5"/>
      <c r="G133" s="6">
        <v>15934</v>
      </c>
      <c r="H133" s="5"/>
      <c r="I133" s="5">
        <v>463645</v>
      </c>
      <c r="J133" s="5"/>
      <c r="K133" s="5">
        <v>592222</v>
      </c>
      <c r="L133" s="5"/>
      <c r="M133" s="5">
        <v>996782</v>
      </c>
      <c r="N133" s="5"/>
      <c r="O133" s="5">
        <v>981236</v>
      </c>
      <c r="P133" s="5"/>
      <c r="Q133" s="5">
        <v>955590</v>
      </c>
      <c r="R133" s="5"/>
      <c r="S133" s="5">
        <v>1029882</v>
      </c>
      <c r="T133" s="5"/>
      <c r="U133" s="5">
        <v>994344</v>
      </c>
      <c r="V133" s="5"/>
      <c r="W133" s="5">
        <v>999230</v>
      </c>
      <c r="X133" s="5"/>
      <c r="Y133" s="5">
        <v>998714</v>
      </c>
      <c r="Z133" s="5"/>
    </row>
    <row r="134" spans="2:26" ht="11.25">
      <c r="B134" s="2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1.25">
      <c r="A135" s="18" t="s">
        <v>18</v>
      </c>
      <c r="B135" s="2"/>
      <c r="C135" s="5"/>
      <c r="D135" s="5"/>
      <c r="E135" s="6">
        <v>5736</v>
      </c>
      <c r="F135" s="5"/>
      <c r="G135" s="5">
        <v>651567</v>
      </c>
      <c r="H135" s="5"/>
      <c r="I135" s="5">
        <v>637190</v>
      </c>
      <c r="J135" s="5"/>
      <c r="K135" s="5">
        <v>705835</v>
      </c>
      <c r="L135" s="5"/>
      <c r="M135" s="5">
        <v>885191</v>
      </c>
      <c r="N135" s="5"/>
      <c r="O135" s="5">
        <v>906558</v>
      </c>
      <c r="P135" s="5"/>
      <c r="Q135" s="5">
        <v>894244</v>
      </c>
      <c r="R135" s="5"/>
      <c r="S135" s="5">
        <v>947913</v>
      </c>
      <c r="T135" s="5"/>
      <c r="U135" s="5">
        <v>1048649</v>
      </c>
      <c r="V135" s="5"/>
      <c r="W135" s="5">
        <v>1278386</v>
      </c>
      <c r="X135" s="5"/>
      <c r="Y135" s="5">
        <v>1492830</v>
      </c>
      <c r="Z135" s="5"/>
    </row>
    <row r="136" spans="2:26" ht="11.25">
      <c r="B136" s="2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1.25">
      <c r="A137" s="18" t="s">
        <v>19</v>
      </c>
      <c r="B137" s="2"/>
      <c r="C137" s="5"/>
      <c r="D137" s="5"/>
      <c r="E137" s="5">
        <v>284529</v>
      </c>
      <c r="F137" s="5"/>
      <c r="G137" s="5">
        <v>540101</v>
      </c>
      <c r="H137" s="5"/>
      <c r="I137" s="5">
        <v>460017</v>
      </c>
      <c r="J137" s="5"/>
      <c r="K137" s="5">
        <v>532783</v>
      </c>
      <c r="L137" s="5"/>
      <c r="M137" s="5">
        <v>785234</v>
      </c>
      <c r="N137" s="5"/>
      <c r="O137" s="5">
        <v>763468</v>
      </c>
      <c r="P137" s="5"/>
      <c r="Q137" s="5">
        <v>833734</v>
      </c>
      <c r="R137" s="5"/>
      <c r="S137" s="5">
        <v>944767</v>
      </c>
      <c r="T137" s="5"/>
      <c r="U137" s="5">
        <v>1049360</v>
      </c>
      <c r="V137" s="5"/>
      <c r="W137" s="5">
        <v>1175508</v>
      </c>
      <c r="X137" s="5"/>
      <c r="Y137" s="5">
        <v>1284383</v>
      </c>
      <c r="Z137" s="5"/>
    </row>
    <row r="138" spans="2:26" ht="11.25">
      <c r="B138" s="2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1.25">
      <c r="A139" s="18" t="s">
        <v>20</v>
      </c>
      <c r="B139" s="2"/>
      <c r="C139" s="2"/>
      <c r="D139" s="2"/>
      <c r="E139" s="2"/>
      <c r="F139" s="2"/>
      <c r="G139" s="2"/>
      <c r="H139" s="2"/>
      <c r="I139" s="8">
        <v>107933</v>
      </c>
      <c r="J139" s="2"/>
      <c r="K139" s="8">
        <v>318438</v>
      </c>
      <c r="L139" s="2"/>
      <c r="M139" s="8">
        <v>442093</v>
      </c>
      <c r="N139" s="2"/>
      <c r="O139" s="8">
        <v>521163</v>
      </c>
      <c r="P139" s="2"/>
      <c r="Q139" s="8">
        <v>548879</v>
      </c>
      <c r="R139" s="2"/>
      <c r="S139" s="8">
        <v>544092</v>
      </c>
      <c r="T139" s="2"/>
      <c r="U139" s="8">
        <v>595911</v>
      </c>
      <c r="V139" s="2"/>
      <c r="W139" s="8">
        <v>637669</v>
      </c>
      <c r="X139" s="2"/>
      <c r="Y139" s="8">
        <v>636539</v>
      </c>
      <c r="Z139" s="2"/>
    </row>
    <row r="140" spans="2:26" ht="11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>
      <c r="A141" s="18" t="s">
        <v>21</v>
      </c>
      <c r="B141" s="2"/>
      <c r="C141" s="2"/>
      <c r="D141" s="2"/>
      <c r="E141" s="2"/>
      <c r="F141" s="2"/>
      <c r="G141" s="8">
        <v>31318</v>
      </c>
      <c r="H141" s="2"/>
      <c r="I141" s="8">
        <v>582878</v>
      </c>
      <c r="J141" s="2"/>
      <c r="K141" s="8">
        <v>771519</v>
      </c>
      <c r="L141" s="2"/>
      <c r="M141" s="8">
        <v>987357</v>
      </c>
      <c r="N141" s="2"/>
      <c r="O141" s="8">
        <v>1052513</v>
      </c>
      <c r="P141" s="2"/>
      <c r="Q141" s="8">
        <v>1074591</v>
      </c>
      <c r="R141" s="2"/>
      <c r="S141" s="8">
        <v>1130011</v>
      </c>
      <c r="T141" s="2"/>
      <c r="U141" s="8">
        <v>1250625</v>
      </c>
      <c r="V141" s="2"/>
      <c r="W141" s="8">
        <v>1586437</v>
      </c>
      <c r="X141" s="2"/>
      <c r="Y141" s="8">
        <v>1733447</v>
      </c>
      <c r="Z141" s="2"/>
    </row>
    <row r="142" spans="2:26" ht="11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>
      <c r="A143" s="18" t="s">
        <v>22</v>
      </c>
      <c r="B143" s="2"/>
      <c r="C143" s="6">
        <v>405521</v>
      </c>
      <c r="D143" s="2"/>
      <c r="E143" s="8">
        <v>715077</v>
      </c>
      <c r="F143" s="2"/>
      <c r="G143" s="8">
        <v>676227</v>
      </c>
      <c r="H143" s="2"/>
      <c r="I143" s="8">
        <v>583393</v>
      </c>
      <c r="J143" s="2"/>
      <c r="K143" s="8">
        <v>721759</v>
      </c>
      <c r="L143" s="2"/>
      <c r="M143" s="8">
        <v>943552</v>
      </c>
      <c r="N143" s="2"/>
      <c r="O143" s="8">
        <v>979695</v>
      </c>
      <c r="P143" s="2"/>
      <c r="Q143" s="8">
        <v>909397</v>
      </c>
      <c r="R143" s="2"/>
      <c r="S143" s="8">
        <v>942199</v>
      </c>
      <c r="T143" s="2"/>
      <c r="U143" s="8">
        <v>1017425</v>
      </c>
      <c r="V143" s="2"/>
      <c r="W143" s="8">
        <v>1065995</v>
      </c>
      <c r="X143" s="2"/>
      <c r="Y143" s="8">
        <v>1022339</v>
      </c>
      <c r="Z143" s="2"/>
    </row>
    <row r="144" spans="2:26" ht="11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>
      <c r="A145" s="18" t="s">
        <v>23</v>
      </c>
      <c r="B145" s="2"/>
      <c r="C145" s="2"/>
      <c r="D145" s="2"/>
      <c r="E145" s="2"/>
      <c r="F145" s="2"/>
      <c r="G145" s="8">
        <v>78326</v>
      </c>
      <c r="H145" s="2"/>
      <c r="I145" s="8">
        <v>239880</v>
      </c>
      <c r="J145" s="2"/>
      <c r="K145" s="8">
        <v>420368</v>
      </c>
      <c r="L145" s="2"/>
      <c r="M145" s="8">
        <v>479012</v>
      </c>
      <c r="N145" s="2"/>
      <c r="O145" s="8">
        <v>535822</v>
      </c>
      <c r="P145" s="2"/>
      <c r="Q145" s="8">
        <v>644946</v>
      </c>
      <c r="R145" s="2"/>
      <c r="S145" s="8">
        <v>758579</v>
      </c>
      <c r="T145" s="2"/>
      <c r="U145" s="8">
        <v>821018</v>
      </c>
      <c r="V145" s="2"/>
      <c r="W145" s="8">
        <v>892137</v>
      </c>
      <c r="X145" s="2"/>
      <c r="Y145" s="8">
        <v>986659</v>
      </c>
      <c r="Z145" s="2"/>
    </row>
    <row r="146" spans="2:26" ht="11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>
      <c r="A147" s="18" t="s">
        <v>24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8">
        <v>669341</v>
      </c>
      <c r="V147" s="2"/>
      <c r="W147" s="8">
        <v>1002374</v>
      </c>
      <c r="X147" s="2"/>
      <c r="Y147" s="8">
        <v>1446409</v>
      </c>
      <c r="Z147" s="2"/>
    </row>
    <row r="148" spans="2:26" ht="11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>
      <c r="A149" s="50" t="s">
        <v>25</v>
      </c>
      <c r="B149" s="2"/>
      <c r="C149" s="2"/>
      <c r="D149" s="2"/>
      <c r="E149" s="2"/>
      <c r="F149" s="2"/>
      <c r="G149" s="2"/>
      <c r="H149" s="2"/>
      <c r="I149" s="8">
        <v>31391</v>
      </c>
      <c r="J149" s="2"/>
      <c r="K149" s="8">
        <v>500824</v>
      </c>
      <c r="L149" s="2"/>
      <c r="M149" s="8">
        <v>730766</v>
      </c>
      <c r="N149" s="2"/>
      <c r="O149" s="8">
        <v>813209</v>
      </c>
      <c r="P149" s="2"/>
      <c r="Q149" s="8">
        <v>843323</v>
      </c>
      <c r="R149" s="2"/>
      <c r="S149" s="8">
        <v>878178</v>
      </c>
      <c r="T149" s="2"/>
      <c r="U149" s="8">
        <v>992968</v>
      </c>
      <c r="V149" s="2"/>
      <c r="W149" s="8">
        <v>1231528</v>
      </c>
      <c r="X149" s="2"/>
      <c r="Y149" s="8">
        <v>1566070</v>
      </c>
      <c r="Z149" s="2"/>
    </row>
    <row r="150" spans="1:26" ht="11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>
      <c r="A151" s="1" t="s">
        <v>45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8">
        <v>474476</v>
      </c>
      <c r="R151" s="2"/>
      <c r="S151" s="8">
        <v>945988</v>
      </c>
      <c r="T151" s="2"/>
      <c r="U151" s="8">
        <v>1013363</v>
      </c>
      <c r="V151" s="2"/>
      <c r="W151" s="8">
        <v>1139090</v>
      </c>
      <c r="X151" s="2"/>
      <c r="Y151" s="8">
        <v>1333285</v>
      </c>
      <c r="Z151" s="2"/>
    </row>
    <row r="152" spans="1:26" ht="11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7" ht="11.25">
      <c r="A153" s="1" t="s">
        <v>26</v>
      </c>
      <c r="B153" s="5"/>
      <c r="C153" s="67"/>
      <c r="D153" s="58"/>
      <c r="E153" s="67"/>
      <c r="F153" s="58"/>
      <c r="G153" s="67"/>
      <c r="H153" s="58"/>
      <c r="I153" s="67"/>
      <c r="J153" s="58"/>
      <c r="K153" s="67"/>
      <c r="L153" s="58"/>
      <c r="M153" s="67"/>
      <c r="N153" s="58"/>
      <c r="O153" s="67">
        <v>507491</v>
      </c>
      <c r="P153" s="58"/>
      <c r="Q153" s="67">
        <v>810178</v>
      </c>
      <c r="R153" s="58"/>
      <c r="S153" s="67">
        <v>898454</v>
      </c>
      <c r="T153" s="58"/>
      <c r="U153" s="67">
        <v>1067351</v>
      </c>
      <c r="V153" s="58"/>
      <c r="W153" s="67">
        <v>1364240</v>
      </c>
      <c r="X153" s="58"/>
      <c r="Y153" s="67">
        <v>1432060</v>
      </c>
      <c r="Z153" s="58"/>
      <c r="AA153" s="95"/>
    </row>
    <row r="154" spans="1:26" ht="11.25">
      <c r="A154" s="2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" thickBot="1">
      <c r="A155" s="1" t="s">
        <v>38</v>
      </c>
      <c r="B155" s="5"/>
      <c r="C155" s="78">
        <f>SUM(C131:C153)</f>
        <v>405521</v>
      </c>
      <c r="D155" s="6"/>
      <c r="E155" s="78">
        <f>SUM(E131:E153)</f>
        <v>1005342</v>
      </c>
      <c r="F155" s="6"/>
      <c r="G155" s="78">
        <f>SUM(G131:G153)</f>
        <v>1993473</v>
      </c>
      <c r="H155" s="6"/>
      <c r="I155" s="78">
        <f>SUM(I131:I153)</f>
        <v>3370652</v>
      </c>
      <c r="J155" s="6"/>
      <c r="K155" s="78">
        <f>SUM(K131:K153)</f>
        <v>5065735</v>
      </c>
      <c r="L155" s="6"/>
      <c r="M155" s="78">
        <f>SUM(M131:M153)</f>
        <v>6765817</v>
      </c>
      <c r="N155" s="6"/>
      <c r="O155" s="78">
        <f>SUM(O131:O153)</f>
        <v>7625197</v>
      </c>
      <c r="P155" s="6"/>
      <c r="Q155" s="78">
        <f>SUM(Q131:Q153)</f>
        <v>8541697</v>
      </c>
      <c r="R155" s="6"/>
      <c r="S155" s="78">
        <f>SUM(S131:S153)</f>
        <v>9500385</v>
      </c>
      <c r="T155" s="6"/>
      <c r="U155" s="78">
        <f>SUM(U131:U153)</f>
        <v>10898977</v>
      </c>
      <c r="V155" s="6"/>
      <c r="W155" s="78">
        <f>SUM(W131:W153)</f>
        <v>12867360</v>
      </c>
      <c r="X155" s="6"/>
      <c r="Y155" s="78">
        <f>SUM(Y131:Y153)</f>
        <v>14117285</v>
      </c>
      <c r="Z155" s="6"/>
    </row>
    <row r="156" spans="1:26" ht="12" thickTop="1">
      <c r="A156" s="2"/>
      <c r="B156" s="5"/>
      <c r="C156" s="9"/>
      <c r="D156" s="5"/>
      <c r="E156" s="9"/>
      <c r="F156" s="5"/>
      <c r="G156" s="9"/>
      <c r="H156" s="5"/>
      <c r="I156" s="9"/>
      <c r="J156" s="5"/>
      <c r="K156" s="9"/>
      <c r="L156" s="5"/>
      <c r="M156" s="9"/>
      <c r="N156" s="5"/>
      <c r="O156" s="9"/>
      <c r="P156" s="5"/>
      <c r="Q156" s="9"/>
      <c r="R156" s="5"/>
      <c r="S156" s="9"/>
      <c r="T156" s="5"/>
      <c r="U156" s="9"/>
      <c r="V156" s="5"/>
      <c r="W156" s="9"/>
      <c r="X156" s="5"/>
      <c r="Y156" s="9"/>
      <c r="Z156" s="5"/>
    </row>
    <row r="157" spans="1:26" ht="11.25">
      <c r="A157" s="112" t="s">
        <v>48</v>
      </c>
      <c r="C157" s="73"/>
      <c r="D157" s="5"/>
      <c r="E157" s="9"/>
      <c r="F157" s="5"/>
      <c r="G157" s="9"/>
      <c r="H157" s="5"/>
      <c r="I157" s="9"/>
      <c r="J157" s="5"/>
      <c r="K157" s="9"/>
      <c r="L157" s="5"/>
      <c r="M157" s="9"/>
      <c r="N157" s="5"/>
      <c r="O157" s="9"/>
      <c r="P157" s="5"/>
      <c r="Q157" s="9"/>
      <c r="R157" s="5"/>
      <c r="S157" s="9"/>
      <c r="T157" s="5"/>
      <c r="U157" s="9"/>
      <c r="V157" s="5"/>
      <c r="W157" s="9"/>
      <c r="X157" s="5"/>
      <c r="Y157" s="9"/>
      <c r="Z157" s="5"/>
    </row>
    <row r="158" spans="1:26" ht="11.25">
      <c r="A158" s="2"/>
      <c r="B158" s="5"/>
      <c r="C158" s="9"/>
      <c r="D158" s="5"/>
      <c r="E158" s="9"/>
      <c r="F158" s="5"/>
      <c r="G158" s="9"/>
      <c r="H158" s="5"/>
      <c r="I158" s="9"/>
      <c r="J158" s="5"/>
      <c r="K158" s="9"/>
      <c r="L158" s="5"/>
      <c r="M158" s="9"/>
      <c r="N158" s="5"/>
      <c r="O158" s="9"/>
      <c r="P158" s="5"/>
      <c r="Q158" s="9"/>
      <c r="R158" s="5"/>
      <c r="S158" s="9"/>
      <c r="T158" s="5"/>
      <c r="U158" s="9"/>
      <c r="V158" s="5"/>
      <c r="W158" s="9"/>
      <c r="X158" s="5"/>
      <c r="Y158" s="9"/>
      <c r="Z158" s="5"/>
    </row>
    <row r="159" spans="1:26" ht="11.25">
      <c r="A159" s="2"/>
      <c r="B159" s="5"/>
      <c r="C159" s="9"/>
      <c r="D159" s="5"/>
      <c r="E159" s="9"/>
      <c r="F159" s="5"/>
      <c r="G159" s="9"/>
      <c r="H159" s="5"/>
      <c r="I159" s="9"/>
      <c r="J159" s="5"/>
      <c r="K159" s="9"/>
      <c r="L159" s="5"/>
      <c r="M159" s="9"/>
      <c r="N159" s="5"/>
      <c r="O159" s="9"/>
      <c r="P159" s="5"/>
      <c r="Q159" s="9"/>
      <c r="R159" s="5"/>
      <c r="S159" s="9"/>
      <c r="T159" s="5"/>
      <c r="U159" s="9"/>
      <c r="V159" s="5"/>
      <c r="W159" s="9"/>
      <c r="X159" s="5"/>
      <c r="Y159" s="9"/>
      <c r="Z159" s="5"/>
    </row>
    <row r="160" spans="1:26" ht="11.25">
      <c r="A160" s="2"/>
      <c r="B160" s="5"/>
      <c r="C160" s="9"/>
      <c r="D160" s="5"/>
      <c r="E160" s="9"/>
      <c r="F160" s="5"/>
      <c r="G160" s="9"/>
      <c r="H160" s="5"/>
      <c r="I160" s="9"/>
      <c r="J160" s="5"/>
      <c r="K160" s="9"/>
      <c r="L160" s="5"/>
      <c r="M160" s="9"/>
      <c r="N160" s="5"/>
      <c r="O160" s="9"/>
      <c r="P160" s="5"/>
      <c r="Q160" s="9"/>
      <c r="R160" s="5"/>
      <c r="S160" s="9"/>
      <c r="T160" s="5"/>
      <c r="U160" s="9"/>
      <c r="V160" s="5"/>
      <c r="W160" s="9"/>
      <c r="X160" s="5"/>
      <c r="Y160" s="9"/>
      <c r="Z160" s="5"/>
    </row>
    <row r="161" spans="1:26" ht="11.25">
      <c r="A161" s="2"/>
      <c r="B161" s="5"/>
      <c r="C161" s="9"/>
      <c r="D161" s="5"/>
      <c r="E161" s="9"/>
      <c r="F161" s="5"/>
      <c r="G161" s="9"/>
      <c r="H161" s="5"/>
      <c r="I161" s="9"/>
      <c r="J161" s="5"/>
      <c r="K161" s="9"/>
      <c r="L161" s="5"/>
      <c r="M161" s="9"/>
      <c r="N161" s="5"/>
      <c r="O161" s="9"/>
      <c r="P161" s="5"/>
      <c r="Q161" s="9"/>
      <c r="R161" s="5"/>
      <c r="S161" s="9"/>
      <c r="T161" s="5"/>
      <c r="U161" s="9"/>
      <c r="V161" s="5"/>
      <c r="W161" s="9"/>
      <c r="X161" s="5"/>
      <c r="Y161" s="9"/>
      <c r="Z161" s="5"/>
    </row>
    <row r="162" spans="1:5" s="47" customFormat="1" ht="11.25">
      <c r="A162" s="25" t="s">
        <v>0</v>
      </c>
      <c r="E162" s="65"/>
    </row>
    <row r="163" s="47" customFormat="1" ht="11.25">
      <c r="A163" s="25" t="s">
        <v>41</v>
      </c>
    </row>
    <row r="164" spans="1:4" s="47" customFormat="1" ht="11.25">
      <c r="A164" s="51" t="str">
        <f>A3</f>
        <v>1978-1989</v>
      </c>
      <c r="B164" s="48"/>
      <c r="C164" s="48"/>
      <c r="D164" s="48"/>
    </row>
    <row r="165" spans="1:5" s="47" customFormat="1" ht="11.25">
      <c r="A165" s="49" t="s">
        <v>2</v>
      </c>
      <c r="B165" s="24"/>
      <c r="C165" s="24"/>
      <c r="D165" s="24"/>
      <c r="E165" s="25"/>
    </row>
    <row r="166" s="47" customFormat="1" ht="11.25"/>
    <row r="167" spans="3:25" s="47" customFormat="1" ht="11.25">
      <c r="C167" s="75" t="s">
        <v>3</v>
      </c>
      <c r="E167" s="75" t="s">
        <v>4</v>
      </c>
      <c r="G167" s="75" t="s">
        <v>5</v>
      </c>
      <c r="I167" s="75" t="s">
        <v>6</v>
      </c>
      <c r="K167" s="75" t="s">
        <v>7</v>
      </c>
      <c r="M167" s="75" t="s">
        <v>8</v>
      </c>
      <c r="O167" s="75" t="s">
        <v>9</v>
      </c>
      <c r="Q167" s="75" t="s">
        <v>10</v>
      </c>
      <c r="S167" s="75" t="s">
        <v>11</v>
      </c>
      <c r="U167" s="75" t="s">
        <v>12</v>
      </c>
      <c r="W167" s="75" t="s">
        <v>13</v>
      </c>
      <c r="Y167" s="75" t="s">
        <v>14</v>
      </c>
    </row>
    <row r="168" spans="3:25" s="47" customFormat="1" ht="11.25">
      <c r="C168" s="74"/>
      <c r="E168" s="74"/>
      <c r="G168" s="74"/>
      <c r="I168" s="74"/>
      <c r="K168" s="74"/>
      <c r="M168" s="74"/>
      <c r="O168" s="74"/>
      <c r="Q168" s="74"/>
      <c r="S168" s="74"/>
      <c r="U168" s="24"/>
      <c r="W168" s="24"/>
      <c r="Y168" s="24"/>
    </row>
    <row r="169" s="47" customFormat="1" ht="11.25"/>
    <row r="170" spans="1:26" s="47" customFormat="1" ht="11.25">
      <c r="A170" s="25" t="s">
        <v>15</v>
      </c>
      <c r="C170" s="82"/>
      <c r="D170" s="82"/>
      <c r="E170" s="82"/>
      <c r="F170" s="82"/>
      <c r="G170" s="82"/>
      <c r="H170" s="82"/>
      <c r="I170" s="83">
        <v>349052</v>
      </c>
      <c r="J170" s="82"/>
      <c r="K170" s="83">
        <v>454812</v>
      </c>
      <c r="L170" s="82"/>
      <c r="M170" s="83">
        <v>441834</v>
      </c>
      <c r="N170" s="82"/>
      <c r="O170" s="83">
        <v>439339</v>
      </c>
      <c r="P170" s="82"/>
      <c r="Q170" s="83">
        <v>420105</v>
      </c>
      <c r="R170" s="82"/>
      <c r="S170" s="83">
        <v>228540</v>
      </c>
      <c r="T170" s="82"/>
      <c r="U170" s="83">
        <v>147287</v>
      </c>
      <c r="V170" s="82"/>
      <c r="W170" s="83">
        <v>161938</v>
      </c>
      <c r="X170" s="82"/>
      <c r="Y170" s="83">
        <v>57651</v>
      </c>
      <c r="Z170" s="110" t="s">
        <v>46</v>
      </c>
    </row>
    <row r="171" s="47" customFormat="1" ht="11.25"/>
    <row r="172" spans="1:25" s="47" customFormat="1" ht="11.25">
      <c r="A172" s="18" t="s">
        <v>17</v>
      </c>
      <c r="G172" s="83">
        <v>19214</v>
      </c>
      <c r="I172" s="23">
        <v>517129</v>
      </c>
      <c r="K172" s="23">
        <v>602267</v>
      </c>
      <c r="M172" s="23">
        <v>770333</v>
      </c>
      <c r="O172" s="23">
        <v>850449</v>
      </c>
      <c r="Q172" s="23">
        <v>767132</v>
      </c>
      <c r="S172" s="23">
        <v>791234</v>
      </c>
      <c r="U172" s="23">
        <v>750669</v>
      </c>
      <c r="W172" s="23">
        <v>670957</v>
      </c>
      <c r="Y172" s="23">
        <v>608431</v>
      </c>
    </row>
    <row r="173" s="47" customFormat="1" ht="11.25">
      <c r="A173" s="19"/>
    </row>
    <row r="174" spans="1:25" s="47" customFormat="1" ht="11.25">
      <c r="A174" s="18" t="s">
        <v>18</v>
      </c>
      <c r="E174" s="83">
        <v>3868</v>
      </c>
      <c r="G174" s="23">
        <v>670675</v>
      </c>
      <c r="I174" s="23">
        <v>612546</v>
      </c>
      <c r="K174" s="23">
        <v>567024</v>
      </c>
      <c r="M174" s="23">
        <v>657946</v>
      </c>
      <c r="O174" s="23">
        <v>641582</v>
      </c>
      <c r="Q174" s="23">
        <v>565006</v>
      </c>
      <c r="S174" s="23">
        <v>543111</v>
      </c>
      <c r="U174" s="23">
        <v>595215</v>
      </c>
      <c r="W174" s="23">
        <v>620403</v>
      </c>
      <c r="Y174" s="23">
        <v>617398</v>
      </c>
    </row>
    <row r="175" s="47" customFormat="1" ht="11.25">
      <c r="A175" s="19"/>
    </row>
    <row r="176" spans="1:25" s="47" customFormat="1" ht="11.25">
      <c r="A176" s="18" t="s">
        <v>19</v>
      </c>
      <c r="E176" s="23">
        <v>309423</v>
      </c>
      <c r="G176" s="23">
        <v>827151</v>
      </c>
      <c r="I176" s="23">
        <v>768366</v>
      </c>
      <c r="K176" s="23">
        <v>744615</v>
      </c>
      <c r="M176" s="23">
        <v>772596</v>
      </c>
      <c r="O176" s="23">
        <v>808172</v>
      </c>
      <c r="Q176" s="23">
        <v>860751</v>
      </c>
      <c r="S176" s="23">
        <v>867238</v>
      </c>
      <c r="U176" s="23">
        <v>904290</v>
      </c>
      <c r="W176" s="23">
        <v>925467</v>
      </c>
      <c r="Y176" s="23">
        <v>939237</v>
      </c>
    </row>
    <row r="177" s="47" customFormat="1" ht="11.25">
      <c r="A177" s="19"/>
    </row>
    <row r="178" spans="1:25" s="47" customFormat="1" ht="11.25">
      <c r="A178" s="18" t="s">
        <v>20</v>
      </c>
      <c r="I178" s="23">
        <v>109010</v>
      </c>
      <c r="K178" s="23">
        <v>281036</v>
      </c>
      <c r="M178" s="23">
        <v>345393</v>
      </c>
      <c r="O178" s="23">
        <v>367552</v>
      </c>
      <c r="Q178" s="23">
        <v>338169</v>
      </c>
      <c r="S178" s="23">
        <v>371012</v>
      </c>
      <c r="U178" s="23">
        <v>359899</v>
      </c>
      <c r="W178" s="23">
        <v>381152</v>
      </c>
      <c r="Y178" s="23">
        <v>338730</v>
      </c>
    </row>
    <row r="179" s="47" customFormat="1" ht="11.25">
      <c r="A179" s="19"/>
    </row>
    <row r="180" spans="1:25" s="47" customFormat="1" ht="11.25">
      <c r="A180" s="18" t="s">
        <v>21</v>
      </c>
      <c r="G180" s="23">
        <v>26500</v>
      </c>
      <c r="I180" s="23">
        <v>374653</v>
      </c>
      <c r="K180" s="23">
        <v>422770</v>
      </c>
      <c r="M180" s="23">
        <v>462744</v>
      </c>
      <c r="O180" s="23">
        <v>474387</v>
      </c>
      <c r="Q180" s="23">
        <v>506595</v>
      </c>
      <c r="S180" s="23">
        <v>617166</v>
      </c>
      <c r="U180" s="23">
        <v>677174</v>
      </c>
      <c r="W180" s="23">
        <v>717118</v>
      </c>
      <c r="Y180" s="23">
        <v>680556</v>
      </c>
    </row>
    <row r="181" s="47" customFormat="1" ht="11.25">
      <c r="A181" s="19"/>
    </row>
    <row r="182" spans="1:25" s="47" customFormat="1" ht="11.25">
      <c r="A182" s="18" t="s">
        <v>22</v>
      </c>
      <c r="C182" s="83">
        <v>393137</v>
      </c>
      <c r="E182" s="23">
        <v>710144</v>
      </c>
      <c r="G182" s="23">
        <v>650699</v>
      </c>
      <c r="I182" s="23">
        <v>567895</v>
      </c>
      <c r="K182" s="23">
        <v>662711</v>
      </c>
      <c r="M182" s="23">
        <v>758373</v>
      </c>
      <c r="O182" s="23">
        <v>807096</v>
      </c>
      <c r="Q182" s="23">
        <v>768420</v>
      </c>
      <c r="S182" s="23">
        <v>724116</v>
      </c>
      <c r="U182" s="23">
        <v>718716</v>
      </c>
      <c r="W182" s="23">
        <v>733968</v>
      </c>
      <c r="Y182" s="23">
        <v>655321</v>
      </c>
    </row>
    <row r="183" s="47" customFormat="1" ht="11.25">
      <c r="A183" s="19"/>
    </row>
    <row r="184" spans="1:25" s="47" customFormat="1" ht="11.25">
      <c r="A184" s="18" t="s">
        <v>23</v>
      </c>
      <c r="G184" s="23">
        <v>93787</v>
      </c>
      <c r="I184" s="23">
        <v>349848</v>
      </c>
      <c r="K184" s="23">
        <v>528760</v>
      </c>
      <c r="M184" s="23">
        <v>564507</v>
      </c>
      <c r="O184" s="23">
        <v>561201</v>
      </c>
      <c r="Q184" s="23">
        <v>564771</v>
      </c>
      <c r="S184" s="23">
        <v>561111</v>
      </c>
      <c r="U184" s="23">
        <v>595966</v>
      </c>
      <c r="W184" s="23">
        <v>644810</v>
      </c>
      <c r="Y184" s="23">
        <v>652162</v>
      </c>
    </row>
    <row r="185" s="47" customFormat="1" ht="11.25">
      <c r="A185" s="19"/>
    </row>
    <row r="186" spans="1:25" s="47" customFormat="1" ht="11.25">
      <c r="A186" s="18" t="s">
        <v>24</v>
      </c>
      <c r="U186" s="23">
        <v>350170</v>
      </c>
      <c r="W186" s="23">
        <v>568284</v>
      </c>
      <c r="Y186" s="23">
        <v>692502</v>
      </c>
    </row>
    <row r="187" s="47" customFormat="1" ht="11.25">
      <c r="A187" s="19"/>
    </row>
    <row r="188" spans="1:25" s="47" customFormat="1" ht="11.25">
      <c r="A188" s="50" t="s">
        <v>25</v>
      </c>
      <c r="I188" s="23">
        <v>38220</v>
      </c>
      <c r="K188" s="23">
        <v>450488</v>
      </c>
      <c r="M188" s="23">
        <v>654879</v>
      </c>
      <c r="O188" s="23">
        <v>774663</v>
      </c>
      <c r="Q188" s="23">
        <v>668706</v>
      </c>
      <c r="S188" s="23">
        <v>586464</v>
      </c>
      <c r="U188" s="23">
        <v>593581</v>
      </c>
      <c r="W188" s="23">
        <v>574247</v>
      </c>
      <c r="Y188" s="23">
        <v>744188</v>
      </c>
    </row>
    <row r="189" s="47" customFormat="1" ht="11.25"/>
    <row r="190" spans="1:25" s="47" customFormat="1" ht="11.25">
      <c r="A190" s="25" t="s">
        <v>45</v>
      </c>
      <c r="Q190" s="23">
        <v>338897</v>
      </c>
      <c r="S190" s="23">
        <v>677620</v>
      </c>
      <c r="U190" s="23">
        <v>725426</v>
      </c>
      <c r="W190" s="23">
        <v>761285</v>
      </c>
      <c r="Y190" s="23">
        <v>746412</v>
      </c>
    </row>
    <row r="191" s="47" customFormat="1" ht="11.25"/>
    <row r="192" spans="1:27" s="47" customFormat="1" ht="11.25">
      <c r="A192" s="25" t="s">
        <v>26</v>
      </c>
      <c r="C192" s="48"/>
      <c r="D192" s="87"/>
      <c r="E192" s="48"/>
      <c r="F192" s="87"/>
      <c r="G192" s="48"/>
      <c r="H192" s="87"/>
      <c r="I192" s="48"/>
      <c r="J192" s="87"/>
      <c r="K192" s="48"/>
      <c r="L192" s="87"/>
      <c r="M192" s="48"/>
      <c r="N192" s="87"/>
      <c r="O192" s="76">
        <v>411245</v>
      </c>
      <c r="P192" s="87"/>
      <c r="Q192" s="76">
        <v>667925</v>
      </c>
      <c r="R192" s="87"/>
      <c r="S192" s="76">
        <v>672954</v>
      </c>
      <c r="T192" s="87"/>
      <c r="U192" s="76">
        <v>748613</v>
      </c>
      <c r="V192" s="87"/>
      <c r="W192" s="76">
        <v>897075</v>
      </c>
      <c r="X192" s="87"/>
      <c r="Y192" s="76">
        <v>931044</v>
      </c>
      <c r="Z192" s="87"/>
      <c r="AA192" s="87"/>
    </row>
    <row r="193" s="47" customFormat="1" ht="11.25">
      <c r="F193" s="87"/>
    </row>
    <row r="194" spans="1:26" s="47" customFormat="1" ht="12" thickBot="1">
      <c r="A194" s="25" t="s">
        <v>38</v>
      </c>
      <c r="C194" s="84">
        <f>SUM(C170:C192)</f>
        <v>393137</v>
      </c>
      <c r="D194" s="82"/>
      <c r="E194" s="84">
        <f>SUM(E170:E192)</f>
        <v>1023435</v>
      </c>
      <c r="F194" s="82"/>
      <c r="G194" s="84">
        <f>SUM(G170:G192)</f>
        <v>2288026</v>
      </c>
      <c r="H194" s="82"/>
      <c r="I194" s="84">
        <f>SUM(I170:I192)</f>
        <v>3686719</v>
      </c>
      <c r="J194" s="82"/>
      <c r="K194" s="84">
        <f>SUM(K170:K192)</f>
        <v>4714483</v>
      </c>
      <c r="L194" s="82"/>
      <c r="M194" s="84">
        <f>SUM(M170:M192)</f>
        <v>5428605</v>
      </c>
      <c r="N194" s="82"/>
      <c r="O194" s="84">
        <f>SUM(O170:O192)</f>
        <v>6135686</v>
      </c>
      <c r="P194" s="82"/>
      <c r="Q194" s="84">
        <f>SUM(Q170:Q192)</f>
        <v>6466477</v>
      </c>
      <c r="R194" s="82"/>
      <c r="S194" s="84">
        <f>SUM(S170:S192)</f>
        <v>6640566</v>
      </c>
      <c r="T194" s="82"/>
      <c r="U194" s="84">
        <f>SUM(U170:U192)</f>
        <v>7167006</v>
      </c>
      <c r="V194" s="82"/>
      <c r="W194" s="84">
        <f>SUM(W170:W192)</f>
        <v>7656704</v>
      </c>
      <c r="X194" s="82"/>
      <c r="Y194" s="84">
        <f>SUM(Y170:Y192)</f>
        <v>7663632</v>
      </c>
      <c r="Z194" s="82"/>
    </row>
    <row r="195" spans="1:25" s="47" customFormat="1" ht="12" thickTop="1">
      <c r="A195" s="25"/>
      <c r="C195" s="23"/>
      <c r="E195" s="23"/>
      <c r="G195" s="23"/>
      <c r="I195" s="23"/>
      <c r="K195" s="23"/>
      <c r="M195" s="23"/>
      <c r="O195" s="23"/>
      <c r="Q195" s="23"/>
      <c r="S195" s="23"/>
      <c r="U195" s="23"/>
      <c r="W195" s="23"/>
      <c r="Y195" s="23"/>
    </row>
    <row r="196" spans="1:3" s="47" customFormat="1" ht="11.25">
      <c r="A196" s="112" t="s">
        <v>48</v>
      </c>
      <c r="B196" s="19"/>
      <c r="C196" s="73"/>
    </row>
    <row r="197" s="47" customFormat="1" ht="11.25"/>
    <row r="198" s="47" customFormat="1" ht="11.25">
      <c r="A198" s="47" t="s">
        <v>42</v>
      </c>
    </row>
    <row r="200" spans="1:27" s="47" customFormat="1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s="47" customFormat="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s="47" customFormat="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s="47" customFormat="1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s="47" customFormat="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s="47" customFormat="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s="47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s="47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s="47" customFormat="1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s="47" customFormat="1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s="47" customFormat="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s="47" customFormat="1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s="47" customFormat="1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s="47" customFormat="1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s="47" customFormat="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s="47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s="47" customFormat="1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s="47" customFormat="1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s="47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s="47" customFormat="1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s="47" customFormat="1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s="47" customFormat="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s="47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s="47" customFormat="1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s="47" customFormat="1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s="47" customFormat="1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s="47" customFormat="1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s="47" customFormat="1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s="47" customFormat="1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s="47" customFormat="1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s="47" customFormat="1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s="47" customFormat="1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s="47" customFormat="1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ht="11.25">
      <c r="A234" s="50"/>
    </row>
    <row r="235" spans="1:3" ht="11.25">
      <c r="A235" s="72"/>
      <c r="C235" s="73"/>
    </row>
    <row r="240" spans="1:26" ht="11.25">
      <c r="A240" s="1" t="s">
        <v>0</v>
      </c>
      <c r="B240" s="2"/>
      <c r="C240" s="2"/>
      <c r="D240" s="2"/>
      <c r="E240" s="6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1.25">
      <c r="A241" s="28" t="s">
        <v>43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1.25">
      <c r="A242" s="45" t="str">
        <f>A3</f>
        <v>1978-1989</v>
      </c>
      <c r="B242" s="13"/>
      <c r="C242" s="13"/>
      <c r="D242" s="13"/>
      <c r="E242" s="1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1.25">
      <c r="A243" s="60"/>
      <c r="B243" s="57"/>
      <c r="C243" s="57"/>
      <c r="D243" s="57"/>
      <c r="E243" s="5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1.25">
      <c r="A244" s="27"/>
      <c r="B244" s="3"/>
      <c r="C244" s="3"/>
      <c r="D244" s="3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57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/>
      <c r="D246" s="2"/>
      <c r="E246" s="66" t="s">
        <v>4</v>
      </c>
      <c r="F246" s="2"/>
      <c r="G246" s="66" t="s">
        <v>5</v>
      </c>
      <c r="H246" s="2"/>
      <c r="I246" s="66" t="s">
        <v>6</v>
      </c>
      <c r="J246" s="2"/>
      <c r="K246" s="66" t="s">
        <v>7</v>
      </c>
      <c r="L246" s="2"/>
      <c r="M246" s="66" t="s">
        <v>8</v>
      </c>
      <c r="N246" s="2"/>
      <c r="O246" s="66" t="s">
        <v>9</v>
      </c>
      <c r="P246" s="2"/>
      <c r="Q246" s="66" t="s">
        <v>10</v>
      </c>
      <c r="R246" s="2"/>
      <c r="S246" s="66" t="s">
        <v>11</v>
      </c>
      <c r="T246" s="2"/>
      <c r="U246" s="66" t="s">
        <v>12</v>
      </c>
      <c r="V246" s="2"/>
      <c r="W246" s="66" t="s">
        <v>13</v>
      </c>
      <c r="X246" s="2"/>
      <c r="Y246" s="66" t="s">
        <v>14</v>
      </c>
      <c r="Z246" s="2"/>
    </row>
    <row r="247" spans="1:26" ht="11.25">
      <c r="A247" s="2"/>
      <c r="B247" s="2"/>
      <c r="C247" s="206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1.25">
      <c r="A248" s="1" t="s">
        <v>15</v>
      </c>
      <c r="B248" s="2"/>
      <c r="C248" s="10"/>
      <c r="D248" s="5"/>
      <c r="E248" s="10"/>
      <c r="F248" s="5"/>
      <c r="G248" s="10"/>
      <c r="H248" s="5"/>
      <c r="I248" s="10"/>
      <c r="J248" s="5"/>
      <c r="K248" s="10">
        <f>(K131-I131)/I131</f>
        <v>0.899</v>
      </c>
      <c r="L248" s="5"/>
      <c r="M248" s="10">
        <f>(M131-K131)/K131</f>
        <v>0.028</v>
      </c>
      <c r="N248" s="5"/>
      <c r="O248" s="10">
        <f>(O131-M131)/M131</f>
        <v>0.093</v>
      </c>
      <c r="P248" s="5"/>
      <c r="Q248" s="10">
        <f>(Q131-O131)/O131</f>
        <v>-0.021</v>
      </c>
      <c r="R248" s="5"/>
      <c r="S248" s="10">
        <f>(S131-Q131)/Q131</f>
        <v>-0.13</v>
      </c>
      <c r="T248" s="5"/>
      <c r="U248" s="10">
        <f>(U131-S131)/S131</f>
        <v>-0.212</v>
      </c>
      <c r="V248" s="5"/>
      <c r="W248" s="10">
        <f>(W131-U131)/U131</f>
        <v>0.307</v>
      </c>
      <c r="X248" s="5"/>
      <c r="Y248" s="10">
        <f>(Y131-W131)/W131</f>
        <v>-0.627</v>
      </c>
      <c r="Z248" s="5" t="s">
        <v>46</v>
      </c>
    </row>
    <row r="249" spans="1:26" ht="11.25">
      <c r="A249" s="2"/>
      <c r="B249" s="2"/>
      <c r="C249" s="2"/>
      <c r="D249" s="5"/>
      <c r="E249" s="2"/>
      <c r="F249" s="5"/>
      <c r="G249" s="10"/>
      <c r="H249" s="5"/>
      <c r="I249" s="10"/>
      <c r="J249" s="5"/>
      <c r="K249" s="10"/>
      <c r="L249" s="5"/>
      <c r="M249" s="10"/>
      <c r="N249" s="5"/>
      <c r="O249" s="10"/>
      <c r="P249" s="5"/>
      <c r="Q249" s="10"/>
      <c r="R249" s="5"/>
      <c r="S249" s="10"/>
      <c r="T249" s="5"/>
      <c r="U249" s="10"/>
      <c r="V249" s="5"/>
      <c r="W249" s="10"/>
      <c r="X249" s="5"/>
      <c r="Y249" s="10"/>
      <c r="Z249" s="5"/>
    </row>
    <row r="250" spans="1:26" ht="11.25">
      <c r="A250" s="18" t="s">
        <v>17</v>
      </c>
      <c r="B250" s="2"/>
      <c r="C250" s="10"/>
      <c r="D250" s="5"/>
      <c r="E250" s="10"/>
      <c r="F250" s="5"/>
      <c r="G250" s="10"/>
      <c r="H250" s="10"/>
      <c r="I250" s="10">
        <f>(I133-G133)/G133</f>
        <v>28.098</v>
      </c>
      <c r="J250" s="5"/>
      <c r="K250" s="10">
        <f>(K133-I133)/I133</f>
        <v>0.277</v>
      </c>
      <c r="L250" s="10"/>
      <c r="M250" s="10">
        <f>(M133-K133)/K133</f>
        <v>0.683</v>
      </c>
      <c r="N250" s="10"/>
      <c r="O250" s="10">
        <f>(O133-M133)/M133</f>
        <v>-0.016</v>
      </c>
      <c r="P250" s="10"/>
      <c r="Q250" s="10">
        <f>(Q133-O133)/O133</f>
        <v>-0.026</v>
      </c>
      <c r="R250" s="10"/>
      <c r="S250" s="10">
        <f>(S133-Q133)/Q133</f>
        <v>0.078</v>
      </c>
      <c r="T250" s="10"/>
      <c r="U250" s="10">
        <f>(U133-S133)/S133</f>
        <v>-0.035</v>
      </c>
      <c r="V250" s="10"/>
      <c r="W250" s="10">
        <f>(W133-U133)/U133</f>
        <v>0.005</v>
      </c>
      <c r="X250" s="10"/>
      <c r="Y250" s="10">
        <f>(Y133-W133)/W133</f>
        <v>-0.001</v>
      </c>
      <c r="Z250" s="10"/>
    </row>
    <row r="251" spans="2:26" ht="11.25">
      <c r="B251" s="2"/>
      <c r="C251" s="2"/>
      <c r="D251" s="5"/>
      <c r="E251" s="2"/>
      <c r="F251" s="5"/>
      <c r="G251" s="10"/>
      <c r="H251" s="5"/>
      <c r="I251" s="10"/>
      <c r="J251" s="5"/>
      <c r="K251" s="10"/>
      <c r="L251" s="5"/>
      <c r="M251" s="10"/>
      <c r="N251" s="5"/>
      <c r="O251" s="10"/>
      <c r="P251" s="5"/>
      <c r="Q251" s="10"/>
      <c r="R251" s="5"/>
      <c r="S251" s="10"/>
      <c r="T251" s="5"/>
      <c r="U251" s="10"/>
      <c r="V251" s="5"/>
      <c r="W251" s="10"/>
      <c r="X251" s="5"/>
      <c r="Y251" s="10"/>
      <c r="Z251" s="5"/>
    </row>
    <row r="252" spans="1:26" ht="11.25">
      <c r="A252" s="18" t="s">
        <v>18</v>
      </c>
      <c r="B252" s="2"/>
      <c r="C252" s="10"/>
      <c r="D252" s="5"/>
      <c r="E252" s="10"/>
      <c r="F252" s="5"/>
      <c r="G252" s="10">
        <f>(G135-E135)/E135</f>
        <v>112.593</v>
      </c>
      <c r="H252" s="5"/>
      <c r="I252" s="10">
        <f>(I135-G135)/G135</f>
        <v>-0.022</v>
      </c>
      <c r="J252" s="10"/>
      <c r="K252" s="10">
        <f>(K135-I135)/I135</f>
        <v>0.108</v>
      </c>
      <c r="L252" s="10"/>
      <c r="M252" s="10">
        <f>(M135-K135)/K135</f>
        <v>0.254</v>
      </c>
      <c r="N252" s="10"/>
      <c r="O252" s="10">
        <f>(O135-M135)/M135</f>
        <v>0.024</v>
      </c>
      <c r="P252" s="10"/>
      <c r="Q252" s="10">
        <f>(Q135-O135)/O135</f>
        <v>-0.014</v>
      </c>
      <c r="R252" s="10"/>
      <c r="S252" s="10">
        <f>(S135-Q135)/Q135</f>
        <v>0.06</v>
      </c>
      <c r="T252" s="10"/>
      <c r="U252" s="10">
        <f>(U135-S135)/S135</f>
        <v>0.106</v>
      </c>
      <c r="V252" s="10"/>
      <c r="W252" s="10">
        <f>(W135-U135)/U135</f>
        <v>0.219</v>
      </c>
      <c r="X252" s="10"/>
      <c r="Y252" s="10">
        <f>(Y135-W135)/W135</f>
        <v>0.168</v>
      </c>
      <c r="Z252" s="10"/>
    </row>
    <row r="253" spans="2:26" ht="11.25">
      <c r="B253" s="2"/>
      <c r="C253" s="2"/>
      <c r="D253" s="5"/>
      <c r="E253" s="2"/>
      <c r="F253" s="5"/>
      <c r="G253" s="10"/>
      <c r="H253" s="5"/>
      <c r="I253" s="10"/>
      <c r="J253" s="5"/>
      <c r="K253" s="10"/>
      <c r="L253" s="5"/>
      <c r="M253" s="10"/>
      <c r="N253" s="5"/>
      <c r="O253" s="10"/>
      <c r="P253" s="5"/>
      <c r="Q253" s="10"/>
      <c r="R253" s="5"/>
      <c r="S253" s="10"/>
      <c r="T253" s="5"/>
      <c r="U253" s="10"/>
      <c r="V253" s="5"/>
      <c r="W253" s="10"/>
      <c r="X253" s="5"/>
      <c r="Y253" s="10"/>
      <c r="Z253" s="5"/>
    </row>
    <row r="254" spans="1:26" ht="11.25">
      <c r="A254" s="18" t="s">
        <v>19</v>
      </c>
      <c r="B254" s="2"/>
      <c r="C254" s="10"/>
      <c r="D254" s="5"/>
      <c r="E254" s="10"/>
      <c r="F254" s="5"/>
      <c r="G254" s="10">
        <f>(G137-E137)/E137</f>
        <v>0.898</v>
      </c>
      <c r="H254" s="5"/>
      <c r="I254" s="10">
        <f>(I137-G137)/G137</f>
        <v>-0.148</v>
      </c>
      <c r="J254" s="10"/>
      <c r="K254" s="10">
        <f>(K137-I137)/I137</f>
        <v>0.158</v>
      </c>
      <c r="L254" s="10"/>
      <c r="M254" s="10">
        <f>(M137-K137)/K137</f>
        <v>0.474</v>
      </c>
      <c r="N254" s="10"/>
      <c r="O254" s="10">
        <f>(O137-M137)/M137</f>
        <v>-0.028</v>
      </c>
      <c r="P254" s="10"/>
      <c r="Q254" s="10">
        <f>(Q137-O137)/O137</f>
        <v>0.092</v>
      </c>
      <c r="R254" s="10"/>
      <c r="S254" s="10">
        <f>(S137-Q137)/Q137</f>
        <v>0.133</v>
      </c>
      <c r="T254" s="10"/>
      <c r="U254" s="10">
        <f>(U137-S137)/S137</f>
        <v>0.111</v>
      </c>
      <c r="V254" s="10"/>
      <c r="W254" s="10">
        <f>(W137-U137)/U137</f>
        <v>0.12</v>
      </c>
      <c r="X254" s="10"/>
      <c r="Y254" s="10">
        <f>(Y137-W137)/W137</f>
        <v>0.093</v>
      </c>
      <c r="Z254" s="10"/>
    </row>
    <row r="255" spans="2:26" ht="11.25">
      <c r="B255" s="2"/>
      <c r="C255" s="2"/>
      <c r="D255" s="5"/>
      <c r="E255" s="2"/>
      <c r="F255" s="5"/>
      <c r="G255" s="10"/>
      <c r="H255" s="5"/>
      <c r="I255" s="10"/>
      <c r="J255" s="5"/>
      <c r="K255" s="10"/>
      <c r="L255" s="5"/>
      <c r="M255" s="10"/>
      <c r="N255" s="5"/>
      <c r="O255" s="10"/>
      <c r="P255" s="5"/>
      <c r="Q255" s="10"/>
      <c r="R255" s="5"/>
      <c r="S255" s="10"/>
      <c r="T255" s="5"/>
      <c r="U255" s="10"/>
      <c r="V255" s="5"/>
      <c r="W255" s="10"/>
      <c r="X255" s="5"/>
      <c r="Y255" s="10"/>
      <c r="Z255" s="5"/>
    </row>
    <row r="256" spans="1:26" ht="11.25">
      <c r="A256" s="18" t="s">
        <v>20</v>
      </c>
      <c r="B256" s="2"/>
      <c r="C256" s="10"/>
      <c r="D256" s="2"/>
      <c r="E256" s="10"/>
      <c r="F256" s="2"/>
      <c r="G256" s="10"/>
      <c r="H256" s="2"/>
      <c r="I256" s="10"/>
      <c r="J256" s="2"/>
      <c r="K256" s="10">
        <f>(K139-I139)/I139</f>
        <v>1.95</v>
      </c>
      <c r="L256" s="2"/>
      <c r="M256" s="10">
        <f>(M139-K139)/K139</f>
        <v>0.388</v>
      </c>
      <c r="N256" s="10"/>
      <c r="O256" s="10">
        <f>(O139-M139)/M139</f>
        <v>0.179</v>
      </c>
      <c r="P256" s="10"/>
      <c r="Q256" s="10">
        <f>(Q139-O139)/O139</f>
        <v>0.053</v>
      </c>
      <c r="R256" s="10"/>
      <c r="S256" s="10">
        <f>(S139-Q139)/Q139</f>
        <v>-0.009</v>
      </c>
      <c r="T256" s="10"/>
      <c r="U256" s="10">
        <f>(U139-S139)/S139</f>
        <v>0.095</v>
      </c>
      <c r="V256" s="10"/>
      <c r="W256" s="10">
        <f>(W139-U139)/U139</f>
        <v>0.07</v>
      </c>
      <c r="X256" s="10"/>
      <c r="Y256" s="10">
        <f>(Y139-W139)/W139</f>
        <v>-0.002</v>
      </c>
      <c r="Z256" s="10"/>
    </row>
    <row r="257" spans="2:26" ht="11.25">
      <c r="B257" s="2"/>
      <c r="C257" s="2"/>
      <c r="D257" s="2"/>
      <c r="E257" s="2"/>
      <c r="F257" s="2"/>
      <c r="G257" s="10"/>
      <c r="H257" s="2"/>
      <c r="I257" s="10"/>
      <c r="J257" s="2"/>
      <c r="K257" s="10"/>
      <c r="L257" s="2"/>
      <c r="M257" s="10"/>
      <c r="N257" s="2"/>
      <c r="O257" s="10"/>
      <c r="P257" s="2"/>
      <c r="Q257" s="10"/>
      <c r="R257" s="2"/>
      <c r="S257" s="10"/>
      <c r="T257" s="2"/>
      <c r="U257" s="10"/>
      <c r="V257" s="2"/>
      <c r="W257" s="10"/>
      <c r="X257" s="2"/>
      <c r="Y257" s="10"/>
      <c r="Z257" s="2"/>
    </row>
    <row r="258" spans="1:26" ht="11.25">
      <c r="A258" s="18" t="s">
        <v>21</v>
      </c>
      <c r="B258" s="2"/>
      <c r="C258" s="10"/>
      <c r="D258" s="2"/>
      <c r="E258" s="10"/>
      <c r="F258" s="2"/>
      <c r="G258" s="10"/>
      <c r="H258" s="2"/>
      <c r="I258" s="10">
        <f>(I141-G141)/G141</f>
        <v>17.612</v>
      </c>
      <c r="J258" s="2"/>
      <c r="K258" s="10">
        <f>(K141-I141)/I141</f>
        <v>0.324</v>
      </c>
      <c r="L258" s="10"/>
      <c r="M258" s="10">
        <f>(M141-K141)/K141</f>
        <v>0.28</v>
      </c>
      <c r="N258" s="10"/>
      <c r="O258" s="10">
        <f>(O141-M141)/M141</f>
        <v>0.066</v>
      </c>
      <c r="P258" s="10"/>
      <c r="Q258" s="10">
        <f>(Q141-O141)/O141</f>
        <v>0.021</v>
      </c>
      <c r="R258" s="10"/>
      <c r="S258" s="10">
        <f>(S141-Q141)/Q141</f>
        <v>0.052</v>
      </c>
      <c r="T258" s="10"/>
      <c r="U258" s="10">
        <f>(U141-S141)/S141</f>
        <v>0.107</v>
      </c>
      <c r="V258" s="10"/>
      <c r="W258" s="10">
        <f>(W141-U141)/U141</f>
        <v>0.269</v>
      </c>
      <c r="X258" s="10"/>
      <c r="Y258" s="10">
        <f>(Y141-W141)/W141</f>
        <v>0.093</v>
      </c>
      <c r="Z258" s="10"/>
    </row>
    <row r="259" spans="2:26" ht="11.25">
      <c r="B259" s="2"/>
      <c r="C259" s="2"/>
      <c r="D259" s="2"/>
      <c r="E259" s="2"/>
      <c r="F259" s="2"/>
      <c r="G259" s="10"/>
      <c r="H259" s="2"/>
      <c r="I259" s="10"/>
      <c r="J259" s="2"/>
      <c r="K259" s="10"/>
      <c r="L259" s="2"/>
      <c r="M259" s="10"/>
      <c r="N259" s="2"/>
      <c r="O259" s="10"/>
      <c r="P259" s="2"/>
      <c r="Q259" s="10"/>
      <c r="R259" s="2"/>
      <c r="S259" s="10"/>
      <c r="T259" s="2"/>
      <c r="U259" s="10"/>
      <c r="V259" s="2"/>
      <c r="W259" s="10"/>
      <c r="X259" s="2"/>
      <c r="Y259" s="10"/>
      <c r="Z259" s="2"/>
    </row>
    <row r="260" spans="1:26" ht="11.25">
      <c r="A260" s="18" t="s">
        <v>22</v>
      </c>
      <c r="B260" s="2"/>
      <c r="C260" s="10"/>
      <c r="D260" s="2"/>
      <c r="E260" s="10">
        <f>(E143-C143)/C143</f>
        <v>0.763</v>
      </c>
      <c r="F260" s="10"/>
      <c r="G260" s="10">
        <f>(G143-E143)/E143</f>
        <v>-0.054</v>
      </c>
      <c r="H260" s="10"/>
      <c r="I260" s="10">
        <f>(I143-G143)/G143</f>
        <v>-0.137</v>
      </c>
      <c r="J260" s="10"/>
      <c r="K260" s="10">
        <f>(K143-I143)/I143</f>
        <v>0.237</v>
      </c>
      <c r="L260" s="10"/>
      <c r="M260" s="10">
        <f>(M143-K143)/K143</f>
        <v>0.307</v>
      </c>
      <c r="N260" s="10"/>
      <c r="O260" s="10">
        <f>(O143-M143)/M143</f>
        <v>0.038</v>
      </c>
      <c r="P260" s="10"/>
      <c r="Q260" s="10">
        <f>(Q143-O143)/O143</f>
        <v>-0.072</v>
      </c>
      <c r="R260" s="10"/>
      <c r="S260" s="10">
        <f>(S143-Q143)/Q143</f>
        <v>0.036</v>
      </c>
      <c r="T260" s="10"/>
      <c r="U260" s="10">
        <f>(U143-S143)/S143</f>
        <v>0.08</v>
      </c>
      <c r="V260" s="10"/>
      <c r="W260" s="10">
        <f>(W143-U143)/U143</f>
        <v>0.048</v>
      </c>
      <c r="X260" s="10"/>
      <c r="Y260" s="10">
        <f>(Y143-W143)/W143</f>
        <v>-0.041</v>
      </c>
      <c r="Z260" s="10"/>
    </row>
    <row r="261" spans="2:26" ht="11.25">
      <c r="B261" s="2"/>
      <c r="C261" s="2"/>
      <c r="D261" s="2"/>
      <c r="E261" s="2"/>
      <c r="F261" s="2"/>
      <c r="G261" s="10"/>
      <c r="H261" s="2"/>
      <c r="I261" s="10"/>
      <c r="J261" s="2"/>
      <c r="K261" s="10"/>
      <c r="L261" s="2"/>
      <c r="M261" s="10"/>
      <c r="N261" s="2"/>
      <c r="O261" s="10"/>
      <c r="P261" s="2"/>
      <c r="Q261" s="10"/>
      <c r="R261" s="2"/>
      <c r="S261" s="10"/>
      <c r="T261" s="2"/>
      <c r="U261" s="10"/>
      <c r="V261" s="2"/>
      <c r="W261" s="10"/>
      <c r="X261" s="2"/>
      <c r="Y261" s="10"/>
      <c r="Z261" s="2"/>
    </row>
    <row r="262" spans="1:26" ht="11.25">
      <c r="A262" s="18" t="s">
        <v>23</v>
      </c>
      <c r="B262" s="2"/>
      <c r="C262" s="10"/>
      <c r="D262" s="2"/>
      <c r="E262" s="10"/>
      <c r="F262" s="2"/>
      <c r="G262" s="10"/>
      <c r="H262" s="2"/>
      <c r="I262" s="10">
        <f>(I145-G145)/G145</f>
        <v>2.063</v>
      </c>
      <c r="J262" s="2"/>
      <c r="K262" s="10">
        <f>(K145-I145)/I145</f>
        <v>0.752</v>
      </c>
      <c r="L262" s="10"/>
      <c r="M262" s="10">
        <f>(M145-K145)/K145</f>
        <v>0.14</v>
      </c>
      <c r="N262" s="10"/>
      <c r="O262" s="10">
        <f>(O145-M145)/M145</f>
        <v>0.119</v>
      </c>
      <c r="P262" s="10"/>
      <c r="Q262" s="10">
        <f>(Q145-O145)/O145</f>
        <v>0.204</v>
      </c>
      <c r="R262" s="10"/>
      <c r="S262" s="10">
        <f>(S145-Q145)/Q145</f>
        <v>0.176</v>
      </c>
      <c r="T262" s="10"/>
      <c r="U262" s="10">
        <f>(U145-S145)/S145</f>
        <v>0.082</v>
      </c>
      <c r="V262" s="10"/>
      <c r="W262" s="10">
        <f>(W145-U145)/U145</f>
        <v>0.087</v>
      </c>
      <c r="X262" s="10"/>
      <c r="Y262" s="10">
        <f>(Y145-W145)/W145</f>
        <v>0.106</v>
      </c>
      <c r="Z262" s="10"/>
    </row>
    <row r="263" spans="2:26" ht="11.25">
      <c r="B263" s="2"/>
      <c r="C263" s="2"/>
      <c r="D263" s="2"/>
      <c r="E263" s="2"/>
      <c r="F263" s="2"/>
      <c r="G263" s="10"/>
      <c r="H263" s="2"/>
      <c r="I263" s="10"/>
      <c r="J263" s="2"/>
      <c r="K263" s="10"/>
      <c r="L263" s="2"/>
      <c r="M263" s="10"/>
      <c r="N263" s="2"/>
      <c r="O263" s="10"/>
      <c r="P263" s="2"/>
      <c r="Q263" s="10"/>
      <c r="R263" s="2"/>
      <c r="S263" s="10"/>
      <c r="T263" s="2"/>
      <c r="U263" s="10"/>
      <c r="V263" s="2"/>
      <c r="W263" s="10"/>
      <c r="X263" s="2"/>
      <c r="Y263" s="10"/>
      <c r="Z263" s="2"/>
    </row>
    <row r="264" spans="1:26" ht="11.25">
      <c r="A264" s="18" t="s">
        <v>24</v>
      </c>
      <c r="B264" s="2"/>
      <c r="C264" s="10"/>
      <c r="D264" s="2"/>
      <c r="E264" s="10"/>
      <c r="F264" s="2"/>
      <c r="G264" s="10"/>
      <c r="H264" s="2"/>
      <c r="I264" s="10"/>
      <c r="J264" s="2"/>
      <c r="K264" s="10"/>
      <c r="L264" s="2"/>
      <c r="M264" s="10"/>
      <c r="N264" s="2"/>
      <c r="O264" s="10"/>
      <c r="P264" s="2"/>
      <c r="Q264" s="10"/>
      <c r="R264" s="2"/>
      <c r="S264" s="10"/>
      <c r="T264" s="2"/>
      <c r="U264" s="10"/>
      <c r="V264" s="2"/>
      <c r="W264" s="10">
        <f>(W147-U147)/U147</f>
        <v>0.498</v>
      </c>
      <c r="X264" s="10"/>
      <c r="Y264" s="10">
        <f>(Y147-W147)/W147</f>
        <v>0.443</v>
      </c>
      <c r="Z264" s="10"/>
    </row>
    <row r="265" spans="2:26" ht="11.25">
      <c r="B265" s="2"/>
      <c r="C265" s="2"/>
      <c r="D265" s="2"/>
      <c r="E265" s="2"/>
      <c r="F265" s="2"/>
      <c r="G265" s="10"/>
      <c r="H265" s="2"/>
      <c r="I265" s="10"/>
      <c r="J265" s="2"/>
      <c r="K265" s="10"/>
      <c r="L265" s="2"/>
      <c r="M265" s="10"/>
      <c r="N265" s="2"/>
      <c r="O265" s="10"/>
      <c r="P265" s="2"/>
      <c r="Q265" s="10"/>
      <c r="R265" s="2"/>
      <c r="S265" s="10"/>
      <c r="T265" s="2"/>
      <c r="U265" s="10"/>
      <c r="V265" s="2"/>
      <c r="W265" s="10"/>
      <c r="X265" s="2"/>
      <c r="Y265" s="10"/>
      <c r="Z265" s="2"/>
    </row>
    <row r="266" spans="1:26" ht="11.25">
      <c r="A266" s="50" t="s">
        <v>25</v>
      </c>
      <c r="B266" s="2"/>
      <c r="C266" s="10"/>
      <c r="D266" s="2"/>
      <c r="E266" s="10"/>
      <c r="F266" s="2"/>
      <c r="G266" s="10"/>
      <c r="H266" s="2"/>
      <c r="I266" s="10"/>
      <c r="J266" s="2"/>
      <c r="K266" s="10">
        <f>(K149-I149)/I149</f>
        <v>14.954</v>
      </c>
      <c r="L266" s="2"/>
      <c r="M266" s="10">
        <f>(M149-K149)/K149</f>
        <v>0.459</v>
      </c>
      <c r="N266" s="10"/>
      <c r="O266" s="10">
        <f>(O149-M149)/M149</f>
        <v>0.113</v>
      </c>
      <c r="P266" s="10"/>
      <c r="Q266" s="10">
        <f>(Q149-O149)/O149</f>
        <v>0.037</v>
      </c>
      <c r="R266" s="10"/>
      <c r="S266" s="10">
        <f>(S149-Q149)/Q149</f>
        <v>0.041</v>
      </c>
      <c r="T266" s="10"/>
      <c r="U266" s="10">
        <f>(U149-S149)/S149</f>
        <v>0.131</v>
      </c>
      <c r="V266" s="10"/>
      <c r="W266" s="10">
        <f>(W149-U149)/U149</f>
        <v>0.24</v>
      </c>
      <c r="X266" s="10"/>
      <c r="Y266" s="10">
        <f>(Y149-W149)/W149</f>
        <v>0.272</v>
      </c>
      <c r="Z266" s="10"/>
    </row>
    <row r="267" spans="1:26" ht="11.25">
      <c r="A267" s="2"/>
      <c r="B267" s="2"/>
      <c r="C267" s="2"/>
      <c r="D267" s="2"/>
      <c r="E267" s="2"/>
      <c r="F267" s="2"/>
      <c r="G267" s="10"/>
      <c r="H267" s="2"/>
      <c r="I267" s="10"/>
      <c r="J267" s="2"/>
      <c r="K267" s="10"/>
      <c r="L267" s="2"/>
      <c r="M267" s="10"/>
      <c r="N267" s="2"/>
      <c r="O267" s="10"/>
      <c r="P267" s="2"/>
      <c r="Q267" s="10"/>
      <c r="R267" s="2"/>
      <c r="S267" s="10"/>
      <c r="T267" s="2"/>
      <c r="U267" s="10"/>
      <c r="V267" s="2"/>
      <c r="W267" s="10"/>
      <c r="X267" s="2"/>
      <c r="Y267" s="10"/>
      <c r="Z267" s="2"/>
    </row>
    <row r="268" spans="1:26" ht="11.25">
      <c r="A268" s="1" t="s">
        <v>45</v>
      </c>
      <c r="B268" s="2"/>
      <c r="C268" s="10"/>
      <c r="D268" s="2"/>
      <c r="E268" s="10"/>
      <c r="F268" s="2"/>
      <c r="G268" s="10"/>
      <c r="H268" s="2"/>
      <c r="I268" s="10"/>
      <c r="J268" s="2"/>
      <c r="K268" s="10"/>
      <c r="L268" s="2"/>
      <c r="M268" s="10"/>
      <c r="N268" s="2"/>
      <c r="O268" s="10"/>
      <c r="P268" s="2"/>
      <c r="Q268" s="10"/>
      <c r="R268" s="2"/>
      <c r="S268" s="10">
        <f>(S151-Q151)/Q151</f>
        <v>0.994</v>
      </c>
      <c r="T268" s="10"/>
      <c r="U268" s="10">
        <f>(U151-S151)/S151</f>
        <v>0.071</v>
      </c>
      <c r="V268" s="10"/>
      <c r="W268" s="10">
        <f>(W151-U151)/U151</f>
        <v>0.124</v>
      </c>
      <c r="X268" s="10"/>
      <c r="Y268" s="10">
        <f>(Y151-W151)/W151</f>
        <v>0.17</v>
      </c>
      <c r="Z268" s="10"/>
    </row>
    <row r="269" spans="1:26" ht="11.25">
      <c r="A269" s="2"/>
      <c r="B269" s="2"/>
      <c r="C269" s="2"/>
      <c r="D269" s="2"/>
      <c r="E269" s="2"/>
      <c r="F269" s="2"/>
      <c r="G269" s="10"/>
      <c r="H269" s="2"/>
      <c r="I269" s="10"/>
      <c r="J269" s="2"/>
      <c r="K269" s="10"/>
      <c r="L269" s="2"/>
      <c r="M269" s="10"/>
      <c r="N269" s="2"/>
      <c r="O269" s="10"/>
      <c r="P269" s="2"/>
      <c r="Q269" s="10"/>
      <c r="R269" s="2"/>
      <c r="S269" s="10"/>
      <c r="T269" s="2"/>
      <c r="U269" s="10"/>
      <c r="V269" s="2"/>
      <c r="W269" s="10"/>
      <c r="X269" s="2"/>
      <c r="Y269" s="10"/>
      <c r="Z269" s="2"/>
    </row>
    <row r="270" spans="1:26" ht="12.75">
      <c r="A270" s="1" t="s">
        <v>26</v>
      </c>
      <c r="B270" s="5"/>
      <c r="C270"/>
      <c r="D270" s="5"/>
      <c r="E270" s="204"/>
      <c r="F270" s="58"/>
      <c r="G270" s="204"/>
      <c r="H270" s="58"/>
      <c r="I270" s="204"/>
      <c r="J270" s="58"/>
      <c r="K270" s="204"/>
      <c r="L270" s="58"/>
      <c r="M270" s="204"/>
      <c r="N270" s="58"/>
      <c r="O270" s="204"/>
      <c r="P270" s="58"/>
      <c r="Q270" s="204">
        <f>(Q153-O153)/O153</f>
        <v>0.596</v>
      </c>
      <c r="R270" s="89"/>
      <c r="S270" s="204">
        <f>(S153-Q153)/Q153</f>
        <v>0.109</v>
      </c>
      <c r="T270" s="89"/>
      <c r="U270" s="204">
        <f>(U153-S153)/S153</f>
        <v>0.188</v>
      </c>
      <c r="V270" s="89"/>
      <c r="W270" s="204">
        <f>(W153-U153)/U153</f>
        <v>0.278</v>
      </c>
      <c r="X270" s="89"/>
      <c r="Y270" s="204">
        <f>(Y153-W153)/W153</f>
        <v>0.05</v>
      </c>
      <c r="Z270" s="10"/>
    </row>
    <row r="271" spans="1:27" ht="11.25">
      <c r="A271" s="2"/>
      <c r="B271" s="5"/>
      <c r="C271" s="57"/>
      <c r="D271" s="58"/>
      <c r="E271" s="57"/>
      <c r="F271" s="58"/>
      <c r="G271" s="10"/>
      <c r="H271" s="58"/>
      <c r="I271" s="10"/>
      <c r="J271" s="58"/>
      <c r="K271" s="10"/>
      <c r="L271" s="58"/>
      <c r="M271" s="10"/>
      <c r="N271" s="58"/>
      <c r="O271" s="10"/>
      <c r="P271" s="58"/>
      <c r="Q271" s="10"/>
      <c r="R271" s="58"/>
      <c r="S271" s="10"/>
      <c r="T271" s="58"/>
      <c r="U271" s="10"/>
      <c r="V271" s="58"/>
      <c r="W271" s="10"/>
      <c r="X271" s="58"/>
      <c r="Y271" s="10"/>
      <c r="Z271" s="58"/>
      <c r="AA271" s="95"/>
    </row>
    <row r="272" spans="1:27" ht="11.25">
      <c r="A272" s="25" t="s">
        <v>38</v>
      </c>
      <c r="B272" s="5"/>
      <c r="C272" s="207"/>
      <c r="D272" s="58"/>
      <c r="E272" s="89">
        <f>(E155-C155)/C155</f>
        <v>1.479</v>
      </c>
      <c r="F272" s="58"/>
      <c r="G272" s="10">
        <f>(G155-E155)/E155</f>
        <v>0.983</v>
      </c>
      <c r="H272" s="58"/>
      <c r="I272" s="10">
        <f>(I155-G155)/G155</f>
        <v>0.691</v>
      </c>
      <c r="J272" s="57"/>
      <c r="K272" s="10">
        <f>(K155-I155)/I155</f>
        <v>0.503</v>
      </c>
      <c r="L272" s="89"/>
      <c r="M272" s="10">
        <f>(M155-K155)/K155</f>
        <v>0.336</v>
      </c>
      <c r="N272" s="89"/>
      <c r="O272" s="10">
        <f>(O155-M155)/M155</f>
        <v>0.127</v>
      </c>
      <c r="P272" s="89"/>
      <c r="Q272" s="10">
        <f>(Q155-O155)/O155</f>
        <v>0.12</v>
      </c>
      <c r="R272" s="89"/>
      <c r="S272" s="10">
        <f>(S155-Q155)/Q155</f>
        <v>0.112</v>
      </c>
      <c r="T272" s="89"/>
      <c r="U272" s="10">
        <f>(U155-S155)/S155</f>
        <v>0.147</v>
      </c>
      <c r="V272" s="89"/>
      <c r="W272" s="10">
        <f>(W155-U155)/U155</f>
        <v>0.181</v>
      </c>
      <c r="X272" s="89"/>
      <c r="Y272" s="10">
        <f>(Y155-W155)/W155</f>
        <v>0.097</v>
      </c>
      <c r="Z272" s="89"/>
      <c r="AA272" s="95"/>
    </row>
    <row r="273" spans="1:27" ht="11.25">
      <c r="A273" s="2"/>
      <c r="B273" s="5"/>
      <c r="C273" s="62"/>
      <c r="D273" s="58"/>
      <c r="E273" s="62"/>
      <c r="F273" s="58"/>
      <c r="G273" s="62"/>
      <c r="H273" s="58"/>
      <c r="I273" s="62"/>
      <c r="J273" s="58"/>
      <c r="K273" s="62"/>
      <c r="L273" s="58"/>
      <c r="M273" s="62"/>
      <c r="N273" s="58"/>
      <c r="O273" s="62"/>
      <c r="P273" s="58"/>
      <c r="Q273" s="62"/>
      <c r="R273" s="58"/>
      <c r="S273" s="62"/>
      <c r="T273" s="58"/>
      <c r="U273" s="62"/>
      <c r="V273" s="58"/>
      <c r="W273" s="62"/>
      <c r="X273" s="58"/>
      <c r="Y273" s="62"/>
      <c r="Z273" s="58"/>
      <c r="AA273" s="95"/>
    </row>
    <row r="274" spans="1:3" ht="11.25">
      <c r="A274" s="112" t="s">
        <v>48</v>
      </c>
      <c r="C274" s="73"/>
    </row>
    <row r="279" spans="1:5" ht="11.25">
      <c r="A279" s="1" t="s">
        <v>0</v>
      </c>
      <c r="B279" s="2"/>
      <c r="C279" s="2"/>
      <c r="D279" s="2"/>
      <c r="E279" s="65"/>
    </row>
    <row r="280" spans="1:5" ht="11.25">
      <c r="A280" s="1" t="s">
        <v>44</v>
      </c>
      <c r="B280" s="2"/>
      <c r="C280" s="2"/>
      <c r="D280" s="2"/>
      <c r="E280" s="2"/>
    </row>
    <row r="281" spans="1:5" ht="11.25">
      <c r="A281" s="45" t="str">
        <f>A3</f>
        <v>1978-1989</v>
      </c>
      <c r="B281" s="13"/>
      <c r="C281" s="13"/>
      <c r="D281" s="13"/>
      <c r="E281" s="13"/>
    </row>
    <row r="282" spans="1:5" ht="11.25">
      <c r="A282" s="27"/>
      <c r="B282" s="3"/>
      <c r="C282" s="3"/>
      <c r="D282" s="3"/>
      <c r="E282" s="1"/>
    </row>
    <row r="283" spans="1:5" ht="12.75">
      <c r="A283" s="2"/>
      <c r="B283" s="2"/>
      <c r="C283"/>
      <c r="D283" s="2"/>
      <c r="E283" s="2"/>
    </row>
    <row r="284" spans="1:26" ht="12.75">
      <c r="A284" s="2"/>
      <c r="B284" s="2"/>
      <c r="C284"/>
      <c r="D284" s="2"/>
      <c r="E284" s="66" t="s">
        <v>4</v>
      </c>
      <c r="G284" s="66" t="s">
        <v>5</v>
      </c>
      <c r="H284" s="2"/>
      <c r="I284" s="66" t="s">
        <v>6</v>
      </c>
      <c r="J284" s="2"/>
      <c r="K284" s="66" t="s">
        <v>7</v>
      </c>
      <c r="L284" s="2"/>
      <c r="M284" s="66" t="s">
        <v>8</v>
      </c>
      <c r="N284" s="2"/>
      <c r="O284" s="66" t="s">
        <v>9</v>
      </c>
      <c r="P284" s="2"/>
      <c r="Q284" s="66" t="s">
        <v>10</v>
      </c>
      <c r="R284" s="2"/>
      <c r="S284" s="66" t="s">
        <v>11</v>
      </c>
      <c r="T284" s="2"/>
      <c r="U284" s="66" t="s">
        <v>12</v>
      </c>
      <c r="V284" s="2"/>
      <c r="W284" s="66" t="s">
        <v>13</v>
      </c>
      <c r="X284" s="2"/>
      <c r="Y284" s="66" t="s">
        <v>14</v>
      </c>
      <c r="Z284" s="2"/>
    </row>
    <row r="285" spans="1:5" ht="12.75">
      <c r="A285" s="2"/>
      <c r="B285" s="2"/>
      <c r="C285"/>
      <c r="D285" s="2"/>
      <c r="E285" s="2"/>
    </row>
    <row r="286" spans="1:26" ht="11.25">
      <c r="A286" s="1" t="s">
        <v>15</v>
      </c>
      <c r="B286" s="2"/>
      <c r="C286" s="10"/>
      <c r="D286" s="5"/>
      <c r="E286" s="10"/>
      <c r="G286" s="10"/>
      <c r="I286" s="10"/>
      <c r="K286" s="10">
        <f>(K170-I170)/I170</f>
        <v>0.303</v>
      </c>
      <c r="M286" s="10">
        <f>(M170-K170)/K170</f>
        <v>-0.029</v>
      </c>
      <c r="O286" s="10">
        <f>(O170-M170)/M170</f>
        <v>-0.006</v>
      </c>
      <c r="Q286" s="10">
        <f>(Q170-O170)/O170</f>
        <v>-0.044</v>
      </c>
      <c r="S286" s="10">
        <f>(S170-Q170)/Q170</f>
        <v>-0.456</v>
      </c>
      <c r="U286" s="10">
        <f>(U170-S170)/S170</f>
        <v>-0.356</v>
      </c>
      <c r="W286" s="10">
        <f>(W170-U170)/U170</f>
        <v>0.099</v>
      </c>
      <c r="Y286" s="10">
        <f>(Y170-W170)/W170</f>
        <v>-0.644</v>
      </c>
      <c r="Z286" s="19" t="s">
        <v>46</v>
      </c>
    </row>
    <row r="287" spans="1:25" ht="11.25">
      <c r="A287" s="2"/>
      <c r="B287" s="2"/>
      <c r="C287" s="10"/>
      <c r="D287" s="5"/>
      <c r="E287" s="10"/>
      <c r="G287" s="10"/>
      <c r="I287" s="10"/>
      <c r="K287" s="10"/>
      <c r="M287" s="10"/>
      <c r="O287" s="10"/>
      <c r="Q287" s="10"/>
      <c r="S287" s="10"/>
      <c r="U287" s="10"/>
      <c r="W287" s="10"/>
      <c r="Y287" s="10"/>
    </row>
    <row r="288" spans="1:25" ht="11.25">
      <c r="A288" s="18" t="s">
        <v>17</v>
      </c>
      <c r="B288" s="2"/>
      <c r="C288" s="10"/>
      <c r="D288" s="5"/>
      <c r="E288" s="10"/>
      <c r="G288" s="10"/>
      <c r="I288" s="10">
        <f>(I172-G172)/G172</f>
        <v>25.914</v>
      </c>
      <c r="K288" s="10">
        <f>(K172-I172)/I172</f>
        <v>0.165</v>
      </c>
      <c r="M288" s="10">
        <f>(M172-K172)/K172</f>
        <v>0.279</v>
      </c>
      <c r="O288" s="10">
        <f>(O172-M172)/M172</f>
        <v>0.104</v>
      </c>
      <c r="Q288" s="10">
        <f>(Q172-O172)/O172</f>
        <v>-0.098</v>
      </c>
      <c r="S288" s="10">
        <f>(S172-Q172)/Q172</f>
        <v>0.031</v>
      </c>
      <c r="U288" s="10">
        <f>(U172-S172)/S172</f>
        <v>-0.051</v>
      </c>
      <c r="W288" s="10">
        <f>(W172-U172)/U172</f>
        <v>-0.106</v>
      </c>
      <c r="Y288" s="10">
        <f>(Y172-W172)/W172</f>
        <v>-0.093</v>
      </c>
    </row>
    <row r="289" spans="2:25" ht="11.25">
      <c r="B289" s="2"/>
      <c r="D289" s="5"/>
      <c r="G289" s="10"/>
      <c r="I289" s="10"/>
      <c r="K289" s="10"/>
      <c r="M289" s="10"/>
      <c r="O289" s="10"/>
      <c r="Q289" s="10"/>
      <c r="S289" s="10"/>
      <c r="U289" s="10"/>
      <c r="W289" s="10"/>
      <c r="Y289" s="10"/>
    </row>
    <row r="290" spans="1:25" ht="11.25">
      <c r="A290" s="18" t="s">
        <v>18</v>
      </c>
      <c r="B290" s="2"/>
      <c r="C290" s="10"/>
      <c r="D290" s="5"/>
      <c r="E290" s="10"/>
      <c r="G290" s="10">
        <f>(G174-E174)/E174</f>
        <v>172.391</v>
      </c>
      <c r="I290" s="10">
        <f>(I174-G174)/G174</f>
        <v>-0.087</v>
      </c>
      <c r="K290" s="10">
        <f>(K174-I174)/I174</f>
        <v>-0.074</v>
      </c>
      <c r="M290" s="10">
        <f>(M174-K174)/K174</f>
        <v>0.16</v>
      </c>
      <c r="O290" s="10">
        <f>(O174-M174)/M174</f>
        <v>-0.025</v>
      </c>
      <c r="Q290" s="10">
        <f>(Q174-O174)/O174</f>
        <v>-0.119</v>
      </c>
      <c r="S290" s="10">
        <f>(S174-Q174)/Q174</f>
        <v>-0.039</v>
      </c>
      <c r="U290" s="10">
        <f>(U174-S174)/S174</f>
        <v>0.096</v>
      </c>
      <c r="W290" s="10">
        <f>(W174-U174)/U174</f>
        <v>0.042</v>
      </c>
      <c r="Y290" s="10">
        <f>(Y174-W174)/W174</f>
        <v>-0.005</v>
      </c>
    </row>
    <row r="291" spans="2:25" ht="11.25">
      <c r="B291" s="2"/>
      <c r="D291" s="5"/>
      <c r="G291" s="10"/>
      <c r="I291" s="10"/>
      <c r="K291" s="10"/>
      <c r="M291" s="10"/>
      <c r="O291" s="10"/>
      <c r="Q291" s="10"/>
      <c r="S291" s="10"/>
      <c r="U291" s="10"/>
      <c r="W291" s="10"/>
      <c r="Y291" s="10"/>
    </row>
    <row r="292" spans="1:25" ht="11.25">
      <c r="A292" s="18" t="s">
        <v>19</v>
      </c>
      <c r="B292" s="2"/>
      <c r="C292" s="10"/>
      <c r="D292" s="5"/>
      <c r="E292" s="10"/>
      <c r="G292" s="10">
        <f>(G176-E176)/E176</f>
        <v>1.673</v>
      </c>
      <c r="I292" s="10">
        <f>(I176-G176)/G176</f>
        <v>-0.071</v>
      </c>
      <c r="K292" s="10">
        <f>(K176-I176)/I176</f>
        <v>-0.031</v>
      </c>
      <c r="M292" s="10">
        <f>(M176-K176)/K176</f>
        <v>0.038</v>
      </c>
      <c r="O292" s="10">
        <f>(O176-M176)/M176</f>
        <v>0.046</v>
      </c>
      <c r="Q292" s="10">
        <f>(Q176-O176)/O176</f>
        <v>0.065</v>
      </c>
      <c r="S292" s="10">
        <f>(S176-Q176)/Q176</f>
        <v>0.008</v>
      </c>
      <c r="U292" s="10">
        <f>(U176-S176)/S176</f>
        <v>0.043</v>
      </c>
      <c r="W292" s="10">
        <f>(W176-U176)/U176</f>
        <v>0.023</v>
      </c>
      <c r="Y292" s="10">
        <f>(Y176-W176)/W176</f>
        <v>0.015</v>
      </c>
    </row>
    <row r="293" spans="2:25" ht="11.25">
      <c r="B293" s="2"/>
      <c r="D293" s="5"/>
      <c r="G293" s="10"/>
      <c r="I293" s="10"/>
      <c r="K293" s="10"/>
      <c r="M293" s="10"/>
      <c r="O293" s="10"/>
      <c r="Q293" s="10"/>
      <c r="S293" s="10"/>
      <c r="U293" s="10"/>
      <c r="W293" s="10"/>
      <c r="Y293" s="10"/>
    </row>
    <row r="294" spans="1:25" ht="11.25">
      <c r="A294" s="18" t="s">
        <v>20</v>
      </c>
      <c r="B294" s="2"/>
      <c r="C294" s="10"/>
      <c r="D294" s="2"/>
      <c r="E294" s="10"/>
      <c r="G294" s="10"/>
      <c r="I294" s="10"/>
      <c r="K294" s="10">
        <f>(K178-I178)/I178</f>
        <v>1.578</v>
      </c>
      <c r="M294" s="10">
        <f>(M178-K178)/K178</f>
        <v>0.229</v>
      </c>
      <c r="O294" s="10">
        <f>(O178-M178)/M178</f>
        <v>0.064</v>
      </c>
      <c r="Q294" s="10">
        <f>(Q178-O178)/O178</f>
        <v>-0.08</v>
      </c>
      <c r="S294" s="10">
        <f>(S178-Q178)/Q178</f>
        <v>0.097</v>
      </c>
      <c r="U294" s="10">
        <f>(U178-S178)/S178</f>
        <v>-0.03</v>
      </c>
      <c r="W294" s="10">
        <f>(W178-U178)/U178</f>
        <v>0.059</v>
      </c>
      <c r="Y294" s="10">
        <f>(Y178-W178)/W178</f>
        <v>-0.111</v>
      </c>
    </row>
    <row r="295" spans="2:25" ht="11.25">
      <c r="B295" s="2"/>
      <c r="D295" s="2"/>
      <c r="G295" s="10"/>
      <c r="I295" s="10"/>
      <c r="K295" s="10"/>
      <c r="M295" s="10"/>
      <c r="O295" s="10"/>
      <c r="Q295" s="10"/>
      <c r="S295" s="10"/>
      <c r="U295" s="10"/>
      <c r="W295" s="10"/>
      <c r="Y295" s="10"/>
    </row>
    <row r="296" spans="1:25" ht="11.25">
      <c r="A296" s="18" t="s">
        <v>21</v>
      </c>
      <c r="B296" s="2"/>
      <c r="C296" s="10"/>
      <c r="D296" s="2"/>
      <c r="E296" s="10"/>
      <c r="G296" s="10"/>
      <c r="I296" s="10">
        <f>(I180-G180)/G180</f>
        <v>13.138</v>
      </c>
      <c r="K296" s="10">
        <f>(K180-I180)/I180</f>
        <v>0.128</v>
      </c>
      <c r="M296" s="10">
        <f>(M180-K180)/K180</f>
        <v>0.095</v>
      </c>
      <c r="O296" s="10">
        <f>(O180-M180)/M180</f>
        <v>0.025</v>
      </c>
      <c r="Q296" s="10">
        <f>(Q180-O180)/O180</f>
        <v>0.068</v>
      </c>
      <c r="S296" s="10">
        <f>(S180-Q180)/Q180</f>
        <v>0.218</v>
      </c>
      <c r="U296" s="10">
        <f>(U180-S180)/S180</f>
        <v>0.097</v>
      </c>
      <c r="W296" s="10">
        <f>(W180-U180)/U180</f>
        <v>0.059</v>
      </c>
      <c r="Y296" s="10">
        <f>(Y180-W180)/W180</f>
        <v>-0.051</v>
      </c>
    </row>
    <row r="297" spans="2:25" ht="11.25">
      <c r="B297" s="2"/>
      <c r="D297" s="2"/>
      <c r="G297" s="10"/>
      <c r="I297" s="10"/>
      <c r="K297" s="10"/>
      <c r="M297" s="10"/>
      <c r="O297" s="10"/>
      <c r="Q297" s="10"/>
      <c r="S297" s="10"/>
      <c r="U297" s="10"/>
      <c r="W297" s="10"/>
      <c r="Y297" s="10"/>
    </row>
    <row r="298" spans="1:25" ht="11.25">
      <c r="A298" s="18" t="s">
        <v>22</v>
      </c>
      <c r="B298" s="2"/>
      <c r="C298" s="10"/>
      <c r="D298" s="2"/>
      <c r="E298" s="10">
        <f>(E182-C182)/C182</f>
        <v>0.806</v>
      </c>
      <c r="G298" s="10">
        <f>(G182-E182)/E182</f>
        <v>-0.084</v>
      </c>
      <c r="I298" s="10">
        <f>(I182-G182)/G182</f>
        <v>-0.127</v>
      </c>
      <c r="K298" s="10">
        <f>(K182-I182)/I182</f>
        <v>0.167</v>
      </c>
      <c r="M298" s="10">
        <f>(M182-K182)/K182</f>
        <v>0.144</v>
      </c>
      <c r="O298" s="10">
        <f>(O182-M182)/M182</f>
        <v>0.064</v>
      </c>
      <c r="Q298" s="10">
        <f>(Q182-O182)/O182</f>
        <v>-0.048</v>
      </c>
      <c r="S298" s="10">
        <f>(S182-Q182)/Q182</f>
        <v>-0.058</v>
      </c>
      <c r="U298" s="10">
        <f>(U182-S182)/S182</f>
        <v>-0.007</v>
      </c>
      <c r="W298" s="10">
        <f>(W182-U182)/U182</f>
        <v>0.021</v>
      </c>
      <c r="Y298" s="10">
        <f>(Y182-W182)/W182</f>
        <v>-0.107</v>
      </c>
    </row>
    <row r="299" spans="2:25" ht="11.25">
      <c r="B299" s="2"/>
      <c r="C299" s="10"/>
      <c r="D299" s="2"/>
      <c r="E299" s="10"/>
      <c r="G299" s="10"/>
      <c r="I299" s="10"/>
      <c r="K299" s="10"/>
      <c r="M299" s="10"/>
      <c r="O299" s="10"/>
      <c r="Q299" s="10"/>
      <c r="S299" s="10"/>
      <c r="U299" s="10"/>
      <c r="W299" s="10"/>
      <c r="Y299" s="10"/>
    </row>
    <row r="300" spans="1:25" ht="11.25">
      <c r="A300" s="18" t="s">
        <v>23</v>
      </c>
      <c r="B300" s="2"/>
      <c r="C300" s="10"/>
      <c r="D300" s="2"/>
      <c r="E300" s="10"/>
      <c r="G300" s="10"/>
      <c r="I300" s="10">
        <f>(I184-G184)/G184</f>
        <v>2.73</v>
      </c>
      <c r="K300" s="10">
        <f>(K184-I184)/I184</f>
        <v>0.511</v>
      </c>
      <c r="M300" s="10">
        <f>(M184-K184)/K184</f>
        <v>0.068</v>
      </c>
      <c r="O300" s="10">
        <f>(O184-M184)/M184</f>
        <v>-0.006</v>
      </c>
      <c r="Q300" s="10">
        <f>(Q184-O184)/O184</f>
        <v>0.006</v>
      </c>
      <c r="S300" s="10">
        <f>(S184-Q184)/Q184</f>
        <v>-0.006</v>
      </c>
      <c r="U300" s="10">
        <f>(U184-S184)/S184</f>
        <v>0.062</v>
      </c>
      <c r="W300" s="10">
        <f>(W184-U184)/U184</f>
        <v>0.082</v>
      </c>
      <c r="Y300" s="10">
        <f>(Y184-W184)/W184</f>
        <v>0.011</v>
      </c>
    </row>
    <row r="301" spans="2:25" ht="11.25">
      <c r="B301" s="2"/>
      <c r="C301" s="10"/>
      <c r="D301" s="2"/>
      <c r="E301" s="10"/>
      <c r="G301" s="10"/>
      <c r="I301" s="10"/>
      <c r="K301" s="10"/>
      <c r="M301" s="10"/>
      <c r="O301" s="10"/>
      <c r="Q301" s="10"/>
      <c r="S301" s="10"/>
      <c r="U301" s="10"/>
      <c r="W301" s="10"/>
      <c r="Y301" s="10"/>
    </row>
    <row r="302" spans="1:25" ht="11.25">
      <c r="A302" s="18" t="s">
        <v>24</v>
      </c>
      <c r="B302" s="2"/>
      <c r="C302" s="10"/>
      <c r="D302" s="2"/>
      <c r="E302" s="10"/>
      <c r="G302" s="10"/>
      <c r="I302" s="10"/>
      <c r="K302" s="10"/>
      <c r="M302" s="10"/>
      <c r="O302" s="10"/>
      <c r="Q302" s="10"/>
      <c r="S302" s="10"/>
      <c r="U302" s="10"/>
      <c r="W302" s="10">
        <f>(W186-U186)/U186</f>
        <v>0.623</v>
      </c>
      <c r="Y302" s="10">
        <f>(Y186-W186)/W186</f>
        <v>0.219</v>
      </c>
    </row>
    <row r="303" spans="2:25" ht="11.25">
      <c r="B303" s="2"/>
      <c r="C303" s="10"/>
      <c r="D303" s="2"/>
      <c r="E303" s="10"/>
      <c r="G303" s="10"/>
      <c r="I303" s="10"/>
      <c r="K303" s="10"/>
      <c r="M303" s="10"/>
      <c r="O303" s="10"/>
      <c r="Q303" s="10"/>
      <c r="S303" s="10"/>
      <c r="U303" s="10"/>
      <c r="W303" s="10"/>
      <c r="Y303" s="10"/>
    </row>
    <row r="304" spans="1:25" ht="11.25">
      <c r="A304" s="50" t="s">
        <v>25</v>
      </c>
      <c r="B304" s="2"/>
      <c r="C304" s="10"/>
      <c r="D304" s="2"/>
      <c r="E304" s="10"/>
      <c r="G304" s="10"/>
      <c r="I304" s="10"/>
      <c r="K304" s="10">
        <f>(K188-I188)/I188</f>
        <v>10.787</v>
      </c>
      <c r="M304" s="10">
        <f>(M188-K188)/K188</f>
        <v>0.454</v>
      </c>
      <c r="O304" s="10">
        <f>(O188-M188)/M188</f>
        <v>0.183</v>
      </c>
      <c r="Q304" s="10">
        <f>(Q188-O188)/O188</f>
        <v>-0.137</v>
      </c>
      <c r="S304" s="10">
        <f>(S188-Q188)/Q188</f>
        <v>-0.123</v>
      </c>
      <c r="U304" s="10">
        <f>(U188-S188)/S188</f>
        <v>0.012</v>
      </c>
      <c r="W304" s="10">
        <f>(W188-U188)/U188</f>
        <v>-0.033</v>
      </c>
      <c r="Y304" s="10">
        <f>(Y188-W188)/W188</f>
        <v>0.296</v>
      </c>
    </row>
    <row r="305" spans="1:25" ht="11.25">
      <c r="A305" s="2"/>
      <c r="B305" s="2"/>
      <c r="C305" s="10"/>
      <c r="D305" s="2"/>
      <c r="E305" s="10"/>
      <c r="G305" s="10"/>
      <c r="I305" s="10"/>
      <c r="K305" s="10"/>
      <c r="M305" s="10"/>
      <c r="O305" s="10"/>
      <c r="Q305" s="10"/>
      <c r="S305" s="10"/>
      <c r="U305" s="10"/>
      <c r="W305" s="10"/>
      <c r="Y305" s="10"/>
    </row>
    <row r="306" spans="1:25" ht="11.25">
      <c r="A306" s="1" t="s">
        <v>45</v>
      </c>
      <c r="B306" s="2"/>
      <c r="C306" s="10"/>
      <c r="D306" s="2"/>
      <c r="E306" s="10"/>
      <c r="G306" s="10"/>
      <c r="I306" s="10"/>
      <c r="K306" s="10"/>
      <c r="M306" s="10"/>
      <c r="O306" s="10"/>
      <c r="Q306" s="10"/>
      <c r="S306" s="10">
        <f>(S190-Q190)/Q190</f>
        <v>0.999</v>
      </c>
      <c r="U306" s="10">
        <f>(U190-S190)/S190</f>
        <v>0.071</v>
      </c>
      <c r="W306" s="10">
        <f>(W190-U190)/U190</f>
        <v>0.049</v>
      </c>
      <c r="Y306" s="10">
        <f>(Y190-W190)/W190</f>
        <v>-0.02</v>
      </c>
    </row>
    <row r="307" spans="1:25" ht="11.25">
      <c r="A307" s="2"/>
      <c r="B307" s="2"/>
      <c r="C307" s="10"/>
      <c r="D307" s="2"/>
      <c r="E307" s="10"/>
      <c r="G307" s="10"/>
      <c r="I307" s="10"/>
      <c r="K307" s="10"/>
      <c r="M307" s="10"/>
      <c r="O307" s="10"/>
      <c r="Q307" s="10"/>
      <c r="S307" s="10"/>
      <c r="U307" s="10"/>
      <c r="W307" s="10"/>
      <c r="Y307" s="10"/>
    </row>
    <row r="308" spans="1:25" ht="11.25">
      <c r="A308" s="1" t="s">
        <v>26</v>
      </c>
      <c r="B308" s="5"/>
      <c r="C308" s="10"/>
      <c r="D308" s="5"/>
      <c r="E308" s="10"/>
      <c r="G308" s="10"/>
      <c r="I308" s="10"/>
      <c r="K308" s="10"/>
      <c r="M308" s="10"/>
      <c r="O308" s="10"/>
      <c r="Q308" s="10">
        <f>(Q192-O192)/O192</f>
        <v>0.624</v>
      </c>
      <c r="S308" s="10">
        <f>(S192-Q192)/Q192</f>
        <v>0.008</v>
      </c>
      <c r="U308" s="10">
        <f>(U192-S192)/S192</f>
        <v>0.112</v>
      </c>
      <c r="W308" s="10">
        <f>(W192-U192)/U192</f>
        <v>0.198</v>
      </c>
      <c r="Y308" s="10">
        <f>(Y192-W192)/W192</f>
        <v>0.038</v>
      </c>
    </row>
    <row r="309" spans="1:32" ht="11.25">
      <c r="A309" s="2"/>
      <c r="B309" s="5"/>
      <c r="C309" s="58"/>
      <c r="D309" s="58"/>
      <c r="E309" s="58"/>
      <c r="F309" s="95"/>
      <c r="G309" s="10"/>
      <c r="H309" s="95"/>
      <c r="I309" s="10"/>
      <c r="J309" s="95"/>
      <c r="K309" s="10"/>
      <c r="L309" s="95"/>
      <c r="M309" s="10"/>
      <c r="N309" s="95"/>
      <c r="O309" s="10"/>
      <c r="P309" s="95"/>
      <c r="Q309" s="10"/>
      <c r="R309" s="95"/>
      <c r="S309" s="10"/>
      <c r="T309" s="95"/>
      <c r="U309" s="10"/>
      <c r="V309" s="95"/>
      <c r="W309" s="10"/>
      <c r="X309" s="95"/>
      <c r="Y309" s="10"/>
      <c r="Z309" s="95"/>
      <c r="AA309" s="95"/>
      <c r="AB309" s="95"/>
      <c r="AC309" s="95"/>
      <c r="AD309" s="95"/>
      <c r="AE309" s="95"/>
      <c r="AF309" s="95"/>
    </row>
    <row r="310" spans="1:32" ht="11.25">
      <c r="A310" s="85" t="s">
        <v>38</v>
      </c>
      <c r="B310" s="5"/>
      <c r="C310" s="108"/>
      <c r="D310" s="58"/>
      <c r="E310" s="10">
        <f>(E194-C194)/C194</f>
        <v>1.603</v>
      </c>
      <c r="F310" s="95"/>
      <c r="G310" s="10">
        <f>(G194-E194)/E194</f>
        <v>1.236</v>
      </c>
      <c r="H310" s="95"/>
      <c r="I310" s="10">
        <f>(I194-G194)/G194</f>
        <v>0.611</v>
      </c>
      <c r="J310" s="95"/>
      <c r="K310" s="10">
        <f>(K194-I194)/I194</f>
        <v>0.279</v>
      </c>
      <c r="L310" s="95"/>
      <c r="M310" s="10">
        <f>(M194-K194)/K194</f>
        <v>0.151</v>
      </c>
      <c r="N310" s="95"/>
      <c r="O310" s="10">
        <f>(O194-M194)/M194</f>
        <v>0.13</v>
      </c>
      <c r="P310" s="95"/>
      <c r="Q310" s="10">
        <f>(Q194-O194)/O194</f>
        <v>0.054</v>
      </c>
      <c r="R310" s="95"/>
      <c r="S310" s="10">
        <f>(S194-Q194)/Q194</f>
        <v>0.027</v>
      </c>
      <c r="T310" s="95"/>
      <c r="U310" s="10">
        <f>(U194-S194)/S194</f>
        <v>0.079</v>
      </c>
      <c r="V310" s="95"/>
      <c r="W310" s="10">
        <f>(W194-U194)/U194</f>
        <v>0.068</v>
      </c>
      <c r="X310" s="95"/>
      <c r="Y310" s="10">
        <f>(Y194-W194)/W194</f>
        <v>0.001</v>
      </c>
      <c r="Z310" s="95"/>
      <c r="AA310" s="95"/>
      <c r="AB310" s="95"/>
      <c r="AC310" s="95"/>
      <c r="AD310" s="95"/>
      <c r="AE310" s="95"/>
      <c r="AF310" s="95"/>
    </row>
    <row r="311" spans="1:32" ht="11.25">
      <c r="A311" s="2"/>
      <c r="B311" s="5"/>
      <c r="C311" s="109"/>
      <c r="D311" s="58"/>
      <c r="E311" s="109"/>
      <c r="F311" s="95"/>
      <c r="G311" s="109"/>
      <c r="H311" s="95"/>
      <c r="I311" s="109"/>
      <c r="J311" s="95"/>
      <c r="K311" s="109"/>
      <c r="L311" s="95"/>
      <c r="M311" s="109"/>
      <c r="N311" s="95"/>
      <c r="O311" s="109"/>
      <c r="P311" s="95"/>
      <c r="Q311" s="109"/>
      <c r="R311" s="95"/>
      <c r="S311" s="109"/>
      <c r="T311" s="95"/>
      <c r="U311" s="109"/>
      <c r="V311" s="95"/>
      <c r="W311" s="109"/>
      <c r="X311" s="95"/>
      <c r="Y311" s="109"/>
      <c r="Z311" s="95"/>
      <c r="AA311" s="95"/>
      <c r="AB311" s="95"/>
      <c r="AC311" s="95"/>
      <c r="AD311" s="95"/>
      <c r="AE311" s="95"/>
      <c r="AF311" s="95"/>
    </row>
    <row r="312" spans="1:3" ht="11.25">
      <c r="A312" s="112" t="s">
        <v>48</v>
      </c>
      <c r="C312" s="73"/>
    </row>
  </sheetData>
  <printOptions/>
  <pageMargins left="0.75" right="0.5" top="0.8" bottom="0.55" header="0.5" footer="0.5"/>
  <pageSetup fitToHeight="0" fitToWidth="1" horizontalDpi="300" verticalDpi="300" orientation="landscape" paperSize="5" scale="98" r:id="rId1"/>
  <rowBreaks count="7" manualBreakCount="7">
    <brk id="40" max="26" man="1"/>
    <brk id="80" max="26" man="1"/>
    <brk id="122" max="26" man="1"/>
    <brk id="161" max="26" man="1"/>
    <brk id="199" max="26" man="1"/>
    <brk id="239" max="26" man="1"/>
    <brk id="277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CB515"/>
  <sheetViews>
    <sheetView showGridLines="0" zoomScale="75" zoomScaleNormal="75" workbookViewId="0" topLeftCell="A1">
      <selection activeCell="A2" sqref="A2"/>
    </sheetView>
  </sheetViews>
  <sheetFormatPr defaultColWidth="12.57421875" defaultRowHeight="11.25" customHeight="1"/>
  <cols>
    <col min="1" max="1" width="12.57421875" style="118" customWidth="1"/>
    <col min="2" max="2" width="1.7109375" style="118" customWidth="1"/>
    <col min="3" max="3" width="10.140625" style="118" customWidth="1"/>
    <col min="4" max="4" width="1.7109375" style="118" customWidth="1"/>
    <col min="5" max="5" width="10.28125" style="118" customWidth="1"/>
    <col min="6" max="6" width="1.7109375" style="118" customWidth="1"/>
    <col min="7" max="7" width="10.28125" style="118" customWidth="1"/>
    <col min="8" max="8" width="1.7109375" style="118" customWidth="1"/>
    <col min="9" max="9" width="10.28125" style="118" customWidth="1"/>
    <col min="10" max="10" width="1.7109375" style="118" customWidth="1"/>
    <col min="11" max="11" width="10.28125" style="118" customWidth="1"/>
    <col min="12" max="12" width="1.7109375" style="118" customWidth="1"/>
    <col min="13" max="13" width="10.28125" style="118" customWidth="1"/>
    <col min="14" max="14" width="1.7109375" style="118" customWidth="1"/>
    <col min="15" max="15" width="10.28125" style="118" customWidth="1"/>
    <col min="16" max="16" width="3.00390625" style="118" customWidth="1"/>
    <col min="17" max="17" width="10.28125" style="118" customWidth="1"/>
    <col min="18" max="18" width="1.7109375" style="118" customWidth="1"/>
    <col min="19" max="19" width="10.28125" style="118" customWidth="1"/>
    <col min="20" max="20" width="1.7109375" style="118" customWidth="1"/>
    <col min="21" max="21" width="10.28125" style="118" customWidth="1"/>
    <col min="22" max="22" width="1.7109375" style="118" customWidth="1"/>
    <col min="23" max="23" width="10.28125" style="118" customWidth="1"/>
    <col min="24" max="24" width="1.7109375" style="118" customWidth="1"/>
    <col min="25" max="25" width="10.28125" style="118" customWidth="1"/>
    <col min="26" max="26" width="2.28125" style="118" customWidth="1"/>
    <col min="27" max="28" width="1.7109375" style="118" customWidth="1"/>
    <col min="29" max="29" width="12.57421875" style="118" customWidth="1"/>
    <col min="30" max="30" width="1.7109375" style="118" customWidth="1"/>
    <col min="31" max="16384" width="12.57421875" style="118" customWidth="1"/>
  </cols>
  <sheetData>
    <row r="1" spans="1:5" ht="11.25" customHeight="1">
      <c r="A1" s="115" t="s">
        <v>0</v>
      </c>
      <c r="B1" s="116"/>
      <c r="C1" s="116"/>
      <c r="D1" s="116"/>
      <c r="E1" s="117"/>
    </row>
    <row r="2" spans="1:5" ht="11.25" customHeight="1">
      <c r="A2" s="115" t="s">
        <v>51</v>
      </c>
      <c r="B2" s="116"/>
      <c r="C2" s="116"/>
      <c r="D2" s="116"/>
      <c r="E2" s="116"/>
    </row>
    <row r="3" spans="1:5" ht="11.25" customHeight="1">
      <c r="A3" s="119" t="s">
        <v>88</v>
      </c>
      <c r="B3" s="120"/>
      <c r="C3" s="120"/>
      <c r="D3" s="120"/>
      <c r="E3" s="121"/>
    </row>
    <row r="4" spans="1:5" ht="11.25" customHeight="1">
      <c r="A4" s="115" t="s">
        <v>2</v>
      </c>
      <c r="B4" s="122"/>
      <c r="C4" s="122"/>
      <c r="D4" s="116"/>
      <c r="E4" s="116"/>
    </row>
    <row r="5" ht="11.25" customHeight="1">
      <c r="A5"/>
    </row>
    <row r="6" ht="11.25" customHeight="1">
      <c r="A6" s="123"/>
    </row>
    <row r="7" spans="3:25" ht="11.25" customHeight="1">
      <c r="C7" s="124" t="s">
        <v>3</v>
      </c>
      <c r="E7" s="124" t="s">
        <v>4</v>
      </c>
      <c r="G7" s="124" t="s">
        <v>5</v>
      </c>
      <c r="I7" s="124" t="s">
        <v>6</v>
      </c>
      <c r="K7" s="124" t="s">
        <v>7</v>
      </c>
      <c r="M7" s="124" t="s">
        <v>8</v>
      </c>
      <c r="O7" s="124" t="s">
        <v>9</v>
      </c>
      <c r="Q7" s="124" t="s">
        <v>10</v>
      </c>
      <c r="S7" s="124" t="s">
        <v>11</v>
      </c>
      <c r="U7" s="124" t="s">
        <v>12</v>
      </c>
      <c r="W7" s="124" t="s">
        <v>13</v>
      </c>
      <c r="Y7" s="124" t="s">
        <v>14</v>
      </c>
    </row>
    <row r="8" spans="3:25" ht="11.25" customHeight="1">
      <c r="C8" s="126"/>
      <c r="E8" s="126"/>
      <c r="G8" s="126"/>
      <c r="I8" s="126"/>
      <c r="K8" s="126"/>
      <c r="M8" s="126"/>
      <c r="O8" s="126"/>
      <c r="Q8" s="126"/>
      <c r="S8" s="126"/>
      <c r="U8" s="126"/>
      <c r="W8" s="126"/>
      <c r="Y8" s="126"/>
    </row>
    <row r="10" spans="1:28" ht="11.25" customHeight="1">
      <c r="A10" s="115" t="s">
        <v>15</v>
      </c>
      <c r="C10" s="127"/>
      <c r="D10" s="127"/>
      <c r="E10" s="127"/>
      <c r="F10" s="127"/>
      <c r="G10" s="127"/>
      <c r="H10" s="127"/>
      <c r="I10" s="127">
        <v>113205</v>
      </c>
      <c r="J10" s="127"/>
      <c r="K10" s="127">
        <v>165869</v>
      </c>
      <c r="L10" s="127"/>
      <c r="M10" s="127">
        <v>168194</v>
      </c>
      <c r="N10" s="127"/>
      <c r="O10" s="220">
        <v>167992</v>
      </c>
      <c r="P10" s="127"/>
      <c r="Q10" s="127">
        <v>154175</v>
      </c>
      <c r="R10" s="127"/>
      <c r="S10" s="127">
        <v>122940</v>
      </c>
      <c r="T10" s="127"/>
      <c r="U10" s="127">
        <v>89498</v>
      </c>
      <c r="V10" s="127"/>
      <c r="W10" s="127">
        <v>99298</v>
      </c>
      <c r="X10" s="127"/>
      <c r="Y10" s="127">
        <v>37187</v>
      </c>
      <c r="Z10" s="127" t="s">
        <v>46</v>
      </c>
      <c r="AA10" s="14"/>
      <c r="AB10" s="14"/>
    </row>
    <row r="11" spans="3:26" ht="11.25" customHeight="1">
      <c r="C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217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</row>
    <row r="12" spans="1:26" ht="11.25" customHeight="1">
      <c r="A12" s="115" t="s">
        <v>17</v>
      </c>
      <c r="C12" s="63"/>
      <c r="D12" s="63"/>
      <c r="E12" s="63"/>
      <c r="F12" s="63"/>
      <c r="G12" s="127">
        <v>5801</v>
      </c>
      <c r="H12" s="63"/>
      <c r="I12" s="63">
        <v>183202</v>
      </c>
      <c r="J12" s="63"/>
      <c r="K12" s="63">
        <v>210247</v>
      </c>
      <c r="L12" s="63"/>
      <c r="M12" s="63">
        <v>289294</v>
      </c>
      <c r="N12" s="63"/>
      <c r="O12" s="216">
        <v>195709</v>
      </c>
      <c r="P12" s="15" t="s">
        <v>16</v>
      </c>
      <c r="Q12" s="63">
        <v>263513</v>
      </c>
      <c r="R12" s="63"/>
      <c r="S12" s="63">
        <v>272935</v>
      </c>
      <c r="T12" s="63"/>
      <c r="U12" s="63">
        <v>268994</v>
      </c>
      <c r="V12" s="63"/>
      <c r="W12" s="63">
        <v>247061</v>
      </c>
      <c r="X12" s="63"/>
      <c r="Y12" s="63">
        <v>237654</v>
      </c>
      <c r="Z12" s="63"/>
    </row>
    <row r="13" spans="3:26" ht="11.25" customHeight="1"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216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spans="1:26" ht="11.25" customHeight="1">
      <c r="A14" s="115" t="s">
        <v>18</v>
      </c>
      <c r="C14" s="63"/>
      <c r="D14" s="14"/>
      <c r="E14" s="127">
        <v>2010</v>
      </c>
      <c r="F14" s="63"/>
      <c r="G14" s="63">
        <v>208402</v>
      </c>
      <c r="H14" s="63"/>
      <c r="I14" s="63">
        <v>213369</v>
      </c>
      <c r="J14" s="63"/>
      <c r="K14" s="63">
        <v>223402</v>
      </c>
      <c r="L14" s="63"/>
      <c r="M14" s="63">
        <v>263333</v>
      </c>
      <c r="N14" s="63"/>
      <c r="O14" s="216">
        <v>271338</v>
      </c>
      <c r="P14" s="63"/>
      <c r="Q14" s="63">
        <v>255756</v>
      </c>
      <c r="R14" s="63"/>
      <c r="S14" s="63">
        <v>258542</v>
      </c>
      <c r="T14" s="63"/>
      <c r="U14" s="63">
        <v>283110</v>
      </c>
      <c r="V14" s="63"/>
      <c r="W14" s="63">
        <v>301643</v>
      </c>
      <c r="X14" s="63"/>
      <c r="Y14" s="63">
        <v>324838</v>
      </c>
      <c r="Z14" s="63"/>
    </row>
    <row r="15" spans="3:26" ht="11.25" customHeight="1">
      <c r="C15" s="63"/>
      <c r="D15" s="14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216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spans="1:26" ht="11.25" customHeight="1">
      <c r="A16" s="115" t="s">
        <v>19</v>
      </c>
      <c r="C16" s="63"/>
      <c r="D16" s="14"/>
      <c r="E16" s="63">
        <v>106703</v>
      </c>
      <c r="F16" s="63"/>
      <c r="G16" s="63">
        <v>236754</v>
      </c>
      <c r="H16" s="63"/>
      <c r="I16" s="63">
        <v>218599</v>
      </c>
      <c r="J16" s="63"/>
      <c r="K16" s="63">
        <v>217358</v>
      </c>
      <c r="L16" s="63"/>
      <c r="M16" s="63">
        <v>237889</v>
      </c>
      <c r="N16" s="63"/>
      <c r="O16" s="216">
        <v>253011</v>
      </c>
      <c r="P16" s="63"/>
      <c r="Q16" s="63">
        <v>281309</v>
      </c>
      <c r="R16" s="63"/>
      <c r="S16" s="63">
        <v>292742</v>
      </c>
      <c r="T16" s="63"/>
      <c r="U16" s="63">
        <v>319259</v>
      </c>
      <c r="V16" s="63"/>
      <c r="W16" s="63">
        <v>339470</v>
      </c>
      <c r="X16" s="63"/>
      <c r="Y16" s="63">
        <v>333168</v>
      </c>
      <c r="Z16" s="63"/>
    </row>
    <row r="17" spans="3:26" ht="11.25" customHeight="1">
      <c r="C17" s="63"/>
      <c r="D17" s="14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216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</row>
    <row r="18" spans="1:26" ht="11.25" customHeight="1">
      <c r="A18" s="131" t="s">
        <v>52</v>
      </c>
      <c r="C18" s="63"/>
      <c r="D18" s="14"/>
      <c r="E18" s="63"/>
      <c r="F18" s="63"/>
      <c r="G18" s="63"/>
      <c r="H18" s="63"/>
      <c r="I18" s="63">
        <v>40908</v>
      </c>
      <c r="J18" s="63"/>
      <c r="K18" s="63">
        <v>107227</v>
      </c>
      <c r="L18" s="63"/>
      <c r="M18" s="63">
        <v>128109</v>
      </c>
      <c r="N18" s="63"/>
      <c r="O18" s="216">
        <v>142824</v>
      </c>
      <c r="P18" s="63"/>
      <c r="Q18" s="63">
        <v>140297</v>
      </c>
      <c r="R18" s="63"/>
      <c r="S18" s="63">
        <v>138418</v>
      </c>
      <c r="T18" s="63"/>
      <c r="U18" s="63">
        <v>144669</v>
      </c>
      <c r="V18" s="63"/>
      <c r="W18" s="63">
        <v>152536</v>
      </c>
      <c r="X18" s="63"/>
      <c r="Y18" s="63">
        <v>149300</v>
      </c>
      <c r="Z18" s="63"/>
    </row>
    <row r="19" spans="3:26" ht="11.25" customHeight="1">
      <c r="C19" s="63"/>
      <c r="D19" s="14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216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1:26" ht="11.25" customHeight="1">
      <c r="A20" s="115" t="s">
        <v>21</v>
      </c>
      <c r="C20" s="63"/>
      <c r="D20" s="14"/>
      <c r="E20" s="63"/>
      <c r="F20" s="63"/>
      <c r="G20" s="63">
        <v>9454</v>
      </c>
      <c r="H20" s="63"/>
      <c r="I20" s="63">
        <v>166742</v>
      </c>
      <c r="J20" s="63"/>
      <c r="K20" s="63">
        <v>202919</v>
      </c>
      <c r="L20" s="63"/>
      <c r="M20" s="63">
        <v>232176</v>
      </c>
      <c r="N20" s="63"/>
      <c r="O20" s="216">
        <v>244222</v>
      </c>
      <c r="P20" s="63"/>
      <c r="Q20" s="63">
        <v>244873</v>
      </c>
      <c r="R20" s="63"/>
      <c r="S20" s="63">
        <v>273876</v>
      </c>
      <c r="T20" s="63"/>
      <c r="U20" s="63">
        <v>281472</v>
      </c>
      <c r="V20" s="63"/>
      <c r="W20" s="63">
        <v>314064</v>
      </c>
      <c r="X20" s="63"/>
      <c r="Y20" s="63">
        <v>326605</v>
      </c>
      <c r="Z20" s="63"/>
    </row>
    <row r="21" spans="3:26" ht="11.25" customHeight="1">
      <c r="C21" s="63"/>
      <c r="D21" s="14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216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1:26" ht="11.25" customHeight="1">
      <c r="A22" s="115" t="s">
        <v>22</v>
      </c>
      <c r="C22" s="127">
        <v>155817</v>
      </c>
      <c r="D22" s="14"/>
      <c r="E22" s="63">
        <v>264798</v>
      </c>
      <c r="F22" s="63"/>
      <c r="G22" s="63">
        <v>250724</v>
      </c>
      <c r="H22" s="63"/>
      <c r="I22" s="63">
        <v>225942</v>
      </c>
      <c r="J22" s="63"/>
      <c r="K22" s="63">
        <v>252918</v>
      </c>
      <c r="L22" s="63"/>
      <c r="M22" s="63">
        <v>289570</v>
      </c>
      <c r="N22" s="63"/>
      <c r="O22" s="216">
        <v>290629</v>
      </c>
      <c r="P22" s="63"/>
      <c r="Q22" s="63">
        <v>272463</v>
      </c>
      <c r="R22" s="63"/>
      <c r="S22" s="63">
        <v>266661</v>
      </c>
      <c r="T22" s="63"/>
      <c r="U22" s="63">
        <v>272381</v>
      </c>
      <c r="V22" s="63"/>
      <c r="W22" s="63">
        <v>274181</v>
      </c>
      <c r="X22" s="63"/>
      <c r="Y22" s="63">
        <v>255054</v>
      </c>
      <c r="Z22" s="63"/>
    </row>
    <row r="23" spans="3:26" ht="11.25" customHeight="1">
      <c r="C23" s="63"/>
      <c r="D23" s="14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216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ht="11.25" customHeight="1">
      <c r="A24" s="115" t="s">
        <v>23</v>
      </c>
      <c r="C24" s="63"/>
      <c r="D24" s="14"/>
      <c r="E24" s="63"/>
      <c r="F24" s="63"/>
      <c r="G24" s="63">
        <v>33552</v>
      </c>
      <c r="H24" s="63"/>
      <c r="I24" s="63">
        <v>106582</v>
      </c>
      <c r="J24" s="63"/>
      <c r="K24" s="63">
        <v>163436</v>
      </c>
      <c r="L24" s="63"/>
      <c r="M24" s="63">
        <v>175711</v>
      </c>
      <c r="N24" s="63"/>
      <c r="O24" s="216">
        <v>174616</v>
      </c>
      <c r="P24" s="63"/>
      <c r="Q24" s="63">
        <v>193472</v>
      </c>
      <c r="R24" s="63"/>
      <c r="S24" s="63">
        <v>205663</v>
      </c>
      <c r="T24" s="63"/>
      <c r="U24" s="63">
        <v>209984</v>
      </c>
      <c r="V24" s="63"/>
      <c r="W24" s="63">
        <v>224535</v>
      </c>
      <c r="X24" s="63"/>
      <c r="Y24" s="63">
        <v>242945</v>
      </c>
      <c r="Z24" s="63"/>
    </row>
    <row r="25" spans="3:26" ht="11.25" customHeight="1">
      <c r="C25" s="63"/>
      <c r="D25" s="14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216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26" ht="11.25" customHeight="1">
      <c r="A26" s="115" t="s">
        <v>24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216"/>
      <c r="P26" s="63"/>
      <c r="Q26" s="63"/>
      <c r="R26" s="63"/>
      <c r="S26" s="63"/>
      <c r="T26" s="63"/>
      <c r="U26" s="63">
        <v>175545</v>
      </c>
      <c r="V26" s="63"/>
      <c r="W26" s="63">
        <v>242415</v>
      </c>
      <c r="X26" s="63"/>
      <c r="Y26" s="63">
        <v>288831</v>
      </c>
      <c r="Z26" s="63"/>
    </row>
    <row r="27" spans="3:26" ht="11.25" customHeight="1">
      <c r="C27" s="63"/>
      <c r="D27" s="14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216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26" ht="11.25" customHeight="1">
      <c r="A28" s="131" t="s">
        <v>25</v>
      </c>
      <c r="C28" s="63"/>
      <c r="D28" s="14"/>
      <c r="E28" s="63"/>
      <c r="F28" s="63"/>
      <c r="G28" s="63"/>
      <c r="H28" s="63"/>
      <c r="I28" s="63">
        <v>12082</v>
      </c>
      <c r="J28" s="63"/>
      <c r="K28" s="63">
        <v>172099</v>
      </c>
      <c r="L28" s="63"/>
      <c r="M28" s="63">
        <v>225320</v>
      </c>
      <c r="N28" s="63"/>
      <c r="O28" s="216">
        <v>245475</v>
      </c>
      <c r="P28" s="63"/>
      <c r="Q28" s="63">
        <v>235365</v>
      </c>
      <c r="R28" s="63"/>
      <c r="S28" s="63">
        <v>239276</v>
      </c>
      <c r="T28" s="63"/>
      <c r="U28" s="63">
        <v>232542</v>
      </c>
      <c r="V28" s="63"/>
      <c r="W28" s="63">
        <v>257376</v>
      </c>
      <c r="X28" s="63"/>
      <c r="Y28" s="63">
        <v>325460</v>
      </c>
      <c r="Z28" s="63"/>
    </row>
    <row r="29" spans="3:26" ht="11.25" customHeight="1">
      <c r="C29" s="63"/>
      <c r="D29" s="14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216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spans="1:26" ht="11.25" customHeight="1">
      <c r="A30" s="115" t="s">
        <v>45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216"/>
      <c r="P30" s="63"/>
      <c r="Q30" s="63">
        <v>128503</v>
      </c>
      <c r="R30" s="63"/>
      <c r="S30" s="63">
        <v>251758</v>
      </c>
      <c r="T30" s="63"/>
      <c r="U30" s="63">
        <v>268809</v>
      </c>
      <c r="V30" s="63"/>
      <c r="W30" s="63">
        <v>278482</v>
      </c>
      <c r="X30" s="63" t="s">
        <v>28</v>
      </c>
      <c r="Y30" s="63">
        <v>294100</v>
      </c>
      <c r="Z30" s="63"/>
    </row>
    <row r="31" spans="3:26" ht="11.25" customHeight="1">
      <c r="C31" s="63"/>
      <c r="D31" s="14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216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7" ht="11.25" customHeight="1">
      <c r="A32" s="115" t="s">
        <v>26</v>
      </c>
      <c r="C32" s="133"/>
      <c r="D32" s="130"/>
      <c r="E32" s="133"/>
      <c r="F32" s="130"/>
      <c r="G32" s="133"/>
      <c r="H32" s="130"/>
      <c r="I32" s="133"/>
      <c r="J32" s="130"/>
      <c r="K32" s="133"/>
      <c r="L32" s="130"/>
      <c r="M32" s="133"/>
      <c r="N32" s="130"/>
      <c r="O32" s="218">
        <v>144025</v>
      </c>
      <c r="P32" s="130"/>
      <c r="Q32" s="133">
        <v>231106</v>
      </c>
      <c r="R32" s="130"/>
      <c r="S32" s="133">
        <v>247047</v>
      </c>
      <c r="T32" s="130"/>
      <c r="U32" s="133">
        <v>278310</v>
      </c>
      <c r="V32" s="130"/>
      <c r="W32" s="133">
        <v>347717</v>
      </c>
      <c r="X32" s="130"/>
      <c r="Y32" s="133">
        <v>349100</v>
      </c>
      <c r="Z32" s="130"/>
      <c r="AA32" s="142"/>
    </row>
    <row r="33" spans="3:27" ht="11.25" customHeight="1">
      <c r="C33" s="134"/>
      <c r="E33" s="134"/>
      <c r="F33" s="128"/>
      <c r="G33" s="134"/>
      <c r="H33" s="128"/>
      <c r="I33" s="134"/>
      <c r="J33" s="135"/>
      <c r="K33" s="134"/>
      <c r="L33" s="128"/>
      <c r="M33" s="134"/>
      <c r="N33" s="128"/>
      <c r="O33" s="219"/>
      <c r="P33" s="128"/>
      <c r="Q33" s="134"/>
      <c r="R33" s="135"/>
      <c r="S33" s="134"/>
      <c r="T33" s="128"/>
      <c r="U33" s="134"/>
      <c r="V33" s="128"/>
      <c r="W33" s="134"/>
      <c r="X33" s="128"/>
      <c r="Y33" s="134"/>
      <c r="Z33" s="128"/>
      <c r="AA33" s="142"/>
    </row>
    <row r="34" spans="1:26" ht="11.25" customHeight="1" thickBot="1">
      <c r="A34" s="115" t="s">
        <v>38</v>
      </c>
      <c r="C34" s="136">
        <f>SUM(C10:C32)</f>
        <v>155817</v>
      </c>
      <c r="D34" s="137"/>
      <c r="E34" s="136">
        <f>SUM(E10:E32)</f>
        <v>373511</v>
      </c>
      <c r="F34" s="127"/>
      <c r="G34" s="136">
        <f>SUM(G10:G32)</f>
        <v>744687</v>
      </c>
      <c r="H34" s="127"/>
      <c r="I34" s="136">
        <f>SUM(I10:I32)</f>
        <v>1280631</v>
      </c>
      <c r="J34" s="127"/>
      <c r="K34" s="136">
        <f>SUM(K10:K32)</f>
        <v>1715475</v>
      </c>
      <c r="L34" s="127"/>
      <c r="M34" s="136">
        <f>SUM(M10:M32)</f>
        <v>2009596</v>
      </c>
      <c r="N34" s="127"/>
      <c r="O34" s="221">
        <f>SUM(O10:O32)</f>
        <v>2129841</v>
      </c>
      <c r="P34" s="183" t="s">
        <v>16</v>
      </c>
      <c r="Q34" s="136">
        <f>SUM(Q10:Q32)</f>
        <v>2400832</v>
      </c>
      <c r="R34" s="127"/>
      <c r="S34" s="136">
        <f>SUM(S10:S32)</f>
        <v>2569858</v>
      </c>
      <c r="T34" s="127"/>
      <c r="U34" s="136">
        <f>SUM(U10:U32)</f>
        <v>2824573</v>
      </c>
      <c r="V34" s="127"/>
      <c r="W34" s="136">
        <f>SUM(W10:W32)</f>
        <v>3078778</v>
      </c>
      <c r="X34" s="127"/>
      <c r="Y34" s="136">
        <f>SUM(Y10:Y32)</f>
        <v>3164242</v>
      </c>
      <c r="Z34" s="127"/>
    </row>
    <row r="35" spans="1:26" ht="11.25" customHeight="1" thickTop="1">
      <c r="A35" s="115"/>
      <c r="C35" s="138"/>
      <c r="D35" s="137"/>
      <c r="E35" s="138"/>
      <c r="F35" s="127"/>
      <c r="G35" s="138"/>
      <c r="H35" s="127"/>
      <c r="I35" s="138"/>
      <c r="J35" s="127"/>
      <c r="K35" s="138"/>
      <c r="L35" s="127"/>
      <c r="M35" s="138"/>
      <c r="N35" s="127"/>
      <c r="O35" s="138"/>
      <c r="P35" s="127"/>
      <c r="Q35" s="138"/>
      <c r="R35" s="127"/>
      <c r="S35" s="138"/>
      <c r="T35" s="127"/>
      <c r="U35" s="138"/>
      <c r="V35" s="127"/>
      <c r="W35" s="138"/>
      <c r="X35" s="127"/>
      <c r="Y35" s="138"/>
      <c r="Z35" s="127"/>
    </row>
    <row r="36" spans="1:26" ht="11.25" customHeight="1">
      <c r="A36" s="131" t="s">
        <v>53</v>
      </c>
      <c r="C36" s="138"/>
      <c r="D36" s="137"/>
      <c r="E36" s="138"/>
      <c r="F36" s="127"/>
      <c r="G36" s="138"/>
      <c r="H36" s="127"/>
      <c r="I36" s="138"/>
      <c r="J36" s="127"/>
      <c r="K36" s="138"/>
      <c r="L36" s="127"/>
      <c r="M36" s="138"/>
      <c r="N36" s="127"/>
      <c r="O36" s="138"/>
      <c r="P36" s="127"/>
      <c r="Q36" s="138"/>
      <c r="R36" s="127"/>
      <c r="S36" s="138"/>
      <c r="T36" s="127"/>
      <c r="U36" s="138"/>
      <c r="V36" s="127"/>
      <c r="W36" s="138"/>
      <c r="X36" s="127"/>
      <c r="Y36" s="138"/>
      <c r="Z36" s="127"/>
    </row>
    <row r="37" spans="1:25" ht="11.25" customHeight="1">
      <c r="A37" s="123" t="s">
        <v>94</v>
      </c>
      <c r="C37" s="126"/>
      <c r="E37" s="126"/>
      <c r="G37" s="126"/>
      <c r="I37" s="126"/>
      <c r="K37" s="126"/>
      <c r="M37" s="126"/>
      <c r="O37" s="126"/>
      <c r="Q37" s="126"/>
      <c r="S37" s="126"/>
      <c r="U37" s="126"/>
      <c r="W37" s="126"/>
      <c r="Y37" s="126"/>
    </row>
    <row r="38" spans="3:25" ht="11.25" customHeight="1">
      <c r="C38" s="71"/>
      <c r="E38" s="126"/>
      <c r="G38" s="126"/>
      <c r="I38" s="126"/>
      <c r="K38" s="126"/>
      <c r="M38" s="126"/>
      <c r="O38" s="126"/>
      <c r="Q38" s="126"/>
      <c r="S38" s="126"/>
      <c r="U38" s="126"/>
      <c r="W38" s="126"/>
      <c r="Y38" s="126"/>
    </row>
    <row r="39" ht="11.25" customHeight="1">
      <c r="A39" s="115"/>
    </row>
    <row r="40" ht="11.25" customHeight="1">
      <c r="A40" s="115"/>
    </row>
    <row r="41" ht="11.25" customHeight="1">
      <c r="A41" s="115"/>
    </row>
    <row r="42" ht="11.25" customHeight="1">
      <c r="A42" s="115"/>
    </row>
    <row r="43" spans="1:5" ht="11.25" customHeight="1">
      <c r="A43" s="115" t="s">
        <v>0</v>
      </c>
      <c r="E43" s="139"/>
    </row>
    <row r="44" ht="11.25" customHeight="1">
      <c r="A44" s="115" t="s">
        <v>54</v>
      </c>
    </row>
    <row r="45" spans="1:4" ht="11.25" customHeight="1">
      <c r="A45" s="119" t="str">
        <f>A3</f>
        <v>1978-1989</v>
      </c>
      <c r="B45" s="140"/>
      <c r="C45" s="140"/>
      <c r="D45" s="140"/>
    </row>
    <row r="46" spans="1:4" ht="11.25" customHeight="1">
      <c r="A46" s="141"/>
      <c r="B46" s="142"/>
      <c r="C46" s="142"/>
      <c r="D46" s="142"/>
    </row>
    <row r="47" spans="1:3" ht="11.25" customHeight="1">
      <c r="A47" s="126"/>
      <c r="B47" s="126"/>
      <c r="C47"/>
    </row>
    <row r="48" spans="3:25" ht="11.25" customHeight="1">
      <c r="C48"/>
      <c r="E48" s="124" t="s">
        <v>4</v>
      </c>
      <c r="G48" s="124" t="s">
        <v>5</v>
      </c>
      <c r="I48" s="124" t="s">
        <v>6</v>
      </c>
      <c r="K48" s="124" t="s">
        <v>7</v>
      </c>
      <c r="M48" s="124" t="s">
        <v>8</v>
      </c>
      <c r="O48" s="124" t="s">
        <v>9</v>
      </c>
      <c r="Q48" s="124" t="s">
        <v>10</v>
      </c>
      <c r="S48" s="124" t="s">
        <v>11</v>
      </c>
      <c r="U48" s="124" t="s">
        <v>12</v>
      </c>
      <c r="W48" s="124" t="s">
        <v>13</v>
      </c>
      <c r="Y48" s="124" t="s">
        <v>14</v>
      </c>
    </row>
    <row r="49" ht="11.25" customHeight="1">
      <c r="C49"/>
    </row>
    <row r="50" spans="1:26" ht="11.25" customHeight="1">
      <c r="A50" s="115" t="s">
        <v>15</v>
      </c>
      <c r="C50" s="143"/>
      <c r="D50" s="144"/>
      <c r="E50" s="143"/>
      <c r="F50" s="144"/>
      <c r="G50" s="143"/>
      <c r="H50" s="144"/>
      <c r="I50" s="143"/>
      <c r="J50" s="144"/>
      <c r="K50" s="143">
        <f>(K10-I10)/I10</f>
        <v>0.465</v>
      </c>
      <c r="L50" s="144"/>
      <c r="M50" s="143">
        <f>(M10-K10)/K10</f>
        <v>0.014</v>
      </c>
      <c r="N50" s="144"/>
      <c r="O50" s="143">
        <f>(O10-M10)/M10</f>
        <v>-0.001</v>
      </c>
      <c r="P50" s="144"/>
      <c r="Q50" s="143">
        <f>(Q10-O10)/O10</f>
        <v>-0.082</v>
      </c>
      <c r="R50" s="144"/>
      <c r="S50" s="143">
        <f>(S10-Q10)/Q10</f>
        <v>-0.203</v>
      </c>
      <c r="T50" s="144"/>
      <c r="U50" s="143">
        <f>(U10-S10)/S10</f>
        <v>-0.272</v>
      </c>
      <c r="V50" s="144"/>
      <c r="W50" s="143">
        <f>(W10-U10)/U10</f>
        <v>0.109</v>
      </c>
      <c r="X50" s="144"/>
      <c r="Y50" s="143">
        <f>(Y10-W10)/W10</f>
        <v>-0.626</v>
      </c>
      <c r="Z50" s="144" t="s">
        <v>46</v>
      </c>
    </row>
    <row r="51" spans="3:26" ht="11.25" customHeight="1">
      <c r="C51" s="143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</row>
    <row r="52" spans="1:26" ht="11.25" customHeight="1">
      <c r="A52" s="115" t="s">
        <v>17</v>
      </c>
      <c r="C52" s="143"/>
      <c r="D52" s="144"/>
      <c r="E52" s="143"/>
      <c r="F52" s="144"/>
      <c r="G52" s="143"/>
      <c r="H52" s="144"/>
      <c r="I52" s="143">
        <f>(I12-G12)/G12</f>
        <v>30.581</v>
      </c>
      <c r="J52" s="144"/>
      <c r="K52" s="143">
        <f>(K12-I12)/I12</f>
        <v>0.148</v>
      </c>
      <c r="L52" s="144"/>
      <c r="M52" s="143">
        <f>(M12-K12)/K12</f>
        <v>0.376</v>
      </c>
      <c r="N52" s="144"/>
      <c r="O52" s="143">
        <f>(O12-M12)/M12</f>
        <v>-0.323</v>
      </c>
      <c r="P52" s="214" t="s">
        <v>16</v>
      </c>
      <c r="Q52" s="143">
        <f>(Q12-O12)/O12</f>
        <v>0.346</v>
      </c>
      <c r="R52" s="144"/>
      <c r="S52" s="143">
        <f>(S12-Q12)/Q12</f>
        <v>0.036</v>
      </c>
      <c r="T52" s="144"/>
      <c r="U52" s="143">
        <f>(U12-S12)/S12</f>
        <v>-0.014</v>
      </c>
      <c r="V52" s="144"/>
      <c r="W52" s="143">
        <f>(W12-U12)/U12</f>
        <v>-0.082</v>
      </c>
      <c r="X52" s="144"/>
      <c r="Y52" s="143">
        <f>(Y12-W12)/W12</f>
        <v>-0.038</v>
      </c>
      <c r="Z52" s="144"/>
    </row>
    <row r="53" spans="3:26" ht="11.25" customHeight="1">
      <c r="C53" s="143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</row>
    <row r="54" spans="1:26" ht="11.25" customHeight="1">
      <c r="A54" s="115" t="s">
        <v>18</v>
      </c>
      <c r="C54" s="143"/>
      <c r="D54" s="144"/>
      <c r="E54" s="143"/>
      <c r="F54" s="144"/>
      <c r="G54" s="143">
        <f>(G14-E14)/E14</f>
        <v>102.683</v>
      </c>
      <c r="H54" s="144"/>
      <c r="I54" s="143">
        <f>(I14-G14)/G14</f>
        <v>0.024</v>
      </c>
      <c r="J54" s="144"/>
      <c r="K54" s="143">
        <f>(K14-I14)/I14</f>
        <v>0.047</v>
      </c>
      <c r="L54" s="144"/>
      <c r="M54" s="143">
        <f>(M14-K14)/K14</f>
        <v>0.179</v>
      </c>
      <c r="N54" s="144"/>
      <c r="O54" s="143">
        <f>(O14-M14)/M14</f>
        <v>0.03</v>
      </c>
      <c r="P54" s="144"/>
      <c r="Q54" s="143">
        <f>(Q14-O14)/O14</f>
        <v>-0.057</v>
      </c>
      <c r="R54" s="144"/>
      <c r="S54" s="143">
        <f>(S14-Q14)/Q14</f>
        <v>0.011</v>
      </c>
      <c r="T54" s="144"/>
      <c r="U54" s="143">
        <f>(U14-S14)/S14</f>
        <v>0.095</v>
      </c>
      <c r="V54" s="144"/>
      <c r="W54" s="143">
        <f>(W14-U14)/U14</f>
        <v>0.065</v>
      </c>
      <c r="X54" s="144"/>
      <c r="Y54" s="143">
        <f>(Y14-W14)/W14</f>
        <v>0.077</v>
      </c>
      <c r="Z54" s="144"/>
    </row>
    <row r="55" spans="3:26" ht="11.25" customHeight="1">
      <c r="C55" s="143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</row>
    <row r="56" spans="1:26" ht="11.25" customHeight="1">
      <c r="A56" s="115" t="s">
        <v>19</v>
      </c>
      <c r="C56" s="143"/>
      <c r="D56" s="144"/>
      <c r="E56" s="143"/>
      <c r="F56" s="144"/>
      <c r="G56" s="143">
        <f>(G16-E16)/E16</f>
        <v>1.219</v>
      </c>
      <c r="H56" s="144"/>
      <c r="I56" s="143">
        <f>(I16-G16)/G16</f>
        <v>-0.077</v>
      </c>
      <c r="J56" s="144"/>
      <c r="K56" s="143">
        <f>(K16-I16)/I16</f>
        <v>-0.006</v>
      </c>
      <c r="L56" s="144"/>
      <c r="M56" s="143">
        <f>(M16-K16)/K16</f>
        <v>0.094</v>
      </c>
      <c r="N56" s="144"/>
      <c r="O56" s="143">
        <f>(O16-M16)/M16</f>
        <v>0.064</v>
      </c>
      <c r="P56" s="144"/>
      <c r="Q56" s="143">
        <f>(Q16-O16)/O16</f>
        <v>0.112</v>
      </c>
      <c r="R56" s="144"/>
      <c r="S56" s="143">
        <f>(S16-Q16)/Q16</f>
        <v>0.041</v>
      </c>
      <c r="T56" s="144"/>
      <c r="U56" s="143">
        <f>(U16-S16)/S16</f>
        <v>0.091</v>
      </c>
      <c r="V56" s="144"/>
      <c r="W56" s="143">
        <f>(W16-U16)/U16</f>
        <v>0.063</v>
      </c>
      <c r="X56" s="144"/>
      <c r="Y56" s="143">
        <f>(Y16-W16)/W16</f>
        <v>-0.019</v>
      </c>
      <c r="Z56" s="144"/>
    </row>
    <row r="57" spans="3:26" ht="11.25" customHeight="1">
      <c r="C57" s="143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</row>
    <row r="58" spans="1:26" ht="11.25" customHeight="1">
      <c r="A58" s="131" t="s">
        <v>52</v>
      </c>
      <c r="C58" s="143"/>
      <c r="D58" s="144"/>
      <c r="E58" s="143"/>
      <c r="F58" s="144"/>
      <c r="G58" s="143"/>
      <c r="H58" s="144"/>
      <c r="I58" s="143"/>
      <c r="J58" s="144"/>
      <c r="K58" s="143">
        <f>(K18-I18)/I18</f>
        <v>1.621</v>
      </c>
      <c r="L58" s="144"/>
      <c r="M58" s="143">
        <f>(M18-K18)/K18</f>
        <v>0.195</v>
      </c>
      <c r="N58" s="144"/>
      <c r="O58" s="143">
        <f>(O18-M18)/M18</f>
        <v>0.115</v>
      </c>
      <c r="P58" s="144"/>
      <c r="Q58" s="143">
        <f>(Q18-O18)/O18</f>
        <v>-0.018</v>
      </c>
      <c r="R58" s="144"/>
      <c r="S58" s="143">
        <f>(S18-Q18)/Q18</f>
        <v>-0.013</v>
      </c>
      <c r="T58" s="144"/>
      <c r="U58" s="143">
        <f>(U18-S18)/S18</f>
        <v>0.045</v>
      </c>
      <c r="V58" s="144"/>
      <c r="W58" s="143">
        <f>(W18-U18)/U18</f>
        <v>0.054</v>
      </c>
      <c r="X58" s="144"/>
      <c r="Y58" s="143">
        <f>(Y18-W18)/W18</f>
        <v>-0.021</v>
      </c>
      <c r="Z58" s="144"/>
    </row>
    <row r="59" spans="3:26" ht="11.25" customHeight="1">
      <c r="C59" s="143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</row>
    <row r="60" spans="1:26" ht="11.25" customHeight="1">
      <c r="A60" s="115" t="s">
        <v>21</v>
      </c>
      <c r="C60" s="143"/>
      <c r="D60" s="144"/>
      <c r="E60" s="143"/>
      <c r="F60" s="144"/>
      <c r="G60" s="143"/>
      <c r="H60" s="144"/>
      <c r="I60" s="143">
        <f>(I20-G20)/G20</f>
        <v>16.637</v>
      </c>
      <c r="J60" s="144"/>
      <c r="K60" s="143">
        <f>(K20-I20)/I20</f>
        <v>0.217</v>
      </c>
      <c r="L60" s="144"/>
      <c r="M60" s="143">
        <f>(M20-K20)/K20</f>
        <v>0.144</v>
      </c>
      <c r="N60" s="144"/>
      <c r="O60" s="143">
        <f>(O20-M20)/M20</f>
        <v>0.052</v>
      </c>
      <c r="P60" s="144"/>
      <c r="Q60" s="143">
        <f>(Q20-O20)/O20</f>
        <v>0.003</v>
      </c>
      <c r="R60" s="144"/>
      <c r="S60" s="143">
        <f>(S20-Q20)/Q20</f>
        <v>0.118</v>
      </c>
      <c r="T60" s="144"/>
      <c r="U60" s="143">
        <f>(U20-S20)/S20</f>
        <v>0.028</v>
      </c>
      <c r="V60" s="144"/>
      <c r="W60" s="143">
        <f>(W20-U20)/U20</f>
        <v>0.116</v>
      </c>
      <c r="X60" s="144"/>
      <c r="Y60" s="143">
        <f>(Y20-W20)/W20</f>
        <v>0.04</v>
      </c>
      <c r="Z60" s="144"/>
    </row>
    <row r="61" spans="3:26" ht="11.25" customHeight="1">
      <c r="C61" s="143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</row>
    <row r="62" spans="1:26" ht="11.25" customHeight="1">
      <c r="A62" s="115" t="s">
        <v>22</v>
      </c>
      <c r="C62" s="143"/>
      <c r="D62" s="144"/>
      <c r="E62" s="143">
        <f>(E22-C22)/C22</f>
        <v>0.699</v>
      </c>
      <c r="F62" s="144"/>
      <c r="G62" s="143">
        <f>(G22-E22)/E22</f>
        <v>-0.053</v>
      </c>
      <c r="H62" s="144"/>
      <c r="I62" s="143">
        <f>(I22-G22)/G22</f>
        <v>-0.099</v>
      </c>
      <c r="J62" s="144"/>
      <c r="K62" s="143">
        <f>(K22-I22)/I22</f>
        <v>0.119</v>
      </c>
      <c r="L62" s="144"/>
      <c r="M62" s="143">
        <f>(M22-K22)/K22</f>
        <v>0.145</v>
      </c>
      <c r="N62" s="144"/>
      <c r="O62" s="143">
        <f>(O22-M22)/M22</f>
        <v>0.004</v>
      </c>
      <c r="P62" s="144"/>
      <c r="Q62" s="143">
        <f>(Q22-O22)/O22</f>
        <v>-0.063</v>
      </c>
      <c r="R62" s="144"/>
      <c r="S62" s="143">
        <f>(S22-Q22)/Q22</f>
        <v>-0.021</v>
      </c>
      <c r="T62" s="144"/>
      <c r="U62" s="143">
        <f>(U22-S22)/S22</f>
        <v>0.021</v>
      </c>
      <c r="V62" s="144"/>
      <c r="W62" s="143">
        <f>(W22-U22)/U22</f>
        <v>0.007</v>
      </c>
      <c r="X62" s="144"/>
      <c r="Y62" s="143">
        <f>(Y22-W22)/W22</f>
        <v>-0.07</v>
      </c>
      <c r="Z62" s="144"/>
    </row>
    <row r="63" spans="3:26" ht="11.25" customHeight="1">
      <c r="C63" s="143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</row>
    <row r="64" spans="1:26" ht="11.25" customHeight="1">
      <c r="A64" s="115" t="s">
        <v>23</v>
      </c>
      <c r="C64" s="143"/>
      <c r="D64" s="144"/>
      <c r="E64" s="143"/>
      <c r="F64" s="144"/>
      <c r="G64" s="143"/>
      <c r="H64" s="144"/>
      <c r="I64" s="143">
        <f>(I24-G24)/G24</f>
        <v>2.177</v>
      </c>
      <c r="J64" s="144"/>
      <c r="K64" s="143">
        <f>(K24-I24)/I24</f>
        <v>0.533</v>
      </c>
      <c r="L64" s="144"/>
      <c r="M64" s="143">
        <f>(M24-K24)/K24</f>
        <v>0.075</v>
      </c>
      <c r="N64" s="144"/>
      <c r="O64" s="143">
        <f>(O24-M24)/M24</f>
        <v>-0.006</v>
      </c>
      <c r="P64" s="144"/>
      <c r="Q64" s="143">
        <f>(Q24-O24)/O24</f>
        <v>0.108</v>
      </c>
      <c r="R64" s="144"/>
      <c r="S64" s="143">
        <f>(S24-Q24)/Q24</f>
        <v>0.063</v>
      </c>
      <c r="T64" s="144"/>
      <c r="U64" s="143">
        <f>(U24-S24)/S24</f>
        <v>0.021</v>
      </c>
      <c r="V64" s="144"/>
      <c r="W64" s="143">
        <f>(W24-U24)/U24</f>
        <v>0.069</v>
      </c>
      <c r="X64" s="144"/>
      <c r="Y64" s="143">
        <f>(Y24-W24)/W24</f>
        <v>0.082</v>
      </c>
      <c r="Z64" s="144"/>
    </row>
    <row r="65" spans="3:26" ht="11.25" customHeight="1">
      <c r="C65" s="143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</row>
    <row r="66" spans="1:26" ht="11.25" customHeight="1">
      <c r="A66" s="115" t="s">
        <v>24</v>
      </c>
      <c r="C66" s="143"/>
      <c r="D66" s="144"/>
      <c r="E66" s="143"/>
      <c r="F66" s="144"/>
      <c r="G66" s="143"/>
      <c r="H66" s="144"/>
      <c r="I66" s="143"/>
      <c r="J66" s="144"/>
      <c r="K66" s="143"/>
      <c r="L66" s="144"/>
      <c r="M66" s="143"/>
      <c r="N66" s="144"/>
      <c r="O66" s="143"/>
      <c r="P66" s="144"/>
      <c r="Q66" s="143"/>
      <c r="R66" s="144"/>
      <c r="S66" s="143"/>
      <c r="T66" s="144"/>
      <c r="U66" s="143"/>
      <c r="V66" s="144"/>
      <c r="W66" s="143">
        <f>(W26-U26)/U26</f>
        <v>0.381</v>
      </c>
      <c r="X66" s="144"/>
      <c r="Y66" s="143">
        <f>(Y26-W26)/W26</f>
        <v>0.191</v>
      </c>
      <c r="Z66" s="144"/>
    </row>
    <row r="67" spans="3:26" ht="11.25" customHeight="1">
      <c r="C67" s="143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</row>
    <row r="68" spans="1:26" ht="11.25" customHeight="1">
      <c r="A68" s="131" t="s">
        <v>25</v>
      </c>
      <c r="C68" s="143"/>
      <c r="D68" s="144"/>
      <c r="E68" s="143"/>
      <c r="F68" s="144"/>
      <c r="G68" s="143"/>
      <c r="H68" s="144"/>
      <c r="I68" s="143"/>
      <c r="J68" s="144"/>
      <c r="K68" s="143">
        <f>(K28-I28)/I28</f>
        <v>13.244</v>
      </c>
      <c r="L68" s="144"/>
      <c r="M68" s="143">
        <f>(M28-K28)/K28</f>
        <v>0.309</v>
      </c>
      <c r="N68" s="144"/>
      <c r="O68" s="143">
        <f>(O28-M28)/M28</f>
        <v>0.089</v>
      </c>
      <c r="P68" s="144"/>
      <c r="Q68" s="143">
        <f>(Q28-O28)/O28</f>
        <v>-0.041</v>
      </c>
      <c r="R68" s="144"/>
      <c r="S68" s="143">
        <f>(S28-Q28)/Q28</f>
        <v>0.017</v>
      </c>
      <c r="T68" s="144"/>
      <c r="U68" s="143">
        <f>(U28-S28)/S28</f>
        <v>-0.028</v>
      </c>
      <c r="V68" s="144"/>
      <c r="W68" s="143">
        <f>(W28-U28)/U28</f>
        <v>0.107</v>
      </c>
      <c r="X68" s="144"/>
      <c r="Y68" s="143">
        <f>(Y28-W28)/W28</f>
        <v>0.265</v>
      </c>
      <c r="Z68" s="144"/>
    </row>
    <row r="69" spans="3:26" ht="11.25" customHeight="1">
      <c r="C69" s="143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</row>
    <row r="70" spans="1:26" ht="11.25" customHeight="1">
      <c r="A70" s="115" t="s">
        <v>45</v>
      </c>
      <c r="C70" s="143"/>
      <c r="D70" s="144"/>
      <c r="E70" s="143"/>
      <c r="F70" s="144"/>
      <c r="G70" s="143"/>
      <c r="H70" s="144"/>
      <c r="I70" s="143"/>
      <c r="J70" s="144"/>
      <c r="K70" s="143"/>
      <c r="L70" s="144"/>
      <c r="M70" s="143"/>
      <c r="N70" s="144"/>
      <c r="O70" s="143"/>
      <c r="P70" s="144"/>
      <c r="Q70" s="143"/>
      <c r="R70" s="144"/>
      <c r="S70" s="143">
        <f>(S30-Q30)/Q30</f>
        <v>0.959</v>
      </c>
      <c r="T70" s="144"/>
      <c r="U70" s="143">
        <f>(U30-S30)/S30</f>
        <v>0.068</v>
      </c>
      <c r="V70" s="144"/>
      <c r="W70" s="143">
        <f>(W30-U30)/U30</f>
        <v>0.036</v>
      </c>
      <c r="X70" s="144"/>
      <c r="Y70" s="143">
        <f>(Y30-W30)/W30</f>
        <v>0.056</v>
      </c>
      <c r="Z70" s="144"/>
    </row>
    <row r="71" spans="3:26" ht="11.25" customHeight="1">
      <c r="C71" s="143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</row>
    <row r="72" spans="1:26" ht="11.25" customHeight="1">
      <c r="A72" s="115" t="s">
        <v>26</v>
      </c>
      <c r="C72" s="143"/>
      <c r="D72" s="144"/>
      <c r="E72" s="143"/>
      <c r="F72" s="144"/>
      <c r="G72" s="143"/>
      <c r="H72" s="144"/>
      <c r="I72" s="143"/>
      <c r="J72" s="144"/>
      <c r="K72" s="143"/>
      <c r="L72" s="144"/>
      <c r="M72" s="143"/>
      <c r="N72" s="144"/>
      <c r="O72" s="143"/>
      <c r="P72" s="144"/>
      <c r="Q72" s="143">
        <f>(Q32-O32)/O32</f>
        <v>0.605</v>
      </c>
      <c r="R72" s="144"/>
      <c r="S72" s="143">
        <f>(S32-Q32)/Q32</f>
        <v>0.069</v>
      </c>
      <c r="T72" s="144"/>
      <c r="U72" s="143">
        <f>(U32-S32)/S32</f>
        <v>0.127</v>
      </c>
      <c r="V72" s="144"/>
      <c r="W72" s="143">
        <f>(W32-U32)/U32</f>
        <v>0.249</v>
      </c>
      <c r="X72" s="144"/>
      <c r="Y72" s="143">
        <f>(Y32-W32)/W32</f>
        <v>0.004</v>
      </c>
      <c r="Z72" s="144"/>
    </row>
    <row r="73" spans="3:27" ht="11.25" customHeight="1">
      <c r="C73" s="143"/>
      <c r="D73" s="135"/>
      <c r="E73" s="134"/>
      <c r="F73" s="135"/>
      <c r="G73" s="134"/>
      <c r="H73" s="135"/>
      <c r="I73" s="134"/>
      <c r="J73" s="135"/>
      <c r="K73" s="134"/>
      <c r="L73" s="135"/>
      <c r="M73" s="134"/>
      <c r="N73" s="135"/>
      <c r="O73" s="134"/>
      <c r="P73" s="135"/>
      <c r="Q73" s="134"/>
      <c r="R73" s="135"/>
      <c r="S73" s="134"/>
      <c r="T73" s="135"/>
      <c r="U73" s="134"/>
      <c r="V73" s="135"/>
      <c r="W73" s="134"/>
      <c r="X73" s="135"/>
      <c r="Y73" s="134"/>
      <c r="Z73" s="135"/>
      <c r="AA73" s="142"/>
    </row>
    <row r="74" spans="1:27" ht="11.25" customHeight="1">
      <c r="A74" s="115" t="s">
        <v>38</v>
      </c>
      <c r="C74" s="143"/>
      <c r="D74" s="135"/>
      <c r="E74" s="143">
        <f>(E34-C34)/C34</f>
        <v>1.397</v>
      </c>
      <c r="F74" s="145"/>
      <c r="G74" s="143">
        <f>(G34-E34)/E34</f>
        <v>0.994</v>
      </c>
      <c r="H74" s="145"/>
      <c r="I74" s="143">
        <f>(I34-G34)/G34</f>
        <v>0.72</v>
      </c>
      <c r="J74" s="145"/>
      <c r="K74" s="143">
        <f>(K34-I34)/I34</f>
        <v>0.34</v>
      </c>
      <c r="L74" s="145"/>
      <c r="M74" s="143">
        <f>(M34-K34)/K34</f>
        <v>0.171</v>
      </c>
      <c r="N74" s="145"/>
      <c r="O74" s="143">
        <f>(O34-M34)/M34</f>
        <v>0.06</v>
      </c>
      <c r="P74" s="222" t="s">
        <v>16</v>
      </c>
      <c r="Q74" s="143">
        <f>(Q34-O34)/O34</f>
        <v>0.127</v>
      </c>
      <c r="R74" s="145"/>
      <c r="S74" s="143">
        <f>(S34-Q34)/Q34</f>
        <v>0.07</v>
      </c>
      <c r="T74" s="145"/>
      <c r="U74" s="143">
        <f>(U34-S34)/S34</f>
        <v>0.099</v>
      </c>
      <c r="V74" s="145"/>
      <c r="W74" s="143">
        <f>(W34-U34)/U34</f>
        <v>0.09</v>
      </c>
      <c r="X74" s="145"/>
      <c r="Y74" s="143">
        <f>(Y34-W34)/W34</f>
        <v>0.028</v>
      </c>
      <c r="Z74" s="145"/>
      <c r="AA74" s="142"/>
    </row>
    <row r="75" spans="3:27" ht="11.25" customHeight="1">
      <c r="C75" s="146"/>
      <c r="D75" s="142"/>
      <c r="E75" s="146"/>
      <c r="F75" s="142"/>
      <c r="G75" s="146"/>
      <c r="H75" s="142"/>
      <c r="I75" s="146"/>
      <c r="J75" s="142"/>
      <c r="K75" s="146"/>
      <c r="L75" s="142"/>
      <c r="M75" s="146"/>
      <c r="N75" s="142"/>
      <c r="O75" s="146"/>
      <c r="P75" s="142"/>
      <c r="Q75" s="146"/>
      <c r="R75" s="142"/>
      <c r="S75" s="146"/>
      <c r="T75" s="142"/>
      <c r="U75" s="146"/>
      <c r="V75" s="142"/>
      <c r="W75" s="146"/>
      <c r="X75" s="142"/>
      <c r="Y75" s="146"/>
      <c r="Z75" s="142"/>
      <c r="AA75" s="142"/>
    </row>
    <row r="76" spans="1:25" ht="11.25" customHeight="1">
      <c r="A76" s="131" t="s">
        <v>53</v>
      </c>
      <c r="C76" s="126"/>
      <c r="E76" s="126"/>
      <c r="G76" s="126"/>
      <c r="I76" s="126"/>
      <c r="K76" s="126"/>
      <c r="L76" s="142"/>
      <c r="M76" s="126"/>
      <c r="O76" s="126"/>
      <c r="Q76" s="126"/>
      <c r="S76" s="126"/>
      <c r="T76" s="142"/>
      <c r="U76" s="126"/>
      <c r="V76" s="142"/>
      <c r="W76" s="126"/>
      <c r="Y76" s="126"/>
    </row>
    <row r="77" spans="1:25" ht="11.25" customHeight="1">
      <c r="A77" s="123" t="s">
        <v>94</v>
      </c>
      <c r="C77" s="71"/>
      <c r="E77" s="126"/>
      <c r="G77" s="126"/>
      <c r="I77" s="126"/>
      <c r="K77" s="126"/>
      <c r="L77" s="142"/>
      <c r="M77" s="126"/>
      <c r="O77" s="126"/>
      <c r="Q77" s="126"/>
      <c r="S77" s="126"/>
      <c r="T77" s="142"/>
      <c r="U77" s="126"/>
      <c r="W77" s="126"/>
      <c r="Y77" s="126"/>
    </row>
    <row r="78" spans="3:25" ht="11.25" customHeight="1">
      <c r="C78" s="126"/>
      <c r="E78" s="126"/>
      <c r="G78" s="126"/>
      <c r="I78" s="126"/>
      <c r="K78" s="126"/>
      <c r="M78" s="126"/>
      <c r="O78" s="126"/>
      <c r="Q78" s="126"/>
      <c r="S78" s="126"/>
      <c r="U78" s="126"/>
      <c r="W78" s="126"/>
      <c r="Y78" s="126"/>
    </row>
    <row r="79" spans="3:25" ht="11.25" customHeight="1">
      <c r="C79" s="126"/>
      <c r="E79" s="126"/>
      <c r="G79" s="126"/>
      <c r="I79" s="126"/>
      <c r="K79" s="126"/>
      <c r="M79" s="126"/>
      <c r="O79" s="126"/>
      <c r="Q79" s="126"/>
      <c r="S79" s="126"/>
      <c r="U79" s="126"/>
      <c r="W79" s="126"/>
      <c r="Y79" s="126"/>
    </row>
    <row r="80" spans="3:25" ht="11.25" customHeight="1">
      <c r="C80" s="126"/>
      <c r="E80" s="126"/>
      <c r="G80" s="126"/>
      <c r="I80" s="126"/>
      <c r="K80" s="126"/>
      <c r="M80" s="126"/>
      <c r="O80" s="126"/>
      <c r="Q80" s="126"/>
      <c r="S80" s="126"/>
      <c r="U80" s="126"/>
      <c r="W80" s="126"/>
      <c r="Y80" s="126"/>
    </row>
    <row r="81" ht="11.25" customHeight="1">
      <c r="A81" s="115"/>
    </row>
    <row r="82" spans="1:5" ht="11.25" customHeight="1">
      <c r="A82" s="115" t="s">
        <v>0</v>
      </c>
      <c r="E82" s="139"/>
    </row>
    <row r="83" ht="11.25" customHeight="1">
      <c r="A83" s="131" t="s">
        <v>55</v>
      </c>
    </row>
    <row r="84" spans="1:4" ht="11.25" customHeight="1">
      <c r="A84" s="119" t="str">
        <f>A3</f>
        <v>1978-1989</v>
      </c>
      <c r="B84" s="140"/>
      <c r="C84" s="140"/>
      <c r="D84" s="140"/>
    </row>
    <row r="85" spans="1:3" ht="11.25" customHeight="1">
      <c r="A85" s="115" t="s">
        <v>2</v>
      </c>
      <c r="B85" s="126"/>
      <c r="C85" s="115"/>
    </row>
    <row r="86" ht="11.25" customHeight="1">
      <c r="A86"/>
    </row>
    <row r="88" spans="3:25" ht="11.25" customHeight="1">
      <c r="C88" s="124" t="s">
        <v>3</v>
      </c>
      <c r="E88" s="124" t="s">
        <v>4</v>
      </c>
      <c r="G88" s="124" t="s">
        <v>5</v>
      </c>
      <c r="I88" s="124" t="s">
        <v>6</v>
      </c>
      <c r="K88" s="124" t="s">
        <v>7</v>
      </c>
      <c r="M88" s="124" t="s">
        <v>8</v>
      </c>
      <c r="O88" s="124" t="s">
        <v>9</v>
      </c>
      <c r="Q88" s="124" t="s">
        <v>10</v>
      </c>
      <c r="S88" s="124" t="s">
        <v>11</v>
      </c>
      <c r="U88" s="124" t="s">
        <v>12</v>
      </c>
      <c r="W88" s="124" t="s">
        <v>13</v>
      </c>
      <c r="Y88" s="124" t="s">
        <v>14</v>
      </c>
    </row>
    <row r="90" spans="1:26" ht="11.25" customHeight="1">
      <c r="A90" s="115" t="s">
        <v>15</v>
      </c>
      <c r="C90" s="137"/>
      <c r="D90" s="137"/>
      <c r="E90" s="137"/>
      <c r="F90" s="137"/>
      <c r="G90" s="137"/>
      <c r="H90" s="137"/>
      <c r="I90" s="137">
        <f>-1045+5141+10424</f>
        <v>14520</v>
      </c>
      <c r="J90" s="137"/>
      <c r="K90" s="137">
        <f>66+13652+8193</f>
        <v>21911</v>
      </c>
      <c r="L90" s="137"/>
      <c r="M90" s="137">
        <f>M10-120420-17467-1029</f>
        <v>29278</v>
      </c>
      <c r="N90" s="137"/>
      <c r="O90" s="226">
        <f>O10-104454-39841-725</f>
        <v>22972</v>
      </c>
      <c r="P90" s="137"/>
      <c r="Q90" s="137">
        <f>Q10-107171-43087-1016</f>
        <v>2901</v>
      </c>
      <c r="R90" s="137"/>
      <c r="S90" s="137">
        <f>S10-88565-24114-2207</f>
        <v>8054</v>
      </c>
      <c r="T90" s="137"/>
      <c r="U90" s="137">
        <f>U10-72039-19129-22</f>
        <v>-1692</v>
      </c>
      <c r="V90" s="137"/>
      <c r="W90" s="137">
        <f>W10-70108-32578-45</f>
        <v>-3433</v>
      </c>
      <c r="X90" s="137"/>
      <c r="Y90" s="137">
        <f>Y10-33776-12579+390</f>
        <v>-8778</v>
      </c>
      <c r="Z90" s="147" t="s">
        <v>16</v>
      </c>
    </row>
    <row r="92" spans="1:26" ht="11.25" customHeight="1">
      <c r="A92" s="131" t="s">
        <v>56</v>
      </c>
      <c r="C92" s="14"/>
      <c r="D92" s="14"/>
      <c r="E92" s="14"/>
      <c r="F92" s="14"/>
      <c r="G92" s="137">
        <f>-2717+675+293</f>
        <v>-1749</v>
      </c>
      <c r="H92" s="14"/>
      <c r="I92" s="14">
        <f>31252+13078+6331</f>
        <v>50661</v>
      </c>
      <c r="J92" s="14"/>
      <c r="K92" s="14">
        <f>41485+12431+7487</f>
        <v>61403</v>
      </c>
      <c r="L92" s="14"/>
      <c r="M92" s="14">
        <f>72947+10210+11107</f>
        <v>94264</v>
      </c>
      <c r="N92" s="14"/>
      <c r="O92" s="224">
        <v>70759</v>
      </c>
      <c r="P92" s="223" t="s">
        <v>83</v>
      </c>
      <c r="Q92" s="14">
        <f>Q12-136531-40380-3041</f>
        <v>83561</v>
      </c>
      <c r="R92" s="14"/>
      <c r="S92" s="14">
        <f>S12-115425-69552+587</f>
        <v>88545</v>
      </c>
      <c r="T92" s="14"/>
      <c r="U92" s="14">
        <f>U12-111389-78536-3154</f>
        <v>75915</v>
      </c>
      <c r="V92" s="14"/>
      <c r="W92" s="14">
        <f>W12-103314-78264-1797</f>
        <v>63686</v>
      </c>
      <c r="X92" s="14"/>
      <c r="Y92" s="14">
        <f>Y12-104130-77643-969</f>
        <v>54912</v>
      </c>
      <c r="Z92" s="14"/>
    </row>
    <row r="93" spans="3:26" ht="11.25" customHeight="1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22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1.25" customHeight="1">
      <c r="A94" s="115" t="s">
        <v>18</v>
      </c>
      <c r="C94" s="14"/>
      <c r="D94" s="14"/>
      <c r="E94" s="137">
        <f>-615+1144+143</f>
        <v>672</v>
      </c>
      <c r="F94" s="14"/>
      <c r="G94" s="14">
        <f>6124+18676+36341</f>
        <v>61141</v>
      </c>
      <c r="H94" s="14"/>
      <c r="I94" s="14">
        <f>7142+32124+20877</f>
        <v>60143</v>
      </c>
      <c r="J94" s="14"/>
      <c r="K94" s="14">
        <f>24323+17285+21882</f>
        <v>63490</v>
      </c>
      <c r="L94" s="14"/>
      <c r="M94" s="14">
        <f>M14-149021-30273-962</f>
        <v>83077</v>
      </c>
      <c r="N94" s="14"/>
      <c r="O94" s="224">
        <f>O14-151419-33389-749</f>
        <v>85781</v>
      </c>
      <c r="P94" s="14"/>
      <c r="Q94" s="14">
        <f>Q14-128920-47113-610</f>
        <v>79113</v>
      </c>
      <c r="R94" s="14"/>
      <c r="S94" s="14">
        <f>S14-128746-51812-646</f>
        <v>77338</v>
      </c>
      <c r="T94" s="14"/>
      <c r="U94" s="14">
        <f>U14-136049-57824-658</f>
        <v>88579</v>
      </c>
      <c r="V94" s="14"/>
      <c r="W94" s="14">
        <f>W14-143848-59858-635</f>
        <v>97302</v>
      </c>
      <c r="X94" s="14"/>
      <c r="Y94" s="14">
        <f>Y14-161000-67576-863</f>
        <v>95399</v>
      </c>
      <c r="Z94" s="14"/>
    </row>
    <row r="95" spans="3:26" ht="11.25" customHeight="1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22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1.25" customHeight="1">
      <c r="A96" s="115" t="s">
        <v>19</v>
      </c>
      <c r="C96" s="14"/>
      <c r="D96" s="14"/>
      <c r="E96" s="14">
        <f>7282+8610+5720</f>
        <v>21612</v>
      </c>
      <c r="F96" s="14"/>
      <c r="G96" s="14">
        <f>27444+13673+11153</f>
        <v>52270</v>
      </c>
      <c r="H96" s="14"/>
      <c r="I96" s="14">
        <f>25663+13438+13567</f>
        <v>52668</v>
      </c>
      <c r="J96" s="14"/>
      <c r="K96" s="14">
        <f>30507+6867+11170</f>
        <v>48544</v>
      </c>
      <c r="L96" s="14"/>
      <c r="M96" s="14">
        <f>M16-145030-47456-5139</f>
        <v>40264</v>
      </c>
      <c r="N96" s="14"/>
      <c r="O96" s="224">
        <f>O16-148067-51243-2858</f>
        <v>50843</v>
      </c>
      <c r="P96" s="14"/>
      <c r="Q96" s="14">
        <f>Q16-151995-61037-4164</f>
        <v>64113</v>
      </c>
      <c r="R96" s="14"/>
      <c r="S96" s="14">
        <f>S16-150707-70215-3025</f>
        <v>68795</v>
      </c>
      <c r="T96" s="14"/>
      <c r="U96" s="14">
        <f>U16-156076-75445-2508</f>
        <v>85230</v>
      </c>
      <c r="V96" s="14"/>
      <c r="W96" s="14">
        <f>W16-163318-82917-4902</f>
        <v>88333</v>
      </c>
      <c r="X96" s="14"/>
      <c r="Y96" s="14">
        <f>Y16-166923-81726-3043</f>
        <v>81476</v>
      </c>
      <c r="Z96" s="14"/>
    </row>
    <row r="97" spans="3:26" ht="11.25" customHeight="1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22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1.25" customHeight="1">
      <c r="A98" s="131" t="s">
        <v>52</v>
      </c>
      <c r="C98" s="14"/>
      <c r="D98" s="14"/>
      <c r="E98" s="14"/>
      <c r="F98" s="14"/>
      <c r="G98" s="14"/>
      <c r="H98" s="14"/>
      <c r="I98" s="14">
        <f>-7320+3093+4092</f>
        <v>-135</v>
      </c>
      <c r="J98" s="14"/>
      <c r="K98" s="14">
        <f>-10791+5948+8966</f>
        <v>4123</v>
      </c>
      <c r="L98" s="14"/>
      <c r="M98" s="14">
        <f>M18-11004-5930-310-108689+5543+3206+7752</f>
        <v>18677</v>
      </c>
      <c r="N98" s="15"/>
      <c r="O98" s="224">
        <f>O18-75069-39400-1363</f>
        <v>26992</v>
      </c>
      <c r="P98" s="14"/>
      <c r="Q98" s="14">
        <f>Q18-76623-36141-915</f>
        <v>26618</v>
      </c>
      <c r="R98" s="14"/>
      <c r="S98" s="14">
        <f>S18-79320-34585-862</f>
        <v>23651</v>
      </c>
      <c r="T98" s="14"/>
      <c r="U98" s="14">
        <f>U18-80088-37633-428</f>
        <v>26520</v>
      </c>
      <c r="V98" s="14"/>
      <c r="W98" s="14">
        <f>W18-87228-37871-780</f>
        <v>26657</v>
      </c>
      <c r="X98" s="14"/>
      <c r="Y98" s="14">
        <f>Y18-82757-36465-645</f>
        <v>29433</v>
      </c>
      <c r="Z98" s="14"/>
    </row>
    <row r="99" spans="3:26" ht="11.25" customHeight="1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22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1.25" customHeight="1">
      <c r="A100" s="115" t="s">
        <v>21</v>
      </c>
      <c r="C100" s="14"/>
      <c r="D100" s="14"/>
      <c r="E100" s="14"/>
      <c r="F100" s="14"/>
      <c r="G100" s="14">
        <f>-6860+1757+1071</f>
        <v>-4032</v>
      </c>
      <c r="H100" s="14"/>
      <c r="I100" s="14">
        <f>390+24048+10448</f>
        <v>34886</v>
      </c>
      <c r="J100" s="14"/>
      <c r="K100" s="14">
        <f>37604+18106+9993</f>
        <v>65703</v>
      </c>
      <c r="L100" s="14"/>
      <c r="M100" s="14">
        <f>M20-104563-43809-1893</f>
        <v>81911</v>
      </c>
      <c r="N100" s="14"/>
      <c r="O100" s="224">
        <f>O20-124865-33739-1969</f>
        <v>83649</v>
      </c>
      <c r="P100" s="14"/>
      <c r="Q100" s="14">
        <f>Q20-136690-39246-1724</f>
        <v>67213</v>
      </c>
      <c r="R100" s="14"/>
      <c r="S100" s="14">
        <f>S20-156280-38280-1495</f>
        <v>77821</v>
      </c>
      <c r="T100" s="14"/>
      <c r="U100" s="14">
        <f>U20-151839-47110-1928</f>
        <v>80595</v>
      </c>
      <c r="V100" s="14"/>
      <c r="W100" s="14">
        <f>W20-164937-56603-1095</f>
        <v>91429</v>
      </c>
      <c r="X100" s="14"/>
      <c r="Y100" s="14">
        <f>Y20-171308-54260-1320</f>
        <v>99717</v>
      </c>
      <c r="Z100" s="14"/>
    </row>
    <row r="101" spans="3:26" ht="11.25" customHeight="1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22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1.25" customHeight="1">
      <c r="A102" s="115" t="s">
        <v>22</v>
      </c>
      <c r="C102" s="137">
        <f>83447+3149+3195</f>
        <v>89791</v>
      </c>
      <c r="D102" s="14"/>
      <c r="E102" s="14">
        <f>122950+45+5368</f>
        <v>128363</v>
      </c>
      <c r="F102" s="15"/>
      <c r="G102" s="14">
        <v>71141</v>
      </c>
      <c r="H102" s="15"/>
      <c r="I102" s="14">
        <v>51512</v>
      </c>
      <c r="J102" s="15"/>
      <c r="K102" s="14">
        <v>55836</v>
      </c>
      <c r="L102" s="14"/>
      <c r="M102" s="14">
        <f>M22-148259-42734-7360</f>
        <v>91217</v>
      </c>
      <c r="N102" s="14"/>
      <c r="O102" s="224">
        <f>O22-160013-41721-1242</f>
        <v>87653</v>
      </c>
      <c r="P102" s="14"/>
      <c r="Q102" s="14">
        <f>Q22-152308-45094-1778</f>
        <v>73283</v>
      </c>
      <c r="R102" s="14"/>
      <c r="S102" s="14">
        <f>S22-147183-43884-1743</f>
        <v>73851</v>
      </c>
      <c r="T102" s="14"/>
      <c r="U102" s="14">
        <f>U22-154618-47180-1023</f>
        <v>69560</v>
      </c>
      <c r="V102" s="14"/>
      <c r="W102" s="14">
        <f>W22-159532-52974-1499</f>
        <v>60176</v>
      </c>
      <c r="X102" s="14"/>
      <c r="Y102" s="14">
        <f>Y22-159570-60544-2068</f>
        <v>32872</v>
      </c>
      <c r="Z102" s="14"/>
    </row>
    <row r="103" spans="3:26" ht="11.25" customHeight="1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22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1.25" customHeight="1">
      <c r="A104" s="115" t="s">
        <v>23</v>
      </c>
      <c r="C104" s="14"/>
      <c r="D104" s="14"/>
      <c r="E104" s="14"/>
      <c r="F104" s="14"/>
      <c r="G104" s="14">
        <f>-15963+3268+1816</f>
        <v>-10879</v>
      </c>
      <c r="H104" s="14"/>
      <c r="I104" s="14">
        <f>-6351+13267+4773</f>
        <v>11689</v>
      </c>
      <c r="J104" s="14"/>
      <c r="K104" s="14">
        <f>14521+12126+6005</f>
        <v>32652</v>
      </c>
      <c r="L104" s="14"/>
      <c r="M104" s="14">
        <f>M24-82831-52609-2712</f>
        <v>37559</v>
      </c>
      <c r="N104" s="14"/>
      <c r="O104" s="224">
        <f>O24-86757-62427-3265</f>
        <v>22167</v>
      </c>
      <c r="P104" s="14"/>
      <c r="Q104" s="14">
        <f>Q24-89492-58276-2836</f>
        <v>42868</v>
      </c>
      <c r="R104" s="14"/>
      <c r="S104" s="14">
        <f>S24-94186-58976-1214</f>
        <v>51287</v>
      </c>
      <c r="T104" s="14"/>
      <c r="U104" s="14">
        <f>U24-94939-65714-1902</f>
        <v>47429</v>
      </c>
      <c r="V104" s="14"/>
      <c r="W104" s="14">
        <f>W24-102612-74445-3325</f>
        <v>44153</v>
      </c>
      <c r="X104" s="14"/>
      <c r="Y104" s="14">
        <f>Y24-106366-81536-3663</f>
        <v>51380</v>
      </c>
      <c r="Z104" s="14"/>
    </row>
    <row r="105" spans="3:26" ht="11.25" customHeight="1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22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1.25" customHeight="1">
      <c r="A106" s="115" t="s">
        <v>24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224"/>
      <c r="P106" s="14"/>
      <c r="Q106" s="14"/>
      <c r="R106" s="14"/>
      <c r="S106" s="14"/>
      <c r="T106" s="14"/>
      <c r="U106" s="14">
        <f>U26-106362-36257-753</f>
        <v>32173</v>
      </c>
      <c r="V106" s="14"/>
      <c r="W106" s="14">
        <f>W26-154009-56873-2407</f>
        <v>29126</v>
      </c>
      <c r="X106" s="14"/>
      <c r="Y106" s="14">
        <f>Y26-171543-65569-5321</f>
        <v>46398</v>
      </c>
      <c r="Z106" s="14"/>
    </row>
    <row r="107" spans="3:26" ht="11.25" customHeight="1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22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1.25" customHeight="1">
      <c r="A108" s="131" t="s">
        <v>25</v>
      </c>
      <c r="C108" s="14"/>
      <c r="D108" s="14"/>
      <c r="E108" s="14"/>
      <c r="F108" s="14"/>
      <c r="G108" s="14"/>
      <c r="H108" s="14"/>
      <c r="I108" s="14">
        <f>-3726+1758+860</f>
        <v>-1108</v>
      </c>
      <c r="J108" s="14"/>
      <c r="K108" s="14">
        <f>-16300+24267+9683</f>
        <v>17650</v>
      </c>
      <c r="L108" s="14"/>
      <c r="M108" s="14">
        <f>M28-116935-57755-2793</f>
        <v>47837</v>
      </c>
      <c r="N108" s="14"/>
      <c r="O108" s="224">
        <f>O28-128669-58887-2661</f>
        <v>55258</v>
      </c>
      <c r="P108" s="14"/>
      <c r="Q108" s="14">
        <f>Q28-131011-52475-3161</f>
        <v>48718</v>
      </c>
      <c r="R108" s="14"/>
      <c r="S108" s="14">
        <f>S28-123719-61952-1766</f>
        <v>51839</v>
      </c>
      <c r="T108" s="14"/>
      <c r="U108" s="14">
        <f>U28-123227-63623-3559</f>
        <v>42133</v>
      </c>
      <c r="V108" s="14"/>
      <c r="W108" s="14">
        <f>W28-134303-79171-1335</f>
        <v>42567</v>
      </c>
      <c r="X108" s="14"/>
      <c r="Y108" s="14">
        <f>Y28-172951-96165-4425</f>
        <v>51919</v>
      </c>
      <c r="Z108" s="14"/>
    </row>
    <row r="109" spans="3:26" ht="11.25" customHeight="1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22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1.25" customHeight="1">
      <c r="A110" s="115" t="s">
        <v>45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224"/>
      <c r="P110" s="14"/>
      <c r="Q110" s="14">
        <f>Q30-75422-18807-748</f>
        <v>33526</v>
      </c>
      <c r="R110" s="14"/>
      <c r="S110" s="14">
        <f>S30-131306-52944-1641</f>
        <v>65867</v>
      </c>
      <c r="T110" s="14"/>
      <c r="U110" s="14">
        <f>U30-136267-65938-1432</f>
        <v>65172</v>
      </c>
      <c r="V110" s="14"/>
      <c r="W110" s="14">
        <f>W30-145501-74671-1618</f>
        <v>56692</v>
      </c>
      <c r="X110" s="14"/>
      <c r="Y110" s="14">
        <f>Y30-156128-82700-2549</f>
        <v>52723</v>
      </c>
      <c r="Z110" s="14"/>
    </row>
    <row r="111" spans="3:26" ht="11.25" customHeight="1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22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7" ht="11.25" customHeight="1">
      <c r="A112" s="115" t="s">
        <v>26</v>
      </c>
      <c r="C112" s="149"/>
      <c r="D112" s="98"/>
      <c r="E112" s="149"/>
      <c r="F112" s="98"/>
      <c r="G112" s="149"/>
      <c r="H112" s="98"/>
      <c r="I112" s="149"/>
      <c r="J112" s="98"/>
      <c r="K112" s="149"/>
      <c r="L112" s="98"/>
      <c r="M112" s="149"/>
      <c r="N112" s="98"/>
      <c r="O112" s="225">
        <f>O32-99495-14336-1728</f>
        <v>28466</v>
      </c>
      <c r="P112" s="98"/>
      <c r="Q112" s="149">
        <f>Q32-136706-53954-4191</f>
        <v>36255</v>
      </c>
      <c r="R112" s="98"/>
      <c r="S112" s="149">
        <f>S32-115526-71925-2902</f>
        <v>56694</v>
      </c>
      <c r="T112" s="98"/>
      <c r="U112" s="149">
        <f>U32-128504-81518-2278</f>
        <v>66010</v>
      </c>
      <c r="V112" s="98"/>
      <c r="W112" s="149">
        <f>W32-161974-94664-4455</f>
        <v>86624</v>
      </c>
      <c r="X112" s="98"/>
      <c r="Y112" s="149">
        <f>Y32-168145-97850-3841</f>
        <v>79264</v>
      </c>
      <c r="Z112" s="98"/>
      <c r="AA112" s="142"/>
    </row>
    <row r="113" spans="3:26" ht="11.25" customHeight="1">
      <c r="C113" s="16"/>
      <c r="D113" s="98"/>
      <c r="E113" s="16"/>
      <c r="F113" s="98"/>
      <c r="G113" s="16"/>
      <c r="H113" s="98"/>
      <c r="I113" s="16"/>
      <c r="J113" s="98"/>
      <c r="K113" s="16"/>
      <c r="L113" s="98"/>
      <c r="M113" s="16"/>
      <c r="N113" s="98"/>
      <c r="O113" s="150"/>
      <c r="P113" s="98"/>
      <c r="Q113" s="16"/>
      <c r="R113" s="98"/>
      <c r="S113" s="16"/>
      <c r="T113" s="98"/>
      <c r="U113" s="16"/>
      <c r="V113" s="98"/>
      <c r="W113" s="16"/>
      <c r="X113" s="98"/>
      <c r="Y113" s="16"/>
      <c r="Z113" s="98"/>
    </row>
    <row r="114" spans="1:26" ht="11.25" customHeight="1" thickBot="1">
      <c r="A114" s="115" t="s">
        <v>38</v>
      </c>
      <c r="C114" s="151">
        <f>SUM(C90:C112)</f>
        <v>89791</v>
      </c>
      <c r="D114" s="152"/>
      <c r="E114" s="151">
        <f>SUM(E90:E112)</f>
        <v>150647</v>
      </c>
      <c r="F114" s="152"/>
      <c r="G114" s="151">
        <f>SUM(G90:G112)</f>
        <v>167892</v>
      </c>
      <c r="H114" s="152"/>
      <c r="I114" s="151">
        <f>SUM(I90:I112)</f>
        <v>274836</v>
      </c>
      <c r="J114" s="152"/>
      <c r="K114" s="151">
        <f>SUM(K90:K112)</f>
        <v>371312</v>
      </c>
      <c r="L114" s="152"/>
      <c r="M114" s="151">
        <f>SUM(M90:M112)</f>
        <v>524084</v>
      </c>
      <c r="N114" s="152"/>
      <c r="O114" s="227">
        <f>SUM(O90:O112)</f>
        <v>534540</v>
      </c>
      <c r="P114" s="152" t="s">
        <v>83</v>
      </c>
      <c r="Q114" s="151">
        <f>SUM(Q90:Q112)</f>
        <v>558169</v>
      </c>
      <c r="R114" s="152"/>
      <c r="S114" s="151">
        <f>SUM(S90:S112)</f>
        <v>643742</v>
      </c>
      <c r="T114" s="152"/>
      <c r="U114" s="151">
        <f>SUM(U90:U112)</f>
        <v>677624</v>
      </c>
      <c r="V114" s="152"/>
      <c r="W114" s="151">
        <f>SUM(W90:W112)</f>
        <v>683312</v>
      </c>
      <c r="X114" s="152"/>
      <c r="Y114" s="151">
        <f>SUM(Y90:Y112)</f>
        <v>666715</v>
      </c>
      <c r="Z114" s="152"/>
    </row>
    <row r="115" spans="3:26" ht="11.25" customHeight="1" thickTop="1">
      <c r="C115" s="126"/>
      <c r="D115" s="142"/>
      <c r="E115" s="126"/>
      <c r="G115" s="126"/>
      <c r="H115" s="142"/>
      <c r="I115" s="126"/>
      <c r="K115" s="126"/>
      <c r="L115" s="142"/>
      <c r="M115" s="126"/>
      <c r="N115" s="142"/>
      <c r="O115" s="126"/>
      <c r="Q115" s="126"/>
      <c r="R115" s="142"/>
      <c r="S115" s="126"/>
      <c r="U115" s="126"/>
      <c r="V115" s="142"/>
      <c r="W115" s="126"/>
      <c r="X115" s="142"/>
      <c r="Y115" s="126"/>
      <c r="Z115" s="142"/>
    </row>
    <row r="116" spans="1:20" ht="11.25" customHeight="1">
      <c r="A116" s="131" t="s">
        <v>90</v>
      </c>
      <c r="T116" s="131"/>
    </row>
    <row r="117" spans="1:21" ht="11.25" customHeight="1">
      <c r="A117" s="118" t="s">
        <v>89</v>
      </c>
      <c r="U117" s="131"/>
    </row>
    <row r="118" spans="1:21" ht="11.25" customHeight="1">
      <c r="A118" s="131" t="s">
        <v>50</v>
      </c>
      <c r="T118" s="115"/>
      <c r="U118" s="115"/>
    </row>
    <row r="119" spans="1:20" ht="11.25" customHeight="1">
      <c r="A119" s="123" t="s">
        <v>95</v>
      </c>
      <c r="T119" s="131"/>
    </row>
    <row r="120" ht="11.25" customHeight="1">
      <c r="T120" s="115"/>
    </row>
    <row r="121" ht="11.25" customHeight="1">
      <c r="A121" s="115"/>
    </row>
    <row r="122" spans="1:3" ht="11.25" customHeight="1">
      <c r="A122" s="129"/>
      <c r="C122" s="71"/>
    </row>
    <row r="123" spans="1:3" ht="11.25" customHeight="1">
      <c r="A123" s="129"/>
      <c r="C123" s="71"/>
    </row>
    <row r="124" spans="1:3" ht="11.25" customHeight="1">
      <c r="A124" s="129"/>
      <c r="C124" s="71"/>
    </row>
    <row r="125" spans="1:3" ht="11.25" customHeight="1">
      <c r="A125" s="129"/>
      <c r="C125" s="71"/>
    </row>
    <row r="126" ht="11.25" customHeight="1">
      <c r="A126" s="115"/>
    </row>
    <row r="127" spans="1:5" ht="11.25" customHeight="1">
      <c r="A127" s="115" t="s">
        <v>0</v>
      </c>
      <c r="E127" s="139"/>
    </row>
    <row r="128" ht="11.25" customHeight="1">
      <c r="A128" s="115" t="s">
        <v>57</v>
      </c>
    </row>
    <row r="129" spans="1:7" ht="11.25" customHeight="1">
      <c r="A129" s="119" t="str">
        <f>A3</f>
        <v>1978-1989</v>
      </c>
      <c r="B129" s="140"/>
      <c r="C129" s="140"/>
      <c r="D129" s="140"/>
      <c r="E129" s="140"/>
      <c r="F129" s="142"/>
      <c r="G129" s="142"/>
    </row>
    <row r="130" spans="1:7" ht="11.25" customHeight="1">
      <c r="A130" s="141"/>
      <c r="B130" s="142"/>
      <c r="C130" s="142"/>
      <c r="D130" s="142"/>
      <c r="E130" s="142"/>
      <c r="F130" s="142"/>
      <c r="G130" s="142"/>
    </row>
    <row r="131" spans="1:7" ht="11.25" customHeight="1">
      <c r="A131" s="126"/>
      <c r="B131" s="126"/>
      <c r="C131" s="115"/>
      <c r="F131" s="142"/>
      <c r="G131" s="142"/>
    </row>
    <row r="132" spans="3:25" ht="11.25" customHeight="1">
      <c r="C132"/>
      <c r="E132" s="124" t="s">
        <v>4</v>
      </c>
      <c r="G132" s="124" t="s">
        <v>5</v>
      </c>
      <c r="I132" s="124" t="s">
        <v>6</v>
      </c>
      <c r="K132" s="124" t="s">
        <v>7</v>
      </c>
      <c r="M132" s="124" t="s">
        <v>8</v>
      </c>
      <c r="O132" s="124" t="s">
        <v>9</v>
      </c>
      <c r="Q132" s="124" t="s">
        <v>10</v>
      </c>
      <c r="S132" s="124" t="s">
        <v>11</v>
      </c>
      <c r="U132" s="124" t="s">
        <v>12</v>
      </c>
      <c r="W132" s="124" t="s">
        <v>13</v>
      </c>
      <c r="Y132" s="124" t="s">
        <v>14</v>
      </c>
    </row>
    <row r="133" ht="11.25" customHeight="1">
      <c r="C133"/>
    </row>
    <row r="134" spans="1:26" ht="11.25" customHeight="1">
      <c r="A134" s="115" t="s">
        <v>15</v>
      </c>
      <c r="C134" s="17"/>
      <c r="D134" s="17"/>
      <c r="E134" s="17"/>
      <c r="F134" s="17"/>
      <c r="G134" s="17"/>
      <c r="H134" s="17"/>
      <c r="I134" s="17"/>
      <c r="J134" s="17"/>
      <c r="K134" s="17">
        <f>(K90-I90)/I90</f>
        <v>0.509</v>
      </c>
      <c r="L134" s="17"/>
      <c r="M134" s="17">
        <f>(M90-K90)/K90</f>
        <v>0.336</v>
      </c>
      <c r="N134" s="17"/>
      <c r="O134" s="17">
        <f>(O90-M90)/M90</f>
        <v>-0.215</v>
      </c>
      <c r="P134" s="17"/>
      <c r="Q134" s="17">
        <f>(Q90-O90)/O90</f>
        <v>-0.874</v>
      </c>
      <c r="R134" s="17"/>
      <c r="S134" s="17">
        <f>(S90-Q90)/Q90</f>
        <v>1.776</v>
      </c>
      <c r="T134" s="17"/>
      <c r="U134" s="17">
        <f>(U90-S90)/S90</f>
        <v>-1.21</v>
      </c>
      <c r="V134" s="17"/>
      <c r="W134" s="17">
        <f>(W90-U90)/U90</f>
        <v>1.029</v>
      </c>
      <c r="X134" s="17"/>
      <c r="Y134" s="17">
        <f>(Y90-W90)/W90</f>
        <v>1.557</v>
      </c>
      <c r="Z134" s="17" t="s">
        <v>46</v>
      </c>
    </row>
    <row r="135" spans="3:26" ht="11.25" customHeight="1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1.25" customHeight="1">
      <c r="A136" s="131" t="s">
        <v>17</v>
      </c>
      <c r="C136" s="17"/>
      <c r="D136" s="17"/>
      <c r="E136" s="17"/>
      <c r="F136" s="17"/>
      <c r="G136" s="17"/>
      <c r="H136" s="17"/>
      <c r="I136" s="17">
        <f>(I92-G92)/G92</f>
        <v>-29.966</v>
      </c>
      <c r="J136" s="17"/>
      <c r="K136" s="17">
        <f>(K92-I92)/I92</f>
        <v>0.212</v>
      </c>
      <c r="L136" s="17"/>
      <c r="M136" s="17">
        <f>(M92-K92)/K92</f>
        <v>0.535</v>
      </c>
      <c r="N136" s="17"/>
      <c r="O136" s="17">
        <f>(O92-M92)/M92</f>
        <v>-0.249</v>
      </c>
      <c r="P136" s="214" t="s">
        <v>16</v>
      </c>
      <c r="Q136" s="17">
        <f>(Q92-O92)/O92</f>
        <v>0.181</v>
      </c>
      <c r="R136" s="17"/>
      <c r="S136" s="17">
        <f>(S92-Q92)/Q92</f>
        <v>0.06</v>
      </c>
      <c r="T136" s="17"/>
      <c r="U136" s="17">
        <f>(U92-S92)/S92</f>
        <v>-0.143</v>
      </c>
      <c r="V136" s="17"/>
      <c r="W136" s="17">
        <f>(W92-U92)/U92</f>
        <v>-0.161</v>
      </c>
      <c r="X136" s="17"/>
      <c r="Y136" s="17">
        <f>(Y92-W92)/W92</f>
        <v>-0.138</v>
      </c>
      <c r="Z136" s="17"/>
    </row>
    <row r="137" spans="3:26" ht="11.25" customHeight="1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1.25" customHeight="1">
      <c r="A138" s="115" t="s">
        <v>18</v>
      </c>
      <c r="C138" s="17"/>
      <c r="D138" s="17"/>
      <c r="E138" s="17"/>
      <c r="F138" s="17"/>
      <c r="G138" s="17">
        <f>(G94-E94)/E94</f>
        <v>89.984</v>
      </c>
      <c r="H138" s="17"/>
      <c r="I138" s="17">
        <f>(I94-G94)/G94</f>
        <v>-0.016</v>
      </c>
      <c r="J138" s="17"/>
      <c r="K138" s="17">
        <f>(K94-I94)/I94</f>
        <v>0.056</v>
      </c>
      <c r="L138" s="17"/>
      <c r="M138" s="17">
        <f>(M94-K94)/K94</f>
        <v>0.309</v>
      </c>
      <c r="N138" s="17"/>
      <c r="O138" s="17">
        <f>(O94-M94)/M94</f>
        <v>0.033</v>
      </c>
      <c r="P138" s="17"/>
      <c r="Q138" s="17">
        <f>(Q94-O94)/O94</f>
        <v>-0.078</v>
      </c>
      <c r="R138" s="17"/>
      <c r="S138" s="17">
        <f>(S94-Q94)/Q94</f>
        <v>-0.022</v>
      </c>
      <c r="T138" s="17"/>
      <c r="U138" s="17">
        <f>(U94-S94)/S94</f>
        <v>0.145</v>
      </c>
      <c r="V138" s="17"/>
      <c r="W138" s="17">
        <f>(W94-U94)/U94</f>
        <v>0.098</v>
      </c>
      <c r="X138" s="17"/>
      <c r="Y138" s="17">
        <f>(Y94-W94)/W94</f>
        <v>-0.02</v>
      </c>
      <c r="Z138" s="17"/>
    </row>
    <row r="139" spans="3:26" ht="11.25" customHeight="1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1.25" customHeight="1">
      <c r="A140" s="115" t="s">
        <v>19</v>
      </c>
      <c r="C140" s="17"/>
      <c r="D140" s="17"/>
      <c r="E140" s="17"/>
      <c r="F140" s="17"/>
      <c r="G140" s="17">
        <f>(G96-E96)/E96</f>
        <v>1.419</v>
      </c>
      <c r="H140" s="17"/>
      <c r="I140" s="17">
        <f>(I96-G96)/G96</f>
        <v>0.008</v>
      </c>
      <c r="J140" s="17"/>
      <c r="K140" s="17">
        <f>(K96-I96)/I96</f>
        <v>-0.078</v>
      </c>
      <c r="L140" s="17"/>
      <c r="M140" s="17">
        <f>(M96-K96)/K96</f>
        <v>-0.171</v>
      </c>
      <c r="N140" s="17"/>
      <c r="O140" s="17">
        <f>(O96-M96)/M96</f>
        <v>0.263</v>
      </c>
      <c r="P140" s="17"/>
      <c r="Q140" s="17">
        <f>(Q96-O96)/O96</f>
        <v>0.261</v>
      </c>
      <c r="R140" s="17"/>
      <c r="S140" s="17">
        <f>(S96-Q96)/Q96</f>
        <v>0.073</v>
      </c>
      <c r="T140" s="17"/>
      <c r="U140" s="17">
        <f>(U96-S96)/S96</f>
        <v>0.239</v>
      </c>
      <c r="V140" s="17"/>
      <c r="W140" s="17">
        <f>(W96-U96)/U96</f>
        <v>0.036</v>
      </c>
      <c r="X140" s="17"/>
      <c r="Y140" s="17">
        <f>(Y96-W96)/W96</f>
        <v>-0.078</v>
      </c>
      <c r="Z140" s="17"/>
    </row>
    <row r="141" spans="3:26" ht="11.25" customHeight="1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1.25" customHeight="1">
      <c r="A142" s="131" t="s">
        <v>52</v>
      </c>
      <c r="C142" s="17"/>
      <c r="D142" s="17"/>
      <c r="E142" s="17"/>
      <c r="F142" s="17"/>
      <c r="G142" s="17"/>
      <c r="H142" s="17"/>
      <c r="I142" s="17"/>
      <c r="J142" s="17"/>
      <c r="K142" s="17">
        <f>(K98-I98)/I98</f>
        <v>-31.541</v>
      </c>
      <c r="L142" s="17"/>
      <c r="M142" s="17">
        <f>(M98-K98)/K98</f>
        <v>3.53</v>
      </c>
      <c r="N142" s="17"/>
      <c r="O142" s="17">
        <f>(O98-M98)/M98</f>
        <v>0.445</v>
      </c>
      <c r="P142" s="17"/>
      <c r="Q142" s="17">
        <f>(Q98-O98)/O98</f>
        <v>-0.014</v>
      </c>
      <c r="R142" s="17"/>
      <c r="S142" s="17">
        <f>(S98-Q98)/Q98</f>
        <v>-0.111</v>
      </c>
      <c r="T142" s="17"/>
      <c r="U142" s="17">
        <f>(U98-S98)/S98</f>
        <v>0.121</v>
      </c>
      <c r="V142" s="17"/>
      <c r="W142" s="17">
        <f>(W98-U98)/U98</f>
        <v>0.005</v>
      </c>
      <c r="X142" s="17"/>
      <c r="Y142" s="17">
        <f>(Y98-W98)/W98</f>
        <v>0.104</v>
      </c>
      <c r="Z142" s="17"/>
    </row>
    <row r="143" spans="3:26" ht="11.25" customHeight="1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1.25" customHeight="1">
      <c r="A144" s="115" t="s">
        <v>21</v>
      </c>
      <c r="C144" s="17"/>
      <c r="D144" s="17"/>
      <c r="E144" s="17"/>
      <c r="F144" s="17"/>
      <c r="G144" s="17"/>
      <c r="H144" s="17"/>
      <c r="I144" s="17">
        <f>(I100-G100)/G100</f>
        <v>-9.652</v>
      </c>
      <c r="J144" s="17"/>
      <c r="K144" s="17">
        <f>(K100-I100)/I100</f>
        <v>0.883</v>
      </c>
      <c r="L144" s="17"/>
      <c r="M144" s="17">
        <f>(M100-K100)/K100</f>
        <v>0.247</v>
      </c>
      <c r="N144" s="17"/>
      <c r="O144" s="17">
        <f>(O100-M100)/M100</f>
        <v>0.021</v>
      </c>
      <c r="P144" s="17"/>
      <c r="Q144" s="17">
        <f>(Q100-O100)/O100</f>
        <v>-0.196</v>
      </c>
      <c r="R144" s="17"/>
      <c r="S144" s="17">
        <f>(S100-Q100)/Q100</f>
        <v>0.158</v>
      </c>
      <c r="T144" s="17"/>
      <c r="U144" s="17">
        <f>(U100-S100)/S100</f>
        <v>0.036</v>
      </c>
      <c r="V144" s="17"/>
      <c r="W144" s="17">
        <f>(W100-U100)/U100</f>
        <v>0.134</v>
      </c>
      <c r="X144" s="17"/>
      <c r="Y144" s="17">
        <f>(Y100-W100)/W100</f>
        <v>0.091</v>
      </c>
      <c r="Z144" s="17"/>
    </row>
    <row r="145" spans="3:26" ht="11.25" customHeight="1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1.25" customHeight="1">
      <c r="A146" s="115" t="s">
        <v>22</v>
      </c>
      <c r="C146" s="17"/>
      <c r="D146" s="17"/>
      <c r="E146" s="17">
        <f>(E102-C102)/C102</f>
        <v>0.43</v>
      </c>
      <c r="F146" s="17"/>
      <c r="G146" s="17">
        <f>(G102-E102)/E102</f>
        <v>-0.446</v>
      </c>
      <c r="H146" s="17"/>
      <c r="I146" s="17">
        <f>(I102-G102)/G102</f>
        <v>-0.276</v>
      </c>
      <c r="J146" s="17"/>
      <c r="K146" s="17">
        <f>(K102-I102)/I102</f>
        <v>0.084</v>
      </c>
      <c r="L146" s="17"/>
      <c r="M146" s="17">
        <f>(M102-K102)/K102</f>
        <v>0.634</v>
      </c>
      <c r="N146" s="17"/>
      <c r="O146" s="17">
        <f>(O102-M102)/M102</f>
        <v>-0.039</v>
      </c>
      <c r="P146" s="17"/>
      <c r="Q146" s="17">
        <f>(Q102-O102)/O102</f>
        <v>-0.164</v>
      </c>
      <c r="R146" s="17"/>
      <c r="S146" s="17">
        <f>(S102-Q102)/Q102</f>
        <v>0.008</v>
      </c>
      <c r="T146" s="17"/>
      <c r="U146" s="17">
        <f>(U102-S102)/S102</f>
        <v>-0.058</v>
      </c>
      <c r="V146" s="17"/>
      <c r="W146" s="17">
        <f>(W102-U102)/U102</f>
        <v>-0.135</v>
      </c>
      <c r="X146" s="17"/>
      <c r="Y146" s="17">
        <f>(Y102-W102)/W102</f>
        <v>-0.454</v>
      </c>
      <c r="Z146" s="17"/>
    </row>
    <row r="147" spans="3:26" ht="11.25" customHeight="1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1.25" customHeight="1">
      <c r="A148" s="115" t="s">
        <v>23</v>
      </c>
      <c r="C148" s="17"/>
      <c r="D148" s="17"/>
      <c r="E148" s="17"/>
      <c r="F148" s="17"/>
      <c r="G148" s="17"/>
      <c r="H148" s="17"/>
      <c r="I148" s="17">
        <f>(I104-G104)/G104</f>
        <v>-2.074</v>
      </c>
      <c r="J148" s="17"/>
      <c r="K148" s="17">
        <f>(K104-I104)/I104</f>
        <v>1.793</v>
      </c>
      <c r="L148" s="17"/>
      <c r="M148" s="17">
        <f>(M104-K104)/K104</f>
        <v>0.15</v>
      </c>
      <c r="N148" s="17"/>
      <c r="O148" s="17">
        <f>(O104-M104)/M104</f>
        <v>-0.41</v>
      </c>
      <c r="P148" s="17"/>
      <c r="Q148" s="17">
        <f>(Q104-O104)/O104</f>
        <v>0.934</v>
      </c>
      <c r="R148" s="17"/>
      <c r="S148" s="17">
        <f>(S104-Q104)/Q104</f>
        <v>0.196</v>
      </c>
      <c r="T148" s="17"/>
      <c r="U148" s="17">
        <f>(U104-S104)/S104</f>
        <v>-0.075</v>
      </c>
      <c r="V148" s="17"/>
      <c r="W148" s="17">
        <f>(W104-U104)/U104</f>
        <v>-0.069</v>
      </c>
      <c r="X148" s="17"/>
      <c r="Y148" s="17">
        <f>(Y104-W104)/W104</f>
        <v>0.164</v>
      </c>
      <c r="Z148" s="17"/>
    </row>
    <row r="149" spans="3:26" ht="11.25" customHeight="1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1.25" customHeight="1">
      <c r="A150" s="115" t="s">
        <v>24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>
        <f>(W106-U106)/U106</f>
        <v>-0.095</v>
      </c>
      <c r="X150" s="17"/>
      <c r="Y150" s="17">
        <f>(Y106-W106)/W106</f>
        <v>0.593</v>
      </c>
      <c r="Z150" s="17"/>
    </row>
    <row r="151" spans="3:26" ht="11.25" customHeight="1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1.25" customHeight="1">
      <c r="A152" s="131" t="s">
        <v>25</v>
      </c>
      <c r="C152" s="17"/>
      <c r="D152" s="17"/>
      <c r="E152" s="17"/>
      <c r="F152" s="17"/>
      <c r="G152" s="17"/>
      <c r="H152" s="17"/>
      <c r="I152" s="17"/>
      <c r="J152" s="17"/>
      <c r="K152" s="17">
        <f>(K108-I108)/I108</f>
        <v>-16.93</v>
      </c>
      <c r="L152" s="17"/>
      <c r="M152" s="17">
        <f>(M108-K108)/K108</f>
        <v>1.71</v>
      </c>
      <c r="N152" s="17"/>
      <c r="O152" s="17">
        <f>(O108-M108)/M108</f>
        <v>0.155</v>
      </c>
      <c r="P152" s="17"/>
      <c r="Q152" s="17">
        <f>(Q108-O108)/O108</f>
        <v>-0.118</v>
      </c>
      <c r="R152" s="17"/>
      <c r="S152" s="17">
        <f>(S108-Q108)/Q108</f>
        <v>0.064</v>
      </c>
      <c r="T152" s="17"/>
      <c r="U152" s="17">
        <f>(U108-S108)/S108</f>
        <v>-0.187</v>
      </c>
      <c r="V152" s="17"/>
      <c r="W152" s="17">
        <f>(W108-U108)/U108</f>
        <v>0.01</v>
      </c>
      <c r="X152" s="17"/>
      <c r="Y152" s="17">
        <f>(Y108-W108)/W108</f>
        <v>0.22</v>
      </c>
      <c r="Z152" s="17"/>
    </row>
    <row r="153" spans="3:26" ht="11.25" customHeight="1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1.25" customHeight="1">
      <c r="A154" s="115" t="s">
        <v>45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>
        <f>(S110-Q110)/Q110</f>
        <v>0.965</v>
      </c>
      <c r="T154" s="17"/>
      <c r="U154" s="17">
        <f>(U110-S110)/S110</f>
        <v>-0.011</v>
      </c>
      <c r="V154" s="17"/>
      <c r="W154" s="17">
        <f>(W110-U110)/U110</f>
        <v>-0.13</v>
      </c>
      <c r="X154" s="17"/>
      <c r="Y154" s="17">
        <f>(Y110-W110)/W110</f>
        <v>-0.07</v>
      </c>
      <c r="Z154" s="17"/>
    </row>
    <row r="155" spans="3:26" ht="11.25" customHeight="1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1.25" customHeight="1">
      <c r="A156" s="115" t="s">
        <v>26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>
        <f>(Q112-O112)/O112</f>
        <v>0.274</v>
      </c>
      <c r="R156" s="17"/>
      <c r="S156" s="17">
        <f>(S112-Q112)/Q112</f>
        <v>0.564</v>
      </c>
      <c r="T156" s="17"/>
      <c r="U156" s="17">
        <f>(U112-S112)/S112</f>
        <v>0.164</v>
      </c>
      <c r="V156" s="17"/>
      <c r="W156" s="17">
        <f>(W112-U112)/U112</f>
        <v>0.312</v>
      </c>
      <c r="X156" s="17"/>
      <c r="Y156" s="17">
        <f>(Y112-W112)/W112</f>
        <v>-0.085</v>
      </c>
      <c r="Z156" s="17"/>
    </row>
    <row r="157" spans="3:65" ht="11.25" customHeight="1">
      <c r="C157" s="17"/>
      <c r="D157" s="142"/>
      <c r="E157" s="17"/>
      <c r="F157" s="142"/>
      <c r="G157" s="17"/>
      <c r="H157" s="142"/>
      <c r="I157" s="17"/>
      <c r="J157" s="142"/>
      <c r="K157" s="17"/>
      <c r="L157" s="142"/>
      <c r="M157" s="17"/>
      <c r="N157" s="142"/>
      <c r="O157" s="17"/>
      <c r="P157" s="142"/>
      <c r="Q157" s="17"/>
      <c r="R157" s="142"/>
      <c r="S157" s="17"/>
      <c r="T157" s="142"/>
      <c r="U157" s="17"/>
      <c r="V157" s="142"/>
      <c r="W157" s="17"/>
      <c r="X157" s="142"/>
      <c r="Y157" s="17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</row>
    <row r="158" spans="1:65" ht="11.25" customHeight="1">
      <c r="A158" s="115" t="s">
        <v>38</v>
      </c>
      <c r="C158" s="17"/>
      <c r="D158" s="142"/>
      <c r="E158" s="17">
        <f>(E114-C114)/C114</f>
        <v>0.678</v>
      </c>
      <c r="F158" s="154"/>
      <c r="G158" s="17">
        <f>(G114-E114)/E114</f>
        <v>0.114</v>
      </c>
      <c r="H158" s="154"/>
      <c r="I158" s="17">
        <f>(I114-G114)/G114</f>
        <v>0.637</v>
      </c>
      <c r="J158" s="154"/>
      <c r="K158" s="17">
        <f>(K114-I114)/I114</f>
        <v>0.351</v>
      </c>
      <c r="L158" s="154"/>
      <c r="M158" s="17">
        <f>(M114-K114)/K114</f>
        <v>0.411</v>
      </c>
      <c r="N158" s="154"/>
      <c r="O158" s="17">
        <f>(O114-M114)/M114</f>
        <v>0.02</v>
      </c>
      <c r="P158" s="154" t="s">
        <v>16</v>
      </c>
      <c r="Q158" s="17">
        <f>(Q114-O114)/O114</f>
        <v>0.044</v>
      </c>
      <c r="R158" s="154"/>
      <c r="S158" s="17">
        <f>(S114-Q114)/Q114</f>
        <v>0.153</v>
      </c>
      <c r="T158" s="154"/>
      <c r="U158" s="17">
        <f>(U114-S114)/S114</f>
        <v>0.053</v>
      </c>
      <c r="V158" s="154"/>
      <c r="W158" s="17">
        <f>(W114-U114)/U114</f>
        <v>0.008</v>
      </c>
      <c r="X158" s="154"/>
      <c r="Y158" s="17">
        <f>(Y114-W114)/W114</f>
        <v>-0.024</v>
      </c>
      <c r="Z158" s="154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2"/>
      <c r="BC158" s="142"/>
      <c r="BD158" s="142"/>
      <c r="BE158" s="142"/>
      <c r="BF158" s="142"/>
      <c r="BG158" s="142"/>
      <c r="BH158" s="142"/>
      <c r="BI158" s="142"/>
      <c r="BJ158" s="142"/>
      <c r="BK158" s="142"/>
      <c r="BL158" s="142"/>
      <c r="BM158" s="142"/>
    </row>
    <row r="159" spans="3:65" ht="11.25" customHeight="1">
      <c r="C159" s="146"/>
      <c r="D159" s="142"/>
      <c r="E159" s="146"/>
      <c r="F159" s="142"/>
      <c r="G159" s="146"/>
      <c r="H159" s="142"/>
      <c r="I159" s="146"/>
      <c r="J159" s="142"/>
      <c r="K159" s="146"/>
      <c r="L159" s="142"/>
      <c r="M159" s="146"/>
      <c r="N159" s="142"/>
      <c r="O159" s="146"/>
      <c r="P159" s="142"/>
      <c r="Q159" s="146"/>
      <c r="R159" s="142"/>
      <c r="S159" s="146"/>
      <c r="T159" s="142"/>
      <c r="U159" s="146"/>
      <c r="V159" s="142"/>
      <c r="W159" s="146"/>
      <c r="X159" s="142"/>
      <c r="Y159" s="146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Q159" s="142"/>
      <c r="AR159" s="142"/>
      <c r="AS159" s="142"/>
      <c r="AT159" s="142"/>
      <c r="AU159" s="142"/>
      <c r="AV159" s="142"/>
      <c r="AW159" s="142"/>
      <c r="AX159" s="142"/>
      <c r="AY159" s="142"/>
      <c r="AZ159" s="142"/>
      <c r="BA159" s="142"/>
      <c r="BB159" s="142"/>
      <c r="BC159" s="142"/>
      <c r="BD159" s="142"/>
      <c r="BE159" s="142"/>
      <c r="BF159" s="142"/>
      <c r="BG159" s="142"/>
      <c r="BH159" s="142"/>
      <c r="BI159" s="142"/>
      <c r="BJ159" s="142"/>
      <c r="BK159" s="142"/>
      <c r="BL159" s="142"/>
      <c r="BM159" s="142"/>
    </row>
    <row r="160" spans="1:65" ht="11.25" customHeight="1">
      <c r="A160" s="131" t="s">
        <v>48</v>
      </c>
      <c r="C160" s="146"/>
      <c r="D160" s="142"/>
      <c r="E160" s="146"/>
      <c r="F160" s="142"/>
      <c r="G160" s="146"/>
      <c r="H160" s="142"/>
      <c r="I160" s="146"/>
      <c r="J160" s="142"/>
      <c r="K160" s="146"/>
      <c r="L160" s="142"/>
      <c r="M160" s="146"/>
      <c r="N160" s="142"/>
      <c r="O160" s="146"/>
      <c r="P160" s="142"/>
      <c r="Q160" s="146"/>
      <c r="R160" s="142"/>
      <c r="S160" s="146"/>
      <c r="T160" s="142"/>
      <c r="U160" s="146"/>
      <c r="V160" s="142"/>
      <c r="W160" s="146"/>
      <c r="X160" s="142"/>
      <c r="Y160" s="146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2"/>
      <c r="AT160" s="142"/>
      <c r="AU160" s="142"/>
      <c r="AV160" s="142"/>
      <c r="AW160" s="142"/>
      <c r="AX160" s="142"/>
      <c r="AY160" s="142"/>
      <c r="AZ160" s="142"/>
      <c r="BA160" s="142"/>
      <c r="BB160" s="142"/>
      <c r="BC160" s="142"/>
      <c r="BD160" s="142"/>
      <c r="BE160" s="142"/>
      <c r="BF160" s="142"/>
      <c r="BG160" s="142"/>
      <c r="BH160" s="142"/>
      <c r="BI160" s="142"/>
      <c r="BJ160" s="142"/>
      <c r="BK160" s="142"/>
      <c r="BL160" s="142"/>
      <c r="BM160" s="142"/>
    </row>
    <row r="161" spans="1:65" ht="11.25" customHeight="1">
      <c r="A161" s="123" t="s">
        <v>94</v>
      </c>
      <c r="C161" s="155"/>
      <c r="D161" s="142"/>
      <c r="E161" s="146"/>
      <c r="F161" s="142"/>
      <c r="G161" s="146"/>
      <c r="H161" s="142"/>
      <c r="I161" s="146"/>
      <c r="J161" s="142"/>
      <c r="K161" s="146"/>
      <c r="L161" s="142"/>
      <c r="M161" s="146"/>
      <c r="N161" s="142"/>
      <c r="O161" s="146"/>
      <c r="P161" s="142"/>
      <c r="Q161" s="146"/>
      <c r="R161" s="142"/>
      <c r="S161" s="146"/>
      <c r="T161" s="142"/>
      <c r="U161" s="146"/>
      <c r="V161" s="142"/>
      <c r="W161" s="146"/>
      <c r="X161" s="142"/>
      <c r="Y161" s="146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Q161" s="142"/>
      <c r="AR161" s="142"/>
      <c r="AS161" s="142"/>
      <c r="AT161" s="142"/>
      <c r="AU161" s="142"/>
      <c r="AV161" s="142"/>
      <c r="AW161" s="142"/>
      <c r="AX161" s="142"/>
      <c r="AY161" s="142"/>
      <c r="AZ161" s="142"/>
      <c r="BA161" s="142"/>
      <c r="BB161" s="142"/>
      <c r="BC161" s="142"/>
      <c r="BD161" s="142"/>
      <c r="BE161" s="142"/>
      <c r="BF161" s="142"/>
      <c r="BG161" s="142"/>
      <c r="BH161" s="142"/>
      <c r="BI161" s="142"/>
      <c r="BJ161" s="142"/>
      <c r="BK161" s="142"/>
      <c r="BL161" s="142"/>
      <c r="BM161" s="142"/>
    </row>
    <row r="162" spans="3:25" ht="11.25" customHeight="1">
      <c r="C162" s="126"/>
      <c r="E162" s="126"/>
      <c r="G162" s="126"/>
      <c r="I162" s="126"/>
      <c r="K162" s="126"/>
      <c r="M162" s="126"/>
      <c r="O162" s="126"/>
      <c r="Q162" s="126"/>
      <c r="S162" s="126"/>
      <c r="U162" s="126"/>
      <c r="W162" s="126"/>
      <c r="Y162" s="126"/>
    </row>
    <row r="163" ht="11.25" customHeight="1">
      <c r="A163" s="115"/>
    </row>
    <row r="164" spans="1:5" ht="11.25" customHeight="1">
      <c r="A164" s="115" t="s">
        <v>0</v>
      </c>
      <c r="E164" s="139"/>
    </row>
    <row r="165" ht="11.25" customHeight="1">
      <c r="A165" s="131" t="s">
        <v>58</v>
      </c>
    </row>
    <row r="166" spans="1:4" ht="11.25" customHeight="1">
      <c r="A166" s="119" t="str">
        <f>A3</f>
        <v>1978-1989</v>
      </c>
      <c r="B166" s="140"/>
      <c r="C166" s="140"/>
      <c r="D166" s="140"/>
    </row>
    <row r="167" spans="1:3" ht="11.25" customHeight="1">
      <c r="A167" s="115"/>
      <c r="B167" s="126"/>
      <c r="C167" s="115"/>
    </row>
    <row r="168" ht="11.25" customHeight="1">
      <c r="A168"/>
    </row>
    <row r="169" ht="11.25" customHeight="1">
      <c r="A169" s="123"/>
    </row>
    <row r="170" spans="3:25" ht="11.25" customHeight="1">
      <c r="C170" s="124" t="s">
        <v>3</v>
      </c>
      <c r="E170" s="124" t="s">
        <v>4</v>
      </c>
      <c r="G170" s="124" t="s">
        <v>5</v>
      </c>
      <c r="I170" s="124" t="s">
        <v>6</v>
      </c>
      <c r="K170" s="124" t="s">
        <v>7</v>
      </c>
      <c r="M170" s="124" t="s">
        <v>8</v>
      </c>
      <c r="O170" s="124" t="s">
        <v>9</v>
      </c>
      <c r="Q170" s="124" t="s">
        <v>10</v>
      </c>
      <c r="S170" s="124" t="s">
        <v>11</v>
      </c>
      <c r="U170" s="124" t="s">
        <v>12</v>
      </c>
      <c r="W170" s="124" t="s">
        <v>13</v>
      </c>
      <c r="Y170" s="124" t="s">
        <v>14</v>
      </c>
    </row>
    <row r="172" spans="1:26" ht="11.25" customHeight="1">
      <c r="A172" s="115" t="s">
        <v>15</v>
      </c>
      <c r="C172" s="17"/>
      <c r="D172" s="17"/>
      <c r="E172" s="17"/>
      <c r="F172" s="17"/>
      <c r="G172" s="17"/>
      <c r="H172" s="17"/>
      <c r="I172" s="17">
        <f>I90/I10</f>
        <v>0.128</v>
      </c>
      <c r="J172" s="17"/>
      <c r="K172" s="17">
        <f>K90/K10</f>
        <v>0.132</v>
      </c>
      <c r="L172" s="17"/>
      <c r="M172" s="17">
        <f>M90/M10</f>
        <v>0.174</v>
      </c>
      <c r="N172" s="17"/>
      <c r="O172" s="17">
        <f>O90/O10</f>
        <v>0.137</v>
      </c>
      <c r="P172" s="17"/>
      <c r="Q172" s="17">
        <f>Q90/Q10</f>
        <v>0.019</v>
      </c>
      <c r="R172" s="17"/>
      <c r="S172" s="17">
        <f>S90/S10</f>
        <v>0.066</v>
      </c>
      <c r="T172" s="17"/>
      <c r="U172" s="17">
        <f>U90/U10</f>
        <v>-0.019</v>
      </c>
      <c r="V172" s="17"/>
      <c r="W172" s="17">
        <f>W90/W10</f>
        <v>-0.035</v>
      </c>
      <c r="X172" s="17"/>
      <c r="Y172" s="17">
        <f>Y90/Y10</f>
        <v>-0.236</v>
      </c>
      <c r="Z172" s="17" t="s">
        <v>16</v>
      </c>
    </row>
    <row r="173" spans="3:26" ht="11.25" customHeight="1"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1.25" customHeight="1">
      <c r="A174" s="131" t="s">
        <v>17</v>
      </c>
      <c r="C174" s="17"/>
      <c r="D174" s="17"/>
      <c r="E174" s="17"/>
      <c r="F174" s="17"/>
      <c r="G174" s="17">
        <f>G92/G12</f>
        <v>-0.301</v>
      </c>
      <c r="H174" s="17"/>
      <c r="I174" s="17">
        <f>I92/I12</f>
        <v>0.277</v>
      </c>
      <c r="J174" s="17"/>
      <c r="K174" s="17">
        <f>K92/K12</f>
        <v>0.292</v>
      </c>
      <c r="L174" s="17"/>
      <c r="M174" s="17">
        <f>M92/M12</f>
        <v>0.326</v>
      </c>
      <c r="N174" s="17"/>
      <c r="O174" s="17">
        <f>O92/O12</f>
        <v>0.362</v>
      </c>
      <c r="P174" s="214" t="s">
        <v>83</v>
      </c>
      <c r="Q174" s="17">
        <f>Q92/Q12</f>
        <v>0.317</v>
      </c>
      <c r="R174" s="17"/>
      <c r="S174" s="17">
        <f>S92/S12</f>
        <v>0.324</v>
      </c>
      <c r="T174" s="17"/>
      <c r="U174" s="17">
        <f>U92/U12</f>
        <v>0.282</v>
      </c>
      <c r="V174" s="17"/>
      <c r="W174" s="17">
        <f>W92/W12</f>
        <v>0.258</v>
      </c>
      <c r="X174" s="17"/>
      <c r="Y174" s="17">
        <f>Y92/Y12</f>
        <v>0.231</v>
      </c>
      <c r="Z174" s="17"/>
    </row>
    <row r="175" spans="3:26" ht="11.25" customHeight="1"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1.25" customHeight="1">
      <c r="A176" s="115" t="s">
        <v>18</v>
      </c>
      <c r="C176" s="17"/>
      <c r="D176" s="17"/>
      <c r="E176" s="17">
        <f>E94/E14</f>
        <v>0.334</v>
      </c>
      <c r="F176" s="17"/>
      <c r="G176" s="17">
        <f>G94/G14</f>
        <v>0.293</v>
      </c>
      <c r="H176" s="17"/>
      <c r="I176" s="17">
        <f>I94/I14</f>
        <v>0.282</v>
      </c>
      <c r="J176" s="17"/>
      <c r="K176" s="17">
        <f>K94/K14</f>
        <v>0.284</v>
      </c>
      <c r="L176" s="17"/>
      <c r="M176" s="17">
        <f>M94/M14</f>
        <v>0.315</v>
      </c>
      <c r="N176" s="17"/>
      <c r="O176" s="17">
        <f>O94/O14</f>
        <v>0.316</v>
      </c>
      <c r="P176" s="17"/>
      <c r="Q176" s="17">
        <f>Q94/Q14</f>
        <v>0.309</v>
      </c>
      <c r="R176" s="17"/>
      <c r="S176" s="17">
        <f>S94/S14</f>
        <v>0.299</v>
      </c>
      <c r="T176" s="17"/>
      <c r="U176" s="17">
        <f>U94/U14</f>
        <v>0.313</v>
      </c>
      <c r="V176" s="17"/>
      <c r="W176" s="17">
        <f>W94/W14</f>
        <v>0.323</v>
      </c>
      <c r="X176" s="17"/>
      <c r="Y176" s="17">
        <f>Y94/Y14</f>
        <v>0.294</v>
      </c>
      <c r="Z176" s="17"/>
    </row>
    <row r="177" spans="3:26" ht="11.25" customHeight="1"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1.25" customHeight="1">
      <c r="A178" s="115" t="s">
        <v>19</v>
      </c>
      <c r="C178" s="17"/>
      <c r="D178" s="17"/>
      <c r="E178" s="17">
        <f>E96/E16</f>
        <v>0.203</v>
      </c>
      <c r="F178" s="17"/>
      <c r="G178" s="17">
        <f>G96/G16</f>
        <v>0.221</v>
      </c>
      <c r="H178" s="17"/>
      <c r="I178" s="17">
        <f>I96/I16</f>
        <v>0.241</v>
      </c>
      <c r="J178" s="17"/>
      <c r="K178" s="17">
        <f>K96/K16</f>
        <v>0.223</v>
      </c>
      <c r="L178" s="17"/>
      <c r="M178" s="17">
        <f>M96/M16</f>
        <v>0.169</v>
      </c>
      <c r="N178" s="17"/>
      <c r="O178" s="17">
        <f>O96/O16</f>
        <v>0.201</v>
      </c>
      <c r="P178" s="17"/>
      <c r="Q178" s="17">
        <f>Q96/Q16</f>
        <v>0.228</v>
      </c>
      <c r="R178" s="17"/>
      <c r="S178" s="17">
        <f>S96/S16</f>
        <v>0.235</v>
      </c>
      <c r="T178" s="17"/>
      <c r="U178" s="17">
        <f>U96/U16</f>
        <v>0.267</v>
      </c>
      <c r="V178" s="17"/>
      <c r="W178" s="17">
        <f>W96/W16</f>
        <v>0.26</v>
      </c>
      <c r="X178" s="17"/>
      <c r="Y178" s="17">
        <f>Y96/Y16</f>
        <v>0.245</v>
      </c>
      <c r="Z178" s="17"/>
    </row>
    <row r="179" spans="3:26" ht="11.25" customHeight="1"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1.25" customHeight="1">
      <c r="A180" s="131" t="s">
        <v>52</v>
      </c>
      <c r="C180" s="17"/>
      <c r="D180" s="17"/>
      <c r="E180" s="17"/>
      <c r="F180" s="17"/>
      <c r="G180" s="17"/>
      <c r="H180" s="17"/>
      <c r="I180" s="17">
        <f>I98/I18</f>
        <v>-0.003</v>
      </c>
      <c r="J180" s="17"/>
      <c r="K180" s="17">
        <f>K98/K18</f>
        <v>0.038</v>
      </c>
      <c r="L180" s="17"/>
      <c r="M180" s="17">
        <f>M98/M18</f>
        <v>0.146</v>
      </c>
      <c r="N180" s="17"/>
      <c r="O180" s="17">
        <f>O98/O18</f>
        <v>0.189</v>
      </c>
      <c r="P180" s="17"/>
      <c r="Q180" s="17">
        <f>Q98/Q18</f>
        <v>0.19</v>
      </c>
      <c r="R180" s="17"/>
      <c r="S180" s="17">
        <f>S98/S18</f>
        <v>0.171</v>
      </c>
      <c r="T180" s="17"/>
      <c r="U180" s="17">
        <f>U98/U18</f>
        <v>0.183</v>
      </c>
      <c r="V180" s="17"/>
      <c r="W180" s="17">
        <f>W98/W18</f>
        <v>0.175</v>
      </c>
      <c r="X180" s="17"/>
      <c r="Y180" s="17">
        <f>Y98/Y18</f>
        <v>0.197</v>
      </c>
      <c r="Z180" s="17"/>
    </row>
    <row r="181" spans="3:26" ht="11.25" customHeight="1"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1.25" customHeight="1">
      <c r="A182" s="115" t="s">
        <v>21</v>
      </c>
      <c r="C182" s="17"/>
      <c r="D182" s="17"/>
      <c r="E182" s="17"/>
      <c r="F182" s="17"/>
      <c r="G182" s="17">
        <f>G100/G20</f>
        <v>-0.426</v>
      </c>
      <c r="H182" s="17"/>
      <c r="I182" s="17">
        <f>I100/I20</f>
        <v>0.209</v>
      </c>
      <c r="J182" s="17"/>
      <c r="K182" s="17">
        <f>K100/K20</f>
        <v>0.324</v>
      </c>
      <c r="L182" s="17"/>
      <c r="M182" s="17">
        <f>M100/M20</f>
        <v>0.353</v>
      </c>
      <c r="N182" s="17"/>
      <c r="O182" s="17">
        <f>O100/O20</f>
        <v>0.343</v>
      </c>
      <c r="P182" s="17"/>
      <c r="Q182" s="17">
        <f>Q100/Q20</f>
        <v>0.274</v>
      </c>
      <c r="R182" s="17"/>
      <c r="S182" s="17">
        <f>S100/S20</f>
        <v>0.284</v>
      </c>
      <c r="T182" s="17"/>
      <c r="U182" s="17">
        <f>U100/U20</f>
        <v>0.286</v>
      </c>
      <c r="V182" s="17"/>
      <c r="W182" s="17">
        <f>W100/W20</f>
        <v>0.291</v>
      </c>
      <c r="X182" s="17"/>
      <c r="Y182" s="17">
        <f>Y100/Y20</f>
        <v>0.305</v>
      </c>
      <c r="Z182" s="17"/>
    </row>
    <row r="183" spans="3:26" ht="11.25" customHeight="1"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1.25" customHeight="1">
      <c r="A184" s="115" t="s">
        <v>22</v>
      </c>
      <c r="C184" s="17">
        <f>C102/C22</f>
        <v>0.576</v>
      </c>
      <c r="D184" s="17"/>
      <c r="E184" s="17">
        <f>E102/E22</f>
        <v>0.485</v>
      </c>
      <c r="F184" s="17"/>
      <c r="G184" s="17">
        <f>G102/G22</f>
        <v>0.284</v>
      </c>
      <c r="H184" s="17"/>
      <c r="I184" s="17">
        <f>I102/I22</f>
        <v>0.228</v>
      </c>
      <c r="J184" s="17"/>
      <c r="K184" s="17">
        <f>K102/K22</f>
        <v>0.221</v>
      </c>
      <c r="L184" s="17"/>
      <c r="M184" s="17">
        <f>M102/M22</f>
        <v>0.315</v>
      </c>
      <c r="N184" s="17"/>
      <c r="O184" s="17">
        <f>O102/O22</f>
        <v>0.302</v>
      </c>
      <c r="P184" s="17"/>
      <c r="Q184" s="17">
        <f>Q102/Q22</f>
        <v>0.269</v>
      </c>
      <c r="R184" s="17"/>
      <c r="S184" s="17">
        <f>S102/S22</f>
        <v>0.277</v>
      </c>
      <c r="T184" s="17"/>
      <c r="U184" s="17">
        <f>U102/U22</f>
        <v>0.255</v>
      </c>
      <c r="V184" s="17"/>
      <c r="W184" s="17">
        <f>W102/W22</f>
        <v>0.219</v>
      </c>
      <c r="X184" s="17"/>
      <c r="Y184" s="17">
        <f>Y102/Y22</f>
        <v>0.129</v>
      </c>
      <c r="Z184" s="17"/>
    </row>
    <row r="185" spans="3:26" ht="11.25" customHeight="1"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1.25" customHeight="1">
      <c r="A186" s="115" t="s">
        <v>23</v>
      </c>
      <c r="C186" s="17"/>
      <c r="D186" s="17"/>
      <c r="E186" s="17"/>
      <c r="F186" s="17"/>
      <c r="G186" s="17">
        <f>G104/G24</f>
        <v>-0.324</v>
      </c>
      <c r="H186" s="17"/>
      <c r="I186" s="17">
        <f>I104/I24</f>
        <v>0.11</v>
      </c>
      <c r="J186" s="17"/>
      <c r="K186" s="17">
        <f>K104/K24</f>
        <v>0.2</v>
      </c>
      <c r="L186" s="17"/>
      <c r="M186" s="17">
        <f>M104/M24</f>
        <v>0.214</v>
      </c>
      <c r="N186" s="17"/>
      <c r="O186" s="17">
        <f>O104/O24</f>
        <v>0.127</v>
      </c>
      <c r="P186" s="17"/>
      <c r="Q186" s="17">
        <f>Q104/Q24</f>
        <v>0.222</v>
      </c>
      <c r="R186" s="17"/>
      <c r="S186" s="17">
        <f>S104/S24</f>
        <v>0.249</v>
      </c>
      <c r="T186" s="17"/>
      <c r="U186" s="17">
        <f>U104/U24</f>
        <v>0.226</v>
      </c>
      <c r="V186" s="17"/>
      <c r="W186" s="17">
        <f>W104/W24</f>
        <v>0.197</v>
      </c>
      <c r="X186" s="17"/>
      <c r="Y186" s="17">
        <f>Y104/Y24</f>
        <v>0.211</v>
      </c>
      <c r="Z186" s="17"/>
    </row>
    <row r="187" spans="3:26" ht="11.25" customHeight="1"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1.25" customHeight="1">
      <c r="A188" s="115" t="s">
        <v>24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>
        <f>U106/U26</f>
        <v>0.183</v>
      </c>
      <c r="V188" s="17"/>
      <c r="W188" s="17">
        <f>W106/W26</f>
        <v>0.12</v>
      </c>
      <c r="X188" s="17"/>
      <c r="Y188" s="17">
        <f>Y106/Y26</f>
        <v>0.161</v>
      </c>
      <c r="Z188" s="17"/>
    </row>
    <row r="189" spans="3:26" ht="11.25" customHeight="1"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1.25" customHeight="1">
      <c r="A190" s="131" t="s">
        <v>25</v>
      </c>
      <c r="C190" s="17"/>
      <c r="D190" s="17"/>
      <c r="E190" s="17"/>
      <c r="F190" s="17"/>
      <c r="G190" s="17"/>
      <c r="H190" s="17"/>
      <c r="I190" s="17">
        <f>I108/I28</f>
        <v>-0.092</v>
      </c>
      <c r="J190" s="17"/>
      <c r="K190" s="17">
        <f>K108/K28</f>
        <v>0.103</v>
      </c>
      <c r="L190" s="17"/>
      <c r="M190" s="17">
        <f>M108/M28</f>
        <v>0.212</v>
      </c>
      <c r="N190" s="17"/>
      <c r="O190" s="17">
        <f>O108/O28</f>
        <v>0.225</v>
      </c>
      <c r="P190" s="17"/>
      <c r="Q190" s="17">
        <f>Q108/Q28</f>
        <v>0.207</v>
      </c>
      <c r="R190" s="17"/>
      <c r="S190" s="17">
        <f>S108/S28</f>
        <v>0.217</v>
      </c>
      <c r="T190" s="17"/>
      <c r="U190" s="17">
        <f>U108/U28</f>
        <v>0.181</v>
      </c>
      <c r="V190" s="17"/>
      <c r="W190" s="17">
        <f>W108/W28</f>
        <v>0.165</v>
      </c>
      <c r="X190" s="17"/>
      <c r="Y190" s="17">
        <f>Y108/Y28</f>
        <v>0.16</v>
      </c>
      <c r="Z190" s="17"/>
    </row>
    <row r="191" spans="3:26" ht="11.25" customHeight="1"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1.25" customHeight="1">
      <c r="A192" s="115" t="s">
        <v>45</v>
      </c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>
        <f>Q110/Q30</f>
        <v>0.261</v>
      </c>
      <c r="R192" s="17"/>
      <c r="S192" s="17">
        <f>S110/S30</f>
        <v>0.262</v>
      </c>
      <c r="T192" s="17"/>
      <c r="U192" s="17">
        <f>U110/U30</f>
        <v>0.242</v>
      </c>
      <c r="V192" s="17"/>
      <c r="W192" s="17">
        <f>W110/W30</f>
        <v>0.204</v>
      </c>
      <c r="X192" s="17"/>
      <c r="Y192" s="17">
        <f>Y110/Y30</f>
        <v>0.179</v>
      </c>
      <c r="Z192" s="17"/>
    </row>
    <row r="193" spans="3:26" ht="11.25" customHeight="1"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1.25" customHeight="1">
      <c r="A194" s="115" t="s">
        <v>26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>
        <f>O112/O32</f>
        <v>0.198</v>
      </c>
      <c r="P194" s="17"/>
      <c r="Q194" s="17">
        <f>Q112/Q32</f>
        <v>0.157</v>
      </c>
      <c r="R194" s="17"/>
      <c r="S194" s="17">
        <f>S112/S32</f>
        <v>0.229</v>
      </c>
      <c r="T194" s="17"/>
      <c r="U194" s="17">
        <f>U112/U32</f>
        <v>0.237</v>
      </c>
      <c r="V194" s="17"/>
      <c r="W194" s="17">
        <f>W112/W32</f>
        <v>0.249</v>
      </c>
      <c r="X194" s="17"/>
      <c r="Y194" s="17">
        <f>Y112/Y32</f>
        <v>0.227</v>
      </c>
      <c r="Z194" s="17"/>
    </row>
    <row r="195" spans="3:80" ht="11.25" customHeight="1">
      <c r="C195" s="156"/>
      <c r="D195" s="142"/>
      <c r="E195" s="17"/>
      <c r="F195" s="142"/>
      <c r="G195" s="17"/>
      <c r="H195" s="142"/>
      <c r="I195" s="17"/>
      <c r="J195" s="142"/>
      <c r="K195" s="17"/>
      <c r="L195" s="142"/>
      <c r="M195" s="17"/>
      <c r="N195" s="142"/>
      <c r="O195" s="17"/>
      <c r="P195" s="142"/>
      <c r="Q195" s="17"/>
      <c r="R195" s="142"/>
      <c r="S195" s="17"/>
      <c r="T195" s="142"/>
      <c r="U195" s="17"/>
      <c r="V195" s="142"/>
      <c r="W195" s="17"/>
      <c r="X195" s="142"/>
      <c r="Y195" s="17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2"/>
      <c r="AQ195" s="142"/>
      <c r="AR195" s="142"/>
      <c r="AS195" s="142"/>
      <c r="AT195" s="142"/>
      <c r="AU195" s="142"/>
      <c r="AV195" s="142"/>
      <c r="AW195" s="142"/>
      <c r="AX195" s="142"/>
      <c r="AY195" s="142"/>
      <c r="AZ195" s="142"/>
      <c r="BA195" s="142"/>
      <c r="BB195" s="142"/>
      <c r="BC195" s="142"/>
      <c r="BD195" s="142"/>
      <c r="BE195" s="142"/>
      <c r="BF195" s="142"/>
      <c r="BG195" s="142"/>
      <c r="BH195" s="142"/>
      <c r="BI195" s="142"/>
      <c r="BJ195" s="142"/>
      <c r="BK195" s="142"/>
      <c r="BL195" s="142"/>
      <c r="BM195" s="142"/>
      <c r="BN195" s="142"/>
      <c r="BO195" s="142"/>
      <c r="BP195" s="142"/>
      <c r="BQ195" s="142"/>
      <c r="BR195" s="142"/>
      <c r="BS195" s="142"/>
      <c r="BT195" s="142"/>
      <c r="BU195" s="142"/>
      <c r="BV195" s="142"/>
      <c r="BW195" s="142"/>
      <c r="BX195" s="142"/>
      <c r="BY195" s="142"/>
      <c r="BZ195" s="142"/>
      <c r="CA195" s="142"/>
      <c r="CB195" s="142"/>
    </row>
    <row r="196" spans="1:80" ht="11.25" customHeight="1">
      <c r="A196" s="115" t="s">
        <v>38</v>
      </c>
      <c r="C196" s="154">
        <f>C114/C34</f>
        <v>0.576</v>
      </c>
      <c r="D196" s="154"/>
      <c r="E196" s="17">
        <f>E114/E34</f>
        <v>0.403</v>
      </c>
      <c r="F196" s="154"/>
      <c r="G196" s="17">
        <f>G114/G34</f>
        <v>0.225</v>
      </c>
      <c r="H196" s="154"/>
      <c r="I196" s="17">
        <f>I114/I34</f>
        <v>0.215</v>
      </c>
      <c r="J196" s="154"/>
      <c r="K196" s="17">
        <f>K114/K34</f>
        <v>0.216</v>
      </c>
      <c r="L196" s="154"/>
      <c r="M196" s="17">
        <f>M114/M34</f>
        <v>0.261</v>
      </c>
      <c r="N196" s="154"/>
      <c r="O196" s="17">
        <f>O114/O34</f>
        <v>0.251</v>
      </c>
      <c r="P196" s="222" t="s">
        <v>83</v>
      </c>
      <c r="Q196" s="17">
        <f>Q114/Q34</f>
        <v>0.232</v>
      </c>
      <c r="R196" s="154"/>
      <c r="S196" s="17">
        <f>S114/S34</f>
        <v>0.25</v>
      </c>
      <c r="T196" s="154"/>
      <c r="U196" s="17">
        <f>U114/U34</f>
        <v>0.24</v>
      </c>
      <c r="V196" s="154"/>
      <c r="W196" s="17">
        <f>W114/W34</f>
        <v>0.222</v>
      </c>
      <c r="X196" s="154"/>
      <c r="Y196" s="17">
        <f>Y114/Y34</f>
        <v>0.211</v>
      </c>
      <c r="Z196" s="154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2"/>
      <c r="AQ196" s="142"/>
      <c r="AR196" s="142"/>
      <c r="AS196" s="142"/>
      <c r="AT196" s="142"/>
      <c r="AU196" s="142"/>
      <c r="AV196" s="142"/>
      <c r="AW196" s="142"/>
      <c r="AX196" s="142"/>
      <c r="AY196" s="142"/>
      <c r="AZ196" s="142"/>
      <c r="BA196" s="142"/>
      <c r="BB196" s="142"/>
      <c r="BC196" s="142"/>
      <c r="BD196" s="142"/>
      <c r="BE196" s="142"/>
      <c r="BF196" s="142"/>
      <c r="BG196" s="142"/>
      <c r="BH196" s="142"/>
      <c r="BI196" s="142"/>
      <c r="BJ196" s="142"/>
      <c r="BK196" s="142"/>
      <c r="BL196" s="142"/>
      <c r="BM196" s="142"/>
      <c r="BN196" s="142"/>
      <c r="BO196" s="142"/>
      <c r="BP196" s="142"/>
      <c r="BQ196" s="142"/>
      <c r="BR196" s="142"/>
      <c r="BS196" s="142"/>
      <c r="BT196" s="142"/>
      <c r="BU196" s="142"/>
      <c r="BV196" s="142"/>
      <c r="BW196" s="142"/>
      <c r="BX196" s="142"/>
      <c r="BY196" s="142"/>
      <c r="BZ196" s="142"/>
      <c r="CA196" s="142"/>
      <c r="CB196" s="142"/>
    </row>
    <row r="197" spans="3:80" ht="11.25" customHeight="1">
      <c r="C197" s="156"/>
      <c r="D197" s="142"/>
      <c r="E197" s="156"/>
      <c r="F197" s="142"/>
      <c r="G197" s="156"/>
      <c r="H197" s="142"/>
      <c r="I197" s="156"/>
      <c r="J197" s="142"/>
      <c r="K197" s="156"/>
      <c r="L197" s="142"/>
      <c r="M197" s="156"/>
      <c r="N197" s="142"/>
      <c r="O197" s="156"/>
      <c r="P197" s="142"/>
      <c r="Q197" s="156"/>
      <c r="R197" s="142"/>
      <c r="S197" s="156"/>
      <c r="T197" s="142"/>
      <c r="U197" s="156"/>
      <c r="V197" s="142"/>
      <c r="W197" s="156"/>
      <c r="X197" s="142"/>
      <c r="Y197" s="156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2"/>
      <c r="AP197" s="142"/>
      <c r="AQ197" s="142"/>
      <c r="AR197" s="142"/>
      <c r="AS197" s="142"/>
      <c r="AT197" s="142"/>
      <c r="AU197" s="142"/>
      <c r="AV197" s="142"/>
      <c r="AW197" s="142"/>
      <c r="AX197" s="142"/>
      <c r="AY197" s="142"/>
      <c r="AZ197" s="142"/>
      <c r="BA197" s="142"/>
      <c r="BB197" s="142"/>
      <c r="BC197" s="142"/>
      <c r="BD197" s="142"/>
      <c r="BE197" s="142"/>
      <c r="BF197" s="142"/>
      <c r="BG197" s="142"/>
      <c r="BH197" s="142"/>
      <c r="BI197" s="142"/>
      <c r="BJ197" s="142"/>
      <c r="BK197" s="142"/>
      <c r="BL197" s="142"/>
      <c r="BM197" s="142"/>
      <c r="BN197" s="142"/>
      <c r="BO197" s="142"/>
      <c r="BP197" s="142"/>
      <c r="BQ197" s="142"/>
      <c r="BR197" s="142"/>
      <c r="BS197" s="142"/>
      <c r="BT197" s="142"/>
      <c r="BU197" s="142"/>
      <c r="BV197" s="142"/>
      <c r="BW197" s="142"/>
      <c r="BX197" s="142"/>
      <c r="BY197" s="142"/>
      <c r="BZ197" s="142"/>
      <c r="CA197" s="142"/>
      <c r="CB197" s="142"/>
    </row>
    <row r="198" spans="1:25" ht="11.25" customHeight="1">
      <c r="A198" s="123" t="s">
        <v>59</v>
      </c>
      <c r="C198" s="126"/>
      <c r="E198" s="126"/>
      <c r="G198" s="126"/>
      <c r="I198" s="126"/>
      <c r="J198" s="142"/>
      <c r="K198" s="126"/>
      <c r="M198" s="126"/>
      <c r="O198" s="126"/>
      <c r="Q198" s="126"/>
      <c r="S198" s="126"/>
      <c r="U198" s="126"/>
      <c r="W198" s="126"/>
      <c r="Y198" s="126"/>
    </row>
    <row r="199" spans="1:3" ht="11.25" customHeight="1">
      <c r="A199" s="131" t="s">
        <v>50</v>
      </c>
      <c r="C199" s="71"/>
    </row>
    <row r="200" spans="1:3" ht="11.25" customHeight="1">
      <c r="A200" s="123" t="s">
        <v>95</v>
      </c>
      <c r="C200" s="71"/>
    </row>
    <row r="201" ht="11.25" customHeight="1">
      <c r="C201" s="71"/>
    </row>
    <row r="202" spans="1:3" ht="11.25" customHeight="1">
      <c r="A202" s="129"/>
      <c r="C202" s="71"/>
    </row>
    <row r="203" spans="1:5" ht="11.25" customHeight="1">
      <c r="A203" s="115" t="s">
        <v>0</v>
      </c>
      <c r="E203" s="139"/>
    </row>
    <row r="204" ht="11.25" customHeight="1">
      <c r="A204" s="115" t="s">
        <v>60</v>
      </c>
    </row>
    <row r="205" spans="1:7" ht="11.25" customHeight="1">
      <c r="A205" s="119" t="str">
        <f>A3</f>
        <v>1978-1989</v>
      </c>
      <c r="B205" s="140"/>
      <c r="C205" s="140"/>
      <c r="D205" s="140"/>
      <c r="E205" s="140"/>
      <c r="F205" s="140"/>
      <c r="G205" s="140"/>
    </row>
    <row r="206" spans="1:6" ht="11.25" customHeight="1">
      <c r="A206" s="126"/>
      <c r="B206" s="126"/>
      <c r="C206" s="126"/>
      <c r="D206" s="126"/>
      <c r="E206" s="126"/>
      <c r="F206" s="115"/>
    </row>
    <row r="208" spans="3:25" ht="11.25" customHeight="1">
      <c r="C208"/>
      <c r="E208" s="124" t="s">
        <v>4</v>
      </c>
      <c r="G208" s="124" t="s">
        <v>5</v>
      </c>
      <c r="I208" s="124" t="s">
        <v>6</v>
      </c>
      <c r="K208" s="124" t="s">
        <v>7</v>
      </c>
      <c r="M208" s="124" t="s">
        <v>8</v>
      </c>
      <c r="O208" s="124" t="s">
        <v>9</v>
      </c>
      <c r="Q208" s="124" t="s">
        <v>10</v>
      </c>
      <c r="S208" s="124" t="s">
        <v>11</v>
      </c>
      <c r="U208" s="124" t="s">
        <v>12</v>
      </c>
      <c r="W208" s="124" t="s">
        <v>13</v>
      </c>
      <c r="Y208" s="124" t="s">
        <v>14</v>
      </c>
    </row>
    <row r="209" ht="11.25" customHeight="1">
      <c r="C209"/>
    </row>
    <row r="210" spans="1:26" ht="11.25" customHeight="1">
      <c r="A210" s="115" t="s">
        <v>15</v>
      </c>
      <c r="C210" s="157"/>
      <c r="D210" s="157"/>
      <c r="E210" s="157"/>
      <c r="F210" s="157"/>
      <c r="G210" s="157"/>
      <c r="H210" s="157"/>
      <c r="I210" s="157"/>
      <c r="J210" s="157"/>
      <c r="K210" s="157">
        <f>(K172-I172)*100</f>
        <v>0.4</v>
      </c>
      <c r="L210" s="157"/>
      <c r="M210" s="157">
        <f>(M172-K172)*100</f>
        <v>4.2</v>
      </c>
      <c r="N210" s="157"/>
      <c r="O210" s="157">
        <f>(O172-M172)*100</f>
        <v>-3.7</v>
      </c>
      <c r="P210" s="157"/>
      <c r="Q210" s="157">
        <f>(Q172-O172)*100</f>
        <v>-11.8</v>
      </c>
      <c r="R210" s="157"/>
      <c r="S210" s="157">
        <f>(S172-Q172)*100</f>
        <v>4.7</v>
      </c>
      <c r="T210" s="157"/>
      <c r="U210" s="157">
        <f>(U172-S172)*100</f>
        <v>-8.5</v>
      </c>
      <c r="V210" s="157"/>
      <c r="W210" s="157">
        <f>(W172-U172)*100</f>
        <v>-1.6</v>
      </c>
      <c r="X210" s="157"/>
      <c r="Y210" s="157">
        <f>(Y172-W172)*100</f>
        <v>-20.1</v>
      </c>
      <c r="Z210" s="157" t="s">
        <v>46</v>
      </c>
    </row>
    <row r="211" spans="3:26" ht="11.25" customHeight="1"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</row>
    <row r="212" spans="1:26" ht="11.25" customHeight="1">
      <c r="A212" s="131" t="s">
        <v>17</v>
      </c>
      <c r="C212" s="157"/>
      <c r="D212" s="157"/>
      <c r="E212" s="157"/>
      <c r="F212" s="157"/>
      <c r="G212" s="157"/>
      <c r="H212" s="157"/>
      <c r="I212" s="157">
        <f>(I174-G174)*100</f>
        <v>57.8</v>
      </c>
      <c r="J212" s="157"/>
      <c r="K212" s="157">
        <f>(K174-I174)*100</f>
        <v>1.5</v>
      </c>
      <c r="L212" s="157"/>
      <c r="M212" s="157">
        <f>(M174-K174)*100</f>
        <v>3.4</v>
      </c>
      <c r="N212" s="157"/>
      <c r="O212" s="157">
        <f>(O174-M174)*100</f>
        <v>3.6</v>
      </c>
      <c r="P212" s="215" t="s">
        <v>16</v>
      </c>
      <c r="Q212" s="157">
        <f>(Q174-O174)*100</f>
        <v>-4.5</v>
      </c>
      <c r="R212" s="157"/>
      <c r="S212" s="157">
        <f>(S174-Q174)*100</f>
        <v>0.7</v>
      </c>
      <c r="T212" s="157"/>
      <c r="U212" s="157">
        <f>(U174-S174)*100</f>
        <v>-4.2</v>
      </c>
      <c r="V212" s="157"/>
      <c r="W212" s="157">
        <f>(W174-U174)*100</f>
        <v>-2.4</v>
      </c>
      <c r="X212" s="157"/>
      <c r="Y212" s="157">
        <f>(Y174-W174)*100</f>
        <v>-2.7</v>
      </c>
      <c r="Z212" s="157"/>
    </row>
    <row r="213" spans="3:26" ht="11.25" customHeight="1"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</row>
    <row r="214" spans="1:26" ht="11.25" customHeight="1">
      <c r="A214" s="115" t="s">
        <v>18</v>
      </c>
      <c r="C214" s="157"/>
      <c r="D214" s="157"/>
      <c r="E214" s="157"/>
      <c r="F214" s="157"/>
      <c r="G214" s="157">
        <f>(G176-E176)*100</f>
        <v>-4.1</v>
      </c>
      <c r="H214" s="157"/>
      <c r="I214" s="157">
        <f>(I176-G176)*100</f>
        <v>-1.1</v>
      </c>
      <c r="J214" s="157"/>
      <c r="K214" s="157">
        <f>(K176-I176)*100</f>
        <v>0.2</v>
      </c>
      <c r="L214" s="157"/>
      <c r="M214" s="157">
        <f>(M176-K176)*100</f>
        <v>3.1</v>
      </c>
      <c r="N214" s="157"/>
      <c r="O214" s="157">
        <f>(O176-M176)*100</f>
        <v>0.1</v>
      </c>
      <c r="P214" s="157"/>
      <c r="Q214" s="157">
        <f>(Q176-O176)*100</f>
        <v>-0.7</v>
      </c>
      <c r="R214" s="157"/>
      <c r="S214" s="157">
        <f>(S176-Q176)*100</f>
        <v>-1</v>
      </c>
      <c r="T214" s="157"/>
      <c r="U214" s="157">
        <f>(U176-S176)*100</f>
        <v>1.4</v>
      </c>
      <c r="V214" s="157"/>
      <c r="W214" s="157">
        <f>(W176-U176)*100</f>
        <v>1</v>
      </c>
      <c r="X214" s="157"/>
      <c r="Y214" s="157">
        <f>(Y176-W176)*100</f>
        <v>-2.9</v>
      </c>
      <c r="Z214" s="157"/>
    </row>
    <row r="215" spans="3:26" ht="11.25" customHeight="1"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</row>
    <row r="216" spans="1:26" ht="11.25" customHeight="1">
      <c r="A216" s="115" t="s">
        <v>19</v>
      </c>
      <c r="C216" s="157"/>
      <c r="D216" s="157"/>
      <c r="E216" s="157"/>
      <c r="F216" s="157"/>
      <c r="G216" s="157">
        <f>(G178-E178)*100</f>
        <v>1.8</v>
      </c>
      <c r="H216" s="157"/>
      <c r="I216" s="157">
        <f>(I178-G178)*100</f>
        <v>2</v>
      </c>
      <c r="J216" s="157"/>
      <c r="K216" s="157">
        <f>(K178-I178)*100</f>
        <v>-1.8</v>
      </c>
      <c r="L216" s="157"/>
      <c r="M216" s="157">
        <f>(M178-K178)*100</f>
        <v>-5.4</v>
      </c>
      <c r="N216" s="157"/>
      <c r="O216" s="157">
        <f>(O178-M178)*100</f>
        <v>3.2</v>
      </c>
      <c r="P216" s="157"/>
      <c r="Q216" s="157">
        <f>(Q178-O178)*100</f>
        <v>2.7</v>
      </c>
      <c r="R216" s="157"/>
      <c r="S216" s="157">
        <f>(S178-Q178)*100</f>
        <v>0.7</v>
      </c>
      <c r="T216" s="157"/>
      <c r="U216" s="157">
        <f>(U178-S178)*100</f>
        <v>3.2</v>
      </c>
      <c r="V216" s="157"/>
      <c r="W216" s="157">
        <f>(W178-U178)*100</f>
        <v>-0.7</v>
      </c>
      <c r="X216" s="157"/>
      <c r="Y216" s="157">
        <f>(Y178-W178)*100</f>
        <v>-1.5</v>
      </c>
      <c r="Z216" s="157"/>
    </row>
    <row r="217" spans="3:26" ht="11.25" customHeight="1"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</row>
    <row r="218" spans="1:26" ht="11.25" customHeight="1">
      <c r="A218" s="131" t="s">
        <v>52</v>
      </c>
      <c r="C218" s="157"/>
      <c r="D218" s="157"/>
      <c r="E218" s="157"/>
      <c r="F218" s="157"/>
      <c r="G218" s="157"/>
      <c r="H218" s="157"/>
      <c r="I218" s="157"/>
      <c r="J218" s="157"/>
      <c r="K218" s="157">
        <f>(K180-I180)*100</f>
        <v>4.1</v>
      </c>
      <c r="L218" s="157"/>
      <c r="M218" s="157">
        <f>(M180-K180)*100</f>
        <v>10.8</v>
      </c>
      <c r="N218" s="157"/>
      <c r="O218" s="157">
        <f>(O180-M180)*100</f>
        <v>4.3</v>
      </c>
      <c r="P218" s="157"/>
      <c r="Q218" s="157">
        <f>(Q180-O180)*100</f>
        <v>0.1</v>
      </c>
      <c r="R218" s="157"/>
      <c r="S218" s="157">
        <f>(S180-Q180)*100</f>
        <v>-1.9</v>
      </c>
      <c r="T218" s="157"/>
      <c r="U218" s="157">
        <f>(U180-S180)*100</f>
        <v>1.2</v>
      </c>
      <c r="V218" s="157"/>
      <c r="W218" s="157">
        <f>(W180-U180)*100</f>
        <v>-0.8</v>
      </c>
      <c r="X218" s="157"/>
      <c r="Y218" s="157">
        <f>(Y180-W180)*100</f>
        <v>2.2</v>
      </c>
      <c r="Z218" s="157"/>
    </row>
    <row r="219" spans="3:26" ht="11.25" customHeight="1"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</row>
    <row r="220" spans="1:26" ht="11.25" customHeight="1">
      <c r="A220" s="115" t="s">
        <v>21</v>
      </c>
      <c r="C220" s="157"/>
      <c r="D220" s="157"/>
      <c r="E220" s="157"/>
      <c r="F220" s="157"/>
      <c r="G220" s="157">
        <f>(G182-E182)*100</f>
        <v>-42.6</v>
      </c>
      <c r="H220" s="157"/>
      <c r="I220" s="157">
        <f>(I182-G182)*100</f>
        <v>63.5</v>
      </c>
      <c r="J220" s="157"/>
      <c r="K220" s="157">
        <f>(K182-I182)*100</f>
        <v>11.5</v>
      </c>
      <c r="L220" s="157"/>
      <c r="M220" s="157">
        <f>(M182-K182)*100</f>
        <v>2.9</v>
      </c>
      <c r="N220" s="157"/>
      <c r="O220" s="157">
        <f>(O182-M182)*100</f>
        <v>-1</v>
      </c>
      <c r="P220" s="157"/>
      <c r="Q220" s="157">
        <f>(Q182-O182)*100</f>
        <v>-6.9</v>
      </c>
      <c r="R220" s="157"/>
      <c r="S220" s="157">
        <f>(S182-Q182)*100</f>
        <v>1</v>
      </c>
      <c r="T220" s="157"/>
      <c r="U220" s="157">
        <f>(U182-S182)*100</f>
        <v>0.2</v>
      </c>
      <c r="V220" s="157"/>
      <c r="W220" s="157">
        <f>(W182-U182)*100</f>
        <v>0.5</v>
      </c>
      <c r="X220" s="157"/>
      <c r="Y220" s="157">
        <f>(Y182-W182)*100</f>
        <v>1.4</v>
      </c>
      <c r="Z220" s="157"/>
    </row>
    <row r="221" spans="3:26" ht="11.25" customHeight="1"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</row>
    <row r="222" spans="1:26" ht="11.25" customHeight="1">
      <c r="A222" s="115" t="s">
        <v>22</v>
      </c>
      <c r="C222" s="157"/>
      <c r="D222" s="157"/>
      <c r="E222" s="157">
        <f>(E184-C184)*100</f>
        <v>-9.1</v>
      </c>
      <c r="F222" s="157"/>
      <c r="G222" s="157">
        <f>(G184-E184)*100</f>
        <v>-20.1</v>
      </c>
      <c r="H222" s="157"/>
      <c r="I222" s="157">
        <f>(I184-G184)*100</f>
        <v>-5.6</v>
      </c>
      <c r="J222" s="157"/>
      <c r="K222" s="157">
        <f>(K184-I184)*100</f>
        <v>-0.7</v>
      </c>
      <c r="L222" s="157"/>
      <c r="M222" s="157">
        <f>(M184-K184)*100</f>
        <v>9.4</v>
      </c>
      <c r="N222" s="157"/>
      <c r="O222" s="157">
        <f>(O184-M184)*100</f>
        <v>-1.3</v>
      </c>
      <c r="P222" s="157"/>
      <c r="Q222" s="157">
        <f>(Q184-O184)*100</f>
        <v>-3.3</v>
      </c>
      <c r="R222" s="157"/>
      <c r="S222" s="157">
        <f>(S184-Q184)*100</f>
        <v>0.8</v>
      </c>
      <c r="T222" s="157"/>
      <c r="U222" s="157">
        <f>(U184-S184)*100</f>
        <v>-2.2</v>
      </c>
      <c r="V222" s="157"/>
      <c r="W222" s="157">
        <f>(W184-U184)*100</f>
        <v>-3.6</v>
      </c>
      <c r="X222" s="157"/>
      <c r="Y222" s="157">
        <f>(Y184-W184)*100</f>
        <v>-9</v>
      </c>
      <c r="Z222" s="157"/>
    </row>
    <row r="223" spans="3:26" ht="11.25" customHeight="1"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</row>
    <row r="224" spans="1:26" ht="11.25" customHeight="1">
      <c r="A224" s="115" t="s">
        <v>23</v>
      </c>
      <c r="C224" s="157"/>
      <c r="D224" s="157"/>
      <c r="E224" s="157"/>
      <c r="F224" s="157"/>
      <c r="G224" s="157"/>
      <c r="H224" s="157"/>
      <c r="I224" s="157">
        <f>(I186-G186)*100</f>
        <v>43.4</v>
      </c>
      <c r="J224" s="157"/>
      <c r="K224" s="157">
        <f>(K186-I186)*100</f>
        <v>9</v>
      </c>
      <c r="L224" s="157"/>
      <c r="M224" s="157">
        <f>(M186-K186)*100</f>
        <v>1.4</v>
      </c>
      <c r="N224" s="157"/>
      <c r="O224" s="157">
        <f>(O186-M186)*100</f>
        <v>-8.7</v>
      </c>
      <c r="P224" s="157"/>
      <c r="Q224" s="157">
        <f>(Q186-O186)*100</f>
        <v>9.5</v>
      </c>
      <c r="R224" s="157"/>
      <c r="S224" s="157">
        <f>(S186-Q186)*100</f>
        <v>2.7</v>
      </c>
      <c r="T224" s="157"/>
      <c r="U224" s="157">
        <f>(U186-S186)*100</f>
        <v>-2.3</v>
      </c>
      <c r="V224" s="157"/>
      <c r="W224" s="157">
        <f>(W186-U186)*100</f>
        <v>-2.9</v>
      </c>
      <c r="X224" s="157"/>
      <c r="Y224" s="157">
        <f>(Y186-W186)*100</f>
        <v>1.4</v>
      </c>
      <c r="Z224" s="157"/>
    </row>
    <row r="225" spans="3:26" ht="11.25" customHeight="1"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</row>
    <row r="226" spans="1:26" ht="11.25" customHeight="1">
      <c r="A226" s="115" t="s">
        <v>24</v>
      </c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  <c r="W226" s="157">
        <f>(W188-U188)*100</f>
        <v>-6.3</v>
      </c>
      <c r="X226" s="157"/>
      <c r="Y226" s="157">
        <f>(Y188-W188)*100</f>
        <v>4.1</v>
      </c>
      <c r="Z226" s="157"/>
    </row>
    <row r="227" spans="3:26" ht="11.25" customHeight="1"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</row>
    <row r="228" spans="1:26" ht="11.25" customHeight="1">
      <c r="A228" s="131" t="s">
        <v>25</v>
      </c>
      <c r="C228" s="157"/>
      <c r="D228" s="157"/>
      <c r="E228" s="157"/>
      <c r="F228" s="157"/>
      <c r="G228" s="157"/>
      <c r="H228" s="157"/>
      <c r="I228" s="157"/>
      <c r="J228" s="157"/>
      <c r="K228" s="157">
        <f>(K190-I190)*100</f>
        <v>19.5</v>
      </c>
      <c r="L228" s="157"/>
      <c r="M228" s="157">
        <f>(M190-K190)*100</f>
        <v>10.9</v>
      </c>
      <c r="N228" s="157"/>
      <c r="O228" s="157">
        <f>(O190-M190)*100</f>
        <v>1.3</v>
      </c>
      <c r="P228" s="157"/>
      <c r="Q228" s="157">
        <f>(Q190-O190)*100</f>
        <v>-1.8</v>
      </c>
      <c r="R228" s="157"/>
      <c r="S228" s="157">
        <f>(S190-Q190)*100</f>
        <v>1</v>
      </c>
      <c r="T228" s="157"/>
      <c r="U228" s="157">
        <f>(U190-S190)*100</f>
        <v>-3.6</v>
      </c>
      <c r="V228" s="157"/>
      <c r="W228" s="157">
        <f>(W190-U190)*100</f>
        <v>-1.6</v>
      </c>
      <c r="X228" s="157"/>
      <c r="Y228" s="157">
        <f>(Y190-W190)*100</f>
        <v>-0.5</v>
      </c>
      <c r="Z228" s="157"/>
    </row>
    <row r="229" spans="3:26" ht="11.25" customHeight="1"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</row>
    <row r="230" spans="1:26" ht="11.25" customHeight="1">
      <c r="A230" s="115" t="s">
        <v>45</v>
      </c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>
        <f>(S192-Q192)*100</f>
        <v>0.1</v>
      </c>
      <c r="T230" s="157"/>
      <c r="U230" s="157">
        <f>(U192-S192)*100</f>
        <v>-2</v>
      </c>
      <c r="V230" s="157"/>
      <c r="W230" s="157">
        <f>(W192-U192)*100</f>
        <v>-3.8</v>
      </c>
      <c r="X230" s="157"/>
      <c r="Y230" s="157">
        <f>(Y192-W192)*100</f>
        <v>-2.5</v>
      </c>
      <c r="Z230" s="157"/>
    </row>
    <row r="231" spans="3:26" ht="11.25" customHeight="1"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</row>
    <row r="232" spans="1:26" ht="11.25" customHeight="1">
      <c r="A232" s="115" t="s">
        <v>26</v>
      </c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>
        <f>(Q194-O194)*100</f>
        <v>-4.1</v>
      </c>
      <c r="R232" s="157"/>
      <c r="S232" s="157">
        <f>(S194-Q194)*100</f>
        <v>7.2</v>
      </c>
      <c r="T232" s="157"/>
      <c r="U232" s="157">
        <f>(U194-S194)*100</f>
        <v>0.8</v>
      </c>
      <c r="V232" s="157"/>
      <c r="W232" s="157">
        <f>(W194-U194)*100</f>
        <v>1.2</v>
      </c>
      <c r="X232" s="157"/>
      <c r="Y232" s="157">
        <f>(Y194-W194)*100</f>
        <v>-2.2</v>
      </c>
      <c r="Z232" s="157"/>
    </row>
    <row r="233" spans="3:60" ht="11.25" customHeight="1">
      <c r="C233" s="159"/>
      <c r="D233" s="159"/>
      <c r="E233" s="159"/>
      <c r="F233" s="159"/>
      <c r="G233" s="157"/>
      <c r="H233" s="158"/>
      <c r="I233" s="157"/>
      <c r="J233" s="158"/>
      <c r="K233" s="157"/>
      <c r="L233" s="158"/>
      <c r="M233" s="157"/>
      <c r="N233" s="158"/>
      <c r="O233" s="157"/>
      <c r="P233" s="158"/>
      <c r="Q233" s="157"/>
      <c r="R233" s="158"/>
      <c r="S233" s="157"/>
      <c r="T233" s="158"/>
      <c r="U233" s="157"/>
      <c r="V233" s="158"/>
      <c r="W233" s="157"/>
      <c r="X233" s="158"/>
      <c r="Y233" s="157"/>
      <c r="Z233" s="158"/>
      <c r="AA233" s="142"/>
      <c r="AB233" s="142"/>
      <c r="AC233" s="142"/>
      <c r="AD233" s="142"/>
      <c r="AE233" s="142"/>
      <c r="AF233" s="142"/>
      <c r="AG233" s="142"/>
      <c r="AH233" s="142"/>
      <c r="AI233" s="142"/>
      <c r="AJ233" s="142"/>
      <c r="AK233" s="142"/>
      <c r="AL233" s="142"/>
      <c r="AM233" s="142"/>
      <c r="AN233" s="142"/>
      <c r="AO233" s="142"/>
      <c r="AP233" s="142"/>
      <c r="AQ233" s="142"/>
      <c r="AR233" s="142"/>
      <c r="AS233" s="142"/>
      <c r="AT233" s="142"/>
      <c r="AU233" s="142"/>
      <c r="AV233" s="142"/>
      <c r="AW233" s="142"/>
      <c r="AX233" s="142"/>
      <c r="AY233" s="142"/>
      <c r="AZ233" s="142"/>
      <c r="BA233" s="142"/>
      <c r="BB233" s="142"/>
      <c r="BC233" s="142"/>
      <c r="BD233" s="142"/>
      <c r="BE233" s="142"/>
      <c r="BF233" s="142"/>
      <c r="BG233" s="142"/>
      <c r="BH233" s="142"/>
    </row>
    <row r="234" spans="1:60" ht="11.25" customHeight="1">
      <c r="A234" s="115" t="s">
        <v>38</v>
      </c>
      <c r="C234" s="160"/>
      <c r="D234" s="159"/>
      <c r="E234" s="157">
        <f>(E196-C196)*100</f>
        <v>-17.3</v>
      </c>
      <c r="F234" s="158"/>
      <c r="G234" s="157">
        <f>(G196-E196)*100</f>
        <v>-17.8</v>
      </c>
      <c r="H234" s="158"/>
      <c r="I234" s="157">
        <f>(I196-G196)*100</f>
        <v>-1</v>
      </c>
      <c r="J234" s="158"/>
      <c r="K234" s="157">
        <f>(K196-I196)*100</f>
        <v>0.1</v>
      </c>
      <c r="L234" s="158"/>
      <c r="M234" s="157">
        <f>(M196-K196)*100</f>
        <v>4.5</v>
      </c>
      <c r="N234" s="158"/>
      <c r="O234" s="157">
        <f>(O196-M196)*100</f>
        <v>-1</v>
      </c>
      <c r="P234" s="158" t="s">
        <v>16</v>
      </c>
      <c r="Q234" s="157">
        <f>(Q196-O196)*100</f>
        <v>-1.9</v>
      </c>
      <c r="R234" s="158"/>
      <c r="S234" s="157">
        <f>(S196-Q196)*100</f>
        <v>1.8</v>
      </c>
      <c r="T234" s="158"/>
      <c r="U234" s="157">
        <f>(U196-S196)*100</f>
        <v>-1</v>
      </c>
      <c r="V234" s="158"/>
      <c r="W234" s="157">
        <f>(W196-U196)*100</f>
        <v>-1.8</v>
      </c>
      <c r="X234" s="158"/>
      <c r="Y234" s="157">
        <f>(Y196-W196)*100</f>
        <v>-1.1</v>
      </c>
      <c r="Z234" s="158"/>
      <c r="AA234" s="142"/>
      <c r="AB234" s="142"/>
      <c r="AC234" s="142"/>
      <c r="AD234" s="142"/>
      <c r="AE234" s="142"/>
      <c r="AF234" s="142"/>
      <c r="AG234" s="142"/>
      <c r="AH234" s="142"/>
      <c r="AI234" s="142"/>
      <c r="AJ234" s="142"/>
      <c r="AK234" s="142"/>
      <c r="AL234" s="142"/>
      <c r="AM234" s="142"/>
      <c r="AN234" s="142"/>
      <c r="AO234" s="142"/>
      <c r="AP234" s="142"/>
      <c r="AQ234" s="142"/>
      <c r="AR234" s="142"/>
      <c r="AS234" s="142"/>
      <c r="AT234" s="142"/>
      <c r="AU234" s="142"/>
      <c r="AV234" s="142"/>
      <c r="AW234" s="142"/>
      <c r="AX234" s="142"/>
      <c r="AY234" s="142"/>
      <c r="AZ234" s="142"/>
      <c r="BA234" s="142"/>
      <c r="BB234" s="142"/>
      <c r="BC234" s="142"/>
      <c r="BD234" s="142"/>
      <c r="BE234" s="142"/>
      <c r="BF234" s="142"/>
      <c r="BG234" s="142"/>
      <c r="BH234" s="142"/>
    </row>
    <row r="235" spans="3:60" ht="11.25" customHeight="1">
      <c r="C235" s="156"/>
      <c r="D235" s="159"/>
      <c r="E235" s="156"/>
      <c r="F235" s="159"/>
      <c r="G235" s="156"/>
      <c r="H235" s="158"/>
      <c r="I235" s="156"/>
      <c r="J235" s="158"/>
      <c r="K235" s="156"/>
      <c r="L235" s="158"/>
      <c r="M235" s="156"/>
      <c r="N235" s="158"/>
      <c r="O235" s="156"/>
      <c r="P235" s="158"/>
      <c r="Q235" s="156"/>
      <c r="R235" s="158"/>
      <c r="S235" s="156"/>
      <c r="T235" s="158"/>
      <c r="U235" s="156"/>
      <c r="V235" s="158"/>
      <c r="W235" s="156"/>
      <c r="X235" s="158"/>
      <c r="Y235" s="156"/>
      <c r="Z235" s="158"/>
      <c r="AA235" s="142"/>
      <c r="AB235" s="142"/>
      <c r="AC235" s="142"/>
      <c r="AD235" s="142"/>
      <c r="AE235" s="142"/>
      <c r="AF235" s="142"/>
      <c r="AG235" s="142"/>
      <c r="AH235" s="142"/>
      <c r="AI235" s="142"/>
      <c r="AJ235" s="142"/>
      <c r="AK235" s="142"/>
      <c r="AL235" s="142"/>
      <c r="AM235" s="142"/>
      <c r="AN235" s="142"/>
      <c r="AO235" s="142"/>
      <c r="AP235" s="142"/>
      <c r="AQ235" s="142"/>
      <c r="AR235" s="142"/>
      <c r="AS235" s="142"/>
      <c r="AT235" s="142"/>
      <c r="AU235" s="142"/>
      <c r="AV235" s="142"/>
      <c r="AW235" s="142"/>
      <c r="AX235" s="142"/>
      <c r="AY235" s="142"/>
      <c r="AZ235" s="142"/>
      <c r="BA235" s="142"/>
      <c r="BB235" s="142"/>
      <c r="BC235" s="142"/>
      <c r="BD235" s="142"/>
      <c r="BE235" s="142"/>
      <c r="BF235" s="142"/>
      <c r="BG235" s="142"/>
      <c r="BH235" s="142"/>
    </row>
    <row r="236" spans="1:60" ht="11.25" customHeight="1">
      <c r="A236" s="131" t="s">
        <v>48</v>
      </c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  <c r="AJ236" s="142"/>
      <c r="AK236" s="142"/>
      <c r="AL236" s="142"/>
      <c r="AM236" s="142"/>
      <c r="AN236" s="142"/>
      <c r="AO236" s="142"/>
      <c r="AP236" s="142"/>
      <c r="AQ236" s="142"/>
      <c r="AR236" s="142"/>
      <c r="AS236" s="142"/>
      <c r="AT236" s="142"/>
      <c r="AU236" s="142"/>
      <c r="AV236" s="142"/>
      <c r="AW236" s="142"/>
      <c r="AX236" s="142"/>
      <c r="AY236" s="142"/>
      <c r="AZ236" s="142"/>
      <c r="BA236" s="142"/>
      <c r="BB236" s="142"/>
      <c r="BC236" s="142"/>
      <c r="BD236" s="142"/>
      <c r="BE236" s="142"/>
      <c r="BF236" s="142"/>
      <c r="BG236" s="142"/>
      <c r="BH236" s="142"/>
    </row>
    <row r="237" spans="1:3" ht="11.25" customHeight="1">
      <c r="A237" s="123" t="s">
        <v>94</v>
      </c>
      <c r="C237" s="71"/>
    </row>
    <row r="238" ht="11.25" customHeight="1">
      <c r="C238" s="71"/>
    </row>
    <row r="239" spans="1:3" ht="11.25" customHeight="1">
      <c r="A239" s="129"/>
      <c r="C239" s="71"/>
    </row>
    <row r="241" spans="1:5" ht="11.25" customHeight="1">
      <c r="A241" s="115" t="s">
        <v>0</v>
      </c>
      <c r="E241" s="139"/>
    </row>
    <row r="242" ht="11.25" customHeight="1">
      <c r="A242" s="131" t="s">
        <v>61</v>
      </c>
    </row>
    <row r="243" spans="1:4" ht="11.25" customHeight="1">
      <c r="A243" s="119" t="str">
        <f>A3</f>
        <v>1978-1989</v>
      </c>
      <c r="B243" s="140"/>
      <c r="C243" s="140"/>
      <c r="D243" s="140"/>
    </row>
    <row r="244" spans="1:3" ht="11.25" customHeight="1">
      <c r="A244" s="115" t="s">
        <v>2</v>
      </c>
      <c r="B244" s="126"/>
      <c r="C244" s="115"/>
    </row>
    <row r="246" spans="3:25" ht="11.25" customHeight="1">
      <c r="C246" s="124" t="s">
        <v>3</v>
      </c>
      <c r="E246" s="124" t="s">
        <v>4</v>
      </c>
      <c r="G246" s="124" t="s">
        <v>5</v>
      </c>
      <c r="I246" s="124" t="s">
        <v>6</v>
      </c>
      <c r="K246" s="124" t="s">
        <v>7</v>
      </c>
      <c r="M246" s="124" t="s">
        <v>8</v>
      </c>
      <c r="O246" s="124" t="s">
        <v>9</v>
      </c>
      <c r="Q246" s="124" t="s">
        <v>10</v>
      </c>
      <c r="S246" s="124" t="s">
        <v>11</v>
      </c>
      <c r="U246" s="124" t="s">
        <v>12</v>
      </c>
      <c r="W246" s="124" t="s">
        <v>13</v>
      </c>
      <c r="Y246" s="124" t="s">
        <v>14</v>
      </c>
    </row>
    <row r="248" spans="1:26" ht="11.25" customHeight="1">
      <c r="A248" s="115" t="s">
        <v>15</v>
      </c>
      <c r="C248" s="137"/>
      <c r="D248" s="137"/>
      <c r="E248" s="137"/>
      <c r="F248" s="137"/>
      <c r="G248" s="137"/>
      <c r="H248" s="137"/>
      <c r="I248" s="137">
        <f>I10-I90</f>
        <v>98685</v>
      </c>
      <c r="J248" s="137"/>
      <c r="K248" s="137">
        <f>K10-K90</f>
        <v>143958</v>
      </c>
      <c r="L248" s="137"/>
      <c r="M248" s="137">
        <f>M10-M90</f>
        <v>138916</v>
      </c>
      <c r="N248" s="137"/>
      <c r="O248" s="137">
        <f>O10-O90</f>
        <v>145020</v>
      </c>
      <c r="P248" s="137"/>
      <c r="Q248" s="137">
        <f>Q10-Q90</f>
        <v>151274</v>
      </c>
      <c r="R248" s="137"/>
      <c r="S248" s="137">
        <f>S10-S90</f>
        <v>114886</v>
      </c>
      <c r="T248" s="137"/>
      <c r="U248" s="137">
        <f>U10-U90</f>
        <v>91190</v>
      </c>
      <c r="V248" s="137"/>
      <c r="W248" s="137">
        <f>W10-W90</f>
        <v>102731</v>
      </c>
      <c r="X248" s="137"/>
      <c r="Y248" s="137">
        <f>Y10-Y90</f>
        <v>45965</v>
      </c>
      <c r="Z248" s="147" t="s">
        <v>16</v>
      </c>
    </row>
    <row r="250" spans="1:26" ht="11.25" customHeight="1">
      <c r="A250" s="131" t="s">
        <v>17</v>
      </c>
      <c r="C250" s="14"/>
      <c r="D250" s="14"/>
      <c r="E250" s="14"/>
      <c r="F250" s="14"/>
      <c r="G250" s="137">
        <f>G12-G92</f>
        <v>7550</v>
      </c>
      <c r="H250" s="14"/>
      <c r="I250" s="14">
        <f>I12-I92</f>
        <v>132541</v>
      </c>
      <c r="J250" s="14"/>
      <c r="K250" s="14">
        <f>K12-K92</f>
        <v>148844</v>
      </c>
      <c r="L250" s="14"/>
      <c r="M250" s="14">
        <f>M12-M92</f>
        <v>195030</v>
      </c>
      <c r="N250" s="14"/>
      <c r="O250" s="14">
        <f>O12-O92</f>
        <v>124950</v>
      </c>
      <c r="P250" s="15" t="s">
        <v>83</v>
      </c>
      <c r="Q250" s="14">
        <f>Q12-Q92</f>
        <v>179952</v>
      </c>
      <c r="R250" s="14"/>
      <c r="S250" s="14">
        <f>S12-S92</f>
        <v>184390</v>
      </c>
      <c r="T250" s="14"/>
      <c r="U250" s="14">
        <f>U12-U92</f>
        <v>193079</v>
      </c>
      <c r="V250" s="14"/>
      <c r="W250" s="14">
        <f>W12-W92</f>
        <v>183375</v>
      </c>
      <c r="X250" s="14"/>
      <c r="Y250" s="14">
        <f>Y12-Y92</f>
        <v>182742</v>
      </c>
      <c r="Z250" s="14"/>
    </row>
    <row r="251" spans="3:26" ht="11.25" customHeight="1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1.25" customHeight="1">
      <c r="A252" s="115" t="s">
        <v>18</v>
      </c>
      <c r="C252" s="14"/>
      <c r="D252" s="14"/>
      <c r="E252" s="137">
        <f>E14-E94</f>
        <v>1338</v>
      </c>
      <c r="F252" s="14"/>
      <c r="G252" s="14">
        <f>G14-G94</f>
        <v>147261</v>
      </c>
      <c r="H252" s="14"/>
      <c r="I252" s="14">
        <f>I14-I94</f>
        <v>153226</v>
      </c>
      <c r="J252" s="14"/>
      <c r="K252" s="14">
        <f>K14-K94</f>
        <v>159912</v>
      </c>
      <c r="L252" s="14"/>
      <c r="M252" s="14">
        <f>M14-M94</f>
        <v>180256</v>
      </c>
      <c r="N252" s="14"/>
      <c r="O252" s="14">
        <f>O14-O94</f>
        <v>185557</v>
      </c>
      <c r="P252" s="14"/>
      <c r="Q252" s="14">
        <f>Q14-Q94</f>
        <v>176643</v>
      </c>
      <c r="R252" s="14"/>
      <c r="S252" s="14">
        <f>S14-S94</f>
        <v>181204</v>
      </c>
      <c r="T252" s="14"/>
      <c r="U252" s="14">
        <f>U14-U94</f>
        <v>194531</v>
      </c>
      <c r="V252" s="14"/>
      <c r="W252" s="14">
        <f>W14-W94</f>
        <v>204341</v>
      </c>
      <c r="X252" s="14"/>
      <c r="Y252" s="14">
        <f>Y14-Y94</f>
        <v>229439</v>
      </c>
      <c r="Z252" s="14"/>
    </row>
    <row r="253" spans="3:26" ht="11.25" customHeight="1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1.25" customHeight="1">
      <c r="A254" s="115" t="s">
        <v>19</v>
      </c>
      <c r="C254" s="14"/>
      <c r="D254" s="14"/>
      <c r="E254" s="14">
        <f>E16-E96</f>
        <v>85091</v>
      </c>
      <c r="F254" s="14"/>
      <c r="G254" s="14">
        <f>G16-G96</f>
        <v>184484</v>
      </c>
      <c r="H254" s="14"/>
      <c r="I254" s="14">
        <f>I16-I96</f>
        <v>165931</v>
      </c>
      <c r="J254" s="14"/>
      <c r="K254" s="14">
        <f>K16-K96</f>
        <v>168814</v>
      </c>
      <c r="L254" s="14"/>
      <c r="M254" s="14">
        <f>M16-M96</f>
        <v>197625</v>
      </c>
      <c r="N254" s="14"/>
      <c r="O254" s="14">
        <f>O16-O96</f>
        <v>202168</v>
      </c>
      <c r="P254" s="14"/>
      <c r="Q254" s="14">
        <f>Q16-Q96</f>
        <v>217196</v>
      </c>
      <c r="R254" s="14"/>
      <c r="S254" s="14">
        <f>S16-S96</f>
        <v>223947</v>
      </c>
      <c r="T254" s="14"/>
      <c r="U254" s="14">
        <f>U16-U96</f>
        <v>234029</v>
      </c>
      <c r="V254" s="14"/>
      <c r="W254" s="14">
        <f>W16-W96</f>
        <v>251137</v>
      </c>
      <c r="X254" s="14"/>
      <c r="Y254" s="14">
        <f>Y16-Y96</f>
        <v>251692</v>
      </c>
      <c r="Z254" s="14"/>
    </row>
    <row r="255" spans="3:26" ht="11.25" customHeight="1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1.25" customHeight="1">
      <c r="A256" s="131" t="s">
        <v>52</v>
      </c>
      <c r="C256" s="14"/>
      <c r="D256" s="14"/>
      <c r="E256" s="14"/>
      <c r="F256" s="14"/>
      <c r="G256" s="14"/>
      <c r="H256" s="14"/>
      <c r="I256" s="14">
        <f>I18-I98</f>
        <v>41043</v>
      </c>
      <c r="J256" s="14"/>
      <c r="K256" s="14">
        <f>K18-K98</f>
        <v>103104</v>
      </c>
      <c r="L256" s="14"/>
      <c r="M256" s="14">
        <f>M18-M98</f>
        <v>109432</v>
      </c>
      <c r="N256" s="15"/>
      <c r="O256" s="14">
        <f>O18-O98</f>
        <v>115832</v>
      </c>
      <c r="P256" s="14"/>
      <c r="Q256" s="14">
        <f>Q18-Q98</f>
        <v>113679</v>
      </c>
      <c r="R256" s="14"/>
      <c r="S256" s="14">
        <f>S18-S98</f>
        <v>114767</v>
      </c>
      <c r="T256" s="14"/>
      <c r="U256" s="14">
        <f>U18-U98</f>
        <v>118149</v>
      </c>
      <c r="V256" s="14"/>
      <c r="W256" s="14">
        <f>W18-W98</f>
        <v>125879</v>
      </c>
      <c r="X256" s="14"/>
      <c r="Y256" s="14">
        <f>Y18-Y98</f>
        <v>119867</v>
      </c>
      <c r="Z256" s="14"/>
    </row>
    <row r="257" spans="3:26" ht="11.25" customHeight="1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1.25" customHeight="1">
      <c r="A258" s="115" t="s">
        <v>21</v>
      </c>
      <c r="C258" s="14"/>
      <c r="D258" s="14"/>
      <c r="E258" s="14"/>
      <c r="F258" s="14"/>
      <c r="G258" s="14">
        <f>G20-G100</f>
        <v>13486</v>
      </c>
      <c r="H258" s="14"/>
      <c r="I258" s="14">
        <f>I20-I100</f>
        <v>131856</v>
      </c>
      <c r="J258" s="14"/>
      <c r="K258" s="14">
        <f>K20-K100</f>
        <v>137216</v>
      </c>
      <c r="L258" s="14"/>
      <c r="M258" s="14">
        <f>M20-M100</f>
        <v>150265</v>
      </c>
      <c r="N258" s="14"/>
      <c r="O258" s="14">
        <f>O20-O100</f>
        <v>160573</v>
      </c>
      <c r="P258" s="14"/>
      <c r="Q258" s="14">
        <f>Q20-Q100</f>
        <v>177660</v>
      </c>
      <c r="R258" s="14"/>
      <c r="S258" s="14">
        <f>S20-S100</f>
        <v>196055</v>
      </c>
      <c r="T258" s="14"/>
      <c r="U258" s="14">
        <f>U20-U100</f>
        <v>200877</v>
      </c>
      <c r="V258" s="14"/>
      <c r="W258" s="14">
        <f>W20-W100</f>
        <v>222635</v>
      </c>
      <c r="X258" s="14"/>
      <c r="Y258" s="14">
        <f>Y20-Y100</f>
        <v>226888</v>
      </c>
      <c r="Z258" s="14"/>
    </row>
    <row r="259" spans="3:26" ht="11.25" customHeight="1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1.25" customHeight="1">
      <c r="A260" s="115" t="s">
        <v>22</v>
      </c>
      <c r="C260" s="137">
        <f>C22-C102</f>
        <v>66026</v>
      </c>
      <c r="D260" s="14"/>
      <c r="E260" s="14">
        <f>E22-E102</f>
        <v>136435</v>
      </c>
      <c r="F260" s="15"/>
      <c r="G260" s="14">
        <f>G22-G102</f>
        <v>179583</v>
      </c>
      <c r="H260" s="15"/>
      <c r="I260" s="14">
        <f>I22-I102</f>
        <v>174430</v>
      </c>
      <c r="J260" s="15"/>
      <c r="K260" s="14">
        <f>K22-K102</f>
        <v>197082</v>
      </c>
      <c r="L260" s="14"/>
      <c r="M260" s="14">
        <f>M22-M102</f>
        <v>198353</v>
      </c>
      <c r="N260" s="14"/>
      <c r="O260" s="14">
        <f>O22-O102</f>
        <v>202976</v>
      </c>
      <c r="P260" s="14"/>
      <c r="Q260" s="14">
        <f>Q22-Q102</f>
        <v>199180</v>
      </c>
      <c r="R260" s="14"/>
      <c r="S260" s="14">
        <f>S22-S102</f>
        <v>192810</v>
      </c>
      <c r="T260" s="14"/>
      <c r="U260" s="14">
        <f>U22-U102</f>
        <v>202821</v>
      </c>
      <c r="V260" s="14"/>
      <c r="W260" s="14">
        <f>W22-W102</f>
        <v>214005</v>
      </c>
      <c r="X260" s="14"/>
      <c r="Y260" s="14">
        <f>Y22-Y102</f>
        <v>222182</v>
      </c>
      <c r="Z260" s="14"/>
    </row>
    <row r="261" spans="3:26" ht="11.25" customHeight="1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1.25" customHeight="1">
      <c r="A262" s="115" t="s">
        <v>23</v>
      </c>
      <c r="C262" s="14"/>
      <c r="D262" s="14"/>
      <c r="E262" s="14"/>
      <c r="F262" s="14"/>
      <c r="G262" s="14">
        <f>G24-G104</f>
        <v>44431</v>
      </c>
      <c r="H262" s="14"/>
      <c r="I262" s="14">
        <f>I24-I104</f>
        <v>94893</v>
      </c>
      <c r="J262" s="14"/>
      <c r="K262" s="14">
        <f>K24-K104</f>
        <v>130784</v>
      </c>
      <c r="L262" s="14"/>
      <c r="M262" s="14">
        <f>M24-M104</f>
        <v>138152</v>
      </c>
      <c r="N262" s="14"/>
      <c r="O262" s="14">
        <f>O24-O104</f>
        <v>152449</v>
      </c>
      <c r="P262" s="14"/>
      <c r="Q262" s="14">
        <f>Q24-Q104</f>
        <v>150604</v>
      </c>
      <c r="R262" s="14"/>
      <c r="S262" s="14">
        <f>S24-S104</f>
        <v>154376</v>
      </c>
      <c r="T262" s="14"/>
      <c r="U262" s="14">
        <f>U24-U104</f>
        <v>162555</v>
      </c>
      <c r="V262" s="14"/>
      <c r="W262" s="14">
        <f>W24-W104</f>
        <v>180382</v>
      </c>
      <c r="X262" s="14"/>
      <c r="Y262" s="14">
        <f>Y24-Y104</f>
        <v>191565</v>
      </c>
      <c r="Z262" s="14"/>
    </row>
    <row r="263" spans="3:26" ht="11.25" customHeight="1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1.25" customHeight="1">
      <c r="A264" s="115" t="s">
        <v>24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>
        <f>U26-U106</f>
        <v>143372</v>
      </c>
      <c r="V264" s="14"/>
      <c r="W264" s="14">
        <f>W26-W106</f>
        <v>213289</v>
      </c>
      <c r="X264" s="14"/>
      <c r="Y264" s="14">
        <f>Y26-Y106</f>
        <v>242433</v>
      </c>
      <c r="Z264" s="14"/>
    </row>
    <row r="265" spans="3:26" ht="11.25" customHeight="1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1.25" customHeight="1">
      <c r="A266" s="131" t="s">
        <v>25</v>
      </c>
      <c r="C266" s="14"/>
      <c r="D266" s="14"/>
      <c r="E266" s="14"/>
      <c r="F266" s="14"/>
      <c r="G266" s="14"/>
      <c r="H266" s="14"/>
      <c r="I266" s="14">
        <f>I28-I108</f>
        <v>13190</v>
      </c>
      <c r="J266" s="14"/>
      <c r="K266" s="14">
        <f>K28-K108</f>
        <v>154449</v>
      </c>
      <c r="L266" s="14"/>
      <c r="M266" s="14">
        <f>M28-M108</f>
        <v>177483</v>
      </c>
      <c r="N266" s="14"/>
      <c r="O266" s="14">
        <f>O28-O108</f>
        <v>190217</v>
      </c>
      <c r="P266" s="14"/>
      <c r="Q266" s="14">
        <f>Q28-Q108</f>
        <v>186647</v>
      </c>
      <c r="R266" s="14"/>
      <c r="S266" s="14">
        <f>S28-S108</f>
        <v>187437</v>
      </c>
      <c r="T266" s="14"/>
      <c r="U266" s="14">
        <f>U28-U108</f>
        <v>190409</v>
      </c>
      <c r="V266" s="14"/>
      <c r="W266" s="14">
        <f>W28-W108</f>
        <v>214809</v>
      </c>
      <c r="X266" s="14"/>
      <c r="Y266" s="14">
        <f>Y28-Y108</f>
        <v>273541</v>
      </c>
      <c r="Z266" s="14"/>
    </row>
    <row r="267" spans="3:26" ht="11.25" customHeight="1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1.25" customHeight="1">
      <c r="A268" s="115" t="s">
        <v>45</v>
      </c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>
        <f>Q30-Q110</f>
        <v>94977</v>
      </c>
      <c r="R268" s="14"/>
      <c r="S268" s="14">
        <f>S30-S110</f>
        <v>185891</v>
      </c>
      <c r="T268" s="14"/>
      <c r="U268" s="14">
        <f>U30-U110</f>
        <v>203637</v>
      </c>
      <c r="V268" s="14"/>
      <c r="W268" s="14">
        <f>W30-W110</f>
        <v>221790</v>
      </c>
      <c r="X268" s="14"/>
      <c r="Y268" s="14">
        <f>Y30-Y110</f>
        <v>241377</v>
      </c>
      <c r="Z268" s="14"/>
    </row>
    <row r="269" spans="3:26" ht="11.25" customHeight="1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7" ht="11.25" customHeight="1">
      <c r="A270" s="115" t="s">
        <v>26</v>
      </c>
      <c r="C270" s="149"/>
      <c r="D270" s="98"/>
      <c r="E270" s="149"/>
      <c r="F270" s="98"/>
      <c r="G270" s="149"/>
      <c r="H270" s="98"/>
      <c r="I270" s="149"/>
      <c r="J270" s="98"/>
      <c r="K270" s="149"/>
      <c r="L270" s="98"/>
      <c r="M270" s="149"/>
      <c r="N270" s="98"/>
      <c r="O270" s="149">
        <f>O32-O112</f>
        <v>115559</v>
      </c>
      <c r="P270" s="98"/>
      <c r="Q270" s="149">
        <f>Q32-Q112</f>
        <v>194851</v>
      </c>
      <c r="R270" s="98"/>
      <c r="S270" s="149">
        <f>S32-S112</f>
        <v>190353</v>
      </c>
      <c r="T270" s="98"/>
      <c r="U270" s="149">
        <f>U32-U112</f>
        <v>212300</v>
      </c>
      <c r="V270" s="98"/>
      <c r="W270" s="149">
        <f>W32-W112</f>
        <v>261093</v>
      </c>
      <c r="X270" s="98"/>
      <c r="Y270" s="149">
        <f>Y32-Y112</f>
        <v>269836</v>
      </c>
      <c r="Z270" s="98"/>
      <c r="AA270" s="142"/>
    </row>
    <row r="271" spans="3:26" ht="11.25" customHeight="1">
      <c r="C271" s="150"/>
      <c r="D271" s="98"/>
      <c r="E271" s="150"/>
      <c r="F271" s="98"/>
      <c r="G271" s="150"/>
      <c r="H271" s="98"/>
      <c r="I271" s="150"/>
      <c r="J271" s="98"/>
      <c r="K271" s="150"/>
      <c r="L271" s="98"/>
      <c r="M271" s="150"/>
      <c r="N271" s="98"/>
      <c r="O271" s="150"/>
      <c r="P271" s="98"/>
      <c r="Q271" s="150"/>
      <c r="R271" s="98"/>
      <c r="S271" s="150"/>
      <c r="T271" s="98"/>
      <c r="U271" s="150"/>
      <c r="V271" s="98"/>
      <c r="W271" s="150"/>
      <c r="X271" s="98"/>
      <c r="Y271" s="150"/>
      <c r="Z271" s="98"/>
    </row>
    <row r="272" spans="1:26" ht="11.25" customHeight="1" thickBot="1">
      <c r="A272" s="115" t="s">
        <v>38</v>
      </c>
      <c r="C272" s="151">
        <f>SUM(C248:C270)</f>
        <v>66026</v>
      </c>
      <c r="D272" s="152"/>
      <c r="E272" s="151">
        <f>SUM(E248:E270)</f>
        <v>222864</v>
      </c>
      <c r="F272" s="152"/>
      <c r="G272" s="151">
        <f>SUM(G248:G270)</f>
        <v>576795</v>
      </c>
      <c r="H272" s="152"/>
      <c r="I272" s="151">
        <f>SUM(I248:I270)</f>
        <v>1005795</v>
      </c>
      <c r="J272" s="152"/>
      <c r="K272" s="151">
        <f>SUM(K248:K270)</f>
        <v>1344163</v>
      </c>
      <c r="L272" s="152"/>
      <c r="M272" s="151">
        <f>SUM(M248:M270)</f>
        <v>1485512</v>
      </c>
      <c r="N272" s="152"/>
      <c r="O272" s="151">
        <f>SUM(O248:O270)</f>
        <v>1595301</v>
      </c>
      <c r="P272" s="152" t="s">
        <v>83</v>
      </c>
      <c r="Q272" s="151">
        <f>SUM(Q248:Q270)</f>
        <v>1842663</v>
      </c>
      <c r="R272" s="152"/>
      <c r="S272" s="151">
        <f>SUM(S248:S270)</f>
        <v>1926116</v>
      </c>
      <c r="T272" s="152"/>
      <c r="U272" s="151">
        <f>SUM(U248:U270)</f>
        <v>2146949</v>
      </c>
      <c r="V272" s="152"/>
      <c r="W272" s="151">
        <f>SUM(W248:W270)</f>
        <v>2395466</v>
      </c>
      <c r="X272" s="152"/>
      <c r="Y272" s="151">
        <f>SUM(Y248:Y270)</f>
        <v>2497527</v>
      </c>
      <c r="Z272" s="152"/>
    </row>
    <row r="273" spans="3:25" ht="11.25" customHeight="1" thickTop="1">
      <c r="C273" s="126"/>
      <c r="E273" s="126"/>
      <c r="G273" s="126"/>
      <c r="H273" s="142"/>
      <c r="I273" s="126"/>
      <c r="J273" s="142"/>
      <c r="K273" s="126"/>
      <c r="L273" s="142"/>
      <c r="M273" s="126"/>
      <c r="N273" s="142"/>
      <c r="O273" s="126"/>
      <c r="Q273" s="126"/>
      <c r="S273" s="126"/>
      <c r="U273" s="126"/>
      <c r="V273" s="142"/>
      <c r="W273" s="126"/>
      <c r="Y273" s="126"/>
    </row>
    <row r="275" ht="11.25" customHeight="1">
      <c r="A275" s="123" t="s">
        <v>62</v>
      </c>
    </row>
    <row r="276" ht="11.25" customHeight="1">
      <c r="A276" s="123" t="s">
        <v>50</v>
      </c>
    </row>
    <row r="277" spans="1:3" ht="11.25" customHeight="1">
      <c r="A277" s="123" t="s">
        <v>95</v>
      </c>
      <c r="C277" s="71"/>
    </row>
    <row r="281" spans="1:5" ht="11.25" customHeight="1">
      <c r="A281" s="115" t="s">
        <v>0</v>
      </c>
      <c r="E281" s="139"/>
    </row>
    <row r="282" ht="11.25" customHeight="1">
      <c r="A282" s="131" t="s">
        <v>63</v>
      </c>
    </row>
    <row r="283" spans="1:5" ht="11.25" customHeight="1">
      <c r="A283" s="119" t="str">
        <f>A3</f>
        <v>1978-1989</v>
      </c>
      <c r="B283" s="140"/>
      <c r="C283" s="140"/>
      <c r="D283" s="140"/>
      <c r="E283" s="140"/>
    </row>
    <row r="284" spans="1:3" ht="11.25" customHeight="1">
      <c r="A284" s="115"/>
      <c r="B284" s="126"/>
      <c r="C284" s="115"/>
    </row>
    <row r="285" ht="11.25" customHeight="1">
      <c r="C285"/>
    </row>
    <row r="286" spans="3:25" ht="11.25" customHeight="1">
      <c r="C286"/>
      <c r="E286" s="124" t="s">
        <v>4</v>
      </c>
      <c r="G286" s="124" t="s">
        <v>5</v>
      </c>
      <c r="I286" s="124" t="s">
        <v>6</v>
      </c>
      <c r="K286" s="124" t="s">
        <v>7</v>
      </c>
      <c r="M286" s="124" t="s">
        <v>8</v>
      </c>
      <c r="O286" s="124" t="s">
        <v>9</v>
      </c>
      <c r="Q286" s="124" t="s">
        <v>10</v>
      </c>
      <c r="S286" s="124" t="s">
        <v>11</v>
      </c>
      <c r="U286" s="124" t="s">
        <v>12</v>
      </c>
      <c r="W286" s="124" t="s">
        <v>13</v>
      </c>
      <c r="Y286" s="124" t="s">
        <v>14</v>
      </c>
    </row>
    <row r="287" ht="11.25" customHeight="1">
      <c r="C287"/>
    </row>
    <row r="288" spans="1:26" ht="11.25" customHeight="1">
      <c r="A288" s="115" t="s">
        <v>15</v>
      </c>
      <c r="C288"/>
      <c r="D288" s="137"/>
      <c r="E288" s="17"/>
      <c r="F288" s="137"/>
      <c r="G288" s="17"/>
      <c r="H288" s="137"/>
      <c r="I288" s="17"/>
      <c r="J288" s="14"/>
      <c r="K288" s="17">
        <f>(K248-I248)/I248</f>
        <v>0.459</v>
      </c>
      <c r="L288" s="14"/>
      <c r="M288" s="17">
        <f>(M248-K248)/K248</f>
        <v>-0.035</v>
      </c>
      <c r="N288" s="14"/>
      <c r="O288" s="17">
        <f>(O248-M248)/M248</f>
        <v>0.044</v>
      </c>
      <c r="P288" s="14"/>
      <c r="Q288" s="17">
        <f>(Q248-O248)/O248</f>
        <v>0.043</v>
      </c>
      <c r="R288" s="14"/>
      <c r="S288" s="17">
        <f>(S248-Q248)/Q248</f>
        <v>-0.241</v>
      </c>
      <c r="T288" s="14"/>
      <c r="U288" s="17">
        <f>(U248-S248)/S248</f>
        <v>-0.206</v>
      </c>
      <c r="V288" s="14"/>
      <c r="W288" s="17">
        <f>(W248-U248)/U248</f>
        <v>0.127</v>
      </c>
      <c r="X288" s="14"/>
      <c r="Y288" s="17">
        <f>(Y248-W248)/W248</f>
        <v>-0.553</v>
      </c>
      <c r="Z288" s="15" t="s">
        <v>46</v>
      </c>
    </row>
    <row r="289" spans="3:25" ht="11.25" customHeight="1">
      <c r="C289" s="17"/>
      <c r="E289" s="17"/>
      <c r="G289" s="17"/>
      <c r="I289" s="17"/>
      <c r="K289" s="17"/>
      <c r="M289" s="17"/>
      <c r="O289" s="17"/>
      <c r="Q289" s="17"/>
      <c r="S289" s="17"/>
      <c r="U289" s="17"/>
      <c r="W289" s="17"/>
      <c r="Y289" s="17"/>
    </row>
    <row r="290" spans="1:26" ht="11.25" customHeight="1">
      <c r="A290" s="131" t="s">
        <v>17</v>
      </c>
      <c r="C290" s="17"/>
      <c r="D290" s="14"/>
      <c r="E290" s="17"/>
      <c r="F290" s="14"/>
      <c r="G290" s="17"/>
      <c r="H290" s="14"/>
      <c r="I290" s="17">
        <f>(I250-G250)/G250</f>
        <v>16.555</v>
      </c>
      <c r="J290" s="14"/>
      <c r="K290" s="17">
        <f>(K250-I250)/I250</f>
        <v>0.123</v>
      </c>
      <c r="L290" s="14"/>
      <c r="M290" s="17">
        <f>(M250-K250)/K250</f>
        <v>0.31</v>
      </c>
      <c r="N290" s="14"/>
      <c r="O290" s="17">
        <f>(O250-M250)/M250</f>
        <v>-0.359</v>
      </c>
      <c r="P290" s="15" t="s">
        <v>16</v>
      </c>
      <c r="Q290" s="17">
        <f>(Q250-O250)/O250</f>
        <v>0.44</v>
      </c>
      <c r="R290" s="14"/>
      <c r="S290" s="17">
        <f>(S250-Q250)/Q250</f>
        <v>0.025</v>
      </c>
      <c r="T290" s="14"/>
      <c r="U290" s="17">
        <f>(U250-S250)/S250</f>
        <v>0.047</v>
      </c>
      <c r="V290" s="14"/>
      <c r="W290" s="17">
        <f>(W250-U250)/U250</f>
        <v>-0.05</v>
      </c>
      <c r="X290" s="14"/>
      <c r="Y290" s="17">
        <f>(Y250-W250)/W250</f>
        <v>-0.003</v>
      </c>
      <c r="Z290" s="14"/>
    </row>
    <row r="291" spans="3:26" ht="11.25" customHeight="1">
      <c r="C291" s="17"/>
      <c r="D291" s="14"/>
      <c r="E291" s="17"/>
      <c r="F291" s="14"/>
      <c r="G291" s="17"/>
      <c r="H291" s="14"/>
      <c r="I291" s="17"/>
      <c r="J291" s="14"/>
      <c r="K291" s="17"/>
      <c r="L291" s="14"/>
      <c r="M291" s="17"/>
      <c r="N291" s="14"/>
      <c r="O291" s="17"/>
      <c r="P291" s="14"/>
      <c r="Q291" s="17"/>
      <c r="R291" s="14"/>
      <c r="S291" s="17"/>
      <c r="T291" s="14"/>
      <c r="U291" s="17"/>
      <c r="V291" s="14"/>
      <c r="W291" s="17"/>
      <c r="X291" s="14"/>
      <c r="Y291" s="17"/>
      <c r="Z291" s="14"/>
    </row>
    <row r="292" spans="1:26" ht="11.25" customHeight="1">
      <c r="A292" s="115" t="s">
        <v>18</v>
      </c>
      <c r="C292" s="17"/>
      <c r="D292" s="14"/>
      <c r="E292" s="17"/>
      <c r="F292" s="14"/>
      <c r="G292" s="17">
        <f>(G252-E252)/E252</f>
        <v>109.061</v>
      </c>
      <c r="H292" s="14"/>
      <c r="I292" s="17">
        <f>(I252-G252)/G252</f>
        <v>0.041</v>
      </c>
      <c r="J292" s="14"/>
      <c r="K292" s="17">
        <f>(K252-I252)/I252</f>
        <v>0.044</v>
      </c>
      <c r="L292" s="14"/>
      <c r="M292" s="17">
        <f>(M252-K252)/K252</f>
        <v>0.127</v>
      </c>
      <c r="N292" s="14"/>
      <c r="O292" s="17">
        <f>(O252-M252)/M252</f>
        <v>0.029</v>
      </c>
      <c r="P292" s="14"/>
      <c r="Q292" s="17">
        <f>(Q252-O252)/O252</f>
        <v>-0.048</v>
      </c>
      <c r="R292" s="14"/>
      <c r="S292" s="17">
        <f>(S252-Q252)/Q252</f>
        <v>0.026</v>
      </c>
      <c r="T292" s="14"/>
      <c r="U292" s="17">
        <f>(U252-S252)/S252</f>
        <v>0.074</v>
      </c>
      <c r="V292" s="14"/>
      <c r="W292" s="17">
        <f>(W252-U252)/U252</f>
        <v>0.05</v>
      </c>
      <c r="X292" s="14"/>
      <c r="Y292" s="17">
        <f>(Y252-W252)/W252</f>
        <v>0.123</v>
      </c>
      <c r="Z292" s="14"/>
    </row>
    <row r="293" spans="3:26" ht="11.25" customHeight="1">
      <c r="C293" s="17"/>
      <c r="D293" s="14"/>
      <c r="E293" s="17"/>
      <c r="F293" s="14"/>
      <c r="G293" s="17"/>
      <c r="H293" s="14"/>
      <c r="I293" s="17"/>
      <c r="J293" s="14"/>
      <c r="K293" s="17"/>
      <c r="L293" s="14"/>
      <c r="M293" s="17"/>
      <c r="N293" s="14"/>
      <c r="O293" s="17"/>
      <c r="P293" s="14"/>
      <c r="Q293" s="17"/>
      <c r="R293" s="14"/>
      <c r="S293" s="17"/>
      <c r="T293" s="14"/>
      <c r="U293" s="17"/>
      <c r="V293" s="14"/>
      <c r="W293" s="17"/>
      <c r="X293" s="14"/>
      <c r="Y293" s="17"/>
      <c r="Z293" s="14"/>
    </row>
    <row r="294" spans="1:26" ht="11.25" customHeight="1">
      <c r="A294" s="115" t="s">
        <v>19</v>
      </c>
      <c r="C294" s="17"/>
      <c r="D294" s="14"/>
      <c r="E294" s="17"/>
      <c r="F294" s="14"/>
      <c r="G294" s="17">
        <f>(G254-E254)/E254</f>
        <v>1.168</v>
      </c>
      <c r="H294" s="14"/>
      <c r="I294" s="17">
        <f>(I254-G254)/G254</f>
        <v>-0.101</v>
      </c>
      <c r="J294" s="14"/>
      <c r="K294" s="17">
        <f>(K254-I254)/I254</f>
        <v>0.017</v>
      </c>
      <c r="L294" s="14"/>
      <c r="M294" s="17">
        <f>(M254-K254)/K254</f>
        <v>0.171</v>
      </c>
      <c r="N294" s="14"/>
      <c r="O294" s="17">
        <f>(O254-M254)/M254</f>
        <v>0.023</v>
      </c>
      <c r="P294" s="14"/>
      <c r="Q294" s="17">
        <f>(Q254-O254)/O254</f>
        <v>0.074</v>
      </c>
      <c r="R294" s="14"/>
      <c r="S294" s="17">
        <f>(S254-Q254)/Q254</f>
        <v>0.031</v>
      </c>
      <c r="T294" s="14"/>
      <c r="U294" s="17">
        <f>(U254-S254)/S254</f>
        <v>0.045</v>
      </c>
      <c r="V294" s="14"/>
      <c r="W294" s="17">
        <f>(W254-U254)/U254</f>
        <v>0.073</v>
      </c>
      <c r="X294" s="14"/>
      <c r="Y294" s="17">
        <f>(Y254-W254)/W254</f>
        <v>0.002</v>
      </c>
      <c r="Z294" s="14"/>
    </row>
    <row r="295" spans="3:26" ht="11.25" customHeight="1">
      <c r="C295" s="17"/>
      <c r="D295" s="14"/>
      <c r="E295" s="17"/>
      <c r="F295" s="14"/>
      <c r="G295" s="17"/>
      <c r="H295" s="14"/>
      <c r="I295" s="17"/>
      <c r="J295" s="14"/>
      <c r="K295" s="17"/>
      <c r="L295" s="14"/>
      <c r="M295" s="17"/>
      <c r="N295" s="14"/>
      <c r="O295" s="17"/>
      <c r="P295" s="14"/>
      <c r="Q295" s="17"/>
      <c r="R295" s="14"/>
      <c r="S295" s="17"/>
      <c r="T295" s="14"/>
      <c r="U295" s="17"/>
      <c r="V295" s="14"/>
      <c r="W295" s="17"/>
      <c r="X295" s="14"/>
      <c r="Y295" s="17"/>
      <c r="Z295" s="14"/>
    </row>
    <row r="296" spans="1:26" ht="11.25" customHeight="1">
      <c r="A296" s="131" t="s">
        <v>52</v>
      </c>
      <c r="C296" s="17"/>
      <c r="D296" s="14"/>
      <c r="E296" s="17"/>
      <c r="F296" s="14"/>
      <c r="G296" s="17"/>
      <c r="H296" s="14"/>
      <c r="I296" s="17"/>
      <c r="J296" s="14"/>
      <c r="K296" s="17">
        <f>(K256-I256)/I256</f>
        <v>1.512</v>
      </c>
      <c r="L296" s="14"/>
      <c r="M296" s="17">
        <f>(M256-K256)/K256</f>
        <v>0.061</v>
      </c>
      <c r="N296" s="15"/>
      <c r="O296" s="17">
        <f>(O256-M256)/M256</f>
        <v>0.058</v>
      </c>
      <c r="P296" s="14"/>
      <c r="Q296" s="17">
        <f>(Q256-O256)/O256</f>
        <v>-0.019</v>
      </c>
      <c r="R296" s="14"/>
      <c r="S296" s="17">
        <f>(S256-Q256)/Q256</f>
        <v>0.01</v>
      </c>
      <c r="T296" s="14"/>
      <c r="U296" s="17">
        <f>(U256-S256)/S256</f>
        <v>0.029</v>
      </c>
      <c r="V296" s="14"/>
      <c r="W296" s="17">
        <f>(W256-U256)/U256</f>
        <v>0.065</v>
      </c>
      <c r="X296" s="14"/>
      <c r="Y296" s="17">
        <f>(Y256-W256)/W256</f>
        <v>-0.048</v>
      </c>
      <c r="Z296" s="14"/>
    </row>
    <row r="297" spans="3:26" ht="11.25" customHeight="1">
      <c r="C297" s="17"/>
      <c r="D297" s="14"/>
      <c r="E297" s="17"/>
      <c r="F297" s="14"/>
      <c r="G297" s="17"/>
      <c r="H297" s="14"/>
      <c r="I297" s="17"/>
      <c r="J297" s="14"/>
      <c r="K297" s="17"/>
      <c r="L297" s="14"/>
      <c r="M297" s="17"/>
      <c r="N297" s="14"/>
      <c r="O297" s="17"/>
      <c r="P297" s="14"/>
      <c r="Q297" s="17"/>
      <c r="R297" s="14"/>
      <c r="S297" s="17"/>
      <c r="T297" s="14"/>
      <c r="U297" s="17"/>
      <c r="V297" s="14"/>
      <c r="W297" s="17"/>
      <c r="X297" s="14"/>
      <c r="Y297" s="17"/>
      <c r="Z297" s="14"/>
    </row>
    <row r="298" spans="1:26" ht="11.25" customHeight="1">
      <c r="A298" s="115" t="s">
        <v>21</v>
      </c>
      <c r="C298" s="17"/>
      <c r="D298" s="14"/>
      <c r="E298" s="17"/>
      <c r="F298" s="14"/>
      <c r="G298" s="17"/>
      <c r="H298" s="14"/>
      <c r="I298" s="17">
        <f>(I258-G258)/G258</f>
        <v>8.777</v>
      </c>
      <c r="J298" s="14"/>
      <c r="K298" s="17">
        <f>(K258-I258)/I258</f>
        <v>0.041</v>
      </c>
      <c r="L298" s="14"/>
      <c r="M298" s="17">
        <f>(M258-K258)/K258</f>
        <v>0.095</v>
      </c>
      <c r="N298" s="14"/>
      <c r="O298" s="17">
        <f>(O258-M258)/M258</f>
        <v>0.069</v>
      </c>
      <c r="P298" s="14"/>
      <c r="Q298" s="17">
        <f>(Q258-O258)/O258</f>
        <v>0.106</v>
      </c>
      <c r="R298" s="14"/>
      <c r="S298" s="17">
        <f>(S258-Q258)/Q258</f>
        <v>0.104</v>
      </c>
      <c r="T298" s="14"/>
      <c r="U298" s="17">
        <f>(U258-S258)/S258</f>
        <v>0.025</v>
      </c>
      <c r="V298" s="14"/>
      <c r="W298" s="17">
        <f>(W258-U258)/U258</f>
        <v>0.108</v>
      </c>
      <c r="X298" s="14"/>
      <c r="Y298" s="17">
        <f>(Y258-W258)/W258</f>
        <v>0.019</v>
      </c>
      <c r="Z298" s="14"/>
    </row>
    <row r="299" spans="3:26" ht="11.25" customHeight="1">
      <c r="C299" s="17"/>
      <c r="D299" s="14"/>
      <c r="E299" s="17"/>
      <c r="F299" s="14"/>
      <c r="G299" s="17"/>
      <c r="H299" s="14"/>
      <c r="I299" s="17"/>
      <c r="J299" s="14"/>
      <c r="K299" s="17"/>
      <c r="L299" s="14"/>
      <c r="M299" s="17"/>
      <c r="N299" s="14"/>
      <c r="O299" s="17"/>
      <c r="P299" s="14"/>
      <c r="Q299" s="17"/>
      <c r="R299" s="14"/>
      <c r="S299" s="17"/>
      <c r="T299" s="14"/>
      <c r="U299" s="17"/>
      <c r="V299" s="14"/>
      <c r="W299" s="17"/>
      <c r="X299" s="14"/>
      <c r="Y299" s="17"/>
      <c r="Z299" s="14"/>
    </row>
    <row r="300" spans="1:26" ht="11.25" customHeight="1">
      <c r="A300" s="115" t="s">
        <v>22</v>
      </c>
      <c r="C300" s="17"/>
      <c r="D300" s="14"/>
      <c r="E300" s="17">
        <f>(E260-C260)/C260</f>
        <v>1.066</v>
      </c>
      <c r="F300" s="15"/>
      <c r="G300" s="17">
        <f>(G260-E260)/E260</f>
        <v>0.316</v>
      </c>
      <c r="H300" s="15"/>
      <c r="I300" s="17">
        <f>(I260-G260)/G260</f>
        <v>-0.029</v>
      </c>
      <c r="J300" s="15"/>
      <c r="K300" s="17">
        <f>(K260-I260)/I260</f>
        <v>0.13</v>
      </c>
      <c r="L300" s="14"/>
      <c r="M300" s="17">
        <f>(M260-K260)/K260</f>
        <v>0.006</v>
      </c>
      <c r="N300" s="14"/>
      <c r="O300" s="17">
        <f>(O260-M260)/M260</f>
        <v>0.023</v>
      </c>
      <c r="P300" s="14"/>
      <c r="Q300" s="17">
        <f>(Q260-O260)/O260</f>
        <v>-0.019</v>
      </c>
      <c r="R300" s="14"/>
      <c r="S300" s="17">
        <f>(S260-Q260)/Q260</f>
        <v>-0.032</v>
      </c>
      <c r="T300" s="14"/>
      <c r="U300" s="17">
        <f>(U260-S260)/S260</f>
        <v>0.052</v>
      </c>
      <c r="V300" s="14"/>
      <c r="W300" s="17">
        <f>(W260-U260)/U260</f>
        <v>0.055</v>
      </c>
      <c r="X300" s="14"/>
      <c r="Y300" s="17">
        <f>(Y260-W260)/W260</f>
        <v>0.038</v>
      </c>
      <c r="Z300" s="14"/>
    </row>
    <row r="301" spans="3:26" ht="11.25" customHeight="1">
      <c r="C301" s="17"/>
      <c r="D301" s="14"/>
      <c r="E301" s="17"/>
      <c r="F301" s="14"/>
      <c r="G301" s="17"/>
      <c r="H301" s="14"/>
      <c r="I301" s="17"/>
      <c r="J301" s="14"/>
      <c r="K301" s="17"/>
      <c r="L301" s="14"/>
      <c r="M301" s="17"/>
      <c r="N301" s="14"/>
      <c r="O301" s="17"/>
      <c r="P301" s="14"/>
      <c r="Q301" s="17"/>
      <c r="R301" s="14"/>
      <c r="S301" s="17"/>
      <c r="T301" s="14"/>
      <c r="U301" s="17"/>
      <c r="V301" s="14"/>
      <c r="W301" s="17"/>
      <c r="X301" s="14"/>
      <c r="Y301" s="17"/>
      <c r="Z301" s="14"/>
    </row>
    <row r="302" spans="1:26" ht="11.25" customHeight="1">
      <c r="A302" s="115" t="s">
        <v>23</v>
      </c>
      <c r="C302" s="17"/>
      <c r="D302" s="14"/>
      <c r="E302" s="17"/>
      <c r="F302" s="14"/>
      <c r="G302" s="17"/>
      <c r="H302" s="14"/>
      <c r="I302" s="17">
        <f>(I262-G262)/G262</f>
        <v>1.136</v>
      </c>
      <c r="J302" s="14"/>
      <c r="K302" s="17">
        <f>(K262-I262)/I262</f>
        <v>0.378</v>
      </c>
      <c r="L302" s="14"/>
      <c r="M302" s="17">
        <f>(M262-K262)/K262</f>
        <v>0.056</v>
      </c>
      <c r="N302" s="14"/>
      <c r="O302" s="17">
        <f>(O262-M262)/M262</f>
        <v>0.103</v>
      </c>
      <c r="P302" s="14"/>
      <c r="Q302" s="17">
        <f>(Q262-O262)/O262</f>
        <v>-0.012</v>
      </c>
      <c r="R302" s="14"/>
      <c r="S302" s="17">
        <f>(S262-Q262)/Q262</f>
        <v>0.025</v>
      </c>
      <c r="T302" s="14"/>
      <c r="U302" s="17">
        <f>(U262-S262)/S262</f>
        <v>0.053</v>
      </c>
      <c r="V302" s="14"/>
      <c r="W302" s="17">
        <f>(W262-U262)/U262</f>
        <v>0.11</v>
      </c>
      <c r="X302" s="14"/>
      <c r="Y302" s="17">
        <f>(Y262-W262)/W262</f>
        <v>0.062</v>
      </c>
      <c r="Z302" s="14"/>
    </row>
    <row r="303" spans="3:26" ht="11.25" customHeight="1">
      <c r="C303" s="17"/>
      <c r="D303" s="14"/>
      <c r="E303" s="17"/>
      <c r="F303" s="14"/>
      <c r="G303" s="17"/>
      <c r="H303" s="14"/>
      <c r="I303" s="17"/>
      <c r="J303" s="14"/>
      <c r="K303" s="17"/>
      <c r="L303" s="14"/>
      <c r="M303" s="17"/>
      <c r="N303" s="14"/>
      <c r="O303" s="17"/>
      <c r="P303" s="14"/>
      <c r="Q303" s="17"/>
      <c r="R303" s="14"/>
      <c r="S303" s="17"/>
      <c r="T303" s="14"/>
      <c r="U303" s="17"/>
      <c r="V303" s="14"/>
      <c r="W303" s="17"/>
      <c r="X303" s="14"/>
      <c r="Y303" s="17"/>
      <c r="Z303" s="14"/>
    </row>
    <row r="304" spans="1:26" ht="11.25" customHeight="1">
      <c r="A304" s="115" t="s">
        <v>24</v>
      </c>
      <c r="C304" s="17"/>
      <c r="D304" s="14"/>
      <c r="E304" s="17"/>
      <c r="F304" s="14"/>
      <c r="G304" s="17"/>
      <c r="H304" s="14"/>
      <c r="I304" s="17"/>
      <c r="J304" s="14"/>
      <c r="K304" s="17"/>
      <c r="L304" s="14"/>
      <c r="M304" s="17"/>
      <c r="N304" s="14"/>
      <c r="O304" s="17"/>
      <c r="P304" s="14"/>
      <c r="Q304" s="17"/>
      <c r="R304" s="14"/>
      <c r="S304" s="17"/>
      <c r="T304" s="14"/>
      <c r="U304" s="17"/>
      <c r="V304" s="14"/>
      <c r="W304" s="17">
        <f>(W264-U264)/U264</f>
        <v>0.488</v>
      </c>
      <c r="X304" s="14"/>
      <c r="Y304" s="17">
        <f>(Y264-W264)/W264</f>
        <v>0.137</v>
      </c>
      <c r="Z304" s="14"/>
    </row>
    <row r="305" spans="3:26" ht="11.25" customHeight="1">
      <c r="C305" s="17"/>
      <c r="D305" s="14"/>
      <c r="E305" s="17"/>
      <c r="F305" s="14"/>
      <c r="G305" s="17"/>
      <c r="H305" s="14"/>
      <c r="I305" s="17"/>
      <c r="J305" s="14"/>
      <c r="K305" s="17"/>
      <c r="L305" s="14"/>
      <c r="M305" s="17"/>
      <c r="N305" s="14"/>
      <c r="O305" s="17"/>
      <c r="P305" s="14"/>
      <c r="Q305" s="17"/>
      <c r="R305" s="14"/>
      <c r="S305" s="17"/>
      <c r="T305" s="14"/>
      <c r="U305" s="17"/>
      <c r="V305" s="14"/>
      <c r="W305" s="17"/>
      <c r="X305" s="14"/>
      <c r="Y305" s="17"/>
      <c r="Z305" s="14"/>
    </row>
    <row r="306" spans="1:26" ht="11.25" customHeight="1">
      <c r="A306" s="131" t="s">
        <v>25</v>
      </c>
      <c r="C306" s="17"/>
      <c r="D306" s="14"/>
      <c r="E306" s="17"/>
      <c r="F306" s="14"/>
      <c r="G306" s="17"/>
      <c r="H306" s="14"/>
      <c r="I306" s="17"/>
      <c r="J306" s="14"/>
      <c r="K306" s="17">
        <f>(K266-I266)/I266</f>
        <v>10.71</v>
      </c>
      <c r="L306" s="14"/>
      <c r="M306" s="17">
        <f>(M266-K266)/K266</f>
        <v>0.149</v>
      </c>
      <c r="N306" s="14"/>
      <c r="O306" s="17">
        <f>(O266-M266)/M266</f>
        <v>0.072</v>
      </c>
      <c r="P306" s="14"/>
      <c r="Q306" s="17">
        <f>(Q266-O266)/O266</f>
        <v>-0.019</v>
      </c>
      <c r="R306" s="14"/>
      <c r="S306" s="17">
        <f>(S266-Q266)/Q266</f>
        <v>0.004</v>
      </c>
      <c r="T306" s="14"/>
      <c r="U306" s="17">
        <f>(U266-S266)/S266</f>
        <v>0.016</v>
      </c>
      <c r="V306" s="14"/>
      <c r="W306" s="17">
        <f>(W266-U266)/U266</f>
        <v>0.128</v>
      </c>
      <c r="X306" s="14"/>
      <c r="Y306" s="17">
        <f>(Y266-W266)/W266</f>
        <v>0.273</v>
      </c>
      <c r="Z306" s="14"/>
    </row>
    <row r="307" spans="3:26" ht="11.25" customHeight="1">
      <c r="C307" s="17"/>
      <c r="D307" s="14"/>
      <c r="E307" s="17"/>
      <c r="F307" s="14"/>
      <c r="G307" s="17"/>
      <c r="H307" s="14"/>
      <c r="I307" s="17"/>
      <c r="J307" s="14"/>
      <c r="K307" s="17"/>
      <c r="L307" s="14"/>
      <c r="M307" s="17"/>
      <c r="N307" s="14"/>
      <c r="O307" s="17"/>
      <c r="P307" s="14"/>
      <c r="Q307" s="17"/>
      <c r="R307" s="14"/>
      <c r="S307" s="17"/>
      <c r="T307" s="14"/>
      <c r="U307" s="17"/>
      <c r="V307" s="14"/>
      <c r="W307" s="17"/>
      <c r="X307" s="14"/>
      <c r="Y307" s="17"/>
      <c r="Z307" s="14"/>
    </row>
    <row r="308" spans="1:26" ht="11.25" customHeight="1">
      <c r="A308" s="115" t="s">
        <v>45</v>
      </c>
      <c r="C308" s="17"/>
      <c r="D308" s="14"/>
      <c r="E308" s="17"/>
      <c r="F308" s="14"/>
      <c r="G308" s="17"/>
      <c r="H308" s="14"/>
      <c r="I308" s="17"/>
      <c r="J308" s="14"/>
      <c r="K308" s="17"/>
      <c r="L308" s="14"/>
      <c r="M308" s="17"/>
      <c r="N308" s="14"/>
      <c r="O308" s="17"/>
      <c r="P308" s="14"/>
      <c r="Q308" s="17"/>
      <c r="R308" s="14"/>
      <c r="S308" s="17">
        <f>(S268-Q268)/Q268</f>
        <v>0.957</v>
      </c>
      <c r="T308" s="14"/>
      <c r="U308" s="17">
        <f>(U268-S268)/S268</f>
        <v>0.095</v>
      </c>
      <c r="V308" s="14"/>
      <c r="W308" s="17">
        <f>(W268-U268)/U268</f>
        <v>0.089</v>
      </c>
      <c r="X308" s="14"/>
      <c r="Y308" s="17">
        <f>(Y268-W268)/W268</f>
        <v>0.088</v>
      </c>
      <c r="Z308" s="14"/>
    </row>
    <row r="309" spans="3:26" ht="11.25" customHeight="1">
      <c r="C309" s="17"/>
      <c r="D309" s="14"/>
      <c r="E309" s="17"/>
      <c r="F309" s="14"/>
      <c r="G309" s="17"/>
      <c r="H309" s="14"/>
      <c r="I309" s="17"/>
      <c r="J309" s="14"/>
      <c r="K309" s="17"/>
      <c r="L309" s="14"/>
      <c r="M309" s="17"/>
      <c r="N309" s="14"/>
      <c r="O309" s="17"/>
      <c r="P309" s="14"/>
      <c r="Q309" s="17"/>
      <c r="R309" s="14"/>
      <c r="S309" s="17"/>
      <c r="T309" s="14"/>
      <c r="U309" s="17"/>
      <c r="V309" s="14"/>
      <c r="W309" s="17"/>
      <c r="X309" s="14"/>
      <c r="Y309" s="17"/>
      <c r="Z309" s="14"/>
    </row>
    <row r="310" spans="1:26" ht="11.25" customHeight="1">
      <c r="A310" s="115" t="s">
        <v>26</v>
      </c>
      <c r="C310" s="17"/>
      <c r="D310" s="14"/>
      <c r="E310" s="17"/>
      <c r="F310" s="14"/>
      <c r="G310" s="17"/>
      <c r="H310" s="14"/>
      <c r="I310" s="17"/>
      <c r="J310" s="14"/>
      <c r="K310" s="17"/>
      <c r="L310" s="14"/>
      <c r="M310" s="17"/>
      <c r="N310" s="14"/>
      <c r="O310" s="17"/>
      <c r="P310" s="14"/>
      <c r="Q310" s="17">
        <f>(Q270-O270)/O270</f>
        <v>0.686</v>
      </c>
      <c r="R310" s="14"/>
      <c r="S310" s="17">
        <f>(S270-Q270)/Q270</f>
        <v>-0.023</v>
      </c>
      <c r="T310" s="14"/>
      <c r="U310" s="17">
        <f>(U270-S270)/S270</f>
        <v>0.115</v>
      </c>
      <c r="V310" s="14"/>
      <c r="W310" s="17">
        <f>(W270-U270)/U270</f>
        <v>0.23</v>
      </c>
      <c r="X310" s="14"/>
      <c r="Y310" s="17">
        <f>(Y270-W270)/W270</f>
        <v>0.033</v>
      </c>
      <c r="Z310" s="14"/>
    </row>
    <row r="311" spans="3:27" ht="11.25" customHeight="1">
      <c r="C311" s="150"/>
      <c r="D311" s="98"/>
      <c r="E311" s="150"/>
      <c r="F311" s="98"/>
      <c r="G311" s="17"/>
      <c r="H311" s="98"/>
      <c r="I311" s="17"/>
      <c r="J311" s="98"/>
      <c r="K311" s="17"/>
      <c r="L311" s="98"/>
      <c r="M311" s="17"/>
      <c r="N311" s="98"/>
      <c r="O311" s="17"/>
      <c r="P311" s="98"/>
      <c r="Q311" s="17"/>
      <c r="R311" s="98"/>
      <c r="S311" s="17"/>
      <c r="T311" s="98"/>
      <c r="U311" s="17"/>
      <c r="V311" s="98"/>
      <c r="W311" s="17"/>
      <c r="X311" s="98"/>
      <c r="Y311" s="17"/>
      <c r="Z311" s="98"/>
      <c r="AA311" s="142"/>
    </row>
    <row r="312" spans="1:27" ht="11.25" customHeight="1">
      <c r="A312" s="115" t="s">
        <v>38</v>
      </c>
      <c r="C312" s="161"/>
      <c r="D312" s="98"/>
      <c r="E312" s="17">
        <f>(E272-C272)/C272</f>
        <v>2.375</v>
      </c>
      <c r="F312" s="98"/>
      <c r="G312" s="17">
        <f>(G272-E272)/E272</f>
        <v>1.588</v>
      </c>
      <c r="H312" s="154"/>
      <c r="I312" s="17">
        <f>(I272-G272)/G272</f>
        <v>0.744</v>
      </c>
      <c r="J312" s="154"/>
      <c r="K312" s="17">
        <f>(K272-I272)/I272</f>
        <v>0.336</v>
      </c>
      <c r="L312" s="154"/>
      <c r="M312" s="17">
        <f>(M272-K272)/K272</f>
        <v>0.105</v>
      </c>
      <c r="N312" s="154"/>
      <c r="O312" s="17">
        <f>(O272-M272)/M272</f>
        <v>0.074</v>
      </c>
      <c r="P312" s="222" t="s">
        <v>16</v>
      </c>
      <c r="Q312" s="17">
        <f>(Q272-O272)/O272</f>
        <v>0.155</v>
      </c>
      <c r="R312" s="154"/>
      <c r="S312" s="17">
        <f>(S272-Q272)/Q272</f>
        <v>0.045</v>
      </c>
      <c r="T312" s="154"/>
      <c r="U312" s="17">
        <f>(U272-S272)/S272</f>
        <v>0.115</v>
      </c>
      <c r="V312" s="154"/>
      <c r="W312" s="17">
        <f>(W272-U272)/U272</f>
        <v>0.116</v>
      </c>
      <c r="X312" s="154"/>
      <c r="Y312" s="17">
        <f>(Y272-W272)/W272</f>
        <v>0.043</v>
      </c>
      <c r="Z312" s="154"/>
      <c r="AA312" s="142"/>
    </row>
    <row r="313" spans="3:27" ht="11.25" customHeight="1">
      <c r="C313" s="150"/>
      <c r="D313" s="142"/>
      <c r="E313" s="150"/>
      <c r="F313" s="142"/>
      <c r="G313" s="150"/>
      <c r="H313" s="142"/>
      <c r="I313" s="150"/>
      <c r="J313" s="142"/>
      <c r="K313" s="150"/>
      <c r="L313" s="142"/>
      <c r="M313" s="150"/>
      <c r="N313" s="142"/>
      <c r="O313" s="150"/>
      <c r="P313" s="142"/>
      <c r="Q313" s="150"/>
      <c r="R313" s="142"/>
      <c r="S313" s="150"/>
      <c r="T313" s="142"/>
      <c r="U313" s="150"/>
      <c r="V313" s="142"/>
      <c r="W313" s="150"/>
      <c r="X313" s="142"/>
      <c r="Y313" s="150"/>
      <c r="Z313" s="142"/>
      <c r="AA313" s="142"/>
    </row>
    <row r="314" spans="1:3" ht="11.25" customHeight="1">
      <c r="A314" s="131" t="s">
        <v>48</v>
      </c>
      <c r="C314" s="71"/>
    </row>
    <row r="315" spans="1:3" ht="11.25" customHeight="1">
      <c r="A315" s="123" t="s">
        <v>94</v>
      </c>
      <c r="C315" s="71"/>
    </row>
    <row r="316" ht="11.25" customHeight="1">
      <c r="C316" s="71"/>
    </row>
    <row r="317" spans="1:3" ht="11.25" customHeight="1">
      <c r="A317" s="129"/>
      <c r="C317" s="71"/>
    </row>
    <row r="318" spans="1:3" ht="11.25" customHeight="1">
      <c r="A318" s="129"/>
      <c r="C318" s="71"/>
    </row>
    <row r="319" spans="1:29" ht="11.25" customHeight="1">
      <c r="A319" s="162" t="s">
        <v>0</v>
      </c>
      <c r="B319" s="163"/>
      <c r="C319" s="163"/>
      <c r="D319" s="163"/>
      <c r="E319" s="139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/>
      <c r="W319" s="163"/>
      <c r="X319" s="163"/>
      <c r="Y319" s="163"/>
      <c r="Z319" s="163"/>
      <c r="AA319"/>
      <c r="AB319"/>
      <c r="AC319"/>
    </row>
    <row r="320" spans="1:29" ht="11.25" customHeight="1">
      <c r="A320" s="164" t="s">
        <v>64</v>
      </c>
      <c r="B320" s="163"/>
      <c r="C320" s="163"/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3"/>
      <c r="U320" s="163"/>
      <c r="V320" s="163"/>
      <c r="W320" s="163"/>
      <c r="X320" s="163"/>
      <c r="Y320" s="163"/>
      <c r="Z320" s="163"/>
      <c r="AA320"/>
      <c r="AB320"/>
      <c r="AC320"/>
    </row>
    <row r="321" spans="1:29" ht="11.25" customHeight="1">
      <c r="A321" s="165" t="str">
        <f>A3</f>
        <v>1978-1989</v>
      </c>
      <c r="B321" s="166"/>
      <c r="C321" s="166"/>
      <c r="D321" s="166"/>
      <c r="E321" s="163"/>
      <c r="F321" s="163"/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3"/>
      <c r="U321" s="163"/>
      <c r="V321" s="163"/>
      <c r="W321" s="163"/>
      <c r="X321" s="163"/>
      <c r="Y321" s="163"/>
      <c r="Z321" s="163"/>
      <c r="AA321"/>
      <c r="AB321"/>
      <c r="AC321"/>
    </row>
    <row r="322" spans="1:29" ht="11.25" customHeight="1">
      <c r="A322" s="162" t="s">
        <v>2</v>
      </c>
      <c r="B322" s="163"/>
      <c r="C322" s="163"/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3"/>
      <c r="U322" s="163"/>
      <c r="V322" s="163"/>
      <c r="W322" s="163"/>
      <c r="X322" s="163"/>
      <c r="Y322" s="163"/>
      <c r="Z322" s="163"/>
      <c r="AA322"/>
      <c r="AB322"/>
      <c r="AC322"/>
    </row>
    <row r="323" spans="1:29" ht="11.25" customHeight="1">
      <c r="A323"/>
      <c r="B323" s="163"/>
      <c r="C323" s="163"/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3"/>
      <c r="U323" s="163"/>
      <c r="V323" s="163"/>
      <c r="W323" s="163"/>
      <c r="X323" s="163"/>
      <c r="Y323" s="163"/>
      <c r="Z323" s="163"/>
      <c r="AA323"/>
      <c r="AB323"/>
      <c r="AC323"/>
    </row>
    <row r="324" spans="1:29" ht="11.25" customHeight="1">
      <c r="A324" s="163"/>
      <c r="B324" s="163"/>
      <c r="C324" s="163"/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  <c r="Y324" s="163"/>
      <c r="Z324" s="163"/>
      <c r="AA324"/>
      <c r="AB324"/>
      <c r="AC324"/>
    </row>
    <row r="325" spans="3:25" ht="11.25" customHeight="1">
      <c r="C325" s="124" t="s">
        <v>3</v>
      </c>
      <c r="E325" s="124" t="s">
        <v>4</v>
      </c>
      <c r="G325" s="124" t="s">
        <v>5</v>
      </c>
      <c r="I325" s="124" t="s">
        <v>6</v>
      </c>
      <c r="K325" s="124" t="s">
        <v>7</v>
      </c>
      <c r="M325" s="124" t="s">
        <v>8</v>
      </c>
      <c r="O325" s="124" t="s">
        <v>9</v>
      </c>
      <c r="Q325" s="124" t="s">
        <v>10</v>
      </c>
      <c r="S325" s="124" t="s">
        <v>11</v>
      </c>
      <c r="U325" s="124" t="s">
        <v>12</v>
      </c>
      <c r="W325" s="124" t="s">
        <v>13</v>
      </c>
      <c r="Y325" s="124" t="s">
        <v>14</v>
      </c>
    </row>
    <row r="326" spans="1:29" ht="11.25" customHeight="1">
      <c r="A326" s="163"/>
      <c r="B326" s="163"/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3"/>
      <c r="U326" s="163"/>
      <c r="V326" s="163"/>
      <c r="W326" s="163"/>
      <c r="X326" s="163"/>
      <c r="Y326" s="163"/>
      <c r="Z326" s="163"/>
      <c r="AA326"/>
      <c r="AB326"/>
      <c r="AC326"/>
    </row>
    <row r="327" spans="1:29" ht="11.25" customHeight="1">
      <c r="A327" s="162" t="s">
        <v>15</v>
      </c>
      <c r="B327" s="163"/>
      <c r="C327" s="167"/>
      <c r="D327" s="167"/>
      <c r="E327" s="167"/>
      <c r="F327" s="167"/>
      <c r="G327" s="167"/>
      <c r="H327" s="167"/>
      <c r="I327" s="168">
        <v>93557</v>
      </c>
      <c r="J327" s="167"/>
      <c r="K327" s="168">
        <v>140927</v>
      </c>
      <c r="L327" s="167"/>
      <c r="M327" s="168">
        <v>144248</v>
      </c>
      <c r="N327" s="167"/>
      <c r="O327" s="230">
        <v>147037</v>
      </c>
      <c r="P327" s="167"/>
      <c r="Q327" s="168">
        <v>136893</v>
      </c>
      <c r="R327" s="167"/>
      <c r="S327" s="168">
        <v>104175</v>
      </c>
      <c r="T327" s="167"/>
      <c r="U327" s="168">
        <v>74055</v>
      </c>
      <c r="V327" s="167"/>
      <c r="W327" s="168">
        <v>83992</v>
      </c>
      <c r="X327" s="167"/>
      <c r="Y327" s="168">
        <v>30753</v>
      </c>
      <c r="Z327" s="169" t="s">
        <v>46</v>
      </c>
      <c r="AA327"/>
      <c r="AB327"/>
      <c r="AC327"/>
    </row>
    <row r="328" spans="1:29" ht="11.25" customHeight="1">
      <c r="A328" s="163"/>
      <c r="B328" s="163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3"/>
      <c r="U328" s="163"/>
      <c r="V328" s="163"/>
      <c r="W328" s="163"/>
      <c r="X328" s="163"/>
      <c r="Y328" s="163"/>
      <c r="Z328" s="163"/>
      <c r="AA328"/>
      <c r="AB328"/>
      <c r="AC328"/>
    </row>
    <row r="329" spans="1:29" ht="11.25" customHeight="1">
      <c r="A329" s="131" t="s">
        <v>17</v>
      </c>
      <c r="B329" s="163"/>
      <c r="C329" s="163"/>
      <c r="D329" s="163"/>
      <c r="E329" s="163"/>
      <c r="F329" s="163"/>
      <c r="G329" s="168">
        <v>4897</v>
      </c>
      <c r="H329" s="163"/>
      <c r="I329" s="170">
        <v>156887</v>
      </c>
      <c r="J329" s="163"/>
      <c r="K329" s="170">
        <v>183180</v>
      </c>
      <c r="L329" s="163"/>
      <c r="M329" s="170">
        <v>260477</v>
      </c>
      <c r="N329" s="163"/>
      <c r="O329" s="228">
        <v>177690</v>
      </c>
      <c r="P329" s="231" t="s">
        <v>16</v>
      </c>
      <c r="Q329" s="170">
        <v>241179</v>
      </c>
      <c r="R329" s="163"/>
      <c r="S329" s="170">
        <v>248448</v>
      </c>
      <c r="T329" s="163"/>
      <c r="U329" s="170">
        <v>243119</v>
      </c>
      <c r="V329" s="163"/>
      <c r="W329" s="170">
        <v>223317</v>
      </c>
      <c r="X329" s="163"/>
      <c r="Y329" s="170">
        <v>211082</v>
      </c>
      <c r="Z329" s="163"/>
      <c r="AA329"/>
      <c r="AB329"/>
      <c r="AC329"/>
    </row>
    <row r="330" spans="2:29" ht="11.25" customHeight="1">
      <c r="B330" s="163"/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  <c r="O330" s="229"/>
      <c r="P330" s="163"/>
      <c r="Q330" s="163"/>
      <c r="R330" s="163"/>
      <c r="S330" s="163"/>
      <c r="T330" s="163"/>
      <c r="U330" s="163"/>
      <c r="V330" s="163"/>
      <c r="W330" s="163"/>
      <c r="X330" s="163"/>
      <c r="Y330" s="163"/>
      <c r="Z330" s="163"/>
      <c r="AA330"/>
      <c r="AB330"/>
      <c r="AC330"/>
    </row>
    <row r="331" spans="1:29" ht="11.25" customHeight="1">
      <c r="A331" s="115" t="s">
        <v>18</v>
      </c>
      <c r="B331" s="163"/>
      <c r="C331" s="163"/>
      <c r="D331" s="163"/>
      <c r="E331" s="168">
        <v>1170</v>
      </c>
      <c r="F331" s="163"/>
      <c r="G331" s="170">
        <v>181489</v>
      </c>
      <c r="H331" s="163"/>
      <c r="I331" s="170">
        <v>187231</v>
      </c>
      <c r="J331" s="163"/>
      <c r="K331" s="170">
        <v>195854</v>
      </c>
      <c r="L331" s="163"/>
      <c r="M331" s="170">
        <v>230072</v>
      </c>
      <c r="N331" s="163"/>
      <c r="O331" s="228">
        <v>237700</v>
      </c>
      <c r="P331" s="163"/>
      <c r="Q331" s="170">
        <v>224521</v>
      </c>
      <c r="R331" s="163"/>
      <c r="S331" s="170">
        <v>228012</v>
      </c>
      <c r="T331" s="163"/>
      <c r="U331" s="170">
        <v>249785</v>
      </c>
      <c r="V331" s="163"/>
      <c r="W331" s="170">
        <v>268961</v>
      </c>
      <c r="X331" s="163"/>
      <c r="Y331" s="170">
        <v>279690</v>
      </c>
      <c r="Z331" s="163"/>
      <c r="AA331"/>
      <c r="AB331"/>
      <c r="AC331"/>
    </row>
    <row r="332" spans="2:29" ht="11.25" customHeight="1">
      <c r="B332" s="163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229"/>
      <c r="P332" s="163"/>
      <c r="Q332" s="163"/>
      <c r="R332" s="163"/>
      <c r="S332" s="163"/>
      <c r="T332" s="163"/>
      <c r="U332" s="163"/>
      <c r="V332" s="163"/>
      <c r="W332" s="163"/>
      <c r="X332" s="163"/>
      <c r="Y332" s="163"/>
      <c r="Z332" s="163"/>
      <c r="AA332"/>
      <c r="AB332"/>
      <c r="AC332"/>
    </row>
    <row r="333" spans="1:29" ht="11.25" customHeight="1">
      <c r="A333" s="115" t="s">
        <v>19</v>
      </c>
      <c r="B333" s="163"/>
      <c r="C333" s="163"/>
      <c r="D333" s="163"/>
      <c r="E333" s="170">
        <v>91283</v>
      </c>
      <c r="F333" s="163"/>
      <c r="G333" s="170">
        <v>208789</v>
      </c>
      <c r="H333" s="163"/>
      <c r="I333" s="170">
        <v>192937</v>
      </c>
      <c r="J333" s="163"/>
      <c r="K333" s="170">
        <v>193148</v>
      </c>
      <c r="L333" s="163"/>
      <c r="M333" s="170">
        <v>211157</v>
      </c>
      <c r="N333" s="163"/>
      <c r="O333" s="228">
        <v>224079</v>
      </c>
      <c r="P333" s="163"/>
      <c r="Q333" s="170">
        <v>248209</v>
      </c>
      <c r="R333" s="163"/>
      <c r="S333" s="170">
        <v>260170</v>
      </c>
      <c r="T333" s="163"/>
      <c r="U333" s="170">
        <v>287099</v>
      </c>
      <c r="V333" s="163"/>
      <c r="W333" s="170">
        <v>308001</v>
      </c>
      <c r="X333" s="163"/>
      <c r="Y333" s="170">
        <v>303434</v>
      </c>
      <c r="Z333" s="163"/>
      <c r="AA333"/>
      <c r="AB333"/>
      <c r="AC333"/>
    </row>
    <row r="334" spans="2:29" ht="11.25" customHeight="1">
      <c r="B334" s="163"/>
      <c r="C334" s="163"/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63"/>
      <c r="O334" s="229"/>
      <c r="P334" s="163"/>
      <c r="Q334" s="163"/>
      <c r="R334" s="163"/>
      <c r="S334" s="163"/>
      <c r="T334" s="163"/>
      <c r="U334" s="163"/>
      <c r="V334" s="163"/>
      <c r="W334" s="163"/>
      <c r="X334" s="163"/>
      <c r="Y334" s="163"/>
      <c r="Z334" s="163"/>
      <c r="AA334"/>
      <c r="AB334"/>
      <c r="AC334"/>
    </row>
    <row r="335" spans="1:29" ht="11.25" customHeight="1">
      <c r="A335" s="131" t="s">
        <v>52</v>
      </c>
      <c r="B335" s="163"/>
      <c r="C335" s="163"/>
      <c r="D335" s="163"/>
      <c r="E335" s="163"/>
      <c r="F335" s="163"/>
      <c r="G335" s="163"/>
      <c r="H335" s="163"/>
      <c r="I335" s="170">
        <v>32803</v>
      </c>
      <c r="J335" s="163"/>
      <c r="K335" s="170">
        <v>88837</v>
      </c>
      <c r="L335" s="163"/>
      <c r="M335" s="170">
        <v>109691</v>
      </c>
      <c r="N335" s="171"/>
      <c r="O335" s="228">
        <v>121581</v>
      </c>
      <c r="P335" s="163"/>
      <c r="Q335" s="170">
        <v>118629</v>
      </c>
      <c r="R335" s="163"/>
      <c r="S335" s="170">
        <v>119440</v>
      </c>
      <c r="T335" s="163"/>
      <c r="U335" s="170">
        <v>125131</v>
      </c>
      <c r="V335" s="163"/>
      <c r="W335" s="170">
        <v>133497</v>
      </c>
      <c r="X335" s="163"/>
      <c r="Y335" s="170">
        <v>128722</v>
      </c>
      <c r="Z335" s="163"/>
      <c r="AA335"/>
      <c r="AB335"/>
      <c r="AC335"/>
    </row>
    <row r="336" spans="2:29" ht="11.25" customHeight="1">
      <c r="B336" s="163"/>
      <c r="C336" s="163"/>
      <c r="D336" s="163"/>
      <c r="E336" s="163"/>
      <c r="F336" s="163"/>
      <c r="G336" s="163"/>
      <c r="H336" s="163"/>
      <c r="I336" s="163"/>
      <c r="J336" s="163"/>
      <c r="K336" s="163"/>
      <c r="L336" s="163"/>
      <c r="M336" s="163"/>
      <c r="N336" s="163"/>
      <c r="O336" s="229"/>
      <c r="P336" s="163"/>
      <c r="Q336" s="163"/>
      <c r="R336" s="163"/>
      <c r="S336" s="163"/>
      <c r="T336" s="163"/>
      <c r="U336" s="163"/>
      <c r="V336" s="163"/>
      <c r="W336" s="163"/>
      <c r="X336" s="163"/>
      <c r="Y336" s="163"/>
      <c r="Z336" s="163"/>
      <c r="AA336"/>
      <c r="AB336"/>
      <c r="AC336"/>
    </row>
    <row r="337" spans="1:29" ht="11.25" customHeight="1">
      <c r="A337" s="115" t="s">
        <v>21</v>
      </c>
      <c r="B337" s="163"/>
      <c r="C337" s="163"/>
      <c r="D337" s="163"/>
      <c r="E337" s="163"/>
      <c r="F337" s="163"/>
      <c r="G337" s="170">
        <v>7690</v>
      </c>
      <c r="H337" s="163"/>
      <c r="I337" s="170">
        <v>141518</v>
      </c>
      <c r="J337" s="163"/>
      <c r="K337" s="170">
        <v>175093</v>
      </c>
      <c r="L337" s="163"/>
      <c r="M337" s="170">
        <v>201798</v>
      </c>
      <c r="N337" s="163"/>
      <c r="O337" s="228">
        <v>210848</v>
      </c>
      <c r="P337" s="163"/>
      <c r="Q337" s="170">
        <v>215536</v>
      </c>
      <c r="R337" s="163"/>
      <c r="S337" s="170">
        <v>236989</v>
      </c>
      <c r="T337" s="163"/>
      <c r="U337" s="170">
        <v>246322</v>
      </c>
      <c r="V337" s="163"/>
      <c r="W337" s="170">
        <v>280358</v>
      </c>
      <c r="X337" s="163"/>
      <c r="Y337" s="170">
        <v>292056</v>
      </c>
      <c r="Z337" s="163"/>
      <c r="AA337"/>
      <c r="AB337"/>
      <c r="AC337"/>
    </row>
    <row r="338" spans="2:29" ht="11.25" customHeight="1">
      <c r="B338" s="163"/>
      <c r="C338" s="163"/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63"/>
      <c r="O338" s="229"/>
      <c r="P338" s="163"/>
      <c r="Q338" s="163"/>
      <c r="R338" s="163"/>
      <c r="S338" s="163"/>
      <c r="T338" s="163"/>
      <c r="U338" s="163"/>
      <c r="V338" s="163"/>
      <c r="W338" s="163"/>
      <c r="X338" s="163"/>
      <c r="Y338" s="163"/>
      <c r="Z338" s="163"/>
      <c r="AA338"/>
      <c r="AB338"/>
      <c r="AC338"/>
    </row>
    <row r="339" spans="1:29" ht="11.25" customHeight="1">
      <c r="A339" s="115" t="s">
        <v>22</v>
      </c>
      <c r="B339" s="163"/>
      <c r="C339" s="168">
        <v>134073</v>
      </c>
      <c r="D339" s="163"/>
      <c r="E339" s="170">
        <v>232188</v>
      </c>
      <c r="F339" s="170"/>
      <c r="G339" s="170">
        <v>212317</v>
      </c>
      <c r="H339" s="171"/>
      <c r="I339" s="170">
        <v>186165</v>
      </c>
      <c r="J339" s="171"/>
      <c r="K339" s="170">
        <v>215013</v>
      </c>
      <c r="L339" s="163"/>
      <c r="M339" s="170">
        <v>249977</v>
      </c>
      <c r="N339" s="163"/>
      <c r="O339" s="228">
        <v>254753</v>
      </c>
      <c r="P339" s="163"/>
      <c r="Q339" s="170">
        <v>240493</v>
      </c>
      <c r="R339" s="163"/>
      <c r="S339" s="170">
        <v>236415</v>
      </c>
      <c r="T339" s="163"/>
      <c r="U339" s="170">
        <v>239778</v>
      </c>
      <c r="V339" s="163"/>
      <c r="W339" s="170">
        <v>243440</v>
      </c>
      <c r="X339" s="163"/>
      <c r="Y339" s="170">
        <v>227144</v>
      </c>
      <c r="Z339" s="163"/>
      <c r="AA339"/>
      <c r="AB339"/>
      <c r="AC339"/>
    </row>
    <row r="340" spans="2:29" ht="11.25" customHeight="1">
      <c r="B340" s="163"/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  <c r="O340" s="229"/>
      <c r="P340" s="163"/>
      <c r="Q340" s="163"/>
      <c r="R340" s="163"/>
      <c r="S340" s="163"/>
      <c r="T340" s="163"/>
      <c r="U340" s="163"/>
      <c r="V340" s="163"/>
      <c r="W340" s="163"/>
      <c r="X340" s="163"/>
      <c r="Y340" s="163"/>
      <c r="Z340" s="163"/>
      <c r="AA340"/>
      <c r="AB340"/>
      <c r="AC340"/>
    </row>
    <row r="341" spans="1:29" ht="11.25" customHeight="1">
      <c r="A341" s="115" t="s">
        <v>23</v>
      </c>
      <c r="B341" s="163"/>
      <c r="C341" s="163"/>
      <c r="D341" s="163"/>
      <c r="E341" s="163"/>
      <c r="F341" s="163"/>
      <c r="G341" s="170">
        <v>27278</v>
      </c>
      <c r="H341" s="163"/>
      <c r="I341" s="170">
        <v>91614</v>
      </c>
      <c r="J341" s="163"/>
      <c r="K341" s="170">
        <v>144236</v>
      </c>
      <c r="L341" s="163"/>
      <c r="M341" s="170">
        <v>155577</v>
      </c>
      <c r="N341" s="163"/>
      <c r="O341" s="228">
        <v>158602</v>
      </c>
      <c r="P341" s="163"/>
      <c r="Q341" s="170">
        <v>178475</v>
      </c>
      <c r="R341" s="163"/>
      <c r="S341" s="170">
        <v>189343</v>
      </c>
      <c r="T341" s="163"/>
      <c r="U341" s="170">
        <v>192554</v>
      </c>
      <c r="V341" s="163"/>
      <c r="W341" s="170">
        <v>205667</v>
      </c>
      <c r="X341" s="163"/>
      <c r="Y341" s="170">
        <v>219668</v>
      </c>
      <c r="Z341" s="163"/>
      <c r="AA341"/>
      <c r="AB341"/>
      <c r="AC341"/>
    </row>
    <row r="342" spans="2:29" ht="11.25" customHeight="1">
      <c r="B342" s="163"/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  <c r="O342" s="229"/>
      <c r="P342" s="163"/>
      <c r="Q342" s="163"/>
      <c r="R342" s="163"/>
      <c r="S342" s="163"/>
      <c r="T342" s="163"/>
      <c r="U342" s="163"/>
      <c r="V342" s="163"/>
      <c r="W342" s="163"/>
      <c r="X342" s="163"/>
      <c r="Y342" s="163"/>
      <c r="Z342" s="163"/>
      <c r="AA342"/>
      <c r="AB342"/>
      <c r="AC342"/>
    </row>
    <row r="343" spans="1:29" ht="11.25" customHeight="1">
      <c r="A343" s="115" t="s">
        <v>24</v>
      </c>
      <c r="B343" s="163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229"/>
      <c r="P343" s="163"/>
      <c r="Q343" s="163"/>
      <c r="R343" s="163"/>
      <c r="S343" s="163"/>
      <c r="T343" s="163"/>
      <c r="U343" s="170">
        <v>145982</v>
      </c>
      <c r="V343" s="163"/>
      <c r="W343" s="170">
        <v>207912</v>
      </c>
      <c r="X343" s="163"/>
      <c r="Y343" s="170">
        <v>258357</v>
      </c>
      <c r="Z343" s="163"/>
      <c r="AA343"/>
      <c r="AB343"/>
      <c r="AC343"/>
    </row>
    <row r="344" spans="2:29" ht="11.25" customHeight="1">
      <c r="B344" s="163"/>
      <c r="C344" s="163"/>
      <c r="D344" s="163"/>
      <c r="E344" s="163"/>
      <c r="F344" s="163"/>
      <c r="G344" s="163"/>
      <c r="H344" s="163"/>
      <c r="I344" s="163"/>
      <c r="J344" s="163"/>
      <c r="K344" s="163"/>
      <c r="L344" s="163"/>
      <c r="M344" s="163"/>
      <c r="N344" s="163"/>
      <c r="O344" s="229"/>
      <c r="P344" s="163"/>
      <c r="Q344" s="163"/>
      <c r="R344" s="163"/>
      <c r="S344" s="163"/>
      <c r="T344" s="163"/>
      <c r="U344" s="163"/>
      <c r="V344" s="163"/>
      <c r="W344" s="163"/>
      <c r="X344" s="163"/>
      <c r="Y344" s="163"/>
      <c r="Z344" s="163"/>
      <c r="AA344"/>
      <c r="AB344"/>
      <c r="AC344"/>
    </row>
    <row r="345" spans="1:29" ht="11.25" customHeight="1">
      <c r="A345" s="131" t="s">
        <v>25</v>
      </c>
      <c r="B345" s="163"/>
      <c r="C345" s="163"/>
      <c r="D345" s="163"/>
      <c r="E345" s="163"/>
      <c r="F345" s="163"/>
      <c r="G345" s="163"/>
      <c r="H345" s="163"/>
      <c r="I345" s="170">
        <v>10874</v>
      </c>
      <c r="J345" s="163"/>
      <c r="K345" s="170">
        <v>148452</v>
      </c>
      <c r="L345" s="163"/>
      <c r="M345" s="170">
        <v>197985</v>
      </c>
      <c r="N345" s="163"/>
      <c r="O345" s="228">
        <v>220804</v>
      </c>
      <c r="P345" s="163"/>
      <c r="Q345" s="170">
        <v>210792</v>
      </c>
      <c r="R345" s="163"/>
      <c r="S345" s="170">
        <v>214601</v>
      </c>
      <c r="T345" s="163"/>
      <c r="U345" s="170">
        <v>209910</v>
      </c>
      <c r="V345" s="163"/>
      <c r="W345" s="170">
        <v>231032</v>
      </c>
      <c r="X345" s="163"/>
      <c r="Y345" s="170">
        <v>284019</v>
      </c>
      <c r="Z345" s="163"/>
      <c r="AA345"/>
      <c r="AB345"/>
      <c r="AC345"/>
    </row>
    <row r="346" spans="1:29" ht="11.25" customHeight="1">
      <c r="A346" s="163"/>
      <c r="B346" s="163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229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  <c r="AA346"/>
      <c r="AB346"/>
      <c r="AC346"/>
    </row>
    <row r="347" spans="1:29" ht="11.25" customHeight="1">
      <c r="A347" s="162" t="s">
        <v>45</v>
      </c>
      <c r="B347" s="163"/>
      <c r="C347" s="163"/>
      <c r="D347" s="163"/>
      <c r="E347" s="163"/>
      <c r="F347" s="163"/>
      <c r="G347" s="163"/>
      <c r="H347" s="163"/>
      <c r="I347" s="163"/>
      <c r="J347" s="163"/>
      <c r="K347" s="163"/>
      <c r="L347" s="163"/>
      <c r="M347" s="163"/>
      <c r="N347" s="163"/>
      <c r="O347" s="229"/>
      <c r="P347" s="163"/>
      <c r="Q347" s="170">
        <v>114946</v>
      </c>
      <c r="R347" s="163"/>
      <c r="S347" s="170">
        <v>224990</v>
      </c>
      <c r="T347" s="163"/>
      <c r="U347" s="170">
        <v>239953</v>
      </c>
      <c r="V347" s="163"/>
      <c r="W347" s="170">
        <v>248022</v>
      </c>
      <c r="X347" s="163"/>
      <c r="Y347" s="170">
        <v>264358</v>
      </c>
      <c r="Z347" s="163"/>
      <c r="AA347"/>
      <c r="AB347"/>
      <c r="AC347"/>
    </row>
    <row r="348" spans="1:29" ht="11.25" customHeight="1">
      <c r="A348" s="163"/>
      <c r="B348" s="163"/>
      <c r="C348" s="163"/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63"/>
      <c r="O348" s="229"/>
      <c r="P348" s="163"/>
      <c r="Q348" s="163"/>
      <c r="R348" s="163"/>
      <c r="S348" s="163"/>
      <c r="T348" s="163"/>
      <c r="U348" s="163"/>
      <c r="V348" s="163"/>
      <c r="W348" s="163"/>
      <c r="X348" s="163"/>
      <c r="Y348" s="163"/>
      <c r="Z348" s="163"/>
      <c r="AA348"/>
      <c r="AB348"/>
      <c r="AC348"/>
    </row>
    <row r="349" spans="1:29" ht="11.25" customHeight="1">
      <c r="A349" s="162" t="s">
        <v>26</v>
      </c>
      <c r="B349" s="163"/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  <c r="O349" s="228">
        <v>123947</v>
      </c>
      <c r="P349" s="163"/>
      <c r="Q349" s="170">
        <v>201960</v>
      </c>
      <c r="R349" s="163"/>
      <c r="S349" s="170">
        <v>218178</v>
      </c>
      <c r="T349" s="163"/>
      <c r="U349" s="170">
        <v>243993</v>
      </c>
      <c r="V349" s="163"/>
      <c r="W349" s="170">
        <v>300184</v>
      </c>
      <c r="X349" s="163"/>
      <c r="Y349" s="170">
        <v>306009</v>
      </c>
      <c r="Z349" s="163"/>
      <c r="AA349"/>
      <c r="AB349"/>
      <c r="AC349"/>
    </row>
    <row r="350" spans="1:29" ht="11.25" customHeight="1">
      <c r="A350" s="163"/>
      <c r="B350" s="163"/>
      <c r="C350" s="174"/>
      <c r="D350" s="172"/>
      <c r="E350" s="174"/>
      <c r="F350" s="172"/>
      <c r="G350" s="174"/>
      <c r="H350" s="172"/>
      <c r="I350" s="174"/>
      <c r="J350" s="172"/>
      <c r="K350" s="174"/>
      <c r="L350" s="172"/>
      <c r="M350" s="174"/>
      <c r="N350" s="172"/>
      <c r="O350" s="174"/>
      <c r="P350" s="172"/>
      <c r="Q350" s="174"/>
      <c r="R350" s="172"/>
      <c r="S350" s="174"/>
      <c r="T350" s="172"/>
      <c r="U350" s="174"/>
      <c r="V350" s="172"/>
      <c r="W350" s="174"/>
      <c r="X350" s="172"/>
      <c r="Y350" s="174"/>
      <c r="Z350" s="172"/>
      <c r="AA350"/>
      <c r="AB350"/>
      <c r="AC350"/>
    </row>
    <row r="351" spans="1:29" ht="11.25" customHeight="1" thickBot="1">
      <c r="A351" s="115" t="s">
        <v>38</v>
      </c>
      <c r="B351" s="163"/>
      <c r="C351" s="175">
        <f>SUM(C327:C349)</f>
        <v>134073</v>
      </c>
      <c r="D351" s="176"/>
      <c r="E351" s="175">
        <f>SUM(E327:E349)</f>
        <v>324641</v>
      </c>
      <c r="F351" s="176"/>
      <c r="G351" s="175">
        <f>SUM(G327:G349)</f>
        <v>642460</v>
      </c>
      <c r="H351" s="176"/>
      <c r="I351" s="175">
        <f>SUM(I327:I349)</f>
        <v>1093586</v>
      </c>
      <c r="J351" s="176"/>
      <c r="K351" s="175">
        <f>SUM(K327:K349)</f>
        <v>1484740</v>
      </c>
      <c r="L351" s="176"/>
      <c r="M351" s="175">
        <f>SUM(M327:M349)</f>
        <v>1760982</v>
      </c>
      <c r="N351" s="176"/>
      <c r="O351" s="232">
        <f>SUM(O327:O349)</f>
        <v>1877041</v>
      </c>
      <c r="P351" s="233" t="s">
        <v>16</v>
      </c>
      <c r="Q351" s="175">
        <f>SUM(Q327:Q349)</f>
        <v>2131633</v>
      </c>
      <c r="R351" s="176"/>
      <c r="S351" s="175">
        <f>SUM(S327:S349)</f>
        <v>2280761</v>
      </c>
      <c r="T351" s="176"/>
      <c r="U351" s="175">
        <f>SUM(U327:U349)</f>
        <v>2497681</v>
      </c>
      <c r="V351" s="176"/>
      <c r="W351" s="175">
        <f>SUM(W327:W349)</f>
        <v>2734383</v>
      </c>
      <c r="X351" s="176"/>
      <c r="Y351" s="175">
        <f>SUM(Y327:Y349)</f>
        <v>2805292</v>
      </c>
      <c r="Z351" s="176"/>
      <c r="AA351"/>
      <c r="AB351"/>
      <c r="AC351"/>
    </row>
    <row r="352" spans="1:29" ht="11.25" customHeight="1" thickTop="1">
      <c r="A352" s="163"/>
      <c r="B352" s="163"/>
      <c r="C352" s="177"/>
      <c r="D352" s="172"/>
      <c r="E352" s="177"/>
      <c r="F352" s="172"/>
      <c r="G352" s="177"/>
      <c r="H352" s="172"/>
      <c r="I352" s="177"/>
      <c r="J352" s="172"/>
      <c r="K352" s="177"/>
      <c r="L352" s="172"/>
      <c r="M352" s="177"/>
      <c r="N352" s="172"/>
      <c r="O352" s="177"/>
      <c r="P352" s="172"/>
      <c r="Q352" s="177"/>
      <c r="R352" s="172"/>
      <c r="S352" s="177"/>
      <c r="T352" s="172"/>
      <c r="U352" s="177"/>
      <c r="V352" s="163"/>
      <c r="W352" s="177"/>
      <c r="X352" s="172"/>
      <c r="Y352" s="177"/>
      <c r="Z352" s="172"/>
      <c r="AA352"/>
      <c r="AB352"/>
      <c r="AC352"/>
    </row>
    <row r="353" spans="1:26" ht="11.25" customHeight="1">
      <c r="A353" s="28" t="s">
        <v>48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1.25" customHeight="1">
      <c r="A354" s="123" t="s">
        <v>94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2:26" ht="11.25" customHeight="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1.2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1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2:26" ht="11.25" customHeight="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1.2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1.2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1.25" customHeight="1">
      <c r="A361" s="129"/>
      <c r="C361" s="7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1.25" customHeight="1">
      <c r="A362" s="129"/>
      <c r="C362" s="7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1.25" customHeight="1">
      <c r="A363" s="129"/>
      <c r="C363" s="7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1.2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1.25" customHeight="1">
      <c r="A365" s="1" t="s">
        <v>0</v>
      </c>
      <c r="B365" s="2"/>
      <c r="C365" s="2"/>
      <c r="D365" s="2"/>
      <c r="E365" s="139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1.25" customHeight="1">
      <c r="A366" s="28" t="s">
        <v>65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1.25" customHeight="1">
      <c r="A367" s="45" t="str">
        <f>A3</f>
        <v>1978-1989</v>
      </c>
      <c r="B367" s="13"/>
      <c r="C367" s="13"/>
      <c r="D367" s="13"/>
      <c r="E367" s="5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1.25" customHeight="1">
      <c r="A368" s="60"/>
      <c r="B368" s="57"/>
      <c r="C368" s="57"/>
      <c r="D368" s="57"/>
      <c r="E368" s="5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1.25" customHeight="1">
      <c r="A369" s="3"/>
      <c r="B369" s="3"/>
      <c r="C369" s="1"/>
      <c r="D369" s="2"/>
      <c r="E369" s="57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3:25" ht="11.25" customHeight="1">
      <c r="C370"/>
      <c r="E370" s="124" t="s">
        <v>4</v>
      </c>
      <c r="G370" s="124" t="s">
        <v>5</v>
      </c>
      <c r="I370" s="124" t="s">
        <v>6</v>
      </c>
      <c r="K370" s="124" t="s">
        <v>7</v>
      </c>
      <c r="M370" s="124" t="s">
        <v>8</v>
      </c>
      <c r="O370" s="124" t="s">
        <v>9</v>
      </c>
      <c r="Q370" s="124" t="s">
        <v>10</v>
      </c>
      <c r="S370" s="124" t="s">
        <v>11</v>
      </c>
      <c r="U370" s="124" t="s">
        <v>12</v>
      </c>
      <c r="W370" s="124" t="s">
        <v>13</v>
      </c>
      <c r="Y370" s="124" t="s">
        <v>14</v>
      </c>
    </row>
    <row r="371" spans="1:26" ht="11.25" customHeight="1">
      <c r="A371" s="2"/>
      <c r="B371" s="2"/>
      <c r="C37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1.25" customHeight="1">
      <c r="A372" s="1" t="s">
        <v>15</v>
      </c>
      <c r="B372" s="2"/>
      <c r="C372" s="10"/>
      <c r="D372" s="10"/>
      <c r="E372" s="10"/>
      <c r="F372" s="10"/>
      <c r="G372" s="11"/>
      <c r="H372" s="10"/>
      <c r="I372" s="11"/>
      <c r="J372" s="10"/>
      <c r="K372" s="11">
        <f>(K327-I327)/I327</f>
        <v>0.506</v>
      </c>
      <c r="L372" s="10"/>
      <c r="M372" s="11">
        <f>(M327-K327)/K327</f>
        <v>0.024</v>
      </c>
      <c r="N372" s="10"/>
      <c r="O372" s="11">
        <f>(O327-M327)/M327</f>
        <v>0.019</v>
      </c>
      <c r="P372" s="10"/>
      <c r="Q372" s="11">
        <f>(Q327-O327)/O327</f>
        <v>-0.069</v>
      </c>
      <c r="R372" s="10"/>
      <c r="S372" s="11">
        <f>(S327-Q327)/Q327</f>
        <v>-0.239</v>
      </c>
      <c r="T372" s="10"/>
      <c r="U372" s="11">
        <f>(U327-S327)/S327</f>
        <v>-0.289</v>
      </c>
      <c r="V372" s="10"/>
      <c r="W372" s="11">
        <f>(W327-U327)/U327</f>
        <v>0.134</v>
      </c>
      <c r="X372" s="10"/>
      <c r="Y372" s="11">
        <f>(Y327-W327)/W327</f>
        <v>-0.634</v>
      </c>
      <c r="Z372" s="10" t="s">
        <v>46</v>
      </c>
    </row>
    <row r="373" spans="1:26" ht="11.25" customHeight="1">
      <c r="A373" s="2"/>
      <c r="B373" s="2"/>
      <c r="C373" s="10"/>
      <c r="D373" s="10"/>
      <c r="E373" s="10"/>
      <c r="F373" s="10"/>
      <c r="G373" s="11"/>
      <c r="H373" s="10"/>
      <c r="I373" s="11"/>
      <c r="J373" s="10"/>
      <c r="K373" s="11"/>
      <c r="L373" s="10"/>
      <c r="M373" s="11"/>
      <c r="N373" s="10"/>
      <c r="O373" s="11"/>
      <c r="P373" s="10"/>
      <c r="Q373" s="11"/>
      <c r="R373" s="10"/>
      <c r="S373" s="11"/>
      <c r="T373" s="10"/>
      <c r="U373" s="11"/>
      <c r="V373" s="10"/>
      <c r="W373" s="11"/>
      <c r="X373" s="10"/>
      <c r="Y373" s="11"/>
      <c r="Z373" s="10"/>
    </row>
    <row r="374" spans="1:26" ht="11.25" customHeight="1">
      <c r="A374" s="131" t="s">
        <v>17</v>
      </c>
      <c r="B374" s="2"/>
      <c r="C374" s="10"/>
      <c r="D374" s="10"/>
      <c r="E374" s="10"/>
      <c r="F374" s="10"/>
      <c r="G374" s="11"/>
      <c r="H374" s="10"/>
      <c r="I374" s="11">
        <f>(I329-G329)/G329</f>
        <v>31.037</v>
      </c>
      <c r="J374" s="10"/>
      <c r="K374" s="11">
        <f>(K329-I329)/I329</f>
        <v>0.168</v>
      </c>
      <c r="L374" s="10"/>
      <c r="M374" s="11">
        <f>(M329-K329)/K329</f>
        <v>0.422</v>
      </c>
      <c r="N374" s="10"/>
      <c r="O374" s="11">
        <f>(O329-M329)/M329</f>
        <v>-0.318</v>
      </c>
      <c r="P374" s="10" t="s">
        <v>16</v>
      </c>
      <c r="Q374" s="11">
        <f>(Q329-O329)/O329</f>
        <v>0.357</v>
      </c>
      <c r="R374" s="10"/>
      <c r="S374" s="11">
        <f>(S329-Q329)/Q329</f>
        <v>0.03</v>
      </c>
      <c r="T374" s="10"/>
      <c r="U374" s="11">
        <f>(U329-S329)/S329</f>
        <v>-0.021</v>
      </c>
      <c r="V374" s="10"/>
      <c r="W374" s="11">
        <f>(W329-U329)/U329</f>
        <v>-0.081</v>
      </c>
      <c r="X374" s="10"/>
      <c r="Y374" s="11">
        <f>(Y329-W329)/W329</f>
        <v>-0.055</v>
      </c>
      <c r="Z374" s="10"/>
    </row>
    <row r="375" spans="2:26" ht="11.25" customHeight="1">
      <c r="B375" s="2"/>
      <c r="C375" s="10"/>
      <c r="D375" s="10"/>
      <c r="E375" s="10"/>
      <c r="F375" s="10"/>
      <c r="G375" s="11"/>
      <c r="H375" s="10"/>
      <c r="I375" s="11"/>
      <c r="J375" s="10"/>
      <c r="K375" s="11"/>
      <c r="L375" s="10"/>
      <c r="M375" s="11"/>
      <c r="N375" s="10"/>
      <c r="O375" s="11"/>
      <c r="P375" s="10"/>
      <c r="Q375" s="11"/>
      <c r="R375" s="10"/>
      <c r="S375" s="11"/>
      <c r="T375" s="10"/>
      <c r="U375" s="11"/>
      <c r="V375" s="10"/>
      <c r="W375" s="11"/>
      <c r="X375" s="10"/>
      <c r="Y375" s="11"/>
      <c r="Z375" s="10"/>
    </row>
    <row r="376" spans="1:26" ht="11.25" customHeight="1">
      <c r="A376" s="115" t="s">
        <v>18</v>
      </c>
      <c r="B376" s="2"/>
      <c r="C376" s="10"/>
      <c r="D376" s="10"/>
      <c r="E376" s="178"/>
      <c r="F376" s="10"/>
      <c r="G376" s="11">
        <f>(G331-E331)/E331</f>
        <v>154.119</v>
      </c>
      <c r="H376" s="2"/>
      <c r="I376" s="11">
        <f>(I331-G331)/G331</f>
        <v>0.032</v>
      </c>
      <c r="J376" s="10"/>
      <c r="K376" s="11">
        <f>(K331-I331)/I331</f>
        <v>0.046</v>
      </c>
      <c r="L376" s="10"/>
      <c r="M376" s="11">
        <f>(M331-K331)/K331</f>
        <v>0.175</v>
      </c>
      <c r="N376" s="10"/>
      <c r="O376" s="11">
        <f>(O331-M331)/M331</f>
        <v>0.033</v>
      </c>
      <c r="P376" s="10"/>
      <c r="Q376" s="11">
        <f>(Q331-O331)/O331</f>
        <v>-0.055</v>
      </c>
      <c r="R376" s="10"/>
      <c r="S376" s="11">
        <f>(S331-Q331)/Q331</f>
        <v>0.016</v>
      </c>
      <c r="T376" s="10"/>
      <c r="U376" s="11">
        <f>(U331-S331)/S331</f>
        <v>0.095</v>
      </c>
      <c r="V376" s="10"/>
      <c r="W376" s="11">
        <f>(W331-U331)/U331</f>
        <v>0.077</v>
      </c>
      <c r="X376" s="10"/>
      <c r="Y376" s="11">
        <f>(Y331-W331)/W331</f>
        <v>0.04</v>
      </c>
      <c r="Z376" s="10"/>
    </row>
    <row r="377" spans="2:26" ht="11.25" customHeight="1">
      <c r="B377" s="2"/>
      <c r="C377" s="10"/>
      <c r="D377" s="10"/>
      <c r="E377" s="10"/>
      <c r="F377" s="10"/>
      <c r="G377" s="11"/>
      <c r="H377" s="10"/>
      <c r="I377" s="11"/>
      <c r="J377" s="10"/>
      <c r="K377" s="11"/>
      <c r="L377" s="10"/>
      <c r="M377" s="11"/>
      <c r="N377" s="10"/>
      <c r="O377" s="11"/>
      <c r="P377" s="10"/>
      <c r="Q377" s="11"/>
      <c r="R377" s="10"/>
      <c r="S377" s="11"/>
      <c r="T377" s="10"/>
      <c r="U377" s="11"/>
      <c r="V377" s="10"/>
      <c r="W377" s="11"/>
      <c r="X377" s="10"/>
      <c r="Y377" s="11"/>
      <c r="Z377" s="10"/>
    </row>
    <row r="378" spans="1:26" ht="11.25" customHeight="1">
      <c r="A378" s="115" t="s">
        <v>19</v>
      </c>
      <c r="B378" s="2"/>
      <c r="C378" s="10"/>
      <c r="D378" s="10"/>
      <c r="E378" s="178"/>
      <c r="F378" s="10"/>
      <c r="G378" s="11">
        <f>(G333-E333)/E333</f>
        <v>1.287</v>
      </c>
      <c r="H378" s="2"/>
      <c r="I378" s="11">
        <f>(I333-G333)/G333</f>
        <v>-0.076</v>
      </c>
      <c r="J378" s="10"/>
      <c r="K378" s="11">
        <f>(K333-I333)/I333</f>
        <v>0.001</v>
      </c>
      <c r="L378" s="10"/>
      <c r="M378" s="11">
        <f>(M333-K333)/K333</f>
        <v>0.093</v>
      </c>
      <c r="N378" s="10"/>
      <c r="O378" s="11">
        <f>(O333-M333)/M333</f>
        <v>0.061</v>
      </c>
      <c r="P378" s="10"/>
      <c r="Q378" s="11">
        <f>(Q333-O333)/O333</f>
        <v>0.108</v>
      </c>
      <c r="R378" s="10"/>
      <c r="S378" s="11">
        <f>(S333-Q333)/Q333</f>
        <v>0.048</v>
      </c>
      <c r="T378" s="10"/>
      <c r="U378" s="11">
        <f>(U333-S333)/S333</f>
        <v>0.104</v>
      </c>
      <c r="V378" s="10"/>
      <c r="W378" s="11">
        <f>(W333-U333)/U333</f>
        <v>0.073</v>
      </c>
      <c r="X378" s="10"/>
      <c r="Y378" s="11">
        <f>(Y333-W333)/W333</f>
        <v>-0.015</v>
      </c>
      <c r="Z378" s="10"/>
    </row>
    <row r="379" spans="2:26" ht="11.25" customHeight="1">
      <c r="B379" s="2"/>
      <c r="C379" s="10"/>
      <c r="D379" s="10"/>
      <c r="E379" s="10"/>
      <c r="F379" s="10"/>
      <c r="G379" s="11"/>
      <c r="H379" s="10"/>
      <c r="I379" s="11"/>
      <c r="J379" s="10"/>
      <c r="K379" s="11"/>
      <c r="L379" s="10"/>
      <c r="M379" s="11"/>
      <c r="N379" s="10"/>
      <c r="O379" s="11"/>
      <c r="P379" s="10"/>
      <c r="Q379" s="11"/>
      <c r="R379" s="10"/>
      <c r="S379" s="11"/>
      <c r="T379" s="10"/>
      <c r="U379" s="11"/>
      <c r="V379" s="10"/>
      <c r="W379" s="11"/>
      <c r="X379" s="10"/>
      <c r="Y379" s="11"/>
      <c r="Z379" s="10"/>
    </row>
    <row r="380" spans="1:26" ht="11.25" customHeight="1">
      <c r="A380" s="131" t="s">
        <v>52</v>
      </c>
      <c r="B380" s="2"/>
      <c r="C380" s="10"/>
      <c r="D380" s="10"/>
      <c r="E380" s="10"/>
      <c r="F380" s="10"/>
      <c r="G380" s="11"/>
      <c r="H380" s="10"/>
      <c r="I380" s="11"/>
      <c r="J380" s="10"/>
      <c r="K380" s="11">
        <f>(K335-I335)/I335</f>
        <v>1.708</v>
      </c>
      <c r="L380" s="10"/>
      <c r="M380" s="11">
        <f>(M335-K335)/K335</f>
        <v>0.235</v>
      </c>
      <c r="N380" s="10"/>
      <c r="O380" s="11">
        <f>(O335-M335)/M335</f>
        <v>0.108</v>
      </c>
      <c r="P380" s="10"/>
      <c r="Q380" s="11">
        <f>(Q335-O335)/O335</f>
        <v>-0.024</v>
      </c>
      <c r="R380" s="10"/>
      <c r="S380" s="11">
        <f>(S335-Q335)/Q335</f>
        <v>0.007</v>
      </c>
      <c r="T380" s="10"/>
      <c r="U380" s="11">
        <f>(U335-S335)/S335</f>
        <v>0.048</v>
      </c>
      <c r="V380" s="10"/>
      <c r="W380" s="11">
        <f>(W335-U335)/U335</f>
        <v>0.067</v>
      </c>
      <c r="X380" s="10"/>
      <c r="Y380" s="11">
        <f>(Y335-W335)/W335</f>
        <v>-0.036</v>
      </c>
      <c r="Z380" s="10"/>
    </row>
    <row r="381" spans="2:26" ht="11.25" customHeight="1">
      <c r="B381" s="2"/>
      <c r="C381" s="10"/>
      <c r="D381" s="10"/>
      <c r="E381" s="10"/>
      <c r="F381" s="10"/>
      <c r="G381" s="11"/>
      <c r="H381" s="10"/>
      <c r="I381" s="11"/>
      <c r="J381" s="10"/>
      <c r="K381" s="11"/>
      <c r="L381" s="10"/>
      <c r="M381" s="11"/>
      <c r="N381" s="10"/>
      <c r="O381" s="11"/>
      <c r="P381" s="10"/>
      <c r="Q381" s="11"/>
      <c r="R381" s="10"/>
      <c r="S381" s="11"/>
      <c r="T381" s="10"/>
      <c r="U381" s="11"/>
      <c r="V381" s="10"/>
      <c r="W381" s="11"/>
      <c r="X381" s="10"/>
      <c r="Y381" s="11"/>
      <c r="Z381" s="10"/>
    </row>
    <row r="382" spans="1:26" ht="11.25" customHeight="1">
      <c r="A382" s="115" t="s">
        <v>21</v>
      </c>
      <c r="B382" s="2"/>
      <c r="C382" s="10"/>
      <c r="D382" s="10"/>
      <c r="E382" s="10"/>
      <c r="F382" s="10"/>
      <c r="G382" s="11"/>
      <c r="H382" s="10"/>
      <c r="I382" s="11">
        <f>(I337-G337)/G337</f>
        <v>17.403</v>
      </c>
      <c r="J382" s="10"/>
      <c r="K382" s="11">
        <f>(K337-I337)/I337</f>
        <v>0.237</v>
      </c>
      <c r="L382" s="10"/>
      <c r="M382" s="11">
        <f>(M337-K337)/K337</f>
        <v>0.153</v>
      </c>
      <c r="N382" s="10"/>
      <c r="O382" s="11">
        <f>(O337-M337)/M337</f>
        <v>0.045</v>
      </c>
      <c r="P382" s="10"/>
      <c r="Q382" s="11">
        <f>(Q337-O337)/O337</f>
        <v>0.022</v>
      </c>
      <c r="R382" s="10"/>
      <c r="S382" s="11">
        <f>(S337-Q337)/Q337</f>
        <v>0.1</v>
      </c>
      <c r="T382" s="10"/>
      <c r="U382" s="11">
        <f>(U337-S337)/S337</f>
        <v>0.039</v>
      </c>
      <c r="V382" s="10"/>
      <c r="W382" s="11">
        <f>(W337-U337)/U337</f>
        <v>0.138</v>
      </c>
      <c r="X382" s="10"/>
      <c r="Y382" s="11">
        <f>(Y337-W337)/W337</f>
        <v>0.042</v>
      </c>
      <c r="Z382" s="10"/>
    </row>
    <row r="383" spans="2:26" ht="11.25" customHeight="1">
      <c r="B383" s="2"/>
      <c r="C383" s="10"/>
      <c r="D383" s="10"/>
      <c r="E383" s="10"/>
      <c r="F383" s="10"/>
      <c r="G383" s="11"/>
      <c r="H383" s="10"/>
      <c r="I383" s="11"/>
      <c r="J383" s="10"/>
      <c r="K383" s="11"/>
      <c r="L383" s="10"/>
      <c r="M383" s="11"/>
      <c r="N383" s="10"/>
      <c r="O383" s="11"/>
      <c r="P383" s="10"/>
      <c r="Q383" s="11"/>
      <c r="R383" s="10"/>
      <c r="S383" s="11"/>
      <c r="T383" s="10"/>
      <c r="U383" s="11"/>
      <c r="V383" s="10"/>
      <c r="W383" s="11"/>
      <c r="X383" s="10"/>
      <c r="Y383" s="11"/>
      <c r="Z383" s="10"/>
    </row>
    <row r="384" spans="1:26" ht="11.25" customHeight="1">
      <c r="A384" s="115" t="s">
        <v>22</v>
      </c>
      <c r="B384" s="2"/>
      <c r="C384" s="178"/>
      <c r="D384" s="10"/>
      <c r="E384" s="11">
        <f>(E339-C339)/C339</f>
        <v>0.732</v>
      </c>
      <c r="F384" s="10"/>
      <c r="G384" s="11">
        <f>(G339-E339)/E339</f>
        <v>-0.086</v>
      </c>
      <c r="H384" s="10"/>
      <c r="I384" s="11">
        <f>(I339-G339)/G339</f>
        <v>-0.123</v>
      </c>
      <c r="J384" s="10"/>
      <c r="K384" s="11">
        <f>(K339-I339)/I339</f>
        <v>0.155</v>
      </c>
      <c r="L384" s="10"/>
      <c r="M384" s="11">
        <f>(M339-K339)/K339</f>
        <v>0.163</v>
      </c>
      <c r="N384" s="10"/>
      <c r="O384" s="11">
        <f>(O339-M339)/M339</f>
        <v>0.019</v>
      </c>
      <c r="P384" s="10"/>
      <c r="Q384" s="11">
        <f>(Q339-O339)/O339</f>
        <v>-0.056</v>
      </c>
      <c r="R384" s="10"/>
      <c r="S384" s="11">
        <f>(S339-Q339)/Q339</f>
        <v>-0.017</v>
      </c>
      <c r="T384" s="10"/>
      <c r="U384" s="11">
        <f>(U339-S339)/S339</f>
        <v>0.014</v>
      </c>
      <c r="V384" s="10"/>
      <c r="W384" s="11">
        <f>(W339-U339)/U339</f>
        <v>0.015</v>
      </c>
      <c r="X384" s="10"/>
      <c r="Y384" s="11">
        <f>(Y339-W339)/W339</f>
        <v>-0.067</v>
      </c>
      <c r="Z384" s="10"/>
    </row>
    <row r="385" spans="2:26" ht="11.25" customHeight="1">
      <c r="B385" s="2"/>
      <c r="C385" s="10"/>
      <c r="D385" s="10"/>
      <c r="E385" s="10"/>
      <c r="F385" s="10"/>
      <c r="G385" s="11"/>
      <c r="H385" s="10"/>
      <c r="I385" s="11"/>
      <c r="J385" s="10"/>
      <c r="K385" s="11"/>
      <c r="L385" s="10"/>
      <c r="M385" s="11"/>
      <c r="N385" s="10"/>
      <c r="O385" s="11"/>
      <c r="P385" s="10"/>
      <c r="Q385" s="11"/>
      <c r="R385" s="10"/>
      <c r="S385" s="11"/>
      <c r="T385" s="10"/>
      <c r="U385" s="11"/>
      <c r="V385" s="10"/>
      <c r="W385" s="11"/>
      <c r="X385" s="10"/>
      <c r="Y385" s="11"/>
      <c r="Z385" s="10"/>
    </row>
    <row r="386" spans="1:26" ht="11.25" customHeight="1">
      <c r="A386" s="115" t="s">
        <v>23</v>
      </c>
      <c r="B386" s="2"/>
      <c r="C386" s="10"/>
      <c r="D386" s="10"/>
      <c r="E386" s="10"/>
      <c r="F386" s="10"/>
      <c r="G386" s="11"/>
      <c r="H386" s="10"/>
      <c r="I386" s="11">
        <f>(I341-G341)/G341</f>
        <v>2.359</v>
      </c>
      <c r="J386" s="10"/>
      <c r="K386" s="11">
        <f>(K341-I341)/I341</f>
        <v>0.574</v>
      </c>
      <c r="L386" s="10"/>
      <c r="M386" s="11">
        <f>(M341-K341)/K341</f>
        <v>0.079</v>
      </c>
      <c r="N386" s="10"/>
      <c r="O386" s="11">
        <f>(O341-M341)/M341</f>
        <v>0.019</v>
      </c>
      <c r="P386" s="10"/>
      <c r="Q386" s="11">
        <f>(Q341-O341)/O341</f>
        <v>0.125</v>
      </c>
      <c r="R386" s="10"/>
      <c r="S386" s="11">
        <f>(S341-Q341)/Q341</f>
        <v>0.061</v>
      </c>
      <c r="T386" s="10"/>
      <c r="U386" s="11">
        <f>(U341-S341)/S341</f>
        <v>0.017</v>
      </c>
      <c r="V386" s="10"/>
      <c r="W386" s="11">
        <f>(W341-U341)/U341</f>
        <v>0.068</v>
      </c>
      <c r="X386" s="10"/>
      <c r="Y386" s="11">
        <f>(Y341-W341)/W341</f>
        <v>0.068</v>
      </c>
      <c r="Z386" s="10"/>
    </row>
    <row r="387" spans="2:26" ht="11.25" customHeight="1">
      <c r="B387" s="2"/>
      <c r="C387" s="10"/>
      <c r="D387" s="10"/>
      <c r="E387" s="10"/>
      <c r="F387" s="10"/>
      <c r="G387" s="11"/>
      <c r="H387" s="10"/>
      <c r="I387" s="11"/>
      <c r="J387" s="10"/>
      <c r="K387" s="11"/>
      <c r="L387" s="10"/>
      <c r="M387" s="11"/>
      <c r="N387" s="10"/>
      <c r="O387" s="11"/>
      <c r="P387" s="10"/>
      <c r="Q387" s="11"/>
      <c r="R387" s="10"/>
      <c r="S387" s="11"/>
      <c r="T387" s="10"/>
      <c r="U387" s="11"/>
      <c r="V387" s="10"/>
      <c r="W387" s="11"/>
      <c r="X387" s="10"/>
      <c r="Y387" s="11"/>
      <c r="Z387" s="10"/>
    </row>
    <row r="388" spans="1:26" ht="11.25" customHeight="1">
      <c r="A388" s="115" t="s">
        <v>24</v>
      </c>
      <c r="B388" s="2"/>
      <c r="C388" s="10"/>
      <c r="D388" s="10"/>
      <c r="E388" s="10"/>
      <c r="F388" s="10"/>
      <c r="G388" s="11"/>
      <c r="H388" s="10"/>
      <c r="I388" s="11"/>
      <c r="J388" s="10"/>
      <c r="K388" s="11"/>
      <c r="L388" s="10"/>
      <c r="M388" s="11"/>
      <c r="N388" s="10"/>
      <c r="O388" s="11"/>
      <c r="P388" s="10"/>
      <c r="Q388" s="11"/>
      <c r="R388" s="10"/>
      <c r="S388" s="11"/>
      <c r="T388" s="10"/>
      <c r="U388" s="11"/>
      <c r="V388" s="10"/>
      <c r="W388" s="11">
        <f>(W343-U343)/U343</f>
        <v>0.424</v>
      </c>
      <c r="X388" s="10"/>
      <c r="Y388" s="11">
        <f>(Y343-W343)/W343</f>
        <v>0.243</v>
      </c>
      <c r="Z388" s="10"/>
    </row>
    <row r="389" spans="2:26" ht="11.25" customHeight="1">
      <c r="B389" s="2"/>
      <c r="C389" s="10"/>
      <c r="D389" s="10"/>
      <c r="E389" s="10"/>
      <c r="F389" s="10"/>
      <c r="G389" s="11"/>
      <c r="H389" s="10"/>
      <c r="I389" s="11"/>
      <c r="J389" s="10"/>
      <c r="K389" s="11"/>
      <c r="L389" s="10"/>
      <c r="M389" s="11"/>
      <c r="N389" s="10"/>
      <c r="O389" s="11"/>
      <c r="P389" s="10"/>
      <c r="Q389" s="11"/>
      <c r="R389" s="10"/>
      <c r="S389" s="11"/>
      <c r="T389" s="10"/>
      <c r="U389" s="11"/>
      <c r="V389" s="10"/>
      <c r="W389" s="11"/>
      <c r="X389" s="10"/>
      <c r="Y389" s="11"/>
      <c r="Z389" s="10"/>
    </row>
    <row r="390" spans="1:26" ht="11.25" customHeight="1">
      <c r="A390" s="131" t="s">
        <v>25</v>
      </c>
      <c r="B390" s="2"/>
      <c r="C390" s="10"/>
      <c r="D390" s="10"/>
      <c r="E390" s="10"/>
      <c r="F390" s="10"/>
      <c r="G390" s="11"/>
      <c r="H390" s="10"/>
      <c r="I390" s="11"/>
      <c r="J390" s="10"/>
      <c r="K390" s="11">
        <f>(K345-I345)/I345</f>
        <v>12.652</v>
      </c>
      <c r="L390" s="10"/>
      <c r="M390" s="11">
        <f>(M345-K345)/K345</f>
        <v>0.334</v>
      </c>
      <c r="N390" s="10"/>
      <c r="O390" s="11">
        <f>(O345-M345)/M345</f>
        <v>0.115</v>
      </c>
      <c r="P390" s="10"/>
      <c r="Q390" s="11">
        <f>(Q345-O345)/O345</f>
        <v>-0.045</v>
      </c>
      <c r="R390" s="10"/>
      <c r="S390" s="11">
        <f>(S345-Q345)/Q345</f>
        <v>0.018</v>
      </c>
      <c r="T390" s="10"/>
      <c r="U390" s="11">
        <f>(U345-S345)/S345</f>
        <v>-0.022</v>
      </c>
      <c r="V390" s="10"/>
      <c r="W390" s="11">
        <f>(W345-U345)/U345</f>
        <v>0.101</v>
      </c>
      <c r="X390" s="10"/>
      <c r="Y390" s="11">
        <f>(Y345-W345)/W345</f>
        <v>0.229</v>
      </c>
      <c r="Z390" s="10"/>
    </row>
    <row r="391" spans="1:26" ht="11.25" customHeight="1">
      <c r="A391" s="2"/>
      <c r="B391" s="2"/>
      <c r="C391" s="10"/>
      <c r="D391" s="10"/>
      <c r="E391" s="10"/>
      <c r="F391" s="10"/>
      <c r="G391" s="11"/>
      <c r="H391" s="10"/>
      <c r="I391" s="11"/>
      <c r="J391" s="10"/>
      <c r="K391" s="11"/>
      <c r="L391" s="10"/>
      <c r="M391" s="11"/>
      <c r="N391" s="10"/>
      <c r="O391" s="11"/>
      <c r="P391" s="10"/>
      <c r="Q391" s="11"/>
      <c r="R391" s="10"/>
      <c r="S391" s="11"/>
      <c r="T391" s="10"/>
      <c r="U391" s="11"/>
      <c r="V391" s="10"/>
      <c r="W391" s="11"/>
      <c r="X391" s="10"/>
      <c r="Y391" s="11"/>
      <c r="Z391" s="10"/>
    </row>
    <row r="392" spans="1:26" ht="11.25" customHeight="1">
      <c r="A392" s="1" t="s">
        <v>45</v>
      </c>
      <c r="B392" s="2"/>
      <c r="C392" s="10"/>
      <c r="D392" s="10"/>
      <c r="E392" s="10"/>
      <c r="F392" s="10"/>
      <c r="G392" s="11"/>
      <c r="H392" s="10"/>
      <c r="I392" s="11"/>
      <c r="J392" s="10"/>
      <c r="K392" s="11"/>
      <c r="L392" s="10"/>
      <c r="M392" s="11"/>
      <c r="N392" s="10"/>
      <c r="O392" s="11"/>
      <c r="P392" s="10"/>
      <c r="Q392" s="11"/>
      <c r="R392" s="10"/>
      <c r="S392" s="11">
        <f>(S347-Q347)/Q347</f>
        <v>0.957</v>
      </c>
      <c r="T392" s="10"/>
      <c r="U392" s="11">
        <f>(U347-S347)/S347</f>
        <v>0.067</v>
      </c>
      <c r="V392" s="10"/>
      <c r="W392" s="11">
        <f>(W347-U347)/U347</f>
        <v>0.034</v>
      </c>
      <c r="X392" s="10"/>
      <c r="Y392" s="11">
        <f>(Y347-W347)/W347</f>
        <v>0.066</v>
      </c>
      <c r="Z392" s="10"/>
    </row>
    <row r="393" spans="1:26" ht="11.25" customHeight="1">
      <c r="A393" s="2"/>
      <c r="B393" s="2"/>
      <c r="C393" s="10"/>
      <c r="D393" s="10"/>
      <c r="E393" s="10"/>
      <c r="F393" s="10"/>
      <c r="G393" s="11"/>
      <c r="H393" s="10"/>
      <c r="I393" s="11"/>
      <c r="J393" s="10"/>
      <c r="K393" s="11"/>
      <c r="L393" s="10"/>
      <c r="M393" s="11"/>
      <c r="N393" s="10"/>
      <c r="O393" s="11"/>
      <c r="P393" s="10"/>
      <c r="Q393" s="11"/>
      <c r="R393" s="10"/>
      <c r="S393" s="11"/>
      <c r="T393" s="10"/>
      <c r="U393" s="11"/>
      <c r="V393" s="10"/>
      <c r="W393" s="11"/>
      <c r="X393" s="10"/>
      <c r="Y393" s="11"/>
      <c r="Z393" s="10"/>
    </row>
    <row r="394" spans="1:26" ht="11.25" customHeight="1">
      <c r="A394" s="1" t="s">
        <v>26</v>
      </c>
      <c r="B394" s="2"/>
      <c r="C394" s="10"/>
      <c r="D394" s="10"/>
      <c r="E394" s="10"/>
      <c r="F394" s="10"/>
      <c r="G394" s="11"/>
      <c r="H394" s="10"/>
      <c r="I394" s="11"/>
      <c r="J394" s="10"/>
      <c r="K394" s="11"/>
      <c r="L394" s="10"/>
      <c r="M394" s="11"/>
      <c r="N394" s="10"/>
      <c r="O394" s="11"/>
      <c r="P394" s="10"/>
      <c r="Q394" s="11">
        <f>(Q349-O349)/O349</f>
        <v>0.629</v>
      </c>
      <c r="R394" s="10"/>
      <c r="S394" s="11">
        <f>(S349-Q349)/Q349</f>
        <v>0.08</v>
      </c>
      <c r="T394" s="10"/>
      <c r="U394" s="11">
        <f>(U349-S349)/S349</f>
        <v>0.118</v>
      </c>
      <c r="V394" s="10"/>
      <c r="W394" s="11">
        <f>(W349-U349)/U349</f>
        <v>0.23</v>
      </c>
      <c r="X394" s="10"/>
      <c r="Y394" s="11">
        <f>(Y349-W349)/W349</f>
        <v>0.019</v>
      </c>
      <c r="Z394" s="10"/>
    </row>
    <row r="395" spans="1:34" ht="11.25" customHeight="1">
      <c r="A395" s="2"/>
      <c r="B395" s="2"/>
      <c r="C395" s="62"/>
      <c r="D395" s="57"/>
      <c r="E395" s="62"/>
      <c r="F395" s="57"/>
      <c r="G395" s="11"/>
      <c r="H395" s="57"/>
      <c r="I395" s="11"/>
      <c r="J395" s="57"/>
      <c r="K395" s="11"/>
      <c r="L395" s="57"/>
      <c r="M395" s="11"/>
      <c r="N395" s="57"/>
      <c r="O395" s="11"/>
      <c r="P395" s="57"/>
      <c r="Q395" s="11"/>
      <c r="R395" s="57"/>
      <c r="S395" s="11"/>
      <c r="T395" s="57"/>
      <c r="U395" s="11"/>
      <c r="V395" s="57"/>
      <c r="W395" s="11"/>
      <c r="X395" s="57"/>
      <c r="Y395" s="11"/>
      <c r="Z395" s="57"/>
      <c r="AA395" s="142"/>
      <c r="AB395" s="142"/>
      <c r="AC395" s="142"/>
      <c r="AD395" s="142"/>
      <c r="AE395" s="142"/>
      <c r="AF395" s="142"/>
      <c r="AG395" s="142"/>
      <c r="AH395" s="142"/>
    </row>
    <row r="396" spans="1:34" ht="11.25" customHeight="1">
      <c r="A396" s="115" t="s">
        <v>38</v>
      </c>
      <c r="B396" s="2"/>
      <c r="C396" s="104"/>
      <c r="D396" s="57"/>
      <c r="E396" s="11">
        <f>(E351-C351)/C351</f>
        <v>1.421</v>
      </c>
      <c r="F396" s="89"/>
      <c r="G396" s="11">
        <f>(G351-E351)/E351</f>
        <v>0.979</v>
      </c>
      <c r="H396" s="89"/>
      <c r="I396" s="11">
        <f>(I351-G351)/G351</f>
        <v>0.702</v>
      </c>
      <c r="J396" s="89"/>
      <c r="K396" s="11">
        <f>(K351-I351)/I351</f>
        <v>0.358</v>
      </c>
      <c r="L396" s="89"/>
      <c r="M396" s="11">
        <f>(M351-K351)/K351</f>
        <v>0.186</v>
      </c>
      <c r="N396" s="89"/>
      <c r="O396" s="11">
        <f>(O351-M351)/M351</f>
        <v>0.066</v>
      </c>
      <c r="P396" s="89" t="s">
        <v>16</v>
      </c>
      <c r="Q396" s="11">
        <f>(Q351-O351)/O351</f>
        <v>0.136</v>
      </c>
      <c r="R396" s="89"/>
      <c r="S396" s="11">
        <f>(S351-Q351)/Q351</f>
        <v>0.07</v>
      </c>
      <c r="T396" s="89"/>
      <c r="U396" s="11">
        <f>(U351-S351)/S351</f>
        <v>0.095</v>
      </c>
      <c r="V396" s="89"/>
      <c r="W396" s="11">
        <f>(W351-U351)/U351</f>
        <v>0.095</v>
      </c>
      <c r="X396" s="89"/>
      <c r="Y396" s="11">
        <f>(Y351-W351)/W351</f>
        <v>0.026</v>
      </c>
      <c r="Z396" s="89"/>
      <c r="AA396" s="142"/>
      <c r="AB396" s="142"/>
      <c r="AC396" s="142"/>
      <c r="AD396" s="142"/>
      <c r="AE396" s="142"/>
      <c r="AF396" s="142"/>
      <c r="AG396" s="142"/>
      <c r="AH396" s="142"/>
    </row>
    <row r="397" spans="1:34" ht="11.25" customHeight="1">
      <c r="A397" s="2"/>
      <c r="B397" s="2"/>
      <c r="C397" s="62"/>
      <c r="D397" s="57"/>
      <c r="E397" s="62"/>
      <c r="F397" s="57"/>
      <c r="G397" s="62"/>
      <c r="H397" s="57"/>
      <c r="I397" s="62"/>
      <c r="J397" s="57"/>
      <c r="K397" s="62"/>
      <c r="L397" s="57"/>
      <c r="M397" s="62"/>
      <c r="N397" s="57"/>
      <c r="O397" s="62"/>
      <c r="P397" s="57"/>
      <c r="Q397" s="62"/>
      <c r="R397" s="57"/>
      <c r="S397" s="62"/>
      <c r="T397" s="57"/>
      <c r="U397" s="62"/>
      <c r="V397" s="57"/>
      <c r="W397" s="62"/>
      <c r="X397" s="57"/>
      <c r="Y397" s="62"/>
      <c r="Z397" s="57"/>
      <c r="AA397" s="142"/>
      <c r="AB397" s="142"/>
      <c r="AC397" s="142"/>
      <c r="AD397" s="142"/>
      <c r="AE397" s="142"/>
      <c r="AF397" s="142"/>
      <c r="AG397" s="142"/>
      <c r="AH397" s="142"/>
    </row>
    <row r="398" spans="1:26" ht="11.25" customHeight="1">
      <c r="A398" s="28" t="s">
        <v>48</v>
      </c>
      <c r="C398" s="7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1.25" customHeight="1">
      <c r="A399" s="123" t="s">
        <v>94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2:26" ht="11.25" customHeight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1.25" customHeight="1">
      <c r="A401" s="29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5" ht="11.25" customHeight="1">
      <c r="A402" s="131" t="s">
        <v>0</v>
      </c>
      <c r="E402" s="139"/>
    </row>
    <row r="403" ht="11.25" customHeight="1">
      <c r="A403" s="115" t="s">
        <v>66</v>
      </c>
    </row>
    <row r="404" spans="1:7" ht="11.25" customHeight="1">
      <c r="A404" s="119" t="str">
        <f>A3</f>
        <v>1978-1989</v>
      </c>
      <c r="B404" s="140"/>
      <c r="C404" s="140"/>
      <c r="D404" s="140"/>
      <c r="E404" s="140"/>
      <c r="F404" s="140"/>
      <c r="G404" s="140"/>
    </row>
    <row r="405" spans="1:3" ht="11.25" customHeight="1">
      <c r="A405" s="115"/>
      <c r="B405" s="126"/>
      <c r="C405" s="115"/>
    </row>
    <row r="406" ht="11.25" customHeight="1">
      <c r="A406"/>
    </row>
    <row r="407" ht="11.25" customHeight="1">
      <c r="A407" s="123"/>
    </row>
    <row r="408" spans="3:25" ht="11.25" customHeight="1">
      <c r="C408" s="124" t="s">
        <v>3</v>
      </c>
      <c r="E408" s="124" t="s">
        <v>4</v>
      </c>
      <c r="G408" s="124" t="s">
        <v>5</v>
      </c>
      <c r="I408" s="124" t="s">
        <v>6</v>
      </c>
      <c r="K408" s="124" t="s">
        <v>7</v>
      </c>
      <c r="M408" s="124" t="s">
        <v>8</v>
      </c>
      <c r="O408" s="124" t="s">
        <v>9</v>
      </c>
      <c r="Q408" s="124" t="s">
        <v>10</v>
      </c>
      <c r="S408" s="124" t="s">
        <v>11</v>
      </c>
      <c r="U408" s="124" t="s">
        <v>12</v>
      </c>
      <c r="W408" s="124" t="s">
        <v>13</v>
      </c>
      <c r="Y408" s="124" t="s">
        <v>14</v>
      </c>
    </row>
    <row r="410" spans="1:26" ht="11.25" customHeight="1">
      <c r="A410" s="115" t="s">
        <v>15</v>
      </c>
      <c r="C410" s="137"/>
      <c r="D410" s="137"/>
      <c r="E410" s="17"/>
      <c r="F410" s="137"/>
      <c r="G410" s="17"/>
      <c r="H410" s="137"/>
      <c r="I410" s="17">
        <f>I327/I10</f>
        <v>0.826</v>
      </c>
      <c r="J410" s="14"/>
      <c r="K410" s="17">
        <f>K327/K10</f>
        <v>0.85</v>
      </c>
      <c r="L410" s="14"/>
      <c r="M410" s="17">
        <f>M327/M10</f>
        <v>0.858</v>
      </c>
      <c r="N410" s="14"/>
      <c r="O410" s="17">
        <f>O327/O10</f>
        <v>0.875</v>
      </c>
      <c r="P410" s="14"/>
      <c r="Q410" s="17">
        <f>Q327/Q10</f>
        <v>0.888</v>
      </c>
      <c r="R410" s="14"/>
      <c r="S410" s="17">
        <f>S327/S10</f>
        <v>0.847</v>
      </c>
      <c r="T410" s="14"/>
      <c r="U410" s="17">
        <f>U327/U10</f>
        <v>0.827</v>
      </c>
      <c r="V410" s="14"/>
      <c r="W410" s="17">
        <f>W327/W10</f>
        <v>0.846</v>
      </c>
      <c r="X410" s="14"/>
      <c r="Y410" s="17">
        <f>Y327/Y10</f>
        <v>0.827</v>
      </c>
      <c r="Z410" s="15" t="s">
        <v>46</v>
      </c>
    </row>
    <row r="411" spans="5:25" ht="11.25" customHeight="1">
      <c r="E411" s="17"/>
      <c r="G411" s="17"/>
      <c r="I411" s="17"/>
      <c r="K411" s="17"/>
      <c r="M411" s="17"/>
      <c r="O411" s="17"/>
      <c r="Q411" s="17"/>
      <c r="S411" s="17"/>
      <c r="U411" s="17"/>
      <c r="W411" s="17"/>
      <c r="Y411" s="17"/>
    </row>
    <row r="412" spans="1:26" ht="11.25" customHeight="1">
      <c r="A412" s="131" t="s">
        <v>17</v>
      </c>
      <c r="C412" s="14"/>
      <c r="D412" s="14"/>
      <c r="E412" s="17"/>
      <c r="F412" s="14"/>
      <c r="G412" s="17">
        <f>G329/G12</f>
        <v>0.844</v>
      </c>
      <c r="H412" s="14"/>
      <c r="I412" s="17">
        <f>I329/I12</f>
        <v>0.856</v>
      </c>
      <c r="J412" s="14"/>
      <c r="K412" s="17">
        <f>K329/K12</f>
        <v>0.871</v>
      </c>
      <c r="L412" s="14"/>
      <c r="M412" s="17">
        <f>M329/M12</f>
        <v>0.9</v>
      </c>
      <c r="N412" s="14"/>
      <c r="O412" s="17">
        <f>O329/O12</f>
        <v>0.908</v>
      </c>
      <c r="P412" s="15" t="s">
        <v>16</v>
      </c>
      <c r="Q412" s="17">
        <f>Q329/Q12</f>
        <v>0.915</v>
      </c>
      <c r="R412" s="14"/>
      <c r="S412" s="17">
        <f>S329/S12</f>
        <v>0.91</v>
      </c>
      <c r="T412" s="14"/>
      <c r="U412" s="17">
        <f>U329/U12</f>
        <v>0.904</v>
      </c>
      <c r="V412" s="14"/>
      <c r="W412" s="17">
        <f>W329/W12</f>
        <v>0.904</v>
      </c>
      <c r="X412" s="14"/>
      <c r="Y412" s="17">
        <f>Y329/Y12</f>
        <v>0.888</v>
      </c>
      <c r="Z412" s="14"/>
    </row>
    <row r="413" spans="3:26" ht="11.25" customHeight="1">
      <c r="C413" s="14"/>
      <c r="D413" s="14"/>
      <c r="E413" s="17"/>
      <c r="F413" s="14"/>
      <c r="G413" s="17"/>
      <c r="H413" s="14"/>
      <c r="I413" s="17"/>
      <c r="J413" s="14"/>
      <c r="K413" s="17"/>
      <c r="L413" s="14"/>
      <c r="M413" s="17"/>
      <c r="N413" s="14"/>
      <c r="O413" s="17"/>
      <c r="P413" s="14"/>
      <c r="Q413" s="17"/>
      <c r="R413" s="14"/>
      <c r="S413" s="17"/>
      <c r="T413" s="14"/>
      <c r="U413" s="17"/>
      <c r="V413" s="14"/>
      <c r="W413" s="17"/>
      <c r="X413" s="14"/>
      <c r="Y413" s="17"/>
      <c r="Z413" s="14"/>
    </row>
    <row r="414" spans="1:26" ht="11.25" customHeight="1">
      <c r="A414" s="115" t="s">
        <v>18</v>
      </c>
      <c r="C414" s="46"/>
      <c r="D414" s="14"/>
      <c r="E414" s="17">
        <f>E331/E14</f>
        <v>0.582</v>
      </c>
      <c r="F414" s="14"/>
      <c r="G414" s="17">
        <f>G331/G14</f>
        <v>0.871</v>
      </c>
      <c r="H414" s="14"/>
      <c r="I414" s="17">
        <f>I331/I14</f>
        <v>0.877</v>
      </c>
      <c r="J414" s="14"/>
      <c r="K414" s="17">
        <f>K331/K14</f>
        <v>0.877</v>
      </c>
      <c r="L414" s="14"/>
      <c r="M414" s="17">
        <f>M331/M14</f>
        <v>0.874</v>
      </c>
      <c r="N414" s="14"/>
      <c r="O414" s="17">
        <f>O331/O14</f>
        <v>0.876</v>
      </c>
      <c r="P414" s="14"/>
      <c r="Q414" s="17">
        <f>Q331/Q14</f>
        <v>0.878</v>
      </c>
      <c r="R414" s="14"/>
      <c r="S414" s="17">
        <f>S331/S14</f>
        <v>0.882</v>
      </c>
      <c r="T414" s="14"/>
      <c r="U414" s="17">
        <f>U331/U14</f>
        <v>0.882</v>
      </c>
      <c r="V414" s="14"/>
      <c r="W414" s="17">
        <f>W331/W14</f>
        <v>0.892</v>
      </c>
      <c r="X414" s="14"/>
      <c r="Y414" s="17">
        <f>Y331/Y14</f>
        <v>0.861</v>
      </c>
      <c r="Z414" s="14"/>
    </row>
    <row r="415" spans="3:26" ht="11.25" customHeight="1">
      <c r="C415" s="14"/>
      <c r="D415" s="14"/>
      <c r="E415" s="17"/>
      <c r="F415" s="14"/>
      <c r="G415" s="17"/>
      <c r="H415" s="14"/>
      <c r="I415" s="17"/>
      <c r="J415" s="14"/>
      <c r="K415" s="17"/>
      <c r="L415" s="14"/>
      <c r="M415" s="17"/>
      <c r="N415" s="14"/>
      <c r="O415" s="17"/>
      <c r="P415" s="14"/>
      <c r="Q415" s="17"/>
      <c r="R415" s="14"/>
      <c r="S415" s="17"/>
      <c r="T415" s="14"/>
      <c r="U415" s="17"/>
      <c r="V415" s="14"/>
      <c r="W415" s="17"/>
      <c r="X415" s="14"/>
      <c r="Y415" s="17"/>
      <c r="Z415" s="14"/>
    </row>
    <row r="416" spans="1:26" ht="11.25" customHeight="1">
      <c r="A416" s="115" t="s">
        <v>19</v>
      </c>
      <c r="C416" s="46"/>
      <c r="D416" s="14"/>
      <c r="E416" s="17">
        <f>E333/E16</f>
        <v>0.855</v>
      </c>
      <c r="F416" s="14"/>
      <c r="G416" s="17">
        <f>G333/G16</f>
        <v>0.882</v>
      </c>
      <c r="H416" s="14"/>
      <c r="I416" s="17">
        <f>I333/I16</f>
        <v>0.883</v>
      </c>
      <c r="J416" s="14"/>
      <c r="K416" s="17">
        <f>K333/K16</f>
        <v>0.889</v>
      </c>
      <c r="L416" s="14"/>
      <c r="M416" s="17">
        <f>M333/M16</f>
        <v>0.888</v>
      </c>
      <c r="N416" s="14"/>
      <c r="O416" s="17">
        <f>O333/O16</f>
        <v>0.886</v>
      </c>
      <c r="P416" s="14"/>
      <c r="Q416" s="17">
        <f>Q333/Q16</f>
        <v>0.882</v>
      </c>
      <c r="R416" s="14"/>
      <c r="S416" s="17">
        <f>S333/S16</f>
        <v>0.889</v>
      </c>
      <c r="T416" s="14"/>
      <c r="U416" s="17">
        <f>U333/U16</f>
        <v>0.899</v>
      </c>
      <c r="V416" s="14"/>
      <c r="W416" s="17">
        <f>W333/W16</f>
        <v>0.907</v>
      </c>
      <c r="X416" s="14"/>
      <c r="Y416" s="17">
        <f>Y333/Y16</f>
        <v>0.911</v>
      </c>
      <c r="Z416" s="14"/>
    </row>
    <row r="417" spans="3:26" ht="11.25" customHeight="1">
      <c r="C417" s="14"/>
      <c r="D417" s="14"/>
      <c r="E417" s="17"/>
      <c r="F417" s="14"/>
      <c r="G417" s="17"/>
      <c r="H417" s="14"/>
      <c r="I417" s="17"/>
      <c r="J417" s="14"/>
      <c r="K417" s="17"/>
      <c r="L417" s="14"/>
      <c r="M417" s="17"/>
      <c r="N417" s="14"/>
      <c r="O417" s="17"/>
      <c r="P417" s="14"/>
      <c r="Q417" s="17"/>
      <c r="R417" s="14"/>
      <c r="S417" s="17"/>
      <c r="T417" s="14"/>
      <c r="U417" s="17"/>
      <c r="V417" s="14"/>
      <c r="W417" s="17"/>
      <c r="X417" s="14"/>
      <c r="Y417" s="17"/>
      <c r="Z417" s="14"/>
    </row>
    <row r="418" spans="1:26" ht="11.25" customHeight="1">
      <c r="A418" s="131" t="s">
        <v>52</v>
      </c>
      <c r="C418" s="14"/>
      <c r="D418" s="14"/>
      <c r="E418" s="17"/>
      <c r="F418" s="14"/>
      <c r="G418" s="17"/>
      <c r="H418" s="14"/>
      <c r="I418" s="17">
        <f>I335/I18</f>
        <v>0.802</v>
      </c>
      <c r="J418" s="14"/>
      <c r="K418" s="17">
        <f>K335/K18</f>
        <v>0.828</v>
      </c>
      <c r="L418" s="14"/>
      <c r="M418" s="17">
        <f>M335/M18</f>
        <v>0.856</v>
      </c>
      <c r="N418" s="15"/>
      <c r="O418" s="17">
        <f>O335/O18</f>
        <v>0.851</v>
      </c>
      <c r="P418" s="14"/>
      <c r="Q418" s="17">
        <f>Q335/Q18</f>
        <v>0.846</v>
      </c>
      <c r="R418" s="14"/>
      <c r="S418" s="17">
        <f>S335/S18</f>
        <v>0.863</v>
      </c>
      <c r="T418" s="14"/>
      <c r="U418" s="17">
        <f>U335/U18</f>
        <v>0.865</v>
      </c>
      <c r="V418" s="14"/>
      <c r="W418" s="17">
        <f>W335/W18</f>
        <v>0.875</v>
      </c>
      <c r="X418" s="14"/>
      <c r="Y418" s="17">
        <f>Y335/Y18</f>
        <v>0.862</v>
      </c>
      <c r="Z418" s="14"/>
    </row>
    <row r="419" spans="3:26" ht="11.25" customHeight="1">
      <c r="C419" s="14"/>
      <c r="D419" s="14"/>
      <c r="E419" s="17"/>
      <c r="F419" s="14"/>
      <c r="G419" s="17"/>
      <c r="H419" s="14"/>
      <c r="I419" s="17"/>
      <c r="J419" s="14"/>
      <c r="K419" s="17"/>
      <c r="L419" s="14"/>
      <c r="M419" s="17"/>
      <c r="N419" s="14"/>
      <c r="O419" s="17"/>
      <c r="P419" s="14"/>
      <c r="Q419" s="17"/>
      <c r="R419" s="14"/>
      <c r="S419" s="17"/>
      <c r="T419" s="14"/>
      <c r="U419" s="17"/>
      <c r="V419" s="14"/>
      <c r="W419" s="17"/>
      <c r="X419" s="14"/>
      <c r="Y419" s="17"/>
      <c r="Z419" s="14"/>
    </row>
    <row r="420" spans="1:26" ht="11.25" customHeight="1">
      <c r="A420" s="115" t="s">
        <v>21</v>
      </c>
      <c r="C420" s="14"/>
      <c r="D420" s="14"/>
      <c r="E420" s="17"/>
      <c r="F420" s="14"/>
      <c r="G420" s="17">
        <f>G337/G20</f>
        <v>0.813</v>
      </c>
      <c r="H420" s="14"/>
      <c r="I420" s="17">
        <f>I337/I20</f>
        <v>0.849</v>
      </c>
      <c r="J420" s="14"/>
      <c r="K420" s="17">
        <f>K337/K20</f>
        <v>0.863</v>
      </c>
      <c r="L420" s="14"/>
      <c r="M420" s="17">
        <f>M337/M20</f>
        <v>0.869</v>
      </c>
      <c r="N420" s="14"/>
      <c r="O420" s="17">
        <f>O337/O20</f>
        <v>0.863</v>
      </c>
      <c r="P420" s="14"/>
      <c r="Q420" s="17">
        <f>Q337/Q20</f>
        <v>0.88</v>
      </c>
      <c r="R420" s="14"/>
      <c r="S420" s="17">
        <f>S337/S20</f>
        <v>0.865</v>
      </c>
      <c r="T420" s="14"/>
      <c r="U420" s="17">
        <f>U337/U20</f>
        <v>0.875</v>
      </c>
      <c r="V420" s="14"/>
      <c r="W420" s="17">
        <f>W337/W20</f>
        <v>0.893</v>
      </c>
      <c r="X420" s="14"/>
      <c r="Y420" s="17">
        <f>Y337/Y20</f>
        <v>0.894</v>
      </c>
      <c r="Z420" s="14"/>
    </row>
    <row r="421" spans="3:26" ht="11.25" customHeight="1">
      <c r="C421" s="14"/>
      <c r="D421" s="14"/>
      <c r="E421" s="17"/>
      <c r="F421" s="14"/>
      <c r="G421" s="17"/>
      <c r="H421" s="14"/>
      <c r="I421" s="17"/>
      <c r="J421" s="14"/>
      <c r="K421" s="17"/>
      <c r="L421" s="14"/>
      <c r="M421" s="17"/>
      <c r="N421" s="14"/>
      <c r="O421" s="17"/>
      <c r="P421" s="14"/>
      <c r="Q421" s="17"/>
      <c r="R421" s="14"/>
      <c r="S421" s="17"/>
      <c r="T421" s="14"/>
      <c r="U421" s="17"/>
      <c r="V421" s="14"/>
      <c r="W421" s="17"/>
      <c r="X421" s="14"/>
      <c r="Y421" s="17"/>
      <c r="Z421" s="14"/>
    </row>
    <row r="422" spans="1:26" ht="11.25" customHeight="1">
      <c r="A422" s="115" t="s">
        <v>22</v>
      </c>
      <c r="C422" s="17">
        <f>C339/C22</f>
        <v>0.86</v>
      </c>
      <c r="D422" s="14"/>
      <c r="E422" s="17">
        <f>E339/E22</f>
        <v>0.877</v>
      </c>
      <c r="F422" s="15"/>
      <c r="G422" s="17">
        <f>G339/G22</f>
        <v>0.847</v>
      </c>
      <c r="H422" s="15"/>
      <c r="I422" s="17">
        <f>I339/I22</f>
        <v>0.824</v>
      </c>
      <c r="J422" s="15"/>
      <c r="K422" s="17">
        <f>K339/K22</f>
        <v>0.85</v>
      </c>
      <c r="L422" s="14"/>
      <c r="M422" s="17">
        <f>M339/M22</f>
        <v>0.863</v>
      </c>
      <c r="N422" s="14"/>
      <c r="O422" s="17">
        <f>O339/O22</f>
        <v>0.877</v>
      </c>
      <c r="P422" s="14"/>
      <c r="Q422" s="17">
        <f>Q339/Q22</f>
        <v>0.883</v>
      </c>
      <c r="R422" s="14"/>
      <c r="S422" s="17">
        <f>S339/S22</f>
        <v>0.887</v>
      </c>
      <c r="T422" s="14"/>
      <c r="U422" s="17">
        <f>U339/U22</f>
        <v>0.88</v>
      </c>
      <c r="V422" s="14"/>
      <c r="W422" s="17">
        <f>W339/W22</f>
        <v>0.888</v>
      </c>
      <c r="X422" s="14"/>
      <c r="Y422" s="17">
        <f>Y339/Y22</f>
        <v>0.891</v>
      </c>
      <c r="Z422" s="14"/>
    </row>
    <row r="423" spans="3:26" ht="11.25" customHeight="1">
      <c r="C423" s="14"/>
      <c r="D423" s="14"/>
      <c r="E423" s="17"/>
      <c r="F423" s="14"/>
      <c r="G423" s="17"/>
      <c r="H423" s="14"/>
      <c r="I423" s="17"/>
      <c r="J423" s="14"/>
      <c r="K423" s="17"/>
      <c r="L423" s="14"/>
      <c r="M423" s="17"/>
      <c r="N423" s="14"/>
      <c r="O423" s="17"/>
      <c r="P423" s="14"/>
      <c r="Q423" s="17"/>
      <c r="R423" s="14"/>
      <c r="S423" s="17"/>
      <c r="T423" s="14"/>
      <c r="U423" s="17"/>
      <c r="V423" s="14"/>
      <c r="W423" s="17"/>
      <c r="X423" s="14"/>
      <c r="Y423" s="17"/>
      <c r="Z423" s="14"/>
    </row>
    <row r="424" spans="1:26" ht="11.25" customHeight="1">
      <c r="A424" s="115" t="s">
        <v>23</v>
      </c>
      <c r="C424" s="14"/>
      <c r="D424" s="14"/>
      <c r="E424" s="17"/>
      <c r="F424" s="14"/>
      <c r="G424" s="17">
        <f>G341/G24</f>
        <v>0.813</v>
      </c>
      <c r="H424" s="14"/>
      <c r="I424" s="17">
        <f>I341/I24</f>
        <v>0.86</v>
      </c>
      <c r="J424" s="14"/>
      <c r="K424" s="17">
        <f>K341/K24</f>
        <v>0.883</v>
      </c>
      <c r="L424" s="14"/>
      <c r="M424" s="17">
        <f>M341/M24</f>
        <v>0.885</v>
      </c>
      <c r="N424" s="14"/>
      <c r="O424" s="17">
        <f>O341/O24</f>
        <v>0.908</v>
      </c>
      <c r="P424" s="14"/>
      <c r="Q424" s="17">
        <f>Q341/Q24</f>
        <v>0.922</v>
      </c>
      <c r="R424" s="14"/>
      <c r="S424" s="17">
        <f>S341/S24</f>
        <v>0.921</v>
      </c>
      <c r="T424" s="14"/>
      <c r="U424" s="17">
        <f>U341/U24</f>
        <v>0.917</v>
      </c>
      <c r="V424" s="14"/>
      <c r="W424" s="17">
        <f>W341/W24</f>
        <v>0.916</v>
      </c>
      <c r="X424" s="14"/>
      <c r="Y424" s="17">
        <f>Y341/Y24</f>
        <v>0.904</v>
      </c>
      <c r="Z424" s="14"/>
    </row>
    <row r="425" spans="3:26" ht="11.25" customHeight="1">
      <c r="C425" s="14"/>
      <c r="D425" s="14"/>
      <c r="E425" s="17"/>
      <c r="F425" s="14"/>
      <c r="G425" s="17"/>
      <c r="H425" s="14"/>
      <c r="I425" s="17"/>
      <c r="J425" s="14"/>
      <c r="K425" s="17"/>
      <c r="L425" s="14"/>
      <c r="M425" s="17"/>
      <c r="N425" s="14"/>
      <c r="O425" s="17"/>
      <c r="P425" s="14"/>
      <c r="Q425" s="17"/>
      <c r="R425" s="14"/>
      <c r="S425" s="17"/>
      <c r="T425" s="14"/>
      <c r="U425" s="17"/>
      <c r="V425" s="14"/>
      <c r="W425" s="17"/>
      <c r="X425" s="14"/>
      <c r="Y425" s="17"/>
      <c r="Z425" s="14"/>
    </row>
    <row r="426" spans="1:26" ht="11.25" customHeight="1">
      <c r="A426" s="115" t="s">
        <v>24</v>
      </c>
      <c r="C426" s="14"/>
      <c r="D426" s="14"/>
      <c r="E426" s="17"/>
      <c r="F426" s="14"/>
      <c r="G426" s="17"/>
      <c r="H426" s="14"/>
      <c r="I426" s="17"/>
      <c r="J426" s="14"/>
      <c r="K426" s="17"/>
      <c r="L426" s="14"/>
      <c r="M426" s="17"/>
      <c r="N426" s="14"/>
      <c r="O426" s="17"/>
      <c r="P426" s="14"/>
      <c r="Q426" s="17"/>
      <c r="R426" s="14"/>
      <c r="S426" s="17"/>
      <c r="T426" s="14"/>
      <c r="U426" s="17">
        <f>U343/U26</f>
        <v>0.832</v>
      </c>
      <c r="V426" s="14"/>
      <c r="W426" s="17">
        <f>W343/W26</f>
        <v>0.858</v>
      </c>
      <c r="X426" s="14"/>
      <c r="Y426" s="17">
        <f>Y343/Y26</f>
        <v>0.894</v>
      </c>
      <c r="Z426" s="14"/>
    </row>
    <row r="427" spans="3:26" ht="11.25" customHeight="1">
      <c r="C427" s="14"/>
      <c r="D427" s="14"/>
      <c r="E427" s="17"/>
      <c r="F427" s="14"/>
      <c r="G427" s="17"/>
      <c r="H427" s="14"/>
      <c r="I427" s="17"/>
      <c r="J427" s="14"/>
      <c r="K427" s="17"/>
      <c r="L427" s="14"/>
      <c r="M427" s="17"/>
      <c r="N427" s="14"/>
      <c r="O427" s="17"/>
      <c r="P427" s="14"/>
      <c r="Q427" s="17"/>
      <c r="R427" s="14"/>
      <c r="S427" s="17"/>
      <c r="T427" s="14"/>
      <c r="U427" s="17"/>
      <c r="V427" s="14"/>
      <c r="W427" s="17"/>
      <c r="X427" s="14"/>
      <c r="Y427" s="17"/>
      <c r="Z427" s="14"/>
    </row>
    <row r="428" spans="1:26" ht="11.25" customHeight="1">
      <c r="A428" s="115" t="s">
        <v>67</v>
      </c>
      <c r="C428" s="14"/>
      <c r="D428" s="14"/>
      <c r="E428" s="17"/>
      <c r="F428" s="14"/>
      <c r="G428" s="17"/>
      <c r="H428" s="14"/>
      <c r="I428" s="17">
        <f>I345/I28</f>
        <v>0.9</v>
      </c>
      <c r="J428" s="14"/>
      <c r="K428" s="17">
        <f>K345/K28</f>
        <v>0.863</v>
      </c>
      <c r="L428" s="14"/>
      <c r="M428" s="17">
        <f>M345/M28</f>
        <v>0.879</v>
      </c>
      <c r="N428" s="14"/>
      <c r="O428" s="17">
        <f>O345/O28</f>
        <v>0.899</v>
      </c>
      <c r="P428" s="14"/>
      <c r="Q428" s="17">
        <f>Q345/Q28</f>
        <v>0.896</v>
      </c>
      <c r="R428" s="14"/>
      <c r="S428" s="17">
        <f>S345/S28</f>
        <v>0.897</v>
      </c>
      <c r="T428" s="14"/>
      <c r="U428" s="17">
        <f>U345/U28</f>
        <v>0.903</v>
      </c>
      <c r="V428" s="14"/>
      <c r="W428" s="17">
        <f>W345/W28</f>
        <v>0.898</v>
      </c>
      <c r="X428" s="14"/>
      <c r="Y428" s="17">
        <f>Y345/Y28</f>
        <v>0.873</v>
      </c>
      <c r="Z428" s="14"/>
    </row>
    <row r="429" spans="3:26" ht="11.25" customHeight="1">
      <c r="C429" s="14"/>
      <c r="D429" s="14"/>
      <c r="E429" s="17"/>
      <c r="F429" s="14"/>
      <c r="G429" s="17"/>
      <c r="H429" s="14"/>
      <c r="I429" s="17"/>
      <c r="J429" s="14"/>
      <c r="K429" s="17"/>
      <c r="L429" s="14"/>
      <c r="M429" s="17"/>
      <c r="N429" s="14"/>
      <c r="O429" s="17"/>
      <c r="P429" s="14"/>
      <c r="Q429" s="17"/>
      <c r="R429" s="14"/>
      <c r="S429" s="17"/>
      <c r="T429" s="14"/>
      <c r="U429" s="17"/>
      <c r="V429" s="14"/>
      <c r="W429" s="17"/>
      <c r="X429" s="14"/>
      <c r="Y429" s="17"/>
      <c r="Z429" s="14"/>
    </row>
    <row r="430" spans="1:26" ht="11.25" customHeight="1">
      <c r="A430" s="115" t="s">
        <v>45</v>
      </c>
      <c r="C430" s="14"/>
      <c r="D430" s="14"/>
      <c r="E430" s="17"/>
      <c r="F430" s="14"/>
      <c r="G430" s="17"/>
      <c r="H430" s="14"/>
      <c r="I430" s="17"/>
      <c r="J430" s="14"/>
      <c r="K430" s="17"/>
      <c r="L430" s="14"/>
      <c r="M430" s="17"/>
      <c r="N430" s="14"/>
      <c r="O430" s="17"/>
      <c r="P430" s="14"/>
      <c r="Q430" s="17">
        <f>Q347/Q30</f>
        <v>0.895</v>
      </c>
      <c r="R430" s="14"/>
      <c r="S430" s="17">
        <f>S347/S30</f>
        <v>0.894</v>
      </c>
      <c r="T430" s="14"/>
      <c r="U430" s="17">
        <f>U347/U30</f>
        <v>0.893</v>
      </c>
      <c r="V430" s="14"/>
      <c r="W430" s="17">
        <f>W347/W30</f>
        <v>0.891</v>
      </c>
      <c r="X430" s="14"/>
      <c r="Y430" s="17">
        <f>Y347/Y30</f>
        <v>0.899</v>
      </c>
      <c r="Z430" s="14"/>
    </row>
    <row r="431" spans="3:26" ht="11.25" customHeight="1">
      <c r="C431" s="14"/>
      <c r="D431" s="14"/>
      <c r="E431" s="17"/>
      <c r="F431" s="14"/>
      <c r="G431" s="17"/>
      <c r="H431" s="14"/>
      <c r="I431" s="17"/>
      <c r="J431" s="14"/>
      <c r="K431" s="17"/>
      <c r="L431" s="14"/>
      <c r="M431" s="17"/>
      <c r="N431" s="14"/>
      <c r="O431" s="17"/>
      <c r="P431" s="14"/>
      <c r="Q431" s="17"/>
      <c r="R431" s="14"/>
      <c r="S431" s="17"/>
      <c r="T431" s="14"/>
      <c r="U431" s="17"/>
      <c r="V431" s="14"/>
      <c r="W431" s="17"/>
      <c r="X431" s="14"/>
      <c r="Y431" s="17"/>
      <c r="Z431" s="14"/>
    </row>
    <row r="432" spans="1:26" ht="11.25" customHeight="1">
      <c r="A432" s="115" t="s">
        <v>26</v>
      </c>
      <c r="C432" s="14"/>
      <c r="D432" s="14"/>
      <c r="E432" s="17"/>
      <c r="F432" s="14"/>
      <c r="G432" s="17"/>
      <c r="H432" s="14"/>
      <c r="I432" s="17"/>
      <c r="J432" s="14"/>
      <c r="K432" s="17"/>
      <c r="L432" s="14"/>
      <c r="M432" s="17"/>
      <c r="N432" s="14"/>
      <c r="O432" s="17">
        <f>O349/O32</f>
        <v>0.861</v>
      </c>
      <c r="P432" s="14"/>
      <c r="Q432" s="17">
        <f>Q349/Q32</f>
        <v>0.874</v>
      </c>
      <c r="R432" s="14"/>
      <c r="S432" s="17">
        <f>S349/S32</f>
        <v>0.883</v>
      </c>
      <c r="T432" s="14"/>
      <c r="U432" s="17">
        <f>U349/U32</f>
        <v>0.877</v>
      </c>
      <c r="V432" s="14"/>
      <c r="W432" s="17">
        <f>W349/W32</f>
        <v>0.863</v>
      </c>
      <c r="X432" s="14"/>
      <c r="Y432" s="17">
        <f>Y349/Y32</f>
        <v>0.877</v>
      </c>
      <c r="Z432" s="14"/>
    </row>
    <row r="433" spans="1:28" ht="11.25" customHeight="1">
      <c r="A433" s="142"/>
      <c r="B433" s="142"/>
      <c r="C433" s="150"/>
      <c r="D433" s="98"/>
      <c r="E433" s="17"/>
      <c r="F433" s="98"/>
      <c r="G433" s="17"/>
      <c r="H433" s="98"/>
      <c r="I433" s="17"/>
      <c r="J433" s="98"/>
      <c r="K433" s="17"/>
      <c r="L433" s="98"/>
      <c r="M433" s="17"/>
      <c r="N433" s="98"/>
      <c r="O433" s="17"/>
      <c r="P433" s="98"/>
      <c r="Q433" s="17"/>
      <c r="R433" s="98"/>
      <c r="S433" s="17"/>
      <c r="T433" s="98"/>
      <c r="U433" s="17"/>
      <c r="V433" s="98"/>
      <c r="W433" s="17"/>
      <c r="X433" s="98"/>
      <c r="Y433" s="17"/>
      <c r="Z433" s="98"/>
      <c r="AA433" s="142"/>
      <c r="AB433" s="142"/>
    </row>
    <row r="434" spans="1:28" ht="11.25" customHeight="1">
      <c r="A434" s="115" t="s">
        <v>38</v>
      </c>
      <c r="B434" s="142"/>
      <c r="C434" s="154">
        <f>REVENUE!C351/C34</f>
        <v>0.86</v>
      </c>
      <c r="D434" s="98"/>
      <c r="E434" s="17">
        <f>E351/E34</f>
        <v>0.869</v>
      </c>
      <c r="F434" s="98"/>
      <c r="G434" s="17">
        <f>G351/G34</f>
        <v>0.863</v>
      </c>
      <c r="H434" s="98"/>
      <c r="I434" s="17">
        <f>I351/I34</f>
        <v>0.854</v>
      </c>
      <c r="J434" s="98"/>
      <c r="K434" s="17">
        <f>K351/K34</f>
        <v>0.865</v>
      </c>
      <c r="L434" s="98"/>
      <c r="M434" s="17">
        <f>M351/M34</f>
        <v>0.876</v>
      </c>
      <c r="N434" s="98"/>
      <c r="O434" s="17">
        <f>O351/O34</f>
        <v>0.881</v>
      </c>
      <c r="P434" s="98" t="s">
        <v>16</v>
      </c>
      <c r="Q434" s="17">
        <f>Q351/Q34</f>
        <v>0.888</v>
      </c>
      <c r="R434" s="98"/>
      <c r="S434" s="17">
        <f>S351/S34</f>
        <v>0.888</v>
      </c>
      <c r="T434" s="98"/>
      <c r="U434" s="17">
        <f>U351/U34</f>
        <v>0.884</v>
      </c>
      <c r="V434" s="98"/>
      <c r="W434" s="17">
        <f>W351/W34</f>
        <v>0.888</v>
      </c>
      <c r="X434" s="98"/>
      <c r="Y434" s="17">
        <f>Y351/Y34</f>
        <v>0.887</v>
      </c>
      <c r="Z434" s="98"/>
      <c r="AA434" s="142"/>
      <c r="AB434" s="142"/>
    </row>
    <row r="435" spans="2:28" ht="11.25" customHeight="1">
      <c r="B435" s="142"/>
      <c r="C435" s="146"/>
      <c r="D435" s="142"/>
      <c r="E435" s="146"/>
      <c r="F435" s="142"/>
      <c r="G435" s="146"/>
      <c r="H435" s="142"/>
      <c r="I435" s="146"/>
      <c r="J435" s="142"/>
      <c r="K435" s="146"/>
      <c r="L435" s="142"/>
      <c r="M435" s="146"/>
      <c r="N435" s="142"/>
      <c r="O435" s="146"/>
      <c r="P435" s="142"/>
      <c r="Q435" s="146"/>
      <c r="R435" s="142"/>
      <c r="S435" s="146"/>
      <c r="T435" s="142"/>
      <c r="U435" s="146"/>
      <c r="V435" s="142"/>
      <c r="W435" s="146"/>
      <c r="X435" s="142"/>
      <c r="Y435" s="146"/>
      <c r="Z435" s="142"/>
      <c r="AA435" s="142"/>
      <c r="AB435" s="142"/>
    </row>
    <row r="436" spans="1:3" ht="11.25" customHeight="1">
      <c r="A436" s="28" t="s">
        <v>48</v>
      </c>
      <c r="C436" s="71"/>
    </row>
    <row r="437" spans="1:32" ht="11.25" customHeight="1">
      <c r="A437" s="123" t="s">
        <v>94</v>
      </c>
      <c r="F437" s="115"/>
      <c r="K437" s="115"/>
      <c r="P437" s="115"/>
      <c r="U437" s="115"/>
      <c r="Z437" s="115"/>
      <c r="AF437" s="115"/>
    </row>
    <row r="441" spans="1:5" ht="11.25" customHeight="1">
      <c r="A441" s="115" t="s">
        <v>0</v>
      </c>
      <c r="E441" s="139"/>
    </row>
    <row r="442" ht="11.25" customHeight="1">
      <c r="A442" s="115" t="s">
        <v>68</v>
      </c>
    </row>
    <row r="443" spans="1:9" ht="11.25" customHeight="1">
      <c r="A443" s="119" t="str">
        <f>A3</f>
        <v>1978-1989</v>
      </c>
      <c r="B443" s="140"/>
      <c r="C443" s="140"/>
      <c r="D443" s="140"/>
      <c r="E443" s="142"/>
      <c r="F443" s="142"/>
      <c r="G443" s="142"/>
      <c r="H443" s="142"/>
      <c r="I443" s="142"/>
    </row>
    <row r="444" spans="1:9" ht="11.25" customHeight="1">
      <c r="A444" s="115" t="s">
        <v>2</v>
      </c>
      <c r="B444" s="126"/>
      <c r="C444" s="126"/>
      <c r="E444" s="142"/>
      <c r="F444" s="142"/>
      <c r="G444" s="142"/>
      <c r="H444" s="142"/>
      <c r="I444" s="142"/>
    </row>
    <row r="445" spans="1:9" ht="11.25" customHeight="1">
      <c r="A445"/>
      <c r="E445" s="142"/>
      <c r="F445" s="142"/>
      <c r="G445" s="142"/>
      <c r="H445" s="142"/>
      <c r="I445" s="142"/>
    </row>
    <row r="447" spans="3:25" ht="11.25" customHeight="1">
      <c r="C447" s="124" t="s">
        <v>3</v>
      </c>
      <c r="E447" s="124" t="s">
        <v>4</v>
      </c>
      <c r="G447" s="124" t="s">
        <v>5</v>
      </c>
      <c r="I447" s="124" t="s">
        <v>6</v>
      </c>
      <c r="K447" s="124" t="s">
        <v>7</v>
      </c>
      <c r="M447" s="124" t="s">
        <v>8</v>
      </c>
      <c r="O447" s="124" t="s">
        <v>9</v>
      </c>
      <c r="Q447" s="124" t="s">
        <v>10</v>
      </c>
      <c r="S447" s="124" t="s">
        <v>11</v>
      </c>
      <c r="U447" s="124" t="s">
        <v>12</v>
      </c>
      <c r="W447" s="124" t="s">
        <v>13</v>
      </c>
      <c r="Y447" s="124" t="s">
        <v>14</v>
      </c>
    </row>
    <row r="449" spans="1:26" ht="11.25" customHeight="1">
      <c r="A449" s="115" t="s">
        <v>15</v>
      </c>
      <c r="I449" s="148">
        <v>124769</v>
      </c>
      <c r="J449" s="148"/>
      <c r="K449" s="148">
        <v>188795</v>
      </c>
      <c r="L449" s="148"/>
      <c r="M449" s="148">
        <v>193399</v>
      </c>
      <c r="N449" s="148"/>
      <c r="O449" s="234">
        <v>199497</v>
      </c>
      <c r="P449" s="148"/>
      <c r="Q449" s="148">
        <v>181215</v>
      </c>
      <c r="R449" s="148"/>
      <c r="S449" s="148">
        <v>136170</v>
      </c>
      <c r="T449" s="148"/>
      <c r="U449" s="148">
        <v>98622</v>
      </c>
      <c r="V449" s="148"/>
      <c r="W449" s="148">
        <v>110601</v>
      </c>
      <c r="X449" s="148"/>
      <c r="Y449" s="148">
        <v>41160</v>
      </c>
      <c r="Z449" s="123" t="s">
        <v>46</v>
      </c>
    </row>
    <row r="451" spans="1:25" ht="11.25" customHeight="1">
      <c r="A451" s="131" t="s">
        <v>17</v>
      </c>
      <c r="G451" s="148">
        <v>6693</v>
      </c>
      <c r="I451" s="118">
        <v>200817</v>
      </c>
      <c r="K451" s="118">
        <v>238478</v>
      </c>
      <c r="M451" s="118">
        <v>326608</v>
      </c>
      <c r="O451" s="235">
        <v>221377</v>
      </c>
      <c r="P451" s="123" t="s">
        <v>16</v>
      </c>
      <c r="Q451" s="118">
        <v>303125</v>
      </c>
      <c r="S451" s="118">
        <v>308520</v>
      </c>
      <c r="U451" s="118">
        <v>303629</v>
      </c>
      <c r="W451" s="118">
        <v>278954</v>
      </c>
      <c r="Y451" s="118">
        <v>268719</v>
      </c>
    </row>
    <row r="452" ht="11.25" customHeight="1">
      <c r="O452" s="235"/>
    </row>
    <row r="453" spans="1:25" ht="11.25" customHeight="1">
      <c r="A453" s="115" t="s">
        <v>18</v>
      </c>
      <c r="E453" s="148">
        <v>2075</v>
      </c>
      <c r="G453" s="118">
        <v>223562</v>
      </c>
      <c r="I453" s="118">
        <v>227259</v>
      </c>
      <c r="K453" s="118">
        <v>240450</v>
      </c>
      <c r="M453" s="118">
        <v>285766</v>
      </c>
      <c r="O453" s="235">
        <v>292785</v>
      </c>
      <c r="Q453" s="118">
        <v>271713</v>
      </c>
      <c r="S453" s="118">
        <v>273052</v>
      </c>
      <c r="U453" s="118">
        <v>306757</v>
      </c>
      <c r="W453" s="118">
        <v>328196</v>
      </c>
      <c r="Y453" s="118">
        <v>356399</v>
      </c>
    </row>
    <row r="454" ht="11.25" customHeight="1">
      <c r="O454" s="235"/>
    </row>
    <row r="455" spans="1:25" ht="11.25" customHeight="1">
      <c r="A455" s="115" t="s">
        <v>19</v>
      </c>
      <c r="E455" s="118">
        <v>113242</v>
      </c>
      <c r="G455" s="118">
        <v>260245</v>
      </c>
      <c r="I455" s="118">
        <v>238343</v>
      </c>
      <c r="K455" s="118">
        <v>236726</v>
      </c>
      <c r="M455" s="118">
        <v>263869</v>
      </c>
      <c r="O455" s="235">
        <v>288226</v>
      </c>
      <c r="Q455" s="118">
        <v>316374</v>
      </c>
      <c r="S455" s="118">
        <v>328797</v>
      </c>
      <c r="U455" s="118">
        <v>358354</v>
      </c>
      <c r="W455" s="118">
        <v>377282</v>
      </c>
      <c r="Y455" s="118">
        <v>375101</v>
      </c>
    </row>
    <row r="456" ht="11.25" customHeight="1">
      <c r="O456" s="235"/>
    </row>
    <row r="457" spans="1:25" ht="11.25" customHeight="1">
      <c r="A457" s="131" t="s">
        <v>52</v>
      </c>
      <c r="I457" s="118">
        <v>44519</v>
      </c>
      <c r="K457" s="118">
        <v>122017</v>
      </c>
      <c r="M457" s="118">
        <v>145905</v>
      </c>
      <c r="O457" s="235">
        <v>160295</v>
      </c>
      <c r="Q457" s="118">
        <v>158189</v>
      </c>
      <c r="S457" s="118">
        <v>157182</v>
      </c>
      <c r="U457" s="118">
        <v>164003</v>
      </c>
      <c r="W457" s="118">
        <v>174023</v>
      </c>
      <c r="Y457" s="118">
        <v>165523</v>
      </c>
    </row>
    <row r="458" ht="11.25" customHeight="1">
      <c r="O458" s="235"/>
    </row>
    <row r="459" spans="1:25" ht="11.25" customHeight="1">
      <c r="A459" s="115" t="s">
        <v>21</v>
      </c>
      <c r="G459" s="118">
        <v>9719</v>
      </c>
      <c r="I459" s="118">
        <v>179590</v>
      </c>
      <c r="K459" s="118">
        <v>224213</v>
      </c>
      <c r="M459" s="118">
        <v>251613</v>
      </c>
      <c r="O459" s="235">
        <v>266847</v>
      </c>
      <c r="Q459" s="118">
        <v>272891</v>
      </c>
      <c r="S459" s="118">
        <v>304289</v>
      </c>
      <c r="U459" s="118">
        <v>315276</v>
      </c>
      <c r="W459" s="118">
        <v>357408</v>
      </c>
      <c r="Y459" s="118">
        <v>369501</v>
      </c>
    </row>
    <row r="460" spans="6:15" ht="11.25" customHeight="1">
      <c r="F460" s="118" t="s">
        <v>28</v>
      </c>
      <c r="O460" s="235"/>
    </row>
    <row r="461" spans="1:25" ht="11.25" customHeight="1">
      <c r="A461" s="115" t="s">
        <v>22</v>
      </c>
      <c r="C461" s="148">
        <v>162344</v>
      </c>
      <c r="E461" s="118">
        <v>273747</v>
      </c>
      <c r="G461" s="118">
        <v>274454</v>
      </c>
      <c r="I461" s="118">
        <v>245371</v>
      </c>
      <c r="K461" s="118">
        <v>276732</v>
      </c>
      <c r="M461" s="118">
        <v>317029</v>
      </c>
      <c r="O461" s="235">
        <v>320715</v>
      </c>
      <c r="Q461" s="118">
        <v>305139</v>
      </c>
      <c r="S461" s="118">
        <v>296881</v>
      </c>
      <c r="U461" s="118">
        <v>304536</v>
      </c>
      <c r="W461" s="118">
        <v>310114</v>
      </c>
      <c r="Y461" s="118">
        <v>283650</v>
      </c>
    </row>
    <row r="462" ht="11.25" customHeight="1">
      <c r="O462" s="235"/>
    </row>
    <row r="463" spans="1:25" ht="11.25" customHeight="1">
      <c r="A463" s="115" t="s">
        <v>23</v>
      </c>
      <c r="G463" s="118">
        <v>36354</v>
      </c>
      <c r="I463" s="118">
        <v>120563</v>
      </c>
      <c r="K463" s="118">
        <v>185272</v>
      </c>
      <c r="M463" s="118">
        <v>199491</v>
      </c>
      <c r="O463" s="235">
        <v>194462</v>
      </c>
      <c r="Q463" s="118">
        <v>210865</v>
      </c>
      <c r="S463" s="118">
        <v>223751</v>
      </c>
      <c r="U463" s="118">
        <v>230064</v>
      </c>
      <c r="W463" s="118">
        <v>247466</v>
      </c>
      <c r="Y463" s="118">
        <v>264333</v>
      </c>
    </row>
    <row r="464" ht="11.25" customHeight="1">
      <c r="O464" s="235"/>
    </row>
    <row r="465" spans="1:25" ht="11.25" customHeight="1">
      <c r="A465" s="115" t="s">
        <v>24</v>
      </c>
      <c r="O465" s="235"/>
      <c r="U465" s="118">
        <v>189415</v>
      </c>
      <c r="W465" s="118">
        <v>271931</v>
      </c>
      <c r="Y465" s="118">
        <v>322913</v>
      </c>
    </row>
    <row r="466" ht="11.25" customHeight="1">
      <c r="O466" s="235"/>
    </row>
    <row r="467" spans="1:25" ht="11.25" customHeight="1">
      <c r="A467" s="115" t="s">
        <v>25</v>
      </c>
      <c r="I467" s="118">
        <v>13447</v>
      </c>
      <c r="K467" s="118">
        <v>192146</v>
      </c>
      <c r="M467" s="118">
        <v>250305</v>
      </c>
      <c r="O467" s="235">
        <v>279140</v>
      </c>
      <c r="Q467" s="118">
        <v>263675</v>
      </c>
      <c r="S467" s="118">
        <v>261945</v>
      </c>
      <c r="U467" s="118">
        <v>253732</v>
      </c>
      <c r="W467" s="118">
        <v>282234</v>
      </c>
      <c r="Y467" s="118">
        <v>363278</v>
      </c>
    </row>
    <row r="468" ht="11.25" customHeight="1">
      <c r="O468" s="235"/>
    </row>
    <row r="469" spans="1:25" ht="11.25" customHeight="1">
      <c r="A469" s="115" t="s">
        <v>45</v>
      </c>
      <c r="O469" s="235"/>
      <c r="Q469" s="118">
        <v>143903</v>
      </c>
      <c r="S469" s="118">
        <v>281626</v>
      </c>
      <c r="U469" s="118">
        <v>306901</v>
      </c>
      <c r="W469" s="118">
        <v>316101</v>
      </c>
      <c r="Y469" s="118">
        <v>343249</v>
      </c>
    </row>
    <row r="470" ht="11.25" customHeight="1">
      <c r="O470" s="235"/>
    </row>
    <row r="471" spans="1:25" ht="11.25" customHeight="1">
      <c r="A471" s="115" t="s">
        <v>26</v>
      </c>
      <c r="O471" s="235">
        <v>165187</v>
      </c>
      <c r="Q471" s="118">
        <v>266474</v>
      </c>
      <c r="S471" s="118">
        <v>278870</v>
      </c>
      <c r="U471" s="118">
        <v>312828</v>
      </c>
      <c r="W471" s="118">
        <v>388568</v>
      </c>
      <c r="Y471" s="118">
        <v>396689</v>
      </c>
    </row>
    <row r="472" spans="3:26" ht="11.25" customHeight="1">
      <c r="C472" s="179"/>
      <c r="D472" s="142"/>
      <c r="E472" s="179"/>
      <c r="F472" s="142"/>
      <c r="G472" s="179"/>
      <c r="H472" s="142"/>
      <c r="I472" s="179"/>
      <c r="J472" s="142"/>
      <c r="K472" s="179"/>
      <c r="L472" s="142"/>
      <c r="M472" s="179"/>
      <c r="N472" s="142"/>
      <c r="O472" s="179"/>
      <c r="P472" s="142"/>
      <c r="Q472" s="179"/>
      <c r="R472" s="142"/>
      <c r="S472" s="179"/>
      <c r="T472" s="142"/>
      <c r="U472" s="179"/>
      <c r="V472" s="142"/>
      <c r="W472" s="179"/>
      <c r="X472" s="142"/>
      <c r="Y472" s="179"/>
      <c r="Z472" s="142"/>
    </row>
    <row r="473" spans="1:26" ht="11.25" customHeight="1" thickBot="1">
      <c r="A473" s="115" t="s">
        <v>38</v>
      </c>
      <c r="C473" s="180">
        <f>SUM(C449:C471)</f>
        <v>162344</v>
      </c>
      <c r="D473" s="153"/>
      <c r="E473" s="180">
        <f>SUM(E449:E471)</f>
        <v>389064</v>
      </c>
      <c r="F473" s="153"/>
      <c r="G473" s="180">
        <f>SUM(G449:G471)</f>
        <v>811027</v>
      </c>
      <c r="H473" s="153"/>
      <c r="I473" s="180">
        <f>SUM(I449:I471)</f>
        <v>1394678</v>
      </c>
      <c r="J473" s="153"/>
      <c r="K473" s="180">
        <f>SUM(K449:K471)</f>
        <v>1904829</v>
      </c>
      <c r="L473" s="153"/>
      <c r="M473" s="180">
        <f>SUM(M449:M471)</f>
        <v>2233985</v>
      </c>
      <c r="N473" s="153"/>
      <c r="O473" s="236">
        <f>SUM(O449:O471)</f>
        <v>2388531</v>
      </c>
      <c r="P473" s="153" t="s">
        <v>16</v>
      </c>
      <c r="Q473" s="180">
        <f>SUM(Q449:Q471)</f>
        <v>2693563</v>
      </c>
      <c r="R473" s="153"/>
      <c r="S473" s="180">
        <f>SUM(S449:S471)</f>
        <v>2851083</v>
      </c>
      <c r="T473" s="153"/>
      <c r="U473" s="180">
        <f>SUM(U449:U471)</f>
        <v>3144117</v>
      </c>
      <c r="V473" s="153"/>
      <c r="W473" s="180">
        <f>SUM(W449:W471)</f>
        <v>3442878</v>
      </c>
      <c r="X473" s="153"/>
      <c r="Y473" s="180">
        <f>SUM(Y449:Y471)</f>
        <v>3550515</v>
      </c>
      <c r="Z473" s="153"/>
    </row>
    <row r="474" spans="6:26" ht="11.25" customHeight="1" thickTop="1">
      <c r="F474" s="142"/>
      <c r="H474" s="142"/>
      <c r="J474" s="142"/>
      <c r="L474" s="142"/>
      <c r="N474" s="142"/>
      <c r="V474" s="142"/>
      <c r="X474" s="142"/>
      <c r="Z474" s="142"/>
    </row>
    <row r="475" spans="1:26" ht="11.25" customHeight="1">
      <c r="A475" s="123" t="s">
        <v>48</v>
      </c>
      <c r="X475" s="142"/>
      <c r="Z475" s="142"/>
    </row>
    <row r="476" ht="11.25" customHeight="1">
      <c r="A476" s="123" t="s">
        <v>94</v>
      </c>
    </row>
    <row r="481" spans="1:5" ht="11.25" customHeight="1">
      <c r="A481" s="115" t="s">
        <v>0</v>
      </c>
      <c r="E481" s="139"/>
    </row>
    <row r="482" ht="11.25" customHeight="1">
      <c r="A482" s="131" t="s">
        <v>69</v>
      </c>
    </row>
    <row r="483" spans="1:4" ht="11.25" customHeight="1">
      <c r="A483" s="119" t="str">
        <f>A3</f>
        <v>1978-1989</v>
      </c>
      <c r="B483" s="140"/>
      <c r="C483" s="140"/>
      <c r="D483" s="140"/>
    </row>
    <row r="484" spans="1:4" ht="11.25" customHeight="1">
      <c r="A484" s="141"/>
      <c r="B484" s="142"/>
      <c r="C484" s="142"/>
      <c r="D484" s="142"/>
    </row>
    <row r="485" spans="1:3" ht="11.25" customHeight="1">
      <c r="A485" s="126"/>
      <c r="B485" s="126"/>
      <c r="C485"/>
    </row>
    <row r="486" spans="3:25" ht="11.25" customHeight="1">
      <c r="C486"/>
      <c r="E486" s="124" t="s">
        <v>4</v>
      </c>
      <c r="G486" s="124" t="s">
        <v>5</v>
      </c>
      <c r="I486" s="124" t="s">
        <v>6</v>
      </c>
      <c r="K486" s="124" t="s">
        <v>7</v>
      </c>
      <c r="M486" s="124" t="s">
        <v>8</v>
      </c>
      <c r="O486" s="124" t="s">
        <v>9</v>
      </c>
      <c r="Q486" s="124" t="s">
        <v>10</v>
      </c>
      <c r="S486" s="124" t="s">
        <v>11</v>
      </c>
      <c r="U486" s="124" t="s">
        <v>12</v>
      </c>
      <c r="W486" s="124" t="s">
        <v>13</v>
      </c>
      <c r="Y486" s="124" t="s">
        <v>14</v>
      </c>
    </row>
    <row r="487" ht="11.25" customHeight="1">
      <c r="C487"/>
    </row>
    <row r="488" spans="1:26" ht="11.25" customHeight="1">
      <c r="A488" s="115" t="s">
        <v>15</v>
      </c>
      <c r="C488" s="144"/>
      <c r="D488" s="144"/>
      <c r="E488" s="144"/>
      <c r="F488" s="144"/>
      <c r="G488" s="144"/>
      <c r="H488" s="144"/>
      <c r="I488" s="144"/>
      <c r="J488" s="144"/>
      <c r="K488" s="144">
        <f>(K449-I449)/I449</f>
        <v>0.513</v>
      </c>
      <c r="L488" s="144"/>
      <c r="M488" s="144">
        <f>(M449-K449)/K449</f>
        <v>0.024</v>
      </c>
      <c r="N488" s="144"/>
      <c r="O488" s="144">
        <f>(O449-M449)/M449</f>
        <v>0.032</v>
      </c>
      <c r="P488" s="144"/>
      <c r="Q488" s="144">
        <f>(Q449-O449)/O449</f>
        <v>-0.092</v>
      </c>
      <c r="R488" s="144"/>
      <c r="S488" s="144">
        <f>(S449-Q449)/Q449</f>
        <v>-0.249</v>
      </c>
      <c r="T488" s="144"/>
      <c r="U488" s="144">
        <f>(U449-S449)/S449</f>
        <v>-0.276</v>
      </c>
      <c r="V488" s="144"/>
      <c r="W488" s="144">
        <f>(W449-U449)/U449</f>
        <v>0.121</v>
      </c>
      <c r="X488" s="144"/>
      <c r="Y488" s="144">
        <f>(Y449-W449)/W449</f>
        <v>-0.628</v>
      </c>
      <c r="Z488" s="144" t="s">
        <v>46</v>
      </c>
    </row>
    <row r="489" spans="3:26" ht="11.25" customHeight="1">
      <c r="C489" s="128"/>
      <c r="D489" s="144"/>
      <c r="E489" s="128"/>
      <c r="F489" s="144"/>
      <c r="G489" s="144"/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4"/>
      <c r="S489" s="144"/>
      <c r="T489" s="144"/>
      <c r="U489" s="144"/>
      <c r="V489" s="144"/>
      <c r="W489" s="144"/>
      <c r="X489" s="144"/>
      <c r="Y489" s="144"/>
      <c r="Z489" s="144"/>
    </row>
    <row r="490" spans="1:26" ht="11.25" customHeight="1">
      <c r="A490" s="115" t="s">
        <v>17</v>
      </c>
      <c r="C490" s="144"/>
      <c r="D490" s="144"/>
      <c r="E490" s="144"/>
      <c r="F490" s="144"/>
      <c r="G490" s="144"/>
      <c r="H490" s="144"/>
      <c r="I490" s="144">
        <f>(I451-G451)/G451</f>
        <v>29.004</v>
      </c>
      <c r="J490" s="144"/>
      <c r="K490" s="144">
        <f>(K451-I451)/I451</f>
        <v>0.188</v>
      </c>
      <c r="L490" s="144"/>
      <c r="M490" s="144">
        <f>(M451-K451)/K451</f>
        <v>0.37</v>
      </c>
      <c r="N490" s="144"/>
      <c r="O490" s="144">
        <f>(O451-M451)/M451</f>
        <v>-0.322</v>
      </c>
      <c r="P490" s="144" t="s">
        <v>16</v>
      </c>
      <c r="Q490" s="144">
        <f>(Q451-O451)/O451</f>
        <v>0.369</v>
      </c>
      <c r="R490" s="144"/>
      <c r="S490" s="144">
        <f>(S451-Q451)/Q451</f>
        <v>0.018</v>
      </c>
      <c r="T490" s="144"/>
      <c r="U490" s="144">
        <f>(U451-S451)/S451</f>
        <v>-0.016</v>
      </c>
      <c r="V490" s="144"/>
      <c r="W490" s="144">
        <f>(W451-U451)/U451</f>
        <v>-0.081</v>
      </c>
      <c r="X490" s="144"/>
      <c r="Y490" s="144">
        <f>(Y451-W451)/W451</f>
        <v>-0.037</v>
      </c>
      <c r="Z490" s="144"/>
    </row>
    <row r="491" spans="3:26" ht="11.25" customHeight="1">
      <c r="C491" s="144"/>
      <c r="D491" s="144"/>
      <c r="E491" s="144"/>
      <c r="F491" s="144"/>
      <c r="G491" s="144"/>
      <c r="H491" s="144"/>
      <c r="I491" s="144"/>
      <c r="J491" s="144"/>
      <c r="K491" s="144"/>
      <c r="L491" s="144"/>
      <c r="M491" s="144"/>
      <c r="N491" s="144"/>
      <c r="O491" s="144"/>
      <c r="P491" s="144"/>
      <c r="Q491" s="144"/>
      <c r="R491" s="144"/>
      <c r="S491" s="144"/>
      <c r="T491" s="144"/>
      <c r="U491" s="144"/>
      <c r="V491" s="144"/>
      <c r="W491" s="144"/>
      <c r="X491" s="144"/>
      <c r="Y491" s="144"/>
      <c r="Z491" s="144"/>
    </row>
    <row r="492" spans="1:26" ht="11.25" customHeight="1">
      <c r="A492" s="115" t="s">
        <v>18</v>
      </c>
      <c r="C492" s="144"/>
      <c r="D492" s="144"/>
      <c r="E492" s="144"/>
      <c r="F492" s="144"/>
      <c r="G492" s="144">
        <f>(G453-E453)/E453</f>
        <v>106.741</v>
      </c>
      <c r="H492" s="144"/>
      <c r="I492" s="144">
        <f>(I453-G453)/G453</f>
        <v>0.017</v>
      </c>
      <c r="J492" s="144"/>
      <c r="K492" s="144">
        <f>(K453-I453)/I453</f>
        <v>0.058</v>
      </c>
      <c r="L492" s="144"/>
      <c r="M492" s="144">
        <f>(M453-K453)/K453</f>
        <v>0.188</v>
      </c>
      <c r="N492" s="144"/>
      <c r="O492" s="144">
        <f>(O453-M453)/M453</f>
        <v>0.025</v>
      </c>
      <c r="P492" s="144"/>
      <c r="Q492" s="144">
        <f>(Q453-O453)/O453</f>
        <v>-0.072</v>
      </c>
      <c r="R492" s="144"/>
      <c r="S492" s="144">
        <f>(S453-Q453)/Q453</f>
        <v>0.005</v>
      </c>
      <c r="T492" s="144"/>
      <c r="U492" s="144">
        <f>(U453-S453)/S453</f>
        <v>0.123</v>
      </c>
      <c r="V492" s="144"/>
      <c r="W492" s="144">
        <f>(W453-U453)/U453</f>
        <v>0.07</v>
      </c>
      <c r="X492" s="144"/>
      <c r="Y492" s="144">
        <f>(Y453-W453)/W453</f>
        <v>0.086</v>
      </c>
      <c r="Z492" s="144"/>
    </row>
    <row r="493" spans="3:26" ht="11.25" customHeight="1">
      <c r="C493" s="144"/>
      <c r="D493" s="144"/>
      <c r="E493" s="144"/>
      <c r="F493" s="144"/>
      <c r="G493" s="144"/>
      <c r="H493" s="144"/>
      <c r="I493" s="144"/>
      <c r="J493" s="144"/>
      <c r="K493" s="144"/>
      <c r="L493" s="144"/>
      <c r="M493" s="144"/>
      <c r="N493" s="144"/>
      <c r="O493" s="144"/>
      <c r="P493" s="144"/>
      <c r="Q493" s="144"/>
      <c r="R493" s="144"/>
      <c r="S493" s="144"/>
      <c r="T493" s="144"/>
      <c r="U493" s="144"/>
      <c r="V493" s="144"/>
      <c r="W493" s="144"/>
      <c r="X493" s="144"/>
      <c r="Y493" s="144"/>
      <c r="Z493" s="144"/>
    </row>
    <row r="494" spans="1:26" ht="11.25" customHeight="1">
      <c r="A494" s="115" t="s">
        <v>19</v>
      </c>
      <c r="C494" s="144"/>
      <c r="D494" s="144"/>
      <c r="E494" s="144"/>
      <c r="F494" s="144"/>
      <c r="G494" s="144">
        <f>(G455-E455)/E455</f>
        <v>1.298</v>
      </c>
      <c r="H494" s="144"/>
      <c r="I494" s="144">
        <f>(I455-G455)/G455</f>
        <v>-0.084</v>
      </c>
      <c r="J494" s="144"/>
      <c r="K494" s="144">
        <f>(K455-I455)/I455</f>
        <v>-0.007</v>
      </c>
      <c r="L494" s="144"/>
      <c r="M494" s="144">
        <f>(M455-K455)/K455</f>
        <v>0.115</v>
      </c>
      <c r="N494" s="144"/>
      <c r="O494" s="144">
        <f>(O455-M455)/M455</f>
        <v>0.092</v>
      </c>
      <c r="P494" s="144"/>
      <c r="Q494" s="144">
        <f>(Q455-O455)/O455</f>
        <v>0.098</v>
      </c>
      <c r="R494" s="144"/>
      <c r="S494" s="144">
        <f>(S455-Q455)/Q455</f>
        <v>0.039</v>
      </c>
      <c r="T494" s="144"/>
      <c r="U494" s="144">
        <f>(U455-S455)/S455</f>
        <v>0.09</v>
      </c>
      <c r="V494" s="144"/>
      <c r="W494" s="144">
        <f>(W455-U455)/U455</f>
        <v>0.053</v>
      </c>
      <c r="X494" s="144"/>
      <c r="Y494" s="144">
        <f>(Y455-W455)/W455</f>
        <v>-0.006</v>
      </c>
      <c r="Z494" s="144"/>
    </row>
    <row r="495" spans="3:26" ht="11.25" customHeight="1">
      <c r="C495" s="144"/>
      <c r="D495" s="144"/>
      <c r="E495" s="144"/>
      <c r="F495" s="144"/>
      <c r="G495" s="144"/>
      <c r="H495" s="144"/>
      <c r="I495" s="144"/>
      <c r="J495" s="144"/>
      <c r="K495" s="144"/>
      <c r="L495" s="144"/>
      <c r="M495" s="144"/>
      <c r="N495" s="144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  <c r="Y495" s="144"/>
      <c r="Z495" s="144"/>
    </row>
    <row r="496" spans="1:26" ht="11.25" customHeight="1">
      <c r="A496" s="131" t="s">
        <v>52</v>
      </c>
      <c r="C496" s="144"/>
      <c r="D496" s="144"/>
      <c r="E496" s="144"/>
      <c r="F496" s="144"/>
      <c r="G496" s="144"/>
      <c r="H496" s="144"/>
      <c r="I496" s="144"/>
      <c r="J496" s="144"/>
      <c r="K496" s="144">
        <f>(K457-I457)/I457</f>
        <v>1.741</v>
      </c>
      <c r="L496" s="144"/>
      <c r="M496" s="144">
        <f>(M457-K457)/K457</f>
        <v>0.196</v>
      </c>
      <c r="N496" s="144"/>
      <c r="O496" s="144">
        <f>(O457-M457)/M457</f>
        <v>0.099</v>
      </c>
      <c r="P496" s="144"/>
      <c r="Q496" s="144">
        <f>(Q457-O457)/O457</f>
        <v>-0.013</v>
      </c>
      <c r="R496" s="144"/>
      <c r="S496" s="144">
        <f>(S457-Q457)/Q457</f>
        <v>-0.006</v>
      </c>
      <c r="T496" s="144"/>
      <c r="U496" s="144">
        <f>(U457-S457)/S457</f>
        <v>0.043</v>
      </c>
      <c r="V496" s="144"/>
      <c r="W496" s="144">
        <f>(W457-U457)/U457</f>
        <v>0.061</v>
      </c>
      <c r="X496" s="144"/>
      <c r="Y496" s="144">
        <f>(Y457-W457)/W457</f>
        <v>-0.049</v>
      </c>
      <c r="Z496" s="144"/>
    </row>
    <row r="497" spans="3:26" ht="11.25" customHeight="1">
      <c r="C497" s="144"/>
      <c r="D497" s="144"/>
      <c r="E497" s="144"/>
      <c r="F497" s="144"/>
      <c r="G497" s="144"/>
      <c r="H497" s="144"/>
      <c r="I497" s="144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</row>
    <row r="498" spans="1:26" ht="11.25" customHeight="1">
      <c r="A498" s="115" t="s">
        <v>21</v>
      </c>
      <c r="C498" s="144"/>
      <c r="D498" s="144"/>
      <c r="E498" s="144"/>
      <c r="F498" s="144"/>
      <c r="G498" s="144"/>
      <c r="H498" s="144"/>
      <c r="I498" s="144">
        <f>(I459-G459)/G459</f>
        <v>17.478</v>
      </c>
      <c r="J498" s="144"/>
      <c r="K498" s="144">
        <f>(K459-I459)/I459</f>
        <v>0.248</v>
      </c>
      <c r="L498" s="144"/>
      <c r="M498" s="144">
        <f>(M459-K459)/K459</f>
        <v>0.122</v>
      </c>
      <c r="N498" s="144"/>
      <c r="O498" s="144">
        <f>(O459-M459)/M459</f>
        <v>0.061</v>
      </c>
      <c r="P498" s="144"/>
      <c r="Q498" s="144">
        <f>(Q459-O459)/O459</f>
        <v>0.023</v>
      </c>
      <c r="R498" s="144"/>
      <c r="S498" s="144">
        <f>(S459-Q459)/Q459</f>
        <v>0.115</v>
      </c>
      <c r="T498" s="144"/>
      <c r="U498" s="144">
        <f>(U459-S459)/S459</f>
        <v>0.036</v>
      </c>
      <c r="V498" s="144"/>
      <c r="W498" s="144">
        <f>(W459-U459)/U459</f>
        <v>0.134</v>
      </c>
      <c r="X498" s="144"/>
      <c r="Y498" s="144">
        <f>(Y459-W459)/W459</f>
        <v>0.034</v>
      </c>
      <c r="Z498" s="144"/>
    </row>
    <row r="499" spans="3:26" ht="11.25" customHeight="1"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  <c r="N499" s="144"/>
      <c r="O499" s="144"/>
      <c r="P499" s="144"/>
      <c r="Q499" s="144"/>
      <c r="R499" s="144"/>
      <c r="S499" s="144"/>
      <c r="T499" s="144"/>
      <c r="U499" s="144"/>
      <c r="V499" s="144"/>
      <c r="W499" s="144"/>
      <c r="X499" s="144"/>
      <c r="Y499" s="144"/>
      <c r="Z499" s="144"/>
    </row>
    <row r="500" spans="1:26" ht="11.25" customHeight="1">
      <c r="A500" s="115" t="s">
        <v>22</v>
      </c>
      <c r="C500" s="144"/>
      <c r="D500" s="144"/>
      <c r="E500" s="144">
        <f>(E461-C461)/C461</f>
        <v>0.686</v>
      </c>
      <c r="F500" s="144"/>
      <c r="G500" s="144">
        <f>(G461-E461)/E461</f>
        <v>0.003</v>
      </c>
      <c r="H500" s="144"/>
      <c r="I500" s="144">
        <f>(I461-G461)/G461</f>
        <v>-0.106</v>
      </c>
      <c r="J500" s="144"/>
      <c r="K500" s="144">
        <f>(K461-I461)/I461</f>
        <v>0.128</v>
      </c>
      <c r="L500" s="144"/>
      <c r="M500" s="144">
        <f>(M461-K461)/K461</f>
        <v>0.146</v>
      </c>
      <c r="N500" s="144"/>
      <c r="O500" s="144">
        <f>(O461-M461)/M461</f>
        <v>0.012</v>
      </c>
      <c r="P500" s="144"/>
      <c r="Q500" s="144">
        <f>(Q461-O461)/O461</f>
        <v>-0.049</v>
      </c>
      <c r="R500" s="144"/>
      <c r="S500" s="144">
        <f>(S461-Q461)/Q461</f>
        <v>-0.027</v>
      </c>
      <c r="T500" s="144"/>
      <c r="U500" s="144">
        <f>(U461-S461)/S461</f>
        <v>0.026</v>
      </c>
      <c r="V500" s="144"/>
      <c r="W500" s="144">
        <f>(W461-U461)/U461</f>
        <v>0.018</v>
      </c>
      <c r="X500" s="144"/>
      <c r="Y500" s="144">
        <f>(Y461-W461)/W461</f>
        <v>-0.085</v>
      </c>
      <c r="Z500" s="144"/>
    </row>
    <row r="501" spans="3:26" ht="11.25" customHeight="1">
      <c r="C501" s="144"/>
      <c r="D501" s="144"/>
      <c r="E501" s="144"/>
      <c r="F501" s="144"/>
      <c r="G501" s="144"/>
      <c r="H501" s="144"/>
      <c r="I501" s="144"/>
      <c r="J501" s="144"/>
      <c r="K501" s="144"/>
      <c r="L501" s="144"/>
      <c r="M501" s="144"/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  <c r="Y501" s="144"/>
      <c r="Z501" s="144"/>
    </row>
    <row r="502" spans="1:26" ht="11.25" customHeight="1">
      <c r="A502" s="115" t="s">
        <v>23</v>
      </c>
      <c r="C502" s="144"/>
      <c r="D502" s="144"/>
      <c r="E502" s="144"/>
      <c r="F502" s="144"/>
      <c r="G502" s="144"/>
      <c r="H502" s="144"/>
      <c r="I502" s="144">
        <f>(I463-G463)/G463</f>
        <v>2.316</v>
      </c>
      <c r="J502" s="144"/>
      <c r="K502" s="144">
        <f>(K463-I463)/I463</f>
        <v>0.537</v>
      </c>
      <c r="L502" s="144"/>
      <c r="M502" s="144">
        <f>(M463-K463)/K463</f>
        <v>0.077</v>
      </c>
      <c r="N502" s="144"/>
      <c r="O502" s="144">
        <f>(O463-M463)/M463</f>
        <v>-0.025</v>
      </c>
      <c r="P502" s="144"/>
      <c r="Q502" s="144">
        <f>(Q463-O463)/O463</f>
        <v>0.084</v>
      </c>
      <c r="R502" s="144"/>
      <c r="S502" s="144">
        <f>(S463-Q463)/Q463</f>
        <v>0.061</v>
      </c>
      <c r="T502" s="144"/>
      <c r="U502" s="144">
        <f>(U463-S463)/S463</f>
        <v>0.028</v>
      </c>
      <c r="V502" s="144"/>
      <c r="W502" s="144">
        <f>(W463-U463)/U463</f>
        <v>0.076</v>
      </c>
      <c r="X502" s="144"/>
      <c r="Y502" s="144">
        <f>(Y463-W463)/W463</f>
        <v>0.068</v>
      </c>
      <c r="Z502" s="144"/>
    </row>
    <row r="503" spans="3:26" ht="11.25" customHeight="1">
      <c r="C503" s="144"/>
      <c r="D503" s="144"/>
      <c r="E503" s="144"/>
      <c r="F503" s="144"/>
      <c r="G503" s="144"/>
      <c r="H503" s="144"/>
      <c r="I503" s="144"/>
      <c r="J503" s="144"/>
      <c r="K503" s="144"/>
      <c r="L503" s="144"/>
      <c r="M503" s="144"/>
      <c r="N503" s="144"/>
      <c r="O503" s="144"/>
      <c r="P503" s="144"/>
      <c r="Q503" s="144"/>
      <c r="R503" s="144"/>
      <c r="S503" s="144"/>
      <c r="T503" s="144"/>
      <c r="U503" s="144"/>
      <c r="V503" s="144"/>
      <c r="W503" s="144"/>
      <c r="X503" s="144"/>
      <c r="Y503" s="144"/>
      <c r="Z503" s="144"/>
    </row>
    <row r="504" spans="1:26" ht="11.25" customHeight="1">
      <c r="A504" s="115" t="s">
        <v>24</v>
      </c>
      <c r="C504" s="144"/>
      <c r="D504" s="144"/>
      <c r="E504" s="144"/>
      <c r="F504" s="144"/>
      <c r="G504" s="144"/>
      <c r="H504" s="144"/>
      <c r="I504" s="144"/>
      <c r="J504" s="144"/>
      <c r="K504" s="144"/>
      <c r="L504" s="144"/>
      <c r="M504" s="144"/>
      <c r="N504" s="144"/>
      <c r="O504" s="144"/>
      <c r="P504" s="144"/>
      <c r="Q504" s="144"/>
      <c r="R504" s="144"/>
      <c r="S504" s="144"/>
      <c r="T504" s="144"/>
      <c r="U504" s="144"/>
      <c r="V504" s="144"/>
      <c r="W504" s="144">
        <f>(W465-U465)/U465</f>
        <v>0.436</v>
      </c>
      <c r="X504" s="144"/>
      <c r="Y504" s="144">
        <f>(Y465-W465)/W465</f>
        <v>0.187</v>
      </c>
      <c r="Z504" s="144"/>
    </row>
    <row r="505" spans="3:26" ht="11.25" customHeight="1">
      <c r="C505" s="144"/>
      <c r="D505" s="144"/>
      <c r="E505" s="144"/>
      <c r="F505" s="144"/>
      <c r="G505" s="144"/>
      <c r="H505" s="144"/>
      <c r="I505" s="144"/>
      <c r="J505" s="144"/>
      <c r="K505" s="144"/>
      <c r="L505" s="144"/>
      <c r="M505" s="144"/>
      <c r="N505" s="144"/>
      <c r="O505" s="144"/>
      <c r="P505" s="144"/>
      <c r="Q505" s="144"/>
      <c r="R505" s="144"/>
      <c r="S505" s="144"/>
      <c r="T505" s="144"/>
      <c r="U505" s="144"/>
      <c r="V505" s="144"/>
      <c r="W505" s="144"/>
      <c r="X505" s="144"/>
      <c r="Y505" s="144"/>
      <c r="Z505" s="144"/>
    </row>
    <row r="506" spans="1:26" ht="11.25" customHeight="1">
      <c r="A506" s="131" t="s">
        <v>25</v>
      </c>
      <c r="C506" s="144"/>
      <c r="D506" s="144"/>
      <c r="E506" s="144"/>
      <c r="F506" s="144"/>
      <c r="G506" s="144"/>
      <c r="H506" s="144"/>
      <c r="I506" s="144"/>
      <c r="J506" s="144"/>
      <c r="K506" s="144">
        <f>(K467-I467)/I467</f>
        <v>13.289</v>
      </c>
      <c r="L506" s="144"/>
      <c r="M506" s="144">
        <f>(M467-K467)/K467</f>
        <v>0.303</v>
      </c>
      <c r="N506" s="144"/>
      <c r="O506" s="144">
        <f>(O467-M467)/M467</f>
        <v>0.115</v>
      </c>
      <c r="P506" s="144"/>
      <c r="Q506" s="144">
        <f>(Q467-O467)/O467</f>
        <v>-0.055</v>
      </c>
      <c r="R506" s="144"/>
      <c r="S506" s="144">
        <f>(S467-Q467)/Q467</f>
        <v>-0.007</v>
      </c>
      <c r="T506" s="144"/>
      <c r="U506" s="144">
        <f>(U467-S467)/S467</f>
        <v>-0.031</v>
      </c>
      <c r="V506" s="144"/>
      <c r="W506" s="144">
        <f>(W467-U467)/U467</f>
        <v>0.112</v>
      </c>
      <c r="X506" s="144"/>
      <c r="Y506" s="144">
        <f>(Y467-W467)/W467</f>
        <v>0.287</v>
      </c>
      <c r="Z506" s="144"/>
    </row>
    <row r="507" spans="3:26" ht="11.25" customHeight="1">
      <c r="C507" s="144"/>
      <c r="D507" s="144"/>
      <c r="E507" s="144"/>
      <c r="F507" s="144"/>
      <c r="G507" s="144"/>
      <c r="H507" s="144"/>
      <c r="I507" s="144"/>
      <c r="J507" s="144"/>
      <c r="K507" s="144"/>
      <c r="L507" s="144"/>
      <c r="M507" s="144"/>
      <c r="N507" s="144"/>
      <c r="O507" s="144"/>
      <c r="P507" s="144"/>
      <c r="Q507" s="144"/>
      <c r="R507" s="144"/>
      <c r="S507" s="144"/>
      <c r="T507" s="144"/>
      <c r="U507" s="144"/>
      <c r="V507" s="144"/>
      <c r="W507" s="144"/>
      <c r="X507" s="144"/>
      <c r="Y507" s="144"/>
      <c r="Z507" s="144"/>
    </row>
    <row r="508" spans="1:26" ht="11.25" customHeight="1">
      <c r="A508" s="115" t="s">
        <v>45</v>
      </c>
      <c r="C508" s="144"/>
      <c r="D508" s="144"/>
      <c r="E508" s="144"/>
      <c r="F508" s="144"/>
      <c r="G508" s="144"/>
      <c r="H508" s="144"/>
      <c r="I508" s="144"/>
      <c r="J508" s="144"/>
      <c r="K508" s="144"/>
      <c r="L508" s="144"/>
      <c r="M508" s="144"/>
      <c r="N508" s="144"/>
      <c r="O508" s="144"/>
      <c r="P508" s="144"/>
      <c r="Q508" s="144"/>
      <c r="R508" s="144"/>
      <c r="S508" s="144">
        <f>(S469-Q469)/Q469</f>
        <v>0.957</v>
      </c>
      <c r="T508" s="144"/>
      <c r="U508" s="144">
        <f>(U469-S469)/S469</f>
        <v>0.09</v>
      </c>
      <c r="V508" s="144"/>
      <c r="W508" s="144">
        <f>(W469-U469)/U469</f>
        <v>0.03</v>
      </c>
      <c r="X508" s="144"/>
      <c r="Y508" s="144">
        <f>(Y469-W469)/W469</f>
        <v>0.086</v>
      </c>
      <c r="Z508" s="144"/>
    </row>
    <row r="509" spans="3:26" ht="11.25" customHeight="1">
      <c r="C509" s="144"/>
      <c r="D509" s="144"/>
      <c r="E509" s="144"/>
      <c r="F509" s="144"/>
      <c r="G509" s="144"/>
      <c r="H509" s="144"/>
      <c r="I509" s="144"/>
      <c r="J509" s="144"/>
      <c r="K509" s="144"/>
      <c r="L509" s="144"/>
      <c r="M509" s="144"/>
      <c r="N509" s="144"/>
      <c r="O509" s="144"/>
      <c r="P509" s="144"/>
      <c r="Q509" s="144"/>
      <c r="R509" s="144"/>
      <c r="S509" s="144"/>
      <c r="T509" s="144"/>
      <c r="U509" s="144"/>
      <c r="V509" s="144"/>
      <c r="W509" s="144"/>
      <c r="X509" s="144"/>
      <c r="Y509" s="144"/>
      <c r="Z509" s="144"/>
    </row>
    <row r="510" spans="1:26" ht="11.25" customHeight="1">
      <c r="A510" s="115" t="s">
        <v>26</v>
      </c>
      <c r="C510" s="144"/>
      <c r="D510" s="144"/>
      <c r="E510" s="144"/>
      <c r="F510" s="144"/>
      <c r="G510" s="144"/>
      <c r="H510" s="144"/>
      <c r="I510" s="144"/>
      <c r="J510" s="144"/>
      <c r="K510" s="144"/>
      <c r="L510" s="144"/>
      <c r="M510" s="144"/>
      <c r="N510" s="144"/>
      <c r="O510" s="144"/>
      <c r="P510" s="144"/>
      <c r="Q510" s="144">
        <f>(Q471-O471)/O471</f>
        <v>0.613</v>
      </c>
      <c r="R510" s="144"/>
      <c r="S510" s="144">
        <f>(S471-Q471)/Q471</f>
        <v>0.047</v>
      </c>
      <c r="T510" s="144"/>
      <c r="U510" s="144">
        <f>(U471-S471)/S471</f>
        <v>0.122</v>
      </c>
      <c r="V510" s="144"/>
      <c r="W510" s="144">
        <f>(W471-U471)/U471</f>
        <v>0.242</v>
      </c>
      <c r="X510" s="144"/>
      <c r="Y510" s="144">
        <f>(Y471-W471)/W471</f>
        <v>0.021</v>
      </c>
      <c r="Z510" s="144"/>
    </row>
    <row r="511" spans="3:27" ht="11.25" customHeight="1">
      <c r="C511" s="144"/>
      <c r="D511" s="135"/>
      <c r="E511" s="144"/>
      <c r="F511" s="135"/>
      <c r="G511" s="144"/>
      <c r="H511" s="135"/>
      <c r="I511" s="144"/>
      <c r="J511" s="135"/>
      <c r="K511" s="144"/>
      <c r="L511" s="135"/>
      <c r="M511" s="144"/>
      <c r="N511" s="135"/>
      <c r="O511" s="144"/>
      <c r="P511" s="135"/>
      <c r="Q511" s="144"/>
      <c r="R511" s="135"/>
      <c r="S511" s="144"/>
      <c r="T511" s="135"/>
      <c r="U511" s="144"/>
      <c r="V511" s="135"/>
      <c r="W511" s="144"/>
      <c r="X511" s="135"/>
      <c r="Y511" s="144"/>
      <c r="Z511" s="135"/>
      <c r="AA511" s="142"/>
    </row>
    <row r="512" spans="1:27" ht="11.25" customHeight="1">
      <c r="A512" s="115" t="s">
        <v>38</v>
      </c>
      <c r="C512" s="144"/>
      <c r="D512" s="135"/>
      <c r="E512" s="144">
        <f>(E473-C473)/C473</f>
        <v>1.397</v>
      </c>
      <c r="F512" s="145"/>
      <c r="G512" s="144">
        <f>(G473-E473)/E473</f>
        <v>1.085</v>
      </c>
      <c r="H512" s="145"/>
      <c r="I512" s="144">
        <f>(I473-G473)/G473</f>
        <v>0.72</v>
      </c>
      <c r="J512" s="145"/>
      <c r="K512" s="144">
        <f>(K473-I473)/I473</f>
        <v>0.366</v>
      </c>
      <c r="L512" s="145"/>
      <c r="M512" s="144">
        <f>(M473-K473)/K473</f>
        <v>0.173</v>
      </c>
      <c r="N512" s="145"/>
      <c r="O512" s="144">
        <f>(O473-M473)/M473</f>
        <v>0.069</v>
      </c>
      <c r="P512" s="145" t="s">
        <v>16</v>
      </c>
      <c r="Q512" s="144">
        <f>(Q473-O473)/O473</f>
        <v>0.128</v>
      </c>
      <c r="R512" s="145"/>
      <c r="S512" s="144">
        <f>(S473-Q473)/Q473</f>
        <v>0.058</v>
      </c>
      <c r="T512" s="145"/>
      <c r="U512" s="144">
        <f>(U473-S473)/S473</f>
        <v>0.103</v>
      </c>
      <c r="V512" s="145"/>
      <c r="W512" s="144">
        <f>(W473-U473)/U473</f>
        <v>0.095</v>
      </c>
      <c r="X512" s="145"/>
      <c r="Y512" s="144">
        <f>(Y473-W473)/W473</f>
        <v>0.031</v>
      </c>
      <c r="Z512" s="145"/>
      <c r="AA512" s="142"/>
    </row>
    <row r="513" spans="3:27" ht="11.25" customHeight="1">
      <c r="C513" s="146"/>
      <c r="D513" s="142"/>
      <c r="E513" s="146"/>
      <c r="F513" s="142"/>
      <c r="G513" s="146"/>
      <c r="H513" s="142"/>
      <c r="I513" s="146"/>
      <c r="J513" s="142"/>
      <c r="K513" s="146"/>
      <c r="L513" s="142"/>
      <c r="M513" s="146"/>
      <c r="N513" s="142"/>
      <c r="O513" s="146"/>
      <c r="P513" s="142"/>
      <c r="Q513" s="146"/>
      <c r="R513" s="142"/>
      <c r="S513" s="146"/>
      <c r="T513" s="142"/>
      <c r="U513" s="146"/>
      <c r="V513" s="142"/>
      <c r="W513" s="146"/>
      <c r="X513" s="142"/>
      <c r="Y513" s="146"/>
      <c r="Z513" s="142"/>
      <c r="AA513" s="142"/>
    </row>
    <row r="514" spans="1:25" ht="11.25" customHeight="1">
      <c r="A514" s="123" t="s">
        <v>48</v>
      </c>
      <c r="C514" s="126"/>
      <c r="E514" s="126"/>
      <c r="G514" s="126"/>
      <c r="I514" s="126"/>
      <c r="K514" s="126"/>
      <c r="L514" s="142"/>
      <c r="M514" s="126"/>
      <c r="O514" s="126"/>
      <c r="Q514" s="126"/>
      <c r="S514" s="126"/>
      <c r="T514" s="142"/>
      <c r="U514" s="126"/>
      <c r="V514" s="142"/>
      <c r="W514" s="126"/>
      <c r="Y514" s="126"/>
    </row>
    <row r="515" ht="11.25" customHeight="1">
      <c r="A515" s="123" t="s">
        <v>94</v>
      </c>
    </row>
  </sheetData>
  <printOptions horizontalCentered="1"/>
  <pageMargins left="0.75" right="0.5" top="0.79" bottom="0" header="0.5" footer="0.5"/>
  <pageSetup fitToHeight="0" fitToWidth="1" horizontalDpi="360" verticalDpi="360" orientation="landscape" paperSize="5" r:id="rId1"/>
  <rowBreaks count="12" manualBreakCount="12">
    <brk id="42" max="26" man="1"/>
    <brk id="81" max="26" man="1"/>
    <brk id="126" max="26" man="1"/>
    <brk id="163" max="26" man="1"/>
    <brk id="202" max="26" man="1"/>
    <brk id="240" max="26" man="1"/>
    <brk id="280" max="26" man="1"/>
    <brk id="318" max="26" man="1"/>
    <brk id="364" max="26" man="1"/>
    <brk id="401" max="26" man="1"/>
    <brk id="439" max="26" man="1"/>
    <brk id="480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CG1001"/>
  <sheetViews>
    <sheetView showGridLines="0" workbookViewId="0" topLeftCell="A1">
      <selection activeCell="A1" sqref="A1"/>
    </sheetView>
  </sheetViews>
  <sheetFormatPr defaultColWidth="12.57421875" defaultRowHeight="11.25" customHeight="1"/>
  <cols>
    <col min="1" max="1" width="12.57421875" style="118" customWidth="1"/>
    <col min="2" max="2" width="1.7109375" style="118" customWidth="1"/>
    <col min="3" max="3" width="8.7109375" style="118" customWidth="1"/>
    <col min="4" max="4" width="1.7109375" style="142" customWidth="1"/>
    <col min="5" max="5" width="8.7109375" style="118" customWidth="1"/>
    <col min="6" max="6" width="1.7109375" style="142" customWidth="1"/>
    <col min="7" max="7" width="9.28125" style="118" bestFit="1" customWidth="1"/>
    <col min="8" max="8" width="1.7109375" style="118" customWidth="1"/>
    <col min="9" max="9" width="8.7109375" style="118" customWidth="1"/>
    <col min="10" max="10" width="1.7109375" style="118" customWidth="1"/>
    <col min="11" max="11" width="8.7109375" style="118" customWidth="1"/>
    <col min="12" max="12" width="1.7109375" style="118" customWidth="1"/>
    <col min="13" max="13" width="8.7109375" style="118" customWidth="1"/>
    <col min="14" max="14" width="1.7109375" style="118" customWidth="1"/>
    <col min="15" max="15" width="9.28125" style="118" customWidth="1"/>
    <col min="16" max="16" width="2.57421875" style="184" customWidth="1"/>
    <col min="17" max="17" width="8.8515625" style="118" customWidth="1"/>
    <col min="18" max="18" width="1.7109375" style="118" customWidth="1"/>
    <col min="19" max="19" width="9.28125" style="118" customWidth="1"/>
    <col min="20" max="20" width="1.7109375" style="118" customWidth="1"/>
    <col min="21" max="21" width="9.28125" style="118" customWidth="1"/>
    <col min="22" max="22" width="1.7109375" style="118" customWidth="1"/>
    <col min="23" max="23" width="9.28125" style="118" customWidth="1"/>
    <col min="24" max="24" width="1.7109375" style="118" customWidth="1"/>
    <col min="25" max="25" width="9.28125" style="118" customWidth="1"/>
    <col min="26" max="26" width="2.421875" style="118" customWidth="1"/>
    <col min="27" max="27" width="1.7109375" style="118" customWidth="1"/>
    <col min="28" max="28" width="2.140625" style="118" customWidth="1"/>
    <col min="29" max="29" width="12.57421875" style="118" customWidth="1"/>
    <col min="30" max="30" width="11.57421875" style="118" customWidth="1"/>
    <col min="31" max="31" width="12.7109375" style="118" customWidth="1"/>
    <col min="32" max="32" width="1.7109375" style="118" customWidth="1"/>
    <col min="33" max="33" width="8.7109375" style="118" customWidth="1"/>
    <col min="34" max="34" width="1.7109375" style="118" customWidth="1"/>
    <col min="35" max="35" width="8.7109375" style="118" customWidth="1"/>
    <col min="36" max="36" width="1.7109375" style="118" customWidth="1"/>
    <col min="37" max="37" width="8.7109375" style="118" customWidth="1"/>
    <col min="38" max="38" width="1.7109375" style="118" customWidth="1"/>
    <col min="39" max="39" width="8.7109375" style="118" customWidth="1"/>
    <col min="40" max="40" width="1.7109375" style="118" customWidth="1"/>
    <col min="41" max="41" width="8.7109375" style="118" customWidth="1"/>
    <col min="42" max="42" width="1.7109375" style="118" customWidth="1"/>
    <col min="43" max="43" width="8.7109375" style="118" customWidth="1"/>
    <col min="44" max="44" width="1.7109375" style="118" customWidth="1"/>
    <col min="45" max="45" width="8.7109375" style="118" customWidth="1"/>
    <col min="46" max="46" width="3.00390625" style="118" bestFit="1" customWidth="1"/>
    <col min="47" max="47" width="8.7109375" style="118" customWidth="1"/>
    <col min="48" max="48" width="1.8515625" style="118" customWidth="1"/>
    <col min="49" max="49" width="8.7109375" style="118" customWidth="1"/>
    <col min="50" max="50" width="1.7109375" style="118" customWidth="1"/>
    <col min="51" max="51" width="8.7109375" style="118" customWidth="1"/>
    <col min="52" max="52" width="1.7109375" style="118" customWidth="1"/>
    <col min="53" max="53" width="8.7109375" style="118" customWidth="1"/>
    <col min="54" max="54" width="1.7109375" style="118" customWidth="1"/>
    <col min="55" max="55" width="8.7109375" style="118" customWidth="1"/>
    <col min="56" max="56" width="3.00390625" style="118" bestFit="1" customWidth="1"/>
    <col min="57" max="57" width="1.7109375" style="118" customWidth="1"/>
    <col min="58" max="16384" width="12.57421875" style="118" customWidth="1"/>
  </cols>
  <sheetData>
    <row r="1" spans="1:18" ht="11.25" customHeight="1">
      <c r="A1" s="115" t="s">
        <v>0</v>
      </c>
      <c r="R1" s="118" t="s">
        <v>36</v>
      </c>
    </row>
    <row r="2" ht="11.25" customHeight="1">
      <c r="A2" s="115" t="s">
        <v>70</v>
      </c>
    </row>
    <row r="3" spans="1:4" ht="11.25" customHeight="1">
      <c r="A3" s="119" t="s">
        <v>88</v>
      </c>
      <c r="B3" s="140"/>
      <c r="C3" s="140"/>
      <c r="D3" s="140"/>
    </row>
    <row r="4" spans="1:3" ht="11.25" customHeight="1">
      <c r="A4" s="115" t="s">
        <v>2</v>
      </c>
      <c r="B4" s="126"/>
      <c r="C4" s="126"/>
    </row>
    <row r="5" spans="1:5" ht="11.25" customHeight="1">
      <c r="A5"/>
      <c r="E5" s="118" t="s">
        <v>37</v>
      </c>
    </row>
    <row r="6" ht="11.25" customHeight="1">
      <c r="A6" s="123"/>
    </row>
    <row r="7" spans="3:29" ht="11.25" customHeight="1">
      <c r="C7" s="124" t="s">
        <v>3</v>
      </c>
      <c r="E7" s="124" t="s">
        <v>4</v>
      </c>
      <c r="G7" s="124" t="s">
        <v>5</v>
      </c>
      <c r="H7" s="142"/>
      <c r="I7" s="124" t="s">
        <v>6</v>
      </c>
      <c r="J7" s="142"/>
      <c r="K7" s="124" t="s">
        <v>7</v>
      </c>
      <c r="L7" s="142"/>
      <c r="M7" s="124" t="s">
        <v>8</v>
      </c>
      <c r="N7" s="142"/>
      <c r="O7" s="124" t="s">
        <v>9</v>
      </c>
      <c r="P7" s="181"/>
      <c r="Q7" s="124" t="s">
        <v>10</v>
      </c>
      <c r="R7" s="142"/>
      <c r="S7" s="124" t="s">
        <v>11</v>
      </c>
      <c r="T7" s="142"/>
      <c r="U7" s="124" t="s">
        <v>12</v>
      </c>
      <c r="V7" s="142"/>
      <c r="W7" s="124" t="s">
        <v>13</v>
      </c>
      <c r="X7" s="142"/>
      <c r="Y7" s="124" t="s">
        <v>14</v>
      </c>
      <c r="Z7" s="142"/>
      <c r="AB7" s="181"/>
      <c r="AC7" s="181"/>
    </row>
    <row r="8" spans="3:29" ht="11.25" customHeight="1">
      <c r="C8" s="126"/>
      <c r="E8" s="126"/>
      <c r="G8" s="126"/>
      <c r="H8" s="142"/>
      <c r="I8" s="126"/>
      <c r="K8" s="126"/>
      <c r="L8" s="142"/>
      <c r="M8" s="126"/>
      <c r="O8" s="126"/>
      <c r="P8" s="181"/>
      <c r="Q8" s="126"/>
      <c r="S8" s="126"/>
      <c r="T8" s="142"/>
      <c r="U8" s="126"/>
      <c r="V8" s="142"/>
      <c r="W8" s="126"/>
      <c r="X8" s="142"/>
      <c r="Y8" s="126"/>
      <c r="AB8" s="142"/>
      <c r="AC8" s="142"/>
    </row>
    <row r="10" spans="1:30" ht="11.25" customHeight="1">
      <c r="A10" s="115" t="s">
        <v>15</v>
      </c>
      <c r="C10" s="127"/>
      <c r="D10" s="182"/>
      <c r="E10" s="127"/>
      <c r="F10" s="138"/>
      <c r="G10" s="127"/>
      <c r="H10" s="127"/>
      <c r="I10" s="127">
        <v>11564</v>
      </c>
      <c r="J10" s="127"/>
      <c r="K10" s="127">
        <v>22926</v>
      </c>
      <c r="L10" s="127"/>
      <c r="M10" s="127">
        <v>25205</v>
      </c>
      <c r="N10" s="127"/>
      <c r="O10" s="220">
        <v>31505</v>
      </c>
      <c r="P10" s="209"/>
      <c r="Q10" s="127">
        <v>27040</v>
      </c>
      <c r="R10" s="137"/>
      <c r="S10" s="137">
        <v>13230</v>
      </c>
      <c r="T10" s="137"/>
      <c r="U10" s="137">
        <v>9124</v>
      </c>
      <c r="V10" s="137"/>
      <c r="W10" s="137">
        <v>11303</v>
      </c>
      <c r="X10" s="137"/>
      <c r="Y10" s="137">
        <v>3973</v>
      </c>
      <c r="Z10" s="183" t="s">
        <v>46</v>
      </c>
      <c r="AA10" s="14"/>
      <c r="AB10" s="127"/>
      <c r="AC10" s="127"/>
      <c r="AD10" s="14"/>
    </row>
    <row r="11" spans="3:29" ht="11.25" customHeight="1">
      <c r="C11" s="184"/>
      <c r="D11" s="181"/>
      <c r="E11" s="52"/>
      <c r="F11" s="181"/>
      <c r="G11" s="184"/>
      <c r="AB11" s="137"/>
      <c r="AC11" s="137"/>
    </row>
    <row r="12" spans="1:29" ht="11.25" customHeight="1">
      <c r="A12" s="115" t="s">
        <v>17</v>
      </c>
      <c r="C12" s="63"/>
      <c r="D12" s="130"/>
      <c r="E12" s="63"/>
      <c r="F12" s="130"/>
      <c r="G12" s="127">
        <v>891</v>
      </c>
      <c r="H12" s="63"/>
      <c r="I12" s="63">
        <v>17616</v>
      </c>
      <c r="J12" s="63"/>
      <c r="K12" s="63">
        <v>28231</v>
      </c>
      <c r="L12" s="63"/>
      <c r="M12" s="63">
        <v>37315</v>
      </c>
      <c r="N12" s="63"/>
      <c r="O12" s="216">
        <v>25668</v>
      </c>
      <c r="P12" s="15" t="s">
        <v>16</v>
      </c>
      <c r="Q12" s="63">
        <v>39612</v>
      </c>
      <c r="R12" s="14"/>
      <c r="S12" s="14">
        <v>35585</v>
      </c>
      <c r="T12" s="14"/>
      <c r="U12" s="14">
        <v>34635</v>
      </c>
      <c r="V12" s="14"/>
      <c r="W12" s="14">
        <v>31893</v>
      </c>
      <c r="X12" s="14"/>
      <c r="Y12" s="14">
        <v>31065</v>
      </c>
      <c r="Z12" s="14"/>
      <c r="AB12" s="185"/>
      <c r="AC12" s="185"/>
    </row>
    <row r="13" spans="3:29" ht="11.25" customHeight="1">
      <c r="C13" s="14"/>
      <c r="D13" s="98"/>
      <c r="E13" s="14"/>
      <c r="F13" s="98"/>
      <c r="G13" s="14"/>
      <c r="H13" s="14"/>
      <c r="I13" s="14"/>
      <c r="J13" s="14"/>
      <c r="K13" s="14"/>
      <c r="L13" s="14"/>
      <c r="M13" s="14"/>
      <c r="N13" s="14"/>
      <c r="O13" s="224"/>
      <c r="P13" s="52"/>
      <c r="Q13" s="14"/>
      <c r="R13" s="14"/>
      <c r="S13" s="14"/>
      <c r="T13" s="14"/>
      <c r="U13" s="14"/>
      <c r="V13" s="14"/>
      <c r="W13" s="14"/>
      <c r="X13" s="14"/>
      <c r="Y13" s="14"/>
      <c r="Z13" s="14"/>
      <c r="AB13" s="185"/>
      <c r="AC13" s="185"/>
    </row>
    <row r="14" spans="1:29" ht="11.25" customHeight="1">
      <c r="A14" s="115" t="s">
        <v>18</v>
      </c>
      <c r="C14" s="63"/>
      <c r="D14" s="130"/>
      <c r="E14" s="186">
        <v>65</v>
      </c>
      <c r="F14" s="187"/>
      <c r="G14" s="97">
        <v>15161</v>
      </c>
      <c r="H14" s="97"/>
      <c r="I14" s="97">
        <v>13890</v>
      </c>
      <c r="J14" s="97"/>
      <c r="K14" s="97">
        <v>17048</v>
      </c>
      <c r="L14" s="97"/>
      <c r="M14" s="97">
        <v>22433</v>
      </c>
      <c r="N14" s="14"/>
      <c r="O14" s="224">
        <v>21447</v>
      </c>
      <c r="P14" s="52"/>
      <c r="Q14" s="14">
        <v>15958</v>
      </c>
      <c r="R14" s="14"/>
      <c r="S14" s="14">
        <v>14510</v>
      </c>
      <c r="T14" s="14"/>
      <c r="U14" s="14">
        <v>19146</v>
      </c>
      <c r="V14" s="14"/>
      <c r="W14" s="14">
        <v>26553</v>
      </c>
      <c r="X14" s="14"/>
      <c r="Y14" s="14">
        <v>31561</v>
      </c>
      <c r="Z14" s="14"/>
      <c r="AB14" s="185"/>
      <c r="AC14" s="185"/>
    </row>
    <row r="15" spans="3:29" ht="11.25" customHeight="1">
      <c r="C15" s="63"/>
      <c r="D15" s="130"/>
      <c r="E15" s="63"/>
      <c r="F15" s="130"/>
      <c r="G15" s="63"/>
      <c r="H15" s="63"/>
      <c r="I15" s="63"/>
      <c r="J15" s="63"/>
      <c r="K15" s="63"/>
      <c r="L15" s="63"/>
      <c r="M15" s="63"/>
      <c r="N15" s="14"/>
      <c r="O15" s="224"/>
      <c r="P15" s="52"/>
      <c r="Q15" s="14"/>
      <c r="R15" s="14"/>
      <c r="S15" s="14"/>
      <c r="T15" s="14"/>
      <c r="U15" s="14"/>
      <c r="V15" s="14"/>
      <c r="W15" s="14"/>
      <c r="X15" s="14"/>
      <c r="Y15" s="14"/>
      <c r="Z15" s="14"/>
      <c r="AB15" s="185"/>
      <c r="AC15" s="185"/>
    </row>
    <row r="16" spans="1:29" ht="11.25" customHeight="1">
      <c r="A16" s="115" t="s">
        <v>19</v>
      </c>
      <c r="C16" s="63"/>
      <c r="D16" s="130"/>
      <c r="E16" s="63">
        <v>6539</v>
      </c>
      <c r="F16" s="130"/>
      <c r="G16" s="63">
        <v>23490</v>
      </c>
      <c r="H16" s="63"/>
      <c r="I16" s="63">
        <v>19745</v>
      </c>
      <c r="J16" s="63"/>
      <c r="K16" s="63">
        <v>19369</v>
      </c>
      <c r="L16" s="63"/>
      <c r="M16" s="63">
        <v>25981</v>
      </c>
      <c r="N16" s="14"/>
      <c r="O16" s="224">
        <v>35215</v>
      </c>
      <c r="P16" s="52"/>
      <c r="Q16" s="14">
        <v>35065</v>
      </c>
      <c r="R16" s="14"/>
      <c r="S16" s="14">
        <v>36055</v>
      </c>
      <c r="T16" s="14"/>
      <c r="U16" s="14">
        <v>39095</v>
      </c>
      <c r="V16" s="14"/>
      <c r="W16" s="14">
        <v>37812</v>
      </c>
      <c r="X16" s="14"/>
      <c r="Y16" s="14">
        <v>41933</v>
      </c>
      <c r="Z16" s="14"/>
      <c r="AB16" s="185"/>
      <c r="AC16" s="185"/>
    </row>
    <row r="17" spans="3:29" ht="11.25" customHeight="1">
      <c r="C17" s="63"/>
      <c r="D17" s="130"/>
      <c r="E17" s="63"/>
      <c r="F17" s="130"/>
      <c r="G17" s="63"/>
      <c r="H17" s="63"/>
      <c r="I17" s="63"/>
      <c r="J17" s="63"/>
      <c r="K17" s="63"/>
      <c r="L17" s="63"/>
      <c r="M17" s="63"/>
      <c r="N17" s="14"/>
      <c r="O17" s="224"/>
      <c r="P17" s="52"/>
      <c r="Q17" s="14"/>
      <c r="R17" s="14"/>
      <c r="S17" s="14"/>
      <c r="T17" s="14"/>
      <c r="U17" s="14"/>
      <c r="V17" s="14"/>
      <c r="W17" s="14"/>
      <c r="X17" s="14"/>
      <c r="Y17" s="14"/>
      <c r="Z17" s="14"/>
      <c r="AB17" s="185"/>
      <c r="AC17" s="185"/>
    </row>
    <row r="18" spans="1:29" ht="11.25" customHeight="1">
      <c r="A18" s="131" t="s">
        <v>20</v>
      </c>
      <c r="C18" s="63"/>
      <c r="D18" s="130"/>
      <c r="E18" s="63"/>
      <c r="F18" s="130"/>
      <c r="G18" s="63"/>
      <c r="H18" s="63"/>
      <c r="I18" s="63">
        <v>3611</v>
      </c>
      <c r="J18" s="63"/>
      <c r="K18" s="63">
        <v>14790</v>
      </c>
      <c r="L18" s="63"/>
      <c r="M18" s="63">
        <v>17796</v>
      </c>
      <c r="N18" s="15"/>
      <c r="O18" s="224">
        <v>17471</v>
      </c>
      <c r="P18" s="52"/>
      <c r="Q18" s="14">
        <v>17892</v>
      </c>
      <c r="R18" s="14"/>
      <c r="S18" s="14">
        <v>18764</v>
      </c>
      <c r="T18" s="14"/>
      <c r="U18" s="14">
        <v>19334</v>
      </c>
      <c r="V18" s="14"/>
      <c r="W18" s="14">
        <v>21487</v>
      </c>
      <c r="X18" s="14"/>
      <c r="Y18" s="14">
        <v>16224</v>
      </c>
      <c r="Z18" s="14"/>
      <c r="AB18" s="185"/>
      <c r="AC18" s="185"/>
    </row>
    <row r="19" spans="3:29" ht="11.25" customHeight="1">
      <c r="C19" s="63"/>
      <c r="D19" s="130"/>
      <c r="E19" s="63"/>
      <c r="F19" s="130"/>
      <c r="G19" s="63"/>
      <c r="H19" s="63"/>
      <c r="I19" s="63"/>
      <c r="J19" s="63"/>
      <c r="K19" s="63"/>
      <c r="L19" s="63"/>
      <c r="M19" s="63"/>
      <c r="N19" s="14"/>
      <c r="O19" s="224"/>
      <c r="P19" s="52"/>
      <c r="Q19" s="14"/>
      <c r="R19" s="14"/>
      <c r="S19" s="14"/>
      <c r="T19" s="14"/>
      <c r="U19" s="14"/>
      <c r="V19" s="14"/>
      <c r="W19" s="14"/>
      <c r="X19" s="14"/>
      <c r="Y19" s="14"/>
      <c r="Z19" s="14"/>
      <c r="AB19" s="185"/>
      <c r="AC19" s="185"/>
    </row>
    <row r="20" spans="1:29" ht="11.25" customHeight="1">
      <c r="A20" s="115" t="s">
        <v>21</v>
      </c>
      <c r="C20" s="63"/>
      <c r="D20" s="130"/>
      <c r="E20" s="63"/>
      <c r="F20" s="130"/>
      <c r="G20" s="63">
        <v>265</v>
      </c>
      <c r="H20" s="63"/>
      <c r="I20" s="63">
        <v>12848</v>
      </c>
      <c r="J20" s="63"/>
      <c r="K20" s="63">
        <v>21294</v>
      </c>
      <c r="L20" s="63"/>
      <c r="M20" s="63">
        <v>19437</v>
      </c>
      <c r="N20" s="14"/>
      <c r="O20" s="224">
        <v>22625</v>
      </c>
      <c r="P20" s="52"/>
      <c r="Q20" s="14">
        <v>28018</v>
      </c>
      <c r="R20" s="14"/>
      <c r="S20" s="14">
        <v>30413</v>
      </c>
      <c r="T20" s="14"/>
      <c r="U20" s="14">
        <v>33804</v>
      </c>
      <c r="V20" s="14"/>
      <c r="W20" s="14">
        <v>43344</v>
      </c>
      <c r="X20" s="14"/>
      <c r="Y20" s="14">
        <v>42896</v>
      </c>
      <c r="Z20" s="14"/>
      <c r="AB20" s="185"/>
      <c r="AC20" s="185"/>
    </row>
    <row r="21" spans="3:29" ht="11.25" customHeight="1">
      <c r="C21" s="63"/>
      <c r="D21" s="130"/>
      <c r="E21" s="63"/>
      <c r="F21" s="130"/>
      <c r="G21" s="63"/>
      <c r="H21" s="63"/>
      <c r="I21" s="63"/>
      <c r="J21" s="63"/>
      <c r="K21" s="63"/>
      <c r="L21" s="63"/>
      <c r="M21" s="63"/>
      <c r="N21" s="14"/>
      <c r="O21" s="224"/>
      <c r="P21" s="52"/>
      <c r="Q21" s="14"/>
      <c r="R21" s="14"/>
      <c r="S21" s="14"/>
      <c r="T21" s="14"/>
      <c r="U21" s="14"/>
      <c r="V21" s="14"/>
      <c r="W21" s="14"/>
      <c r="X21" s="14"/>
      <c r="Y21" s="14"/>
      <c r="Z21" s="14"/>
      <c r="AB21" s="185"/>
      <c r="AC21" s="185"/>
    </row>
    <row r="22" spans="1:29" ht="11.25" customHeight="1">
      <c r="A22" s="115" t="s">
        <v>22</v>
      </c>
      <c r="C22" s="127">
        <v>6527</v>
      </c>
      <c r="D22" s="130"/>
      <c r="E22" s="63">
        <v>8949</v>
      </c>
      <c r="F22" s="130"/>
      <c r="G22" s="63">
        <v>23730</v>
      </c>
      <c r="H22" s="63"/>
      <c r="I22" s="63">
        <v>19479</v>
      </c>
      <c r="J22" s="63"/>
      <c r="K22" s="63">
        <v>23792</v>
      </c>
      <c r="L22" s="63"/>
      <c r="M22" s="63">
        <v>27459</v>
      </c>
      <c r="N22" s="14"/>
      <c r="O22" s="224">
        <v>30086</v>
      </c>
      <c r="P22" s="52"/>
      <c r="Q22" s="14">
        <v>32676</v>
      </c>
      <c r="R22" s="14"/>
      <c r="S22" s="14">
        <v>30220</v>
      </c>
      <c r="T22" s="14"/>
      <c r="U22" s="14">
        <v>32155</v>
      </c>
      <c r="V22" s="14"/>
      <c r="W22" s="14">
        <v>35933</v>
      </c>
      <c r="X22" s="14"/>
      <c r="Y22" s="14">
        <v>28596</v>
      </c>
      <c r="Z22" s="14"/>
      <c r="AB22" s="185"/>
      <c r="AC22" s="185"/>
    </row>
    <row r="23" spans="3:29" ht="11.25" customHeight="1">
      <c r="C23" s="63"/>
      <c r="D23" s="130"/>
      <c r="E23" s="63"/>
      <c r="F23" s="130"/>
      <c r="G23" s="63"/>
      <c r="H23" s="63"/>
      <c r="I23" s="63"/>
      <c r="J23" s="63"/>
      <c r="K23" s="63"/>
      <c r="L23" s="63"/>
      <c r="M23" s="63"/>
      <c r="N23" s="14"/>
      <c r="O23" s="224"/>
      <c r="P23" s="52"/>
      <c r="Q23" s="14"/>
      <c r="R23" s="14"/>
      <c r="S23" s="14"/>
      <c r="T23" s="14"/>
      <c r="U23" s="14"/>
      <c r="V23" s="14"/>
      <c r="W23" s="14"/>
      <c r="X23" s="14"/>
      <c r="Y23" s="14"/>
      <c r="Z23" s="14"/>
      <c r="AB23" s="185"/>
      <c r="AC23" s="185"/>
    </row>
    <row r="24" spans="1:29" ht="11.25" customHeight="1">
      <c r="A24" s="115" t="s">
        <v>23</v>
      </c>
      <c r="C24" s="63"/>
      <c r="D24" s="130"/>
      <c r="E24" s="63"/>
      <c r="F24" s="130"/>
      <c r="G24" s="63">
        <v>2802</v>
      </c>
      <c r="H24" s="63"/>
      <c r="I24" s="63">
        <v>13981</v>
      </c>
      <c r="J24" s="63"/>
      <c r="K24" s="63">
        <v>21836</v>
      </c>
      <c r="L24" s="63"/>
      <c r="M24" s="63">
        <v>23781</v>
      </c>
      <c r="N24" s="14"/>
      <c r="O24" s="224">
        <v>19846</v>
      </c>
      <c r="P24" s="52"/>
      <c r="Q24" s="14">
        <v>17393</v>
      </c>
      <c r="R24" s="14"/>
      <c r="S24" s="14">
        <v>18088</v>
      </c>
      <c r="T24" s="14"/>
      <c r="U24" s="14">
        <v>20080</v>
      </c>
      <c r="V24" s="14"/>
      <c r="W24" s="14">
        <v>22931</v>
      </c>
      <c r="X24" s="14"/>
      <c r="Y24" s="14">
        <v>21388</v>
      </c>
      <c r="Z24" s="14"/>
      <c r="AB24" s="185"/>
      <c r="AC24" s="185"/>
    </row>
    <row r="25" spans="3:29" ht="11.25" customHeight="1">
      <c r="C25" s="63"/>
      <c r="D25" s="130"/>
      <c r="E25" s="63"/>
      <c r="F25" s="130"/>
      <c r="G25" s="63"/>
      <c r="H25" s="63"/>
      <c r="I25" s="63"/>
      <c r="J25" s="63"/>
      <c r="K25" s="63"/>
      <c r="L25" s="63"/>
      <c r="M25" s="63"/>
      <c r="N25" s="14"/>
      <c r="O25" s="224"/>
      <c r="P25" s="52"/>
      <c r="Q25" s="14"/>
      <c r="R25" s="14"/>
      <c r="S25" s="14"/>
      <c r="T25" s="14"/>
      <c r="U25" s="14"/>
      <c r="V25" s="14"/>
      <c r="W25" s="14"/>
      <c r="X25" s="14"/>
      <c r="Y25" s="14"/>
      <c r="Z25" s="14"/>
      <c r="AB25" s="185"/>
      <c r="AC25" s="185"/>
    </row>
    <row r="26" spans="1:29" ht="11.25" customHeight="1">
      <c r="A26" s="115" t="s">
        <v>24</v>
      </c>
      <c r="C26" s="63"/>
      <c r="D26" s="130"/>
      <c r="E26" s="63"/>
      <c r="F26" s="130"/>
      <c r="G26" s="63"/>
      <c r="H26" s="63"/>
      <c r="I26" s="63"/>
      <c r="J26" s="63"/>
      <c r="K26" s="63"/>
      <c r="L26" s="63"/>
      <c r="M26" s="63"/>
      <c r="N26" s="52"/>
      <c r="O26" s="216"/>
      <c r="P26" s="52"/>
      <c r="Q26" s="63"/>
      <c r="R26" s="63"/>
      <c r="S26" s="63"/>
      <c r="T26" s="14"/>
      <c r="U26" s="14">
        <v>13870</v>
      </c>
      <c r="V26" s="14"/>
      <c r="W26" s="14">
        <v>29516</v>
      </c>
      <c r="X26" s="14"/>
      <c r="Y26" s="14">
        <v>34082</v>
      </c>
      <c r="Z26" s="14"/>
      <c r="AB26" s="185"/>
      <c r="AC26" s="185"/>
    </row>
    <row r="27" spans="3:29" ht="11.25" customHeight="1">
      <c r="C27" s="63"/>
      <c r="D27" s="130"/>
      <c r="E27" s="63"/>
      <c r="F27" s="130"/>
      <c r="G27" s="63"/>
      <c r="H27" s="63"/>
      <c r="I27" s="63"/>
      <c r="J27" s="63"/>
      <c r="K27" s="63"/>
      <c r="L27" s="63"/>
      <c r="M27" s="63"/>
      <c r="N27" s="14"/>
      <c r="O27" s="224"/>
      <c r="P27" s="52"/>
      <c r="Q27" s="14"/>
      <c r="R27" s="14"/>
      <c r="S27" s="14"/>
      <c r="T27" s="14"/>
      <c r="U27" s="14"/>
      <c r="V27" s="14"/>
      <c r="W27" s="14"/>
      <c r="X27" s="14"/>
      <c r="Y27" s="14"/>
      <c r="Z27" s="14"/>
      <c r="AB27" s="185"/>
      <c r="AC27" s="185"/>
    </row>
    <row r="28" spans="1:29" ht="11.25" customHeight="1">
      <c r="A28" s="131" t="s">
        <v>25</v>
      </c>
      <c r="C28" s="63"/>
      <c r="D28" s="130"/>
      <c r="E28" s="63"/>
      <c r="F28" s="130"/>
      <c r="G28" s="63"/>
      <c r="H28" s="63"/>
      <c r="I28" s="63">
        <v>1365</v>
      </c>
      <c r="J28" s="63"/>
      <c r="K28" s="63">
        <v>20048</v>
      </c>
      <c r="L28" s="63"/>
      <c r="M28" s="63">
        <v>24984</v>
      </c>
      <c r="N28" s="14"/>
      <c r="O28" s="224">
        <v>33665</v>
      </c>
      <c r="P28" s="52"/>
      <c r="Q28" s="14">
        <v>28310</v>
      </c>
      <c r="R28" s="14"/>
      <c r="S28" s="14">
        <v>22669</v>
      </c>
      <c r="T28" s="14"/>
      <c r="U28" s="14">
        <v>21190</v>
      </c>
      <c r="V28" s="14"/>
      <c r="W28" s="14">
        <v>24858</v>
      </c>
      <c r="X28" s="14"/>
      <c r="Y28" s="14">
        <v>37818</v>
      </c>
      <c r="Z28" s="14"/>
      <c r="AB28" s="185"/>
      <c r="AC28" s="185"/>
    </row>
    <row r="29" spans="3:29" ht="11.25" customHeight="1">
      <c r="C29" s="63"/>
      <c r="D29" s="130"/>
      <c r="E29" s="63"/>
      <c r="F29" s="130"/>
      <c r="G29" s="63"/>
      <c r="H29" s="63"/>
      <c r="I29" s="63"/>
      <c r="J29" s="63"/>
      <c r="K29" s="63"/>
      <c r="L29" s="63"/>
      <c r="M29" s="63"/>
      <c r="N29" s="14"/>
      <c r="O29" s="224"/>
      <c r="P29" s="52"/>
      <c r="Q29" s="14"/>
      <c r="R29" s="14"/>
      <c r="S29" s="14"/>
      <c r="T29" s="14"/>
      <c r="U29" s="14"/>
      <c r="V29" s="14"/>
      <c r="W29" s="14"/>
      <c r="X29" s="14"/>
      <c r="Y29" s="14"/>
      <c r="Z29" s="14"/>
      <c r="AB29" s="185"/>
      <c r="AC29" s="185"/>
    </row>
    <row r="30" spans="1:29" ht="11.25" customHeight="1">
      <c r="A30" s="115" t="s">
        <v>45</v>
      </c>
      <c r="C30" s="63"/>
      <c r="D30" s="130"/>
      <c r="E30" s="63"/>
      <c r="F30" s="130"/>
      <c r="G30" s="63"/>
      <c r="H30" s="63"/>
      <c r="I30" s="63"/>
      <c r="J30" s="63"/>
      <c r="K30" s="63"/>
      <c r="L30" s="63"/>
      <c r="M30" s="63"/>
      <c r="N30" s="52"/>
      <c r="O30" s="216"/>
      <c r="P30" s="52"/>
      <c r="Q30" s="14">
        <v>15400</v>
      </c>
      <c r="R30" s="14"/>
      <c r="S30" s="14">
        <v>29868</v>
      </c>
      <c r="T30" s="14"/>
      <c r="U30" s="14">
        <v>38092</v>
      </c>
      <c r="V30" s="14"/>
      <c r="W30" s="14">
        <v>37619</v>
      </c>
      <c r="X30" s="14"/>
      <c r="Y30" s="14">
        <v>49149</v>
      </c>
      <c r="Z30" s="14"/>
      <c r="AB30" s="185"/>
      <c r="AC30" s="185"/>
    </row>
    <row r="31" spans="3:29" ht="11.25" customHeight="1">
      <c r="C31" s="63"/>
      <c r="D31" s="130"/>
      <c r="E31" s="63"/>
      <c r="F31" s="130"/>
      <c r="G31" s="63"/>
      <c r="H31" s="63"/>
      <c r="I31" s="63"/>
      <c r="J31" s="63"/>
      <c r="K31" s="63"/>
      <c r="L31" s="63"/>
      <c r="M31" s="63"/>
      <c r="N31" s="14"/>
      <c r="O31" s="224"/>
      <c r="P31" s="52"/>
      <c r="Q31" s="14"/>
      <c r="R31" s="14"/>
      <c r="S31" s="14"/>
      <c r="T31" s="14"/>
      <c r="U31" s="14"/>
      <c r="V31" s="14"/>
      <c r="W31" s="14"/>
      <c r="X31" s="14"/>
      <c r="Y31" s="14"/>
      <c r="Z31" s="14"/>
      <c r="AB31" s="185"/>
      <c r="AC31" s="185"/>
    </row>
    <row r="32" spans="1:29" ht="11.25" customHeight="1">
      <c r="A32" s="115" t="s">
        <v>26</v>
      </c>
      <c r="C32" s="133"/>
      <c r="D32" s="130"/>
      <c r="E32" s="133"/>
      <c r="F32" s="130"/>
      <c r="G32" s="133"/>
      <c r="H32" s="130"/>
      <c r="I32" s="133"/>
      <c r="J32" s="130"/>
      <c r="K32" s="133"/>
      <c r="L32" s="130"/>
      <c r="M32" s="133"/>
      <c r="N32" s="98"/>
      <c r="O32" s="225">
        <v>21162</v>
      </c>
      <c r="P32" s="210"/>
      <c r="Q32" s="149">
        <v>35368</v>
      </c>
      <c r="R32" s="98"/>
      <c r="S32" s="149">
        <v>31823</v>
      </c>
      <c r="T32" s="98"/>
      <c r="U32" s="149">
        <v>34518</v>
      </c>
      <c r="V32" s="98"/>
      <c r="W32" s="149">
        <v>40851</v>
      </c>
      <c r="X32" s="98"/>
      <c r="Y32" s="149">
        <v>47589</v>
      </c>
      <c r="Z32" s="98"/>
      <c r="AA32" s="142"/>
      <c r="AB32" s="185"/>
      <c r="AC32" s="185"/>
    </row>
    <row r="33" spans="3:26" ht="11.25" customHeight="1">
      <c r="C33" s="126"/>
      <c r="E33" s="126"/>
      <c r="G33" s="126"/>
      <c r="H33" s="142"/>
      <c r="I33" s="126"/>
      <c r="J33" s="142"/>
      <c r="K33" s="126"/>
      <c r="L33" s="142"/>
      <c r="M33" s="126"/>
      <c r="N33" s="142"/>
      <c r="O33" s="126"/>
      <c r="P33" s="181"/>
      <c r="Q33" s="126"/>
      <c r="R33" s="142"/>
      <c r="S33" s="126"/>
      <c r="T33" s="142"/>
      <c r="U33" s="126"/>
      <c r="V33" s="142"/>
      <c r="W33" s="126"/>
      <c r="X33" s="142"/>
      <c r="Y33" s="126"/>
      <c r="Z33" s="142"/>
    </row>
    <row r="34" spans="1:29" ht="11.25" customHeight="1" thickBot="1">
      <c r="A34" s="115" t="s">
        <v>38</v>
      </c>
      <c r="C34" s="151">
        <f>SUM(C10:C32)</f>
        <v>6527</v>
      </c>
      <c r="D34" s="152"/>
      <c r="E34" s="151">
        <f>SUM(E10:E32)</f>
        <v>15553</v>
      </c>
      <c r="F34" s="152"/>
      <c r="G34" s="151">
        <f>SUM(G10:G32)</f>
        <v>66339</v>
      </c>
      <c r="H34" s="152"/>
      <c r="I34" s="151">
        <f>SUM(I10:I32)</f>
        <v>114099</v>
      </c>
      <c r="J34" s="152"/>
      <c r="K34" s="151">
        <f>SUM(K10:K32)</f>
        <v>189334</v>
      </c>
      <c r="L34" s="152"/>
      <c r="M34" s="151">
        <f>SUM(M10:M32)</f>
        <v>224391</v>
      </c>
      <c r="N34" s="152"/>
      <c r="O34" s="227">
        <f>SUM(O10:O32)</f>
        <v>258690</v>
      </c>
      <c r="P34" s="237" t="s">
        <v>16</v>
      </c>
      <c r="Q34" s="151">
        <f>SUM(Q10:Q32)</f>
        <v>292732</v>
      </c>
      <c r="R34" s="152"/>
      <c r="S34" s="151">
        <f>SUM(S10:S32)</f>
        <v>281225</v>
      </c>
      <c r="T34" s="152"/>
      <c r="U34" s="151">
        <f>SUM(U10:U32)</f>
        <v>315043</v>
      </c>
      <c r="V34" s="152"/>
      <c r="W34" s="151">
        <f>SUM(W10:W32)</f>
        <v>364100</v>
      </c>
      <c r="X34" s="152"/>
      <c r="Y34" s="151">
        <f>SUM(Y10:Y32)</f>
        <v>386274</v>
      </c>
      <c r="Z34" s="152"/>
      <c r="AB34" s="152"/>
      <c r="AC34" s="152"/>
    </row>
    <row r="35" spans="3:25" ht="11.25" customHeight="1" thickTop="1">
      <c r="C35" s="126"/>
      <c r="E35" s="126"/>
      <c r="G35" s="126"/>
      <c r="I35" s="126"/>
      <c r="J35" s="142"/>
      <c r="K35" s="126"/>
      <c r="L35" s="142"/>
      <c r="M35" s="126"/>
      <c r="N35" s="142"/>
      <c r="O35" s="126"/>
      <c r="P35" s="181"/>
      <c r="Q35" s="126"/>
      <c r="S35" s="126"/>
      <c r="T35" s="142"/>
      <c r="U35" s="126"/>
      <c r="V35" s="142"/>
      <c r="W35" s="126"/>
      <c r="X35" s="142"/>
      <c r="Y35" s="126"/>
    </row>
    <row r="36" spans="1:25" ht="11.25" customHeight="1">
      <c r="A36" s="118" t="s">
        <v>71</v>
      </c>
      <c r="G36" s="126"/>
      <c r="I36" s="126"/>
      <c r="J36" s="142"/>
      <c r="K36" s="126"/>
      <c r="L36" s="142"/>
      <c r="M36" s="126"/>
      <c r="O36" s="126"/>
      <c r="Q36" s="126"/>
      <c r="S36" s="126"/>
      <c r="U36" s="126"/>
      <c r="W36" s="126"/>
      <c r="Y36" s="126"/>
    </row>
    <row r="37" spans="1:25" ht="11.25" customHeight="1">
      <c r="A37" s="123" t="s">
        <v>94</v>
      </c>
      <c r="C37" s="126"/>
      <c r="D37" s="173"/>
      <c r="E37" s="70"/>
      <c r="G37" s="126"/>
      <c r="I37" s="126"/>
      <c r="J37" s="142"/>
      <c r="K37" s="126"/>
      <c r="L37" s="142"/>
      <c r="M37" s="126"/>
      <c r="O37" s="126"/>
      <c r="Q37" s="126"/>
      <c r="S37" s="126"/>
      <c r="U37" s="126"/>
      <c r="W37" s="126"/>
      <c r="Y37" s="126"/>
    </row>
    <row r="38" spans="3:25" ht="11.25" customHeight="1">
      <c r="C38" s="126"/>
      <c r="D38" s="173"/>
      <c r="E38" s="70"/>
      <c r="G38" s="126"/>
      <c r="I38" s="126"/>
      <c r="J38" s="142"/>
      <c r="K38" s="126"/>
      <c r="L38" s="142"/>
      <c r="M38" s="126"/>
      <c r="O38" s="126"/>
      <c r="Q38" s="126"/>
      <c r="S38" s="126"/>
      <c r="U38" s="126"/>
      <c r="W38" s="126"/>
      <c r="Y38" s="126"/>
    </row>
    <row r="39" spans="3:25" ht="11.25" customHeight="1">
      <c r="C39" s="126"/>
      <c r="D39" s="173"/>
      <c r="E39" s="70"/>
      <c r="G39" s="126"/>
      <c r="I39" s="126"/>
      <c r="J39" s="142"/>
      <c r="K39" s="126"/>
      <c r="L39" s="142"/>
      <c r="M39" s="126"/>
      <c r="O39" s="126"/>
      <c r="Q39" s="126"/>
      <c r="S39" s="126"/>
      <c r="U39" s="126"/>
      <c r="W39" s="126"/>
      <c r="Y39" s="126"/>
    </row>
    <row r="40" ht="11.25" customHeight="1">
      <c r="A40" s="115"/>
    </row>
    <row r="41" spans="1:36" ht="11.25" customHeight="1">
      <c r="A41" s="115" t="s">
        <v>0</v>
      </c>
      <c r="AE41" s="115" t="s">
        <v>0</v>
      </c>
      <c r="AH41" s="142"/>
      <c r="AJ41" s="142"/>
    </row>
    <row r="42" spans="1:36" ht="11.25" customHeight="1">
      <c r="A42" s="115" t="s">
        <v>72</v>
      </c>
      <c r="AE42" s="115" t="s">
        <v>73</v>
      </c>
      <c r="AH42" s="142"/>
      <c r="AJ42" s="142"/>
    </row>
    <row r="43" spans="1:39" ht="11.25" customHeight="1">
      <c r="A43" s="119" t="str">
        <f>A3</f>
        <v>1978-1989</v>
      </c>
      <c r="B43" s="140"/>
      <c r="C43" s="140"/>
      <c r="D43" s="140"/>
      <c r="E43" s="140"/>
      <c r="F43" s="140"/>
      <c r="G43" s="140"/>
      <c r="H43" s="140"/>
      <c r="I43" s="140"/>
      <c r="AE43" s="119" t="s">
        <v>88</v>
      </c>
      <c r="AF43" s="140"/>
      <c r="AG43" s="140"/>
      <c r="AH43" s="140"/>
      <c r="AI43" s="140"/>
      <c r="AJ43" s="140"/>
      <c r="AK43" s="140"/>
      <c r="AL43" s="140"/>
      <c r="AM43" s="140"/>
    </row>
    <row r="44" spans="1:36" ht="11.25" customHeight="1">
      <c r="A44" s="115"/>
      <c r="B44" s="126"/>
      <c r="C44" s="115"/>
      <c r="AE44" s="115"/>
      <c r="AF44" s="126"/>
      <c r="AG44" s="115"/>
      <c r="AH44" s="142"/>
      <c r="AJ44" s="142"/>
    </row>
    <row r="45" spans="1:36" ht="11.25" customHeight="1">
      <c r="A45"/>
      <c r="AE45"/>
      <c r="AH45" s="142"/>
      <c r="AJ45" s="142"/>
    </row>
    <row r="46" spans="1:36" ht="11.25" customHeight="1">
      <c r="A46" s="123"/>
      <c r="AE46" s="123"/>
      <c r="AH46" s="142"/>
      <c r="AJ46" s="142"/>
    </row>
    <row r="47" spans="3:56" ht="11.25" customHeight="1">
      <c r="C47" s="124" t="s">
        <v>3</v>
      </c>
      <c r="E47" s="124" t="s">
        <v>4</v>
      </c>
      <c r="G47" s="124" t="s">
        <v>5</v>
      </c>
      <c r="H47" s="142"/>
      <c r="I47" s="124" t="s">
        <v>6</v>
      </c>
      <c r="J47" s="142"/>
      <c r="K47" s="124" t="s">
        <v>7</v>
      </c>
      <c r="L47" s="142"/>
      <c r="M47" s="124" t="s">
        <v>8</v>
      </c>
      <c r="N47" s="142"/>
      <c r="O47" s="124" t="s">
        <v>9</v>
      </c>
      <c r="P47" s="181"/>
      <c r="Q47" s="124" t="s">
        <v>10</v>
      </c>
      <c r="R47" s="142"/>
      <c r="S47" s="124" t="s">
        <v>11</v>
      </c>
      <c r="T47" s="142"/>
      <c r="U47" s="124" t="s">
        <v>12</v>
      </c>
      <c r="V47" s="142"/>
      <c r="W47" s="124" t="s">
        <v>13</v>
      </c>
      <c r="X47" s="142"/>
      <c r="Y47" s="124" t="s">
        <v>14</v>
      </c>
      <c r="Z47" s="142"/>
      <c r="AG47" s="124" t="s">
        <v>3</v>
      </c>
      <c r="AH47" s="142"/>
      <c r="AI47" s="124" t="s">
        <v>4</v>
      </c>
      <c r="AJ47" s="142"/>
      <c r="AK47" s="124" t="s">
        <v>5</v>
      </c>
      <c r="AL47" s="142"/>
      <c r="AM47" s="124" t="s">
        <v>6</v>
      </c>
      <c r="AN47" s="142"/>
      <c r="AO47" s="124" t="s">
        <v>7</v>
      </c>
      <c r="AP47" s="142"/>
      <c r="AQ47" s="124" t="s">
        <v>8</v>
      </c>
      <c r="AR47" s="142"/>
      <c r="AS47" s="124" t="s">
        <v>9</v>
      </c>
      <c r="AT47" s="142"/>
      <c r="AU47" s="124" t="s">
        <v>10</v>
      </c>
      <c r="AV47" s="142"/>
      <c r="AW47" s="124" t="s">
        <v>11</v>
      </c>
      <c r="AX47" s="142"/>
      <c r="AY47" s="124" t="s">
        <v>12</v>
      </c>
      <c r="AZ47" s="142"/>
      <c r="BA47" s="124" t="s">
        <v>13</v>
      </c>
      <c r="BB47" s="142"/>
      <c r="BC47" s="124" t="s">
        <v>14</v>
      </c>
      <c r="BD47" s="142"/>
    </row>
    <row r="48" spans="3:56" ht="11.25" customHeight="1">
      <c r="C48" s="126"/>
      <c r="E48" s="126"/>
      <c r="G48" s="126"/>
      <c r="I48" s="126"/>
      <c r="J48" s="142"/>
      <c r="K48" s="126"/>
      <c r="L48" s="142"/>
      <c r="M48" s="126"/>
      <c r="N48" s="142"/>
      <c r="O48" s="126"/>
      <c r="Q48" s="126"/>
      <c r="S48" s="126"/>
      <c r="U48" s="126"/>
      <c r="V48" s="142"/>
      <c r="W48" s="126"/>
      <c r="Y48" s="126"/>
      <c r="Z48" s="142"/>
      <c r="AG48" s="126"/>
      <c r="AH48" s="142"/>
      <c r="AI48" s="126"/>
      <c r="AJ48" s="142"/>
      <c r="AK48" s="126"/>
      <c r="AM48" s="126"/>
      <c r="AN48" s="142"/>
      <c r="AO48" s="126"/>
      <c r="AP48" s="142"/>
      <c r="AQ48" s="126"/>
      <c r="AR48" s="142"/>
      <c r="AS48" s="126"/>
      <c r="AU48" s="126"/>
      <c r="AW48" s="144"/>
      <c r="AY48" s="126"/>
      <c r="AZ48" s="142"/>
      <c r="BA48" s="126"/>
      <c r="BC48" s="126"/>
      <c r="BD48" s="142"/>
    </row>
    <row r="49" spans="3:56" ht="11.25" customHeight="1">
      <c r="C49" s="128"/>
      <c r="D49" s="135"/>
      <c r="E49" s="128"/>
      <c r="F49" s="135"/>
      <c r="G49" s="128"/>
      <c r="H49" s="128"/>
      <c r="I49" s="128"/>
      <c r="J49" s="128"/>
      <c r="K49" s="128"/>
      <c r="L49" s="128"/>
      <c r="M49" s="128"/>
      <c r="N49" s="128"/>
      <c r="O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G49" s="128"/>
      <c r="AH49" s="135"/>
      <c r="AI49" s="128"/>
      <c r="AJ49" s="135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44"/>
      <c r="AX49" s="128"/>
      <c r="AY49" s="128"/>
      <c r="AZ49" s="128"/>
      <c r="BA49" s="128"/>
      <c r="BB49" s="128"/>
      <c r="BC49" s="128"/>
      <c r="BD49" s="128"/>
    </row>
    <row r="50" spans="1:56" ht="11.25" customHeight="1">
      <c r="A50" s="115" t="s">
        <v>15</v>
      </c>
      <c r="C50" s="144"/>
      <c r="D50" s="138"/>
      <c r="E50" s="144"/>
      <c r="F50" s="138"/>
      <c r="G50" s="144"/>
      <c r="H50" s="127"/>
      <c r="I50" s="144">
        <f>I10/REVENUE!I10</f>
        <v>0.102</v>
      </c>
      <c r="J50" s="63"/>
      <c r="K50" s="144">
        <f>K10/REVENUE!K10</f>
        <v>0.138</v>
      </c>
      <c r="L50" s="127"/>
      <c r="M50" s="144">
        <f>M10/REVENUE!M10</f>
        <v>0.15</v>
      </c>
      <c r="N50" s="127"/>
      <c r="O50" s="144">
        <f>O10/REVENUE!O10</f>
        <v>0.188</v>
      </c>
      <c r="P50" s="46"/>
      <c r="Q50" s="144">
        <f>Q10/REVENUE!Q10</f>
        <v>0.175</v>
      </c>
      <c r="R50" s="144"/>
      <c r="S50" s="144">
        <f>S10/REVENUE!S10</f>
        <v>0.108</v>
      </c>
      <c r="T50" s="144"/>
      <c r="U50" s="144">
        <f>U10/REVENUE!U10</f>
        <v>0.102</v>
      </c>
      <c r="V50" s="144"/>
      <c r="W50" s="144">
        <f>W10/REVENUE!W10</f>
        <v>0.114</v>
      </c>
      <c r="X50" s="144"/>
      <c r="Y50" s="144">
        <f>Y10/REVENUE!Y10</f>
        <v>0.107</v>
      </c>
      <c r="Z50" s="144" t="s">
        <v>46</v>
      </c>
      <c r="AE50" s="115" t="s">
        <v>15</v>
      </c>
      <c r="AG50" s="144"/>
      <c r="AH50" s="138"/>
      <c r="AI50" s="144"/>
      <c r="AJ50" s="138"/>
      <c r="AK50" s="144"/>
      <c r="AL50" s="127"/>
      <c r="AM50" s="144">
        <f>I10/REVENUE!I449</f>
        <v>0.093</v>
      </c>
      <c r="AN50" s="63"/>
      <c r="AO50" s="144">
        <f>K10/REVENUE!K449</f>
        <v>0.121</v>
      </c>
      <c r="AP50" s="127"/>
      <c r="AQ50" s="144">
        <f>M10/REVENUE!M449</f>
        <v>0.13</v>
      </c>
      <c r="AR50" s="127"/>
      <c r="AS50" s="144">
        <f>O10/REVENUE!O449</f>
        <v>0.158</v>
      </c>
      <c r="AT50" s="144"/>
      <c r="AU50" s="144">
        <f>Q10/REVENUE!Q449</f>
        <v>0.149</v>
      </c>
      <c r="AV50" s="144"/>
      <c r="AW50" s="144">
        <f>S10/REVENUE!S449</f>
        <v>0.097</v>
      </c>
      <c r="AX50" s="144"/>
      <c r="AY50" s="144">
        <f>U10/REVENUE!U449</f>
        <v>0.093</v>
      </c>
      <c r="AZ50" s="144"/>
      <c r="BA50" s="144">
        <f>W10/REVENUE!W449</f>
        <v>0.102</v>
      </c>
      <c r="BB50" s="144"/>
      <c r="BC50" s="144">
        <f>Y10/REVENUE!Y449</f>
        <v>0.097</v>
      </c>
      <c r="BD50" s="214" t="s">
        <v>46</v>
      </c>
    </row>
    <row r="51" spans="3:56" ht="11.25" customHeight="1">
      <c r="C51" s="143"/>
      <c r="D51" s="135"/>
      <c r="E51" s="144"/>
      <c r="F51" s="135"/>
      <c r="G51" s="144"/>
      <c r="H51" s="128"/>
      <c r="I51" s="144"/>
      <c r="J51" s="128"/>
      <c r="K51" s="144"/>
      <c r="L51" s="128"/>
      <c r="M51" s="144"/>
      <c r="N51" s="128"/>
      <c r="O51" s="144"/>
      <c r="Q51" s="144"/>
      <c r="R51" s="128"/>
      <c r="S51" s="144"/>
      <c r="T51" s="128"/>
      <c r="U51" s="144"/>
      <c r="V51" s="128"/>
      <c r="W51" s="144"/>
      <c r="X51" s="128"/>
      <c r="Y51" s="144"/>
      <c r="Z51" s="128"/>
      <c r="AG51" s="143"/>
      <c r="AH51" s="135"/>
      <c r="AI51" s="144"/>
      <c r="AJ51" s="135"/>
      <c r="AK51" s="144"/>
      <c r="AL51" s="128"/>
      <c r="AM51" s="144"/>
      <c r="AN51" s="128"/>
      <c r="AO51" s="144"/>
      <c r="AP51" s="128"/>
      <c r="AQ51" s="144"/>
      <c r="AR51" s="128"/>
      <c r="AS51" s="144"/>
      <c r="AT51" s="128"/>
      <c r="AU51" s="144"/>
      <c r="AV51" s="128"/>
      <c r="AW51" s="144"/>
      <c r="AX51" s="128"/>
      <c r="AY51" s="144"/>
      <c r="AZ51" s="128"/>
      <c r="BA51" s="144"/>
      <c r="BB51" s="128"/>
      <c r="BC51" s="144"/>
      <c r="BD51" s="128"/>
    </row>
    <row r="52" spans="1:56" ht="11.25" customHeight="1">
      <c r="A52" s="115" t="s">
        <v>17</v>
      </c>
      <c r="C52" s="144"/>
      <c r="D52" s="130"/>
      <c r="E52" s="144"/>
      <c r="F52" s="130"/>
      <c r="G52" s="144">
        <f>G12/REVENUE!G12</f>
        <v>0.154</v>
      </c>
      <c r="H52" s="144"/>
      <c r="I52" s="144">
        <f>I12/REVENUE!I12</f>
        <v>0.096</v>
      </c>
      <c r="J52" s="144"/>
      <c r="K52" s="144">
        <f>K12/REVENUE!K12</f>
        <v>0.134</v>
      </c>
      <c r="L52" s="144"/>
      <c r="M52" s="144">
        <f>M12/REVENUE!M12</f>
        <v>0.129</v>
      </c>
      <c r="N52" s="144"/>
      <c r="O52" s="144">
        <f>O12/REVENUE!O12</f>
        <v>0.131</v>
      </c>
      <c r="P52" s="214" t="s">
        <v>16</v>
      </c>
      <c r="Q52" s="144">
        <f>Q12/REVENUE!Q12</f>
        <v>0.15</v>
      </c>
      <c r="R52" s="144"/>
      <c r="S52" s="144">
        <f>S12/REVENUE!S12</f>
        <v>0.13</v>
      </c>
      <c r="T52" s="63"/>
      <c r="U52" s="144">
        <f>U12/REVENUE!U12</f>
        <v>0.129</v>
      </c>
      <c r="V52" s="63"/>
      <c r="W52" s="144">
        <f>W12/REVENUE!W12</f>
        <v>0.129</v>
      </c>
      <c r="X52" s="63"/>
      <c r="Y52" s="144">
        <f>Y12/REVENUE!Y12</f>
        <v>0.131</v>
      </c>
      <c r="Z52" s="144"/>
      <c r="AE52" s="115" t="s">
        <v>17</v>
      </c>
      <c r="AG52" s="144"/>
      <c r="AH52" s="130"/>
      <c r="AI52" s="144"/>
      <c r="AJ52" s="130"/>
      <c r="AK52" s="144">
        <f>G12/REVENUE!G451</f>
        <v>0.133</v>
      </c>
      <c r="AL52" s="144"/>
      <c r="AM52" s="144">
        <f>I12/REVENUE!I451</f>
        <v>0.088</v>
      </c>
      <c r="AN52" s="144"/>
      <c r="AO52" s="144">
        <f>K12/REVENUE!K451</f>
        <v>0.118</v>
      </c>
      <c r="AP52" s="144"/>
      <c r="AQ52" s="144">
        <f>M12/REVENUE!M451</f>
        <v>0.114</v>
      </c>
      <c r="AR52" s="144"/>
      <c r="AS52" s="144">
        <f>O12/REVENUE!O451</f>
        <v>0.116</v>
      </c>
      <c r="AT52" s="214" t="s">
        <v>16</v>
      </c>
      <c r="AU52" s="144">
        <f>Q12/REVENUE!Q451</f>
        <v>0.131</v>
      </c>
      <c r="AV52" s="144"/>
      <c r="AW52" s="144">
        <f>S12/REVENUE!S451</f>
        <v>0.115</v>
      </c>
      <c r="AX52" s="144"/>
      <c r="AY52" s="144">
        <f>U12/REVENUE!U451</f>
        <v>0.114</v>
      </c>
      <c r="AZ52" s="144"/>
      <c r="BA52" s="144">
        <f>W12/REVENUE!W451</f>
        <v>0.114</v>
      </c>
      <c r="BB52" s="144"/>
      <c r="BC52" s="144">
        <f>Y12/REVENUE!Y451</f>
        <v>0.116</v>
      </c>
      <c r="BD52" s="144"/>
    </row>
    <row r="53" spans="3:56" ht="11.25" customHeight="1">
      <c r="C53" s="144"/>
      <c r="D53" s="130"/>
      <c r="E53" s="144"/>
      <c r="F53" s="130"/>
      <c r="G53" s="144"/>
      <c r="H53" s="144"/>
      <c r="I53" s="144"/>
      <c r="J53" s="144"/>
      <c r="K53" s="144"/>
      <c r="L53" s="144"/>
      <c r="M53" s="144"/>
      <c r="N53" s="63"/>
      <c r="O53" s="144"/>
      <c r="P53" s="52"/>
      <c r="Q53" s="144"/>
      <c r="R53" s="63"/>
      <c r="S53" s="144"/>
      <c r="T53" s="63"/>
      <c r="U53" s="144"/>
      <c r="V53" s="63"/>
      <c r="W53" s="144"/>
      <c r="X53" s="63"/>
      <c r="Y53" s="144"/>
      <c r="Z53" s="63"/>
      <c r="AG53" s="144"/>
      <c r="AH53" s="130"/>
      <c r="AI53" s="144"/>
      <c r="AJ53" s="130"/>
      <c r="AK53" s="144"/>
      <c r="AL53" s="144"/>
      <c r="AM53" s="144"/>
      <c r="AN53" s="144"/>
      <c r="AO53" s="144"/>
      <c r="AP53" s="144"/>
      <c r="AQ53" s="144"/>
      <c r="AR53" s="63"/>
      <c r="AS53" s="144"/>
      <c r="AT53" s="63"/>
      <c r="AU53" s="144"/>
      <c r="AV53" s="63"/>
      <c r="AW53" s="144"/>
      <c r="AX53" s="63"/>
      <c r="AY53" s="144"/>
      <c r="AZ53" s="63"/>
      <c r="BA53" s="144"/>
      <c r="BB53" s="63"/>
      <c r="BC53" s="144"/>
      <c r="BD53" s="63"/>
    </row>
    <row r="54" spans="1:56" ht="11.25" customHeight="1">
      <c r="A54" s="115" t="s">
        <v>18</v>
      </c>
      <c r="C54" s="144"/>
      <c r="D54" s="130"/>
      <c r="E54" s="144">
        <f>E14/REVENUE!E14</f>
        <v>0.032</v>
      </c>
      <c r="F54" s="145"/>
      <c r="G54" s="144">
        <f>G14/REVENUE!G14</f>
        <v>0.073</v>
      </c>
      <c r="H54" s="144"/>
      <c r="I54" s="144">
        <f>I14/REVENUE!I14</f>
        <v>0.065</v>
      </c>
      <c r="J54" s="144"/>
      <c r="K54" s="144">
        <f>K14/REVENUE!K14</f>
        <v>0.076</v>
      </c>
      <c r="L54" s="144"/>
      <c r="M54" s="144">
        <f>M14/REVENUE!M14</f>
        <v>0.085</v>
      </c>
      <c r="N54" s="144"/>
      <c r="O54" s="144">
        <f>O14/REVENUE!O14</f>
        <v>0.079</v>
      </c>
      <c r="P54" s="46"/>
      <c r="Q54" s="144">
        <f>Q14/REVENUE!Q14</f>
        <v>0.062</v>
      </c>
      <c r="R54" s="144"/>
      <c r="S54" s="144">
        <f>S14/REVENUE!S14</f>
        <v>0.056</v>
      </c>
      <c r="T54" s="63"/>
      <c r="U54" s="144">
        <f>U14/REVENUE!U14</f>
        <v>0.068</v>
      </c>
      <c r="V54" s="63"/>
      <c r="W54" s="144">
        <f>W14/REVENUE!W14</f>
        <v>0.088</v>
      </c>
      <c r="X54" s="63"/>
      <c r="Y54" s="144">
        <f>Y14/REVENUE!Y14</f>
        <v>0.097</v>
      </c>
      <c r="Z54" s="63"/>
      <c r="AE54" s="115" t="s">
        <v>18</v>
      </c>
      <c r="AG54" s="144"/>
      <c r="AH54" s="130"/>
      <c r="AI54" s="144">
        <f>E14/REVENUE!E453</f>
        <v>0.031</v>
      </c>
      <c r="AJ54" s="144"/>
      <c r="AK54" s="144">
        <f>G14/REVENUE!G453</f>
        <v>0.068</v>
      </c>
      <c r="AL54" s="144"/>
      <c r="AM54" s="144">
        <f>I14/REVENUE!I453</f>
        <v>0.061</v>
      </c>
      <c r="AN54" s="144"/>
      <c r="AO54" s="144">
        <f>K14/REVENUE!K453</f>
        <v>0.071</v>
      </c>
      <c r="AP54" s="144"/>
      <c r="AQ54" s="144">
        <f>M14/REVENUE!M453</f>
        <v>0.079</v>
      </c>
      <c r="AR54" s="144"/>
      <c r="AS54" s="144">
        <f>O14/REVENUE!O453</f>
        <v>0.073</v>
      </c>
      <c r="AT54" s="144"/>
      <c r="AU54" s="144">
        <f>Q14/REVENUE!Q453</f>
        <v>0.059</v>
      </c>
      <c r="AV54" s="144"/>
      <c r="AW54" s="144">
        <f>S14/REVENUE!S453</f>
        <v>0.053</v>
      </c>
      <c r="AX54" s="63"/>
      <c r="AY54" s="144">
        <f>U14/REVENUE!U453</f>
        <v>0.062</v>
      </c>
      <c r="AZ54" s="63"/>
      <c r="BA54" s="144">
        <f>W14/REVENUE!W453</f>
        <v>0.081</v>
      </c>
      <c r="BB54" s="63"/>
      <c r="BC54" s="144">
        <f>Y14/REVENUE!Y453</f>
        <v>0.089</v>
      </c>
      <c r="BD54" s="63"/>
    </row>
    <row r="55" spans="3:56" ht="11.25" customHeight="1">
      <c r="C55" s="144"/>
      <c r="D55" s="130"/>
      <c r="E55" s="144"/>
      <c r="F55" s="130"/>
      <c r="G55" s="144"/>
      <c r="H55" s="144"/>
      <c r="I55" s="144"/>
      <c r="J55" s="144"/>
      <c r="K55" s="144"/>
      <c r="L55" s="144"/>
      <c r="M55" s="144"/>
      <c r="N55" s="63"/>
      <c r="O55" s="144"/>
      <c r="P55" s="52"/>
      <c r="Q55" s="144"/>
      <c r="R55" s="63"/>
      <c r="S55" s="144"/>
      <c r="T55" s="63"/>
      <c r="U55" s="144"/>
      <c r="V55" s="63"/>
      <c r="W55" s="144"/>
      <c r="X55" s="63"/>
      <c r="Y55" s="144"/>
      <c r="Z55" s="63"/>
      <c r="AG55" s="144"/>
      <c r="AH55" s="130"/>
      <c r="AI55" s="144"/>
      <c r="AJ55" s="130"/>
      <c r="AK55" s="144"/>
      <c r="AL55" s="144"/>
      <c r="AM55" s="144"/>
      <c r="AN55" s="144"/>
      <c r="AO55" s="144"/>
      <c r="AP55" s="144"/>
      <c r="AQ55" s="144"/>
      <c r="AR55" s="63"/>
      <c r="AS55" s="144"/>
      <c r="AT55" s="63"/>
      <c r="AU55" s="144"/>
      <c r="AV55" s="63"/>
      <c r="AW55" s="144"/>
      <c r="AX55" s="63"/>
      <c r="AY55" s="144"/>
      <c r="AZ55" s="63"/>
      <c r="BA55" s="144"/>
      <c r="BB55" s="63"/>
      <c r="BC55" s="144"/>
      <c r="BD55" s="63"/>
    </row>
    <row r="56" spans="1:56" ht="11.25" customHeight="1">
      <c r="A56" s="115" t="s">
        <v>19</v>
      </c>
      <c r="C56" s="144"/>
      <c r="D56" s="130"/>
      <c r="E56" s="144">
        <f>E16/REVENUE!E16</f>
        <v>0.061</v>
      </c>
      <c r="F56" s="130"/>
      <c r="G56" s="144">
        <f>G16/REVENUE!G16</f>
        <v>0.099</v>
      </c>
      <c r="H56" s="144"/>
      <c r="I56" s="144">
        <f>I16/REVENUE!I16</f>
        <v>0.09</v>
      </c>
      <c r="J56" s="144"/>
      <c r="K56" s="144">
        <f>K16/REVENUE!K16</f>
        <v>0.089</v>
      </c>
      <c r="L56" s="144"/>
      <c r="M56" s="144">
        <f>M16/REVENUE!M16</f>
        <v>0.109</v>
      </c>
      <c r="N56" s="63"/>
      <c r="O56" s="144">
        <f>O16/REVENUE!O16</f>
        <v>0.139</v>
      </c>
      <c r="P56" s="52"/>
      <c r="Q56" s="144">
        <f>Q16/REVENUE!Q16</f>
        <v>0.125</v>
      </c>
      <c r="R56" s="63"/>
      <c r="S56" s="144">
        <f>S16/REVENUE!S16</f>
        <v>0.123</v>
      </c>
      <c r="T56" s="63"/>
      <c r="U56" s="144">
        <f>U16/REVENUE!U16</f>
        <v>0.122</v>
      </c>
      <c r="V56" s="63"/>
      <c r="W56" s="144">
        <f>W16/REVENUE!W16</f>
        <v>0.111</v>
      </c>
      <c r="X56" s="63"/>
      <c r="Y56" s="144">
        <f>Y16/REVENUE!Y16</f>
        <v>0.126</v>
      </c>
      <c r="Z56" s="63"/>
      <c r="AE56" s="115" t="s">
        <v>19</v>
      </c>
      <c r="AG56" s="144"/>
      <c r="AH56" s="130"/>
      <c r="AI56" s="144">
        <f>E16/REVENUE!E455</f>
        <v>0.058</v>
      </c>
      <c r="AJ56" s="130"/>
      <c r="AK56" s="144">
        <f>G16/REVENUE!G455</f>
        <v>0.09</v>
      </c>
      <c r="AL56" s="144"/>
      <c r="AM56" s="144">
        <f>I16/REVENUE!I455</f>
        <v>0.083</v>
      </c>
      <c r="AN56" s="144"/>
      <c r="AO56" s="144">
        <f>K16/REVENUE!K455</f>
        <v>0.082</v>
      </c>
      <c r="AP56" s="144"/>
      <c r="AQ56" s="144">
        <f>M16/REVENUE!M455</f>
        <v>0.098</v>
      </c>
      <c r="AR56" s="63"/>
      <c r="AS56" s="144">
        <f>O16/REVENUE!O455</f>
        <v>0.122</v>
      </c>
      <c r="AT56" s="63"/>
      <c r="AU56" s="144">
        <f>Q16/REVENUE!Q455</f>
        <v>0.111</v>
      </c>
      <c r="AV56" s="63"/>
      <c r="AW56" s="144">
        <f>S16/REVENUE!S455</f>
        <v>0.11</v>
      </c>
      <c r="AX56" s="63"/>
      <c r="AY56" s="144">
        <f>U16/REVENUE!U455</f>
        <v>0.109</v>
      </c>
      <c r="AZ56" s="63"/>
      <c r="BA56" s="144">
        <f>W16/REVENUE!W455</f>
        <v>0.1</v>
      </c>
      <c r="BB56" s="63"/>
      <c r="BC56" s="144">
        <f>Y16/REVENUE!Y455</f>
        <v>0.112</v>
      </c>
      <c r="BD56" s="63"/>
    </row>
    <row r="57" spans="3:56" ht="11.25" customHeight="1">
      <c r="C57" s="144"/>
      <c r="D57" s="130"/>
      <c r="E57" s="144"/>
      <c r="F57" s="130"/>
      <c r="G57" s="144"/>
      <c r="H57" s="144"/>
      <c r="I57" s="144"/>
      <c r="J57" s="144"/>
      <c r="K57" s="144"/>
      <c r="L57" s="144"/>
      <c r="M57" s="144"/>
      <c r="N57" s="63"/>
      <c r="O57" s="144"/>
      <c r="P57" s="52"/>
      <c r="Q57" s="144"/>
      <c r="R57" s="63"/>
      <c r="S57" s="144"/>
      <c r="T57" s="63"/>
      <c r="U57" s="144"/>
      <c r="V57" s="63"/>
      <c r="W57" s="144"/>
      <c r="X57" s="63"/>
      <c r="Y57" s="144"/>
      <c r="Z57" s="63"/>
      <c r="AG57" s="144"/>
      <c r="AH57" s="130"/>
      <c r="AI57" s="144"/>
      <c r="AJ57" s="130"/>
      <c r="AK57" s="144"/>
      <c r="AL57" s="144"/>
      <c r="AM57" s="144"/>
      <c r="AN57" s="144"/>
      <c r="AO57" s="144"/>
      <c r="AP57" s="144"/>
      <c r="AQ57" s="144"/>
      <c r="AR57" s="63"/>
      <c r="AS57" s="144"/>
      <c r="AT57" s="63"/>
      <c r="AU57" s="144"/>
      <c r="AV57" s="63"/>
      <c r="AW57" s="144"/>
      <c r="AX57" s="63"/>
      <c r="AY57" s="144"/>
      <c r="AZ57" s="63"/>
      <c r="BA57" s="144"/>
      <c r="BB57" s="63"/>
      <c r="BC57" s="144"/>
      <c r="BD57" s="63"/>
    </row>
    <row r="58" spans="1:56" ht="11.25" customHeight="1">
      <c r="A58" s="131" t="s">
        <v>20</v>
      </c>
      <c r="C58" s="144"/>
      <c r="D58" s="130"/>
      <c r="E58" s="144"/>
      <c r="F58" s="130"/>
      <c r="G58" s="144"/>
      <c r="H58" s="144"/>
      <c r="I58" s="144">
        <f>I18/REVENUE!I18</f>
        <v>0.088</v>
      </c>
      <c r="J58" s="144"/>
      <c r="K58" s="144">
        <f>K18/REVENUE!K18</f>
        <v>0.138</v>
      </c>
      <c r="L58" s="144"/>
      <c r="M58" s="144">
        <f>M18/REVENUE!M18</f>
        <v>0.139</v>
      </c>
      <c r="N58" s="63"/>
      <c r="O58" s="144">
        <f>O18/REVENUE!O18</f>
        <v>0.122</v>
      </c>
      <c r="P58" s="52"/>
      <c r="Q58" s="144">
        <f>Q18/REVENUE!Q18</f>
        <v>0.128</v>
      </c>
      <c r="R58" s="63"/>
      <c r="S58" s="144">
        <f>S18/REVENUE!S18</f>
        <v>0.136</v>
      </c>
      <c r="T58" s="63"/>
      <c r="U58" s="144">
        <f>U18/REVENUE!U18</f>
        <v>0.134</v>
      </c>
      <c r="V58" s="63"/>
      <c r="W58" s="144">
        <f>W18/REVENUE!W18</f>
        <v>0.141</v>
      </c>
      <c r="X58" s="63"/>
      <c r="Y58" s="144">
        <f>Y18/REVENUE!Y18</f>
        <v>0.109</v>
      </c>
      <c r="Z58" s="63"/>
      <c r="AE58" s="131" t="s">
        <v>20</v>
      </c>
      <c r="AG58" s="144"/>
      <c r="AH58" s="130"/>
      <c r="AI58" s="144"/>
      <c r="AJ58" s="130"/>
      <c r="AK58" s="144"/>
      <c r="AL58" s="144"/>
      <c r="AM58" s="144">
        <f>I18/REVENUE!I457</f>
        <v>0.081</v>
      </c>
      <c r="AN58" s="144"/>
      <c r="AO58" s="144">
        <f>K18/REVENUE!K457</f>
        <v>0.121</v>
      </c>
      <c r="AP58" s="144"/>
      <c r="AQ58" s="144">
        <f>M18/REVENUE!M457</f>
        <v>0.122</v>
      </c>
      <c r="AR58" s="63"/>
      <c r="AS58" s="144">
        <f>O18/REVENUE!O457</f>
        <v>0.109</v>
      </c>
      <c r="AT58" s="63"/>
      <c r="AU58" s="144">
        <f>Q18/REVENUE!Q457</f>
        <v>0.113</v>
      </c>
      <c r="AV58" s="63"/>
      <c r="AW58" s="144">
        <f>S18/REVENUE!S457</f>
        <v>0.119</v>
      </c>
      <c r="AX58" s="63"/>
      <c r="AY58" s="144">
        <f>U18/REVENUE!U457</f>
        <v>0.118</v>
      </c>
      <c r="AZ58" s="63"/>
      <c r="BA58" s="144">
        <f>W18/REVENUE!W457</f>
        <v>0.123</v>
      </c>
      <c r="BB58" s="63"/>
      <c r="BC58" s="144">
        <f>Y18/REVENUE!Y457</f>
        <v>0.098</v>
      </c>
      <c r="BD58" s="63"/>
    </row>
    <row r="59" spans="3:56" ht="11.25" customHeight="1">
      <c r="C59" s="144"/>
      <c r="D59" s="130"/>
      <c r="E59" s="144"/>
      <c r="F59" s="130"/>
      <c r="G59" s="144"/>
      <c r="H59" s="144"/>
      <c r="I59" s="144"/>
      <c r="J59" s="144"/>
      <c r="K59" s="144"/>
      <c r="L59" s="144"/>
      <c r="M59" s="144"/>
      <c r="N59" s="63"/>
      <c r="O59" s="144"/>
      <c r="P59" s="52"/>
      <c r="Q59" s="144"/>
      <c r="R59" s="63"/>
      <c r="S59" s="144"/>
      <c r="T59" s="63"/>
      <c r="U59" s="144"/>
      <c r="V59" s="63"/>
      <c r="W59" s="144"/>
      <c r="X59" s="63"/>
      <c r="Y59" s="144"/>
      <c r="Z59" s="63"/>
      <c r="AG59" s="144"/>
      <c r="AH59" s="130"/>
      <c r="AI59" s="144"/>
      <c r="AJ59" s="130"/>
      <c r="AK59" s="144"/>
      <c r="AL59" s="144"/>
      <c r="AM59" s="144"/>
      <c r="AN59" s="144"/>
      <c r="AO59" s="144"/>
      <c r="AP59" s="144"/>
      <c r="AQ59" s="144"/>
      <c r="AR59" s="63"/>
      <c r="AS59" s="144"/>
      <c r="AT59" s="63"/>
      <c r="AU59" s="144"/>
      <c r="AV59" s="63"/>
      <c r="AW59" s="144"/>
      <c r="AX59" s="63"/>
      <c r="AY59" s="144"/>
      <c r="AZ59" s="63"/>
      <c r="BA59" s="144"/>
      <c r="BB59" s="63"/>
      <c r="BC59" s="144"/>
      <c r="BD59" s="63"/>
    </row>
    <row r="60" spans="1:56" ht="11.25" customHeight="1">
      <c r="A60" s="115" t="s">
        <v>21</v>
      </c>
      <c r="C60" s="144"/>
      <c r="D60" s="130"/>
      <c r="E60" s="144"/>
      <c r="F60" s="130"/>
      <c r="G60" s="144">
        <f>G20/REVENUE!G20</f>
        <v>0.028</v>
      </c>
      <c r="H60" s="144"/>
      <c r="I60" s="144">
        <f>I20/REVENUE!I20</f>
        <v>0.077</v>
      </c>
      <c r="J60" s="144"/>
      <c r="K60" s="144">
        <f>K20/REVENUE!K20</f>
        <v>0.105</v>
      </c>
      <c r="L60" s="144"/>
      <c r="M60" s="144">
        <f>M20/REVENUE!M20</f>
        <v>0.084</v>
      </c>
      <c r="N60" s="63"/>
      <c r="O60" s="144">
        <f>O20/REVENUE!O20</f>
        <v>0.093</v>
      </c>
      <c r="P60" s="52"/>
      <c r="Q60" s="144">
        <f>Q20/REVENUE!Q20</f>
        <v>0.114</v>
      </c>
      <c r="R60" s="63"/>
      <c r="S60" s="144">
        <f>S20/REVENUE!S20</f>
        <v>0.111</v>
      </c>
      <c r="T60" s="63"/>
      <c r="U60" s="144">
        <f>U20/REVENUE!U20</f>
        <v>0.12</v>
      </c>
      <c r="V60" s="63"/>
      <c r="W60" s="144">
        <f>W20/REVENUE!W20</f>
        <v>0.138</v>
      </c>
      <c r="X60" s="63"/>
      <c r="Y60" s="144">
        <f>Y20/REVENUE!Y20</f>
        <v>0.131</v>
      </c>
      <c r="Z60" s="63"/>
      <c r="AE60" s="115" t="s">
        <v>21</v>
      </c>
      <c r="AG60" s="144"/>
      <c r="AH60" s="130"/>
      <c r="AI60" s="144"/>
      <c r="AJ60" s="130"/>
      <c r="AK60" s="144">
        <f>G20/REVENUE!G459</f>
        <v>0.027</v>
      </c>
      <c r="AL60" s="144"/>
      <c r="AM60" s="144">
        <f>I20/REVENUE!I459</f>
        <v>0.072</v>
      </c>
      <c r="AN60" s="144"/>
      <c r="AO60" s="144">
        <f>K20/REVENUE!K459</f>
        <v>0.095</v>
      </c>
      <c r="AP60" s="144"/>
      <c r="AQ60" s="144">
        <f>M20/REVENUE!M459</f>
        <v>0.077</v>
      </c>
      <c r="AR60" s="63"/>
      <c r="AS60" s="144">
        <f>O20/REVENUE!O459</f>
        <v>0.085</v>
      </c>
      <c r="AT60" s="63"/>
      <c r="AU60" s="144">
        <f>Q20/REVENUE!Q459</f>
        <v>0.103</v>
      </c>
      <c r="AV60" s="63"/>
      <c r="AW60" s="144">
        <f>S20/REVENUE!S459</f>
        <v>0.1</v>
      </c>
      <c r="AX60" s="63"/>
      <c r="AY60" s="144">
        <f>U20/REVENUE!U459</f>
        <v>0.107</v>
      </c>
      <c r="AZ60" s="63"/>
      <c r="BA60" s="144">
        <f>W20/REVENUE!W459</f>
        <v>0.121</v>
      </c>
      <c r="BB60" s="63"/>
      <c r="BC60" s="144">
        <f>Y20/REVENUE!Y459</f>
        <v>0.116</v>
      </c>
      <c r="BD60" s="63"/>
    </row>
    <row r="61" spans="3:56" ht="11.25" customHeight="1">
      <c r="C61" s="144"/>
      <c r="D61" s="130"/>
      <c r="E61" s="144"/>
      <c r="F61" s="130"/>
      <c r="G61" s="144"/>
      <c r="H61" s="144"/>
      <c r="I61" s="144"/>
      <c r="J61" s="144"/>
      <c r="K61" s="144"/>
      <c r="L61" s="144"/>
      <c r="M61" s="144"/>
      <c r="N61" s="63"/>
      <c r="O61" s="144"/>
      <c r="P61" s="52"/>
      <c r="Q61" s="144"/>
      <c r="R61" s="63"/>
      <c r="S61" s="144"/>
      <c r="T61" s="63"/>
      <c r="U61" s="144"/>
      <c r="V61" s="63"/>
      <c r="W61" s="144"/>
      <c r="X61" s="63"/>
      <c r="Y61" s="144"/>
      <c r="Z61" s="63"/>
      <c r="AG61" s="144"/>
      <c r="AH61" s="130"/>
      <c r="AI61" s="144"/>
      <c r="AJ61" s="130"/>
      <c r="AK61" s="144"/>
      <c r="AL61" s="144"/>
      <c r="AM61" s="144"/>
      <c r="AN61" s="144"/>
      <c r="AO61" s="144"/>
      <c r="AP61" s="144"/>
      <c r="AQ61" s="144"/>
      <c r="AR61" s="63"/>
      <c r="AS61" s="144"/>
      <c r="AT61" s="63"/>
      <c r="AU61" s="144"/>
      <c r="AV61" s="63"/>
      <c r="AW61" s="144"/>
      <c r="AX61" s="63"/>
      <c r="AY61" s="144"/>
      <c r="AZ61" s="63"/>
      <c r="BA61" s="144"/>
      <c r="BB61" s="63"/>
      <c r="BC61" s="144"/>
      <c r="BD61" s="63"/>
    </row>
    <row r="62" spans="1:56" ht="11.25" customHeight="1">
      <c r="A62" s="115" t="s">
        <v>22</v>
      </c>
      <c r="C62" s="144">
        <f>C22/REVENUE!C22</f>
        <v>0.042</v>
      </c>
      <c r="D62" s="145"/>
      <c r="E62" s="144">
        <f>E22/REVENUE!E22</f>
        <v>0.034</v>
      </c>
      <c r="F62" s="130"/>
      <c r="G62" s="144">
        <f>G22/REVENUE!G22</f>
        <v>0.095</v>
      </c>
      <c r="H62" s="144"/>
      <c r="I62" s="144">
        <f>I22/REVENUE!I22</f>
        <v>0.086</v>
      </c>
      <c r="J62" s="144"/>
      <c r="K62" s="144">
        <f>K22/REVENUE!K22</f>
        <v>0.094</v>
      </c>
      <c r="L62" s="144"/>
      <c r="M62" s="144">
        <f>M22/REVENUE!M22</f>
        <v>0.095</v>
      </c>
      <c r="N62" s="63"/>
      <c r="O62" s="144">
        <f>O22/REVENUE!O22</f>
        <v>0.104</v>
      </c>
      <c r="P62" s="52"/>
      <c r="Q62" s="144">
        <f>Q22/REVENUE!Q22</f>
        <v>0.12</v>
      </c>
      <c r="R62" s="63"/>
      <c r="S62" s="144">
        <f>S22/REVENUE!S22</f>
        <v>0.113</v>
      </c>
      <c r="T62" s="63"/>
      <c r="U62" s="144">
        <f>U22/REVENUE!U22</f>
        <v>0.118</v>
      </c>
      <c r="V62" s="63"/>
      <c r="W62" s="144">
        <f>W22/REVENUE!W22</f>
        <v>0.131</v>
      </c>
      <c r="X62" s="63"/>
      <c r="Y62" s="144">
        <f>Y22/REVENUE!Y22</f>
        <v>0.112</v>
      </c>
      <c r="Z62" s="63"/>
      <c r="AE62" s="115" t="s">
        <v>22</v>
      </c>
      <c r="AG62" s="144">
        <f>C22/REVENUE!C461</f>
        <v>0.04</v>
      </c>
      <c r="AH62" s="144"/>
      <c r="AI62" s="144">
        <f>E22/REVENUE!E461</f>
        <v>0.033</v>
      </c>
      <c r="AJ62" s="130"/>
      <c r="AK62" s="144">
        <f>G22/REVENUE!G461</f>
        <v>0.086</v>
      </c>
      <c r="AL62" s="144"/>
      <c r="AM62" s="144">
        <f>I22/REVENUE!I461</f>
        <v>0.079</v>
      </c>
      <c r="AN62" s="144"/>
      <c r="AO62" s="144">
        <f>K22/REVENUE!K461</f>
        <v>0.086</v>
      </c>
      <c r="AP62" s="144"/>
      <c r="AQ62" s="144">
        <f>M22/REVENUE!M461</f>
        <v>0.087</v>
      </c>
      <c r="AR62" s="63"/>
      <c r="AS62" s="144">
        <f>O22/REVENUE!O461</f>
        <v>0.094</v>
      </c>
      <c r="AT62" s="63"/>
      <c r="AU62" s="144">
        <f>Q22/REVENUE!Q461</f>
        <v>0.107</v>
      </c>
      <c r="AV62" s="63"/>
      <c r="AW62" s="144">
        <f>S22/REVENUE!S461</f>
        <v>0.102</v>
      </c>
      <c r="AX62" s="63"/>
      <c r="AY62" s="144">
        <f>U22/REVENUE!U461</f>
        <v>0.106</v>
      </c>
      <c r="AZ62" s="63"/>
      <c r="BA62" s="144">
        <f>W22/REVENUE!W461</f>
        <v>0.116</v>
      </c>
      <c r="BB62" s="63"/>
      <c r="BC62" s="144">
        <f>Y22/REVENUE!Y461</f>
        <v>0.101</v>
      </c>
      <c r="BD62" s="63"/>
    </row>
    <row r="63" spans="3:56" ht="11.25" customHeight="1">
      <c r="C63" s="144"/>
      <c r="D63" s="130"/>
      <c r="E63" s="144"/>
      <c r="F63" s="130"/>
      <c r="G63" s="144"/>
      <c r="H63" s="144"/>
      <c r="I63" s="144"/>
      <c r="J63" s="144"/>
      <c r="K63" s="144"/>
      <c r="L63" s="144"/>
      <c r="M63" s="144"/>
      <c r="N63" s="63"/>
      <c r="O63" s="144"/>
      <c r="P63" s="52"/>
      <c r="Q63" s="144"/>
      <c r="R63" s="63"/>
      <c r="S63" s="144"/>
      <c r="T63" s="63"/>
      <c r="U63" s="144"/>
      <c r="V63" s="63"/>
      <c r="W63" s="144"/>
      <c r="X63" s="63"/>
      <c r="Y63" s="144"/>
      <c r="Z63" s="63"/>
      <c r="AG63" s="144"/>
      <c r="AH63" s="130"/>
      <c r="AI63" s="144"/>
      <c r="AJ63" s="130"/>
      <c r="AK63" s="144"/>
      <c r="AL63" s="144"/>
      <c r="AM63" s="144"/>
      <c r="AN63" s="144"/>
      <c r="AO63" s="144"/>
      <c r="AP63" s="144"/>
      <c r="AQ63" s="144"/>
      <c r="AR63" s="63"/>
      <c r="AS63" s="144"/>
      <c r="AT63" s="63"/>
      <c r="AU63" s="144"/>
      <c r="AV63" s="63"/>
      <c r="AW63" s="144"/>
      <c r="AX63" s="63"/>
      <c r="AY63" s="144"/>
      <c r="AZ63" s="63"/>
      <c r="BA63" s="144"/>
      <c r="BB63" s="63"/>
      <c r="BC63" s="144"/>
      <c r="BD63" s="63"/>
    </row>
    <row r="64" spans="1:56" ht="11.25" customHeight="1">
      <c r="A64" s="115" t="s">
        <v>23</v>
      </c>
      <c r="C64" s="144"/>
      <c r="D64" s="130"/>
      <c r="E64" s="144"/>
      <c r="F64" s="130"/>
      <c r="G64" s="144">
        <f>G24/REVENUE!G24</f>
        <v>0.084</v>
      </c>
      <c r="H64" s="144"/>
      <c r="I64" s="144">
        <f>I24/REVENUE!I24</f>
        <v>0.131</v>
      </c>
      <c r="J64" s="144"/>
      <c r="K64" s="144">
        <f>K24/REVENUE!K24</f>
        <v>0.134</v>
      </c>
      <c r="L64" s="144"/>
      <c r="M64" s="144">
        <f>M24/REVENUE!M24</f>
        <v>0.135</v>
      </c>
      <c r="N64" s="63"/>
      <c r="O64" s="144">
        <f>O24/REVENUE!O24</f>
        <v>0.114</v>
      </c>
      <c r="P64" s="52"/>
      <c r="Q64" s="144">
        <f>Q24/REVENUE!Q24</f>
        <v>0.09</v>
      </c>
      <c r="R64" s="63"/>
      <c r="S64" s="144">
        <f>S24/REVENUE!S24</f>
        <v>0.088</v>
      </c>
      <c r="T64" s="63"/>
      <c r="U64" s="144">
        <f>U24/REVENUE!U24</f>
        <v>0.096</v>
      </c>
      <c r="V64" s="63"/>
      <c r="W64" s="144">
        <f>W24/REVENUE!W24</f>
        <v>0.102</v>
      </c>
      <c r="X64" s="63"/>
      <c r="Y64" s="144">
        <f>Y24/REVENUE!Y24</f>
        <v>0.088</v>
      </c>
      <c r="Z64" s="63"/>
      <c r="AE64" s="115" t="s">
        <v>23</v>
      </c>
      <c r="AG64" s="144"/>
      <c r="AH64" s="130"/>
      <c r="AI64" s="144"/>
      <c r="AJ64" s="130"/>
      <c r="AK64" s="144">
        <f>G24/REVENUE!G463</f>
        <v>0.077</v>
      </c>
      <c r="AL64" s="144"/>
      <c r="AM64" s="144">
        <f>I24/REVENUE!I463</f>
        <v>0.116</v>
      </c>
      <c r="AN64" s="144"/>
      <c r="AO64" s="144">
        <f>K24/REVENUE!K463</f>
        <v>0.118</v>
      </c>
      <c r="AP64" s="144"/>
      <c r="AQ64" s="144">
        <f>M24/REVENUE!M463</f>
        <v>0.119</v>
      </c>
      <c r="AR64" s="63"/>
      <c r="AS64" s="144">
        <f>O24/REVENUE!O463</f>
        <v>0.102</v>
      </c>
      <c r="AT64" s="63"/>
      <c r="AU64" s="144">
        <f>Q24/REVENUE!Q463</f>
        <v>0.082</v>
      </c>
      <c r="AV64" s="63"/>
      <c r="AW64" s="144">
        <f>S24/REVENUE!S463</f>
        <v>0.081</v>
      </c>
      <c r="AX64" s="63"/>
      <c r="AY64" s="144">
        <f>U24/REVENUE!U463</f>
        <v>0.087</v>
      </c>
      <c r="AZ64" s="63"/>
      <c r="BA64" s="144">
        <f>W24/REVENUE!W463</f>
        <v>0.093</v>
      </c>
      <c r="BB64" s="63"/>
      <c r="BC64" s="144">
        <f>Y24/REVENUE!Y463</f>
        <v>0.081</v>
      </c>
      <c r="BD64" s="63"/>
    </row>
    <row r="65" spans="3:56" ht="11.25" customHeight="1">
      <c r="C65" s="144"/>
      <c r="D65" s="130"/>
      <c r="E65" s="144"/>
      <c r="F65" s="130"/>
      <c r="G65" s="144"/>
      <c r="H65" s="63"/>
      <c r="I65" s="144"/>
      <c r="J65" s="63"/>
      <c r="K65" s="144"/>
      <c r="L65" s="63"/>
      <c r="M65" s="144"/>
      <c r="N65" s="63"/>
      <c r="O65" s="144"/>
      <c r="P65" s="52"/>
      <c r="Q65" s="144"/>
      <c r="R65" s="63"/>
      <c r="S65" s="144"/>
      <c r="T65" s="63"/>
      <c r="U65" s="144"/>
      <c r="V65" s="63"/>
      <c r="W65" s="144"/>
      <c r="X65" s="63"/>
      <c r="Y65" s="144"/>
      <c r="Z65" s="63"/>
      <c r="AG65" s="144"/>
      <c r="AH65" s="130"/>
      <c r="AI65" s="144"/>
      <c r="AJ65" s="130"/>
      <c r="AK65" s="144"/>
      <c r="AL65" s="63"/>
      <c r="AM65" s="144"/>
      <c r="AN65" s="63"/>
      <c r="AO65" s="144"/>
      <c r="AP65" s="63"/>
      <c r="AQ65" s="144"/>
      <c r="AR65" s="63"/>
      <c r="AS65" s="144"/>
      <c r="AT65" s="63"/>
      <c r="AU65" s="144"/>
      <c r="AV65" s="63"/>
      <c r="AW65" s="144"/>
      <c r="AX65" s="63"/>
      <c r="AY65" s="144"/>
      <c r="AZ65" s="63"/>
      <c r="BA65" s="144"/>
      <c r="BB65" s="63"/>
      <c r="BC65" s="144"/>
      <c r="BD65" s="63"/>
    </row>
    <row r="66" spans="1:56" ht="11.25" customHeight="1">
      <c r="A66" s="115" t="s">
        <v>24</v>
      </c>
      <c r="C66" s="144"/>
      <c r="D66" s="145"/>
      <c r="E66" s="144"/>
      <c r="F66" s="145"/>
      <c r="G66" s="144"/>
      <c r="H66" s="144"/>
      <c r="I66" s="144"/>
      <c r="J66" s="144"/>
      <c r="K66" s="144"/>
      <c r="L66" s="144"/>
      <c r="M66" s="144"/>
      <c r="N66" s="63"/>
      <c r="O66" s="144"/>
      <c r="P66" s="52"/>
      <c r="Q66" s="144"/>
      <c r="R66" s="63"/>
      <c r="S66" s="144"/>
      <c r="T66" s="63"/>
      <c r="U66" s="144">
        <f>U26/REVENUE!U26</f>
        <v>0.079</v>
      </c>
      <c r="V66" s="63"/>
      <c r="W66" s="144">
        <f>W26/REVENUE!W26</f>
        <v>0.122</v>
      </c>
      <c r="X66" s="63"/>
      <c r="Y66" s="144">
        <f>Y26/REVENUE!Y26</f>
        <v>0.118</v>
      </c>
      <c r="Z66" s="63"/>
      <c r="AE66" s="115" t="s">
        <v>24</v>
      </c>
      <c r="AG66" s="144"/>
      <c r="AH66" s="145"/>
      <c r="AI66" s="144"/>
      <c r="AJ66" s="145"/>
      <c r="AK66" s="144"/>
      <c r="AL66" s="144"/>
      <c r="AM66" s="144"/>
      <c r="AN66" s="144"/>
      <c r="AO66" s="144"/>
      <c r="AP66" s="144"/>
      <c r="AQ66" s="144"/>
      <c r="AR66" s="63"/>
      <c r="AS66" s="144"/>
      <c r="AT66" s="63"/>
      <c r="AU66" s="144"/>
      <c r="AV66" s="63"/>
      <c r="AW66" s="144"/>
      <c r="AX66" s="63"/>
      <c r="AY66" s="144">
        <f>U26/REVENUE!U465</f>
        <v>0.073</v>
      </c>
      <c r="AZ66" s="63"/>
      <c r="BA66" s="144">
        <f>W26/REVENUE!W465</f>
        <v>0.109</v>
      </c>
      <c r="BB66" s="63"/>
      <c r="BC66" s="144">
        <f>Y26/REVENUE!Y465</f>
        <v>0.106</v>
      </c>
      <c r="BD66" s="63"/>
    </row>
    <row r="67" spans="3:56" ht="11.25" customHeight="1">
      <c r="C67" s="144"/>
      <c r="D67" s="130"/>
      <c r="E67" s="144"/>
      <c r="F67" s="130"/>
      <c r="G67" s="144"/>
      <c r="H67" s="63"/>
      <c r="I67" s="144"/>
      <c r="J67" s="63"/>
      <c r="K67" s="144"/>
      <c r="L67" s="63"/>
      <c r="M67" s="144"/>
      <c r="N67" s="63"/>
      <c r="O67" s="144"/>
      <c r="P67" s="52"/>
      <c r="Q67" s="144"/>
      <c r="R67" s="63"/>
      <c r="S67" s="144"/>
      <c r="T67" s="63"/>
      <c r="U67" s="144"/>
      <c r="V67" s="63"/>
      <c r="W67" s="144"/>
      <c r="X67" s="63"/>
      <c r="Y67" s="144"/>
      <c r="Z67" s="63"/>
      <c r="AG67" s="144"/>
      <c r="AH67" s="130"/>
      <c r="AI67" s="144"/>
      <c r="AJ67" s="130"/>
      <c r="AK67" s="144"/>
      <c r="AL67" s="63"/>
      <c r="AM67" s="144"/>
      <c r="AN67" s="63"/>
      <c r="AO67" s="144"/>
      <c r="AP67" s="63"/>
      <c r="AQ67" s="144"/>
      <c r="AR67" s="63"/>
      <c r="AS67" s="144"/>
      <c r="AT67" s="63"/>
      <c r="AU67" s="144"/>
      <c r="AV67" s="63"/>
      <c r="AW67" s="144"/>
      <c r="AX67" s="63"/>
      <c r="AY67" s="144"/>
      <c r="AZ67" s="63"/>
      <c r="BA67" s="144"/>
      <c r="BB67" s="63"/>
      <c r="BC67" s="144"/>
      <c r="BD67" s="63"/>
    </row>
    <row r="68" spans="1:56" ht="11.25" customHeight="1">
      <c r="A68" s="131" t="s">
        <v>25</v>
      </c>
      <c r="C68" s="144"/>
      <c r="D68" s="145"/>
      <c r="E68" s="144"/>
      <c r="F68" s="145"/>
      <c r="G68" s="144"/>
      <c r="H68" s="63"/>
      <c r="I68" s="144">
        <f>I28/REVENUE!I28</f>
        <v>0.113</v>
      </c>
      <c r="J68" s="144"/>
      <c r="K68" s="144">
        <f>K28/REVENUE!K28</f>
        <v>0.116</v>
      </c>
      <c r="L68" s="144"/>
      <c r="M68" s="144">
        <f>M28/REVENUE!M28</f>
        <v>0.111</v>
      </c>
      <c r="N68" s="63"/>
      <c r="O68" s="144">
        <f>O28/REVENUE!O28</f>
        <v>0.137</v>
      </c>
      <c r="P68" s="52"/>
      <c r="Q68" s="144">
        <f>Q28/REVENUE!Q28</f>
        <v>0.12</v>
      </c>
      <c r="R68" s="63"/>
      <c r="S68" s="144">
        <f>S28/REVENUE!S28</f>
        <v>0.095</v>
      </c>
      <c r="T68" s="63"/>
      <c r="U68" s="144">
        <f>U28/REVENUE!U28</f>
        <v>0.091</v>
      </c>
      <c r="V68" s="63"/>
      <c r="W68" s="144">
        <f>W28/REVENUE!W28</f>
        <v>0.097</v>
      </c>
      <c r="X68" s="63"/>
      <c r="Y68" s="144">
        <f>Y28/REVENUE!Y28</f>
        <v>0.116</v>
      </c>
      <c r="Z68" s="63"/>
      <c r="AE68" s="131" t="s">
        <v>25</v>
      </c>
      <c r="AG68" s="144"/>
      <c r="AH68" s="145"/>
      <c r="AI68" s="144"/>
      <c r="AJ68" s="145"/>
      <c r="AK68" s="144"/>
      <c r="AL68" s="63"/>
      <c r="AM68" s="144">
        <f>I28/REVENUE!I467</f>
        <v>0.102</v>
      </c>
      <c r="AN68" s="144"/>
      <c r="AO68" s="144">
        <f>K28/REVENUE!K467</f>
        <v>0.104</v>
      </c>
      <c r="AP68" s="144"/>
      <c r="AQ68" s="144">
        <f>M28/REVENUE!M467</f>
        <v>0.1</v>
      </c>
      <c r="AR68" s="63"/>
      <c r="AS68" s="144">
        <f>O28/REVENUE!O467</f>
        <v>0.121</v>
      </c>
      <c r="AT68" s="63"/>
      <c r="AU68" s="144">
        <f>Q28/REVENUE!Q467</f>
        <v>0.107</v>
      </c>
      <c r="AV68" s="63"/>
      <c r="AW68" s="144">
        <f>S28/REVENUE!S467</f>
        <v>0.087</v>
      </c>
      <c r="AX68" s="63"/>
      <c r="AY68" s="144">
        <f>U28/REVENUE!U467</f>
        <v>0.084</v>
      </c>
      <c r="AZ68" s="63"/>
      <c r="BA68" s="144">
        <f>W28/REVENUE!W467</f>
        <v>0.088</v>
      </c>
      <c r="BB68" s="63"/>
      <c r="BC68" s="144">
        <f>Y28/REVENUE!Y467</f>
        <v>0.104</v>
      </c>
      <c r="BD68" s="63"/>
    </row>
    <row r="69" spans="3:56" ht="11.25" customHeight="1">
      <c r="C69" s="144"/>
      <c r="D69" s="130"/>
      <c r="E69" s="144"/>
      <c r="F69" s="130"/>
      <c r="G69" s="144"/>
      <c r="H69" s="63"/>
      <c r="I69" s="144"/>
      <c r="J69" s="63"/>
      <c r="K69" s="144"/>
      <c r="L69" s="63"/>
      <c r="M69" s="144"/>
      <c r="N69" s="63"/>
      <c r="O69" s="144"/>
      <c r="P69" s="52"/>
      <c r="Q69" s="144"/>
      <c r="R69" s="63"/>
      <c r="S69" s="144"/>
      <c r="T69" s="63"/>
      <c r="U69" s="144"/>
      <c r="V69" s="63"/>
      <c r="W69" s="144"/>
      <c r="X69" s="63"/>
      <c r="Y69" s="144"/>
      <c r="Z69" s="63"/>
      <c r="AG69" s="144"/>
      <c r="AH69" s="130"/>
      <c r="AI69" s="144"/>
      <c r="AJ69" s="130"/>
      <c r="AK69" s="144"/>
      <c r="AL69" s="63"/>
      <c r="AM69" s="144"/>
      <c r="AN69" s="63"/>
      <c r="AO69" s="144"/>
      <c r="AP69" s="63"/>
      <c r="AQ69" s="144"/>
      <c r="AR69" s="63"/>
      <c r="AS69" s="144"/>
      <c r="AT69" s="63"/>
      <c r="AU69" s="144"/>
      <c r="AV69" s="63"/>
      <c r="AW69" s="144"/>
      <c r="AX69" s="63"/>
      <c r="AY69" s="144"/>
      <c r="AZ69" s="63"/>
      <c r="BA69" s="144"/>
      <c r="BB69" s="63"/>
      <c r="BC69" s="144"/>
      <c r="BD69" s="63"/>
    </row>
    <row r="70" spans="1:56" ht="11.25" customHeight="1">
      <c r="A70" s="115" t="s">
        <v>45</v>
      </c>
      <c r="C70" s="144"/>
      <c r="D70" s="145"/>
      <c r="E70" s="144"/>
      <c r="F70" s="145"/>
      <c r="G70" s="144"/>
      <c r="H70" s="144"/>
      <c r="I70" s="144"/>
      <c r="J70" s="144"/>
      <c r="K70" s="144"/>
      <c r="L70" s="144"/>
      <c r="M70" s="144"/>
      <c r="N70" s="63"/>
      <c r="O70" s="144"/>
      <c r="P70" s="52"/>
      <c r="Q70" s="144">
        <f>Q30/REVENUE!Q30</f>
        <v>0.12</v>
      </c>
      <c r="R70" s="63"/>
      <c r="S70" s="144">
        <f>S30/REVENUE!S30</f>
        <v>0.119</v>
      </c>
      <c r="T70" s="63"/>
      <c r="U70" s="144">
        <f>U30/REVENUE!U30</f>
        <v>0.142</v>
      </c>
      <c r="V70" s="63"/>
      <c r="W70" s="144">
        <f>W30/REVENUE!W30</f>
        <v>0.135</v>
      </c>
      <c r="X70" s="63"/>
      <c r="Y70" s="144">
        <f>Y30/REVENUE!Y30</f>
        <v>0.167</v>
      </c>
      <c r="Z70" s="63"/>
      <c r="AE70" s="115" t="s">
        <v>45</v>
      </c>
      <c r="AG70" s="144"/>
      <c r="AH70" s="145"/>
      <c r="AI70" s="144"/>
      <c r="AJ70" s="145"/>
      <c r="AK70" s="144"/>
      <c r="AL70" s="144"/>
      <c r="AM70" s="144"/>
      <c r="AN70" s="144"/>
      <c r="AO70" s="144"/>
      <c r="AP70" s="144"/>
      <c r="AQ70" s="144"/>
      <c r="AR70" s="63"/>
      <c r="AS70" s="144"/>
      <c r="AT70" s="144"/>
      <c r="AU70" s="144">
        <f>Q30/REVENUE!Q469</f>
        <v>0.107</v>
      </c>
      <c r="AV70" s="63"/>
      <c r="AW70" s="144">
        <f>S30/REVENUE!S469</f>
        <v>0.106</v>
      </c>
      <c r="AX70" s="63"/>
      <c r="AY70" s="144">
        <f>U30/REVENUE!U469</f>
        <v>0.124</v>
      </c>
      <c r="AZ70" s="63"/>
      <c r="BA70" s="144">
        <f>W30/REVENUE!W469</f>
        <v>0.119</v>
      </c>
      <c r="BB70" s="63"/>
      <c r="BC70" s="144">
        <f>Y30/REVENUE!Y469</f>
        <v>0.143</v>
      </c>
      <c r="BD70" s="63"/>
    </row>
    <row r="71" spans="3:56" ht="11.25" customHeight="1">
      <c r="C71" s="144"/>
      <c r="D71" s="130"/>
      <c r="E71" s="144"/>
      <c r="F71" s="130"/>
      <c r="G71" s="144"/>
      <c r="H71" s="63"/>
      <c r="I71" s="144"/>
      <c r="J71" s="63"/>
      <c r="K71" s="144"/>
      <c r="L71" s="63"/>
      <c r="M71" s="144"/>
      <c r="N71" s="63"/>
      <c r="O71" s="144"/>
      <c r="P71" s="52"/>
      <c r="Q71" s="144"/>
      <c r="R71" s="63"/>
      <c r="S71" s="144"/>
      <c r="T71" s="63"/>
      <c r="U71" s="144"/>
      <c r="V71" s="63"/>
      <c r="W71" s="144"/>
      <c r="X71" s="63"/>
      <c r="Y71" s="144"/>
      <c r="Z71" s="63"/>
      <c r="AG71" s="144"/>
      <c r="AH71" s="130"/>
      <c r="AI71" s="144"/>
      <c r="AJ71" s="130"/>
      <c r="AK71" s="144"/>
      <c r="AL71" s="63"/>
      <c r="AM71" s="144"/>
      <c r="AN71" s="63"/>
      <c r="AO71" s="144"/>
      <c r="AP71" s="63"/>
      <c r="AQ71" s="144"/>
      <c r="AR71" s="63"/>
      <c r="AS71" s="144"/>
      <c r="AT71" s="63"/>
      <c r="AU71" s="144"/>
      <c r="AV71" s="63"/>
      <c r="AW71" s="144"/>
      <c r="AX71" s="63"/>
      <c r="AY71" s="144"/>
      <c r="AZ71" s="63"/>
      <c r="BA71" s="144"/>
      <c r="BB71" s="63"/>
      <c r="BC71" s="144"/>
      <c r="BD71" s="63"/>
    </row>
    <row r="72" spans="1:56" ht="11.25" customHeight="1">
      <c r="A72" s="115" t="s">
        <v>26</v>
      </c>
      <c r="C72" s="145"/>
      <c r="D72" s="145"/>
      <c r="E72" s="144"/>
      <c r="F72" s="145"/>
      <c r="G72" s="144"/>
      <c r="H72" s="145"/>
      <c r="I72" s="144"/>
      <c r="J72" s="145"/>
      <c r="K72" s="144"/>
      <c r="L72" s="145"/>
      <c r="M72" s="144"/>
      <c r="N72" s="130"/>
      <c r="O72" s="144">
        <f>O32/REVENUE!O32</f>
        <v>0.147</v>
      </c>
      <c r="P72" s="210"/>
      <c r="Q72" s="144">
        <f>Q32/REVENUE!Q32</f>
        <v>0.153</v>
      </c>
      <c r="R72" s="130"/>
      <c r="S72" s="144">
        <f>S32/REVENUE!S32</f>
        <v>0.129</v>
      </c>
      <c r="T72" s="130"/>
      <c r="U72" s="144">
        <f>U32/REVENUE!U32</f>
        <v>0.124</v>
      </c>
      <c r="V72" s="130"/>
      <c r="W72" s="144">
        <f>W32/REVENUE!W32</f>
        <v>0.117</v>
      </c>
      <c r="X72" s="130"/>
      <c r="Y72" s="144">
        <f>Y32/REVENUE!Y32</f>
        <v>0.136</v>
      </c>
      <c r="Z72" s="130"/>
      <c r="AA72" s="142"/>
      <c r="AB72" s="142"/>
      <c r="AC72" s="142"/>
      <c r="AD72" s="142"/>
      <c r="AE72" s="132" t="s">
        <v>26</v>
      </c>
      <c r="AF72" s="142"/>
      <c r="AG72" s="145"/>
      <c r="AH72" s="145"/>
      <c r="AI72" s="144"/>
      <c r="AJ72" s="145"/>
      <c r="AK72" s="144"/>
      <c r="AL72" s="144"/>
      <c r="AM72" s="144"/>
      <c r="AN72" s="144"/>
      <c r="AO72" s="144"/>
      <c r="AP72" s="144"/>
      <c r="AQ72" s="144"/>
      <c r="AR72" s="63"/>
      <c r="AS72" s="144">
        <f>O32/REVENUE!O471</f>
        <v>0.128</v>
      </c>
      <c r="AT72" s="63"/>
      <c r="AU72" s="144">
        <f>Q32/REVENUE!Q471</f>
        <v>0.133</v>
      </c>
      <c r="AV72" s="63"/>
      <c r="AW72" s="144">
        <f>S32/REVENUE!S471</f>
        <v>0.114</v>
      </c>
      <c r="AX72" s="63"/>
      <c r="AY72" s="144">
        <f>U32/REVENUE!U471</f>
        <v>0.11</v>
      </c>
      <c r="AZ72" s="63"/>
      <c r="BA72" s="144">
        <f>W32/REVENUE!W471</f>
        <v>0.105</v>
      </c>
      <c r="BB72" s="63"/>
      <c r="BC72" s="144">
        <f>Y32/REVENUE!Y471</f>
        <v>0.12</v>
      </c>
      <c r="BD72" s="63"/>
    </row>
    <row r="73" spans="3:81" ht="11.25" customHeight="1">
      <c r="C73" s="145"/>
      <c r="D73" s="130"/>
      <c r="E73" s="144"/>
      <c r="F73" s="130"/>
      <c r="G73" s="144"/>
      <c r="H73" s="130"/>
      <c r="I73" s="144"/>
      <c r="J73" s="130"/>
      <c r="K73" s="144"/>
      <c r="L73" s="130"/>
      <c r="M73" s="144"/>
      <c r="N73" s="130"/>
      <c r="O73" s="144"/>
      <c r="P73" s="210"/>
      <c r="Q73" s="144"/>
      <c r="R73" s="130"/>
      <c r="S73" s="144"/>
      <c r="T73" s="130"/>
      <c r="U73" s="144"/>
      <c r="V73" s="130"/>
      <c r="W73" s="144"/>
      <c r="X73" s="130"/>
      <c r="Y73" s="144"/>
      <c r="Z73" s="130"/>
      <c r="AA73" s="142"/>
      <c r="AG73" s="145"/>
      <c r="AH73" s="130"/>
      <c r="AI73" s="144"/>
      <c r="AJ73" s="130"/>
      <c r="AK73" s="144"/>
      <c r="AL73" s="130"/>
      <c r="AM73" s="144"/>
      <c r="AN73" s="130"/>
      <c r="AO73" s="144"/>
      <c r="AP73" s="130"/>
      <c r="AQ73" s="144"/>
      <c r="AR73" s="130"/>
      <c r="AS73" s="144"/>
      <c r="AT73" s="130"/>
      <c r="AU73" s="144"/>
      <c r="AV73" s="130"/>
      <c r="AW73" s="144"/>
      <c r="AX73" s="130"/>
      <c r="AY73" s="144"/>
      <c r="AZ73" s="130"/>
      <c r="BA73" s="144"/>
      <c r="BB73" s="130"/>
      <c r="BC73" s="144"/>
      <c r="BD73" s="130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  <c r="CB73" s="142"/>
      <c r="CC73" s="142"/>
    </row>
    <row r="74" spans="1:81" ht="11.25" customHeight="1">
      <c r="A74" s="115" t="s">
        <v>38</v>
      </c>
      <c r="C74" s="144">
        <f>C34/REVENUE!C34</f>
        <v>0.042</v>
      </c>
      <c r="D74" s="145"/>
      <c r="E74" s="144">
        <f>E34/REVENUE!E34</f>
        <v>0.042</v>
      </c>
      <c r="F74" s="145"/>
      <c r="G74" s="144">
        <f>G34/REVENUE!G34</f>
        <v>0.089</v>
      </c>
      <c r="H74" s="145"/>
      <c r="I74" s="144">
        <f>I34/REVENUE!I34</f>
        <v>0.089</v>
      </c>
      <c r="J74" s="145"/>
      <c r="K74" s="144">
        <f>K34/REVENUE!K34</f>
        <v>0.11</v>
      </c>
      <c r="L74" s="145"/>
      <c r="M74" s="144">
        <f>M34/REVENUE!M34</f>
        <v>0.112</v>
      </c>
      <c r="N74" s="130"/>
      <c r="O74" s="144">
        <f>O34/REVENUE!O34</f>
        <v>0.121</v>
      </c>
      <c r="P74" s="55" t="s">
        <v>16</v>
      </c>
      <c r="Q74" s="144">
        <f>Q34/REVENUE!Q34</f>
        <v>0.122</v>
      </c>
      <c r="R74" s="130"/>
      <c r="S74" s="144">
        <f>S34/REVENUE!S34</f>
        <v>0.109</v>
      </c>
      <c r="T74" s="130"/>
      <c r="U74" s="144">
        <f>U34/REVENUE!U34</f>
        <v>0.112</v>
      </c>
      <c r="V74" s="130"/>
      <c r="W74" s="144">
        <f>W34/REVENUE!W34</f>
        <v>0.118</v>
      </c>
      <c r="X74" s="130"/>
      <c r="Y74" s="144">
        <f>Y34/REVENUE!Y34</f>
        <v>0.122</v>
      </c>
      <c r="Z74" s="130"/>
      <c r="AA74" s="142"/>
      <c r="AE74" s="115" t="s">
        <v>38</v>
      </c>
      <c r="AG74" s="144">
        <f>C34/REVENUE!C473</f>
        <v>0.04</v>
      </c>
      <c r="AH74" s="145"/>
      <c r="AI74" s="144">
        <f>E34/REVENUE!E473</f>
        <v>0.04</v>
      </c>
      <c r="AJ74" s="145"/>
      <c r="AK74" s="144">
        <f>G34/REVENUE!G473</f>
        <v>0.082</v>
      </c>
      <c r="AL74" s="145"/>
      <c r="AM74" s="144">
        <f>I34/REVENUE!I473</f>
        <v>0.082</v>
      </c>
      <c r="AN74" s="145"/>
      <c r="AO74" s="144">
        <f>K34/REVENUE!K473</f>
        <v>0.099</v>
      </c>
      <c r="AP74" s="145"/>
      <c r="AQ74" s="144">
        <f>M34/REVENUE!M473</f>
        <v>0.1</v>
      </c>
      <c r="AR74" s="145"/>
      <c r="AS74" s="144">
        <f>O34/REVENUE!O473</f>
        <v>0.108</v>
      </c>
      <c r="AT74" s="222" t="s">
        <v>16</v>
      </c>
      <c r="AU74" s="144">
        <f>Q34/REVENUE!Q473</f>
        <v>0.109</v>
      </c>
      <c r="AV74" s="145"/>
      <c r="AW74" s="144">
        <f>S34/REVENUE!S473</f>
        <v>0.099</v>
      </c>
      <c r="AX74" s="130"/>
      <c r="AY74" s="144">
        <f>U34/REVENUE!U473</f>
        <v>0.1</v>
      </c>
      <c r="AZ74" s="130"/>
      <c r="BA74" s="144">
        <f>W34/REVENUE!W473</f>
        <v>0.106</v>
      </c>
      <c r="BB74" s="130"/>
      <c r="BC74" s="144">
        <f>Y34/REVENUE!Y473</f>
        <v>0.109</v>
      </c>
      <c r="BD74" s="130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142"/>
      <c r="CB74" s="142"/>
      <c r="CC74" s="142"/>
    </row>
    <row r="75" spans="3:81" ht="11.25" customHeight="1">
      <c r="C75" s="188"/>
      <c r="E75" s="188"/>
      <c r="G75" s="188"/>
      <c r="H75" s="142"/>
      <c r="I75" s="188"/>
      <c r="J75" s="142"/>
      <c r="K75" s="188"/>
      <c r="L75" s="142"/>
      <c r="M75" s="188"/>
      <c r="N75" s="142"/>
      <c r="O75" s="188"/>
      <c r="P75" s="181"/>
      <c r="Q75" s="188"/>
      <c r="R75" s="142"/>
      <c r="S75" s="188"/>
      <c r="T75" s="142"/>
      <c r="U75" s="188"/>
      <c r="V75" s="142"/>
      <c r="W75" s="188"/>
      <c r="X75" s="142"/>
      <c r="Y75" s="188"/>
      <c r="Z75" s="142"/>
      <c r="AA75" s="142"/>
      <c r="AG75" s="188"/>
      <c r="AH75" s="142"/>
      <c r="AI75" s="188"/>
      <c r="AJ75" s="142"/>
      <c r="AK75" s="188"/>
      <c r="AL75" s="142"/>
      <c r="AM75" s="188"/>
      <c r="AN75" s="142"/>
      <c r="AO75" s="188"/>
      <c r="AP75" s="142"/>
      <c r="AQ75" s="188"/>
      <c r="AR75" s="142"/>
      <c r="AS75" s="188"/>
      <c r="AT75" s="142"/>
      <c r="AU75" s="188"/>
      <c r="AV75" s="142"/>
      <c r="AW75" s="188"/>
      <c r="AX75" s="142"/>
      <c r="AY75" s="188"/>
      <c r="AZ75" s="142"/>
      <c r="BA75" s="188"/>
      <c r="BB75" s="142"/>
      <c r="BC75" s="188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142"/>
      <c r="CB75" s="142"/>
      <c r="CC75" s="142"/>
    </row>
    <row r="76" spans="3:44" ht="11.25" customHeight="1">
      <c r="C76" s="126"/>
      <c r="D76" s="173"/>
      <c r="E76" s="70"/>
      <c r="J76" s="142"/>
      <c r="N76" s="142"/>
      <c r="AH76" s="173"/>
      <c r="AI76" s="70"/>
      <c r="AJ76" s="142"/>
      <c r="AN76" s="142"/>
      <c r="AR76" s="142"/>
    </row>
    <row r="77" spans="1:31" ht="11.25" customHeight="1">
      <c r="A77" s="118" t="s">
        <v>71</v>
      </c>
      <c r="C77" s="126"/>
      <c r="D77" s="173"/>
      <c r="E77" s="70"/>
      <c r="J77" s="142"/>
      <c r="AE77" s="118" t="s">
        <v>71</v>
      </c>
    </row>
    <row r="78" spans="1:31" ht="11.25" customHeight="1">
      <c r="A78" s="123" t="s">
        <v>94</v>
      </c>
      <c r="C78" s="126"/>
      <c r="D78" s="173"/>
      <c r="E78" s="70"/>
      <c r="AE78" s="123" t="s">
        <v>94</v>
      </c>
    </row>
    <row r="79" ht="11.25" customHeight="1">
      <c r="T79" s="115"/>
    </row>
    <row r="80" spans="1:20" ht="11.25" customHeight="1">
      <c r="A80" s="115"/>
      <c r="T80" s="115"/>
    </row>
    <row r="81" ht="11.25" customHeight="1">
      <c r="A81" s="131" t="s">
        <v>0</v>
      </c>
    </row>
    <row r="82" ht="11.25" customHeight="1">
      <c r="A82" s="115" t="s">
        <v>74</v>
      </c>
    </row>
    <row r="83" spans="1:5" ht="11.25" customHeight="1">
      <c r="A83" s="119" t="str">
        <f>A3</f>
        <v>1978-1989</v>
      </c>
      <c r="B83" s="140"/>
      <c r="C83" s="140"/>
      <c r="E83" s="142"/>
    </row>
    <row r="84" spans="1:5" ht="11.25" customHeight="1">
      <c r="A84" s="115" t="s">
        <v>2</v>
      </c>
      <c r="B84" s="126"/>
      <c r="C84" s="115"/>
      <c r="E84" s="142"/>
    </row>
    <row r="85" spans="1:5" ht="11.25" customHeight="1">
      <c r="A85"/>
      <c r="E85" s="142"/>
    </row>
    <row r="86" ht="11.25" customHeight="1">
      <c r="A86" s="123"/>
    </row>
    <row r="87" spans="3:26" ht="11.25" customHeight="1">
      <c r="C87" s="124" t="s">
        <v>3</v>
      </c>
      <c r="E87" s="124" t="s">
        <v>4</v>
      </c>
      <c r="G87" s="124" t="s">
        <v>5</v>
      </c>
      <c r="H87" s="142"/>
      <c r="I87" s="124" t="s">
        <v>6</v>
      </c>
      <c r="J87" s="142"/>
      <c r="K87" s="124" t="s">
        <v>7</v>
      </c>
      <c r="L87" s="142"/>
      <c r="M87" s="124" t="s">
        <v>8</v>
      </c>
      <c r="N87" s="142"/>
      <c r="O87" s="124" t="s">
        <v>9</v>
      </c>
      <c r="P87" s="181"/>
      <c r="Q87" s="124" t="s">
        <v>10</v>
      </c>
      <c r="R87" s="142"/>
      <c r="S87" s="124" t="s">
        <v>11</v>
      </c>
      <c r="T87" s="142"/>
      <c r="U87" s="124" t="s">
        <v>12</v>
      </c>
      <c r="V87" s="142"/>
      <c r="W87" s="124" t="s">
        <v>13</v>
      </c>
      <c r="X87" s="142"/>
      <c r="Y87" s="124" t="s">
        <v>14</v>
      </c>
      <c r="Z87" s="142"/>
    </row>
    <row r="88" spans="1:26" ht="11.25" customHeight="1">
      <c r="A88" s="115"/>
      <c r="B88" s="115"/>
      <c r="C88" s="115"/>
      <c r="D88" s="132"/>
      <c r="E88" s="115"/>
      <c r="F88" s="132"/>
      <c r="G88" s="115"/>
      <c r="H88" s="132"/>
      <c r="I88" s="115"/>
      <c r="J88" s="115"/>
      <c r="K88" s="115"/>
      <c r="L88" s="115"/>
      <c r="M88" s="115"/>
      <c r="N88" s="132"/>
      <c r="O88" s="115"/>
      <c r="P88" s="200"/>
      <c r="Q88" s="115"/>
      <c r="R88" s="132"/>
      <c r="S88" s="115"/>
      <c r="T88" s="132"/>
      <c r="U88" s="115"/>
      <c r="V88" s="132"/>
      <c r="W88" s="115"/>
      <c r="X88" s="132"/>
      <c r="Y88" s="115"/>
      <c r="Z88" s="132"/>
    </row>
    <row r="89" spans="1:26" ht="11.25" customHeight="1">
      <c r="A89" s="115" t="s">
        <v>15</v>
      </c>
      <c r="C89" s="130"/>
      <c r="D89" s="138"/>
      <c r="E89" s="130"/>
      <c r="F89" s="138"/>
      <c r="G89" s="130"/>
      <c r="H89" s="127"/>
      <c r="I89" s="138">
        <v>4265</v>
      </c>
      <c r="J89" s="189"/>
      <c r="K89" s="138">
        <v>24242</v>
      </c>
      <c r="L89" s="127"/>
      <c r="M89" s="138">
        <v>18154</v>
      </c>
      <c r="N89" s="138"/>
      <c r="O89" s="220">
        <v>20175</v>
      </c>
      <c r="P89" s="182"/>
      <c r="Q89" s="127">
        <v>26776</v>
      </c>
      <c r="R89" s="138"/>
      <c r="S89" s="127">
        <v>14574</v>
      </c>
      <c r="T89" s="138"/>
      <c r="U89" s="127">
        <v>10502</v>
      </c>
      <c r="V89" s="138"/>
      <c r="W89" s="127">
        <v>20653</v>
      </c>
      <c r="X89" s="138"/>
      <c r="Y89" s="127">
        <v>8214</v>
      </c>
      <c r="Z89" s="138" t="s">
        <v>46</v>
      </c>
    </row>
    <row r="90" spans="3:26" ht="11.25" customHeight="1">
      <c r="C90" s="130"/>
      <c r="D90" s="135"/>
      <c r="E90" s="130"/>
      <c r="F90" s="135"/>
      <c r="G90" s="130"/>
      <c r="H90" s="128"/>
      <c r="I90" s="130"/>
      <c r="J90" s="128"/>
      <c r="K90" s="130"/>
      <c r="L90" s="128"/>
      <c r="M90" s="130"/>
      <c r="N90" s="135"/>
      <c r="O90" s="128"/>
      <c r="P90" s="181"/>
      <c r="Q90" s="128"/>
      <c r="R90" s="135"/>
      <c r="S90" s="128"/>
      <c r="T90" s="135"/>
      <c r="U90" s="128"/>
      <c r="V90" s="135"/>
      <c r="W90" s="128"/>
      <c r="X90" s="135"/>
      <c r="Y90" s="128"/>
      <c r="Z90" s="135"/>
    </row>
    <row r="91" spans="1:26" ht="11.25" customHeight="1">
      <c r="A91" s="115" t="s">
        <v>17</v>
      </c>
      <c r="C91" s="130"/>
      <c r="D91" s="130"/>
      <c r="E91" s="130"/>
      <c r="F91" s="130"/>
      <c r="G91" s="130"/>
      <c r="H91" s="63"/>
      <c r="I91" s="130">
        <v>10381</v>
      </c>
      <c r="J91" s="63"/>
      <c r="K91" s="130">
        <v>13268</v>
      </c>
      <c r="L91" s="63"/>
      <c r="M91" s="130">
        <v>17198</v>
      </c>
      <c r="N91" s="130"/>
      <c r="O91" s="216">
        <v>17906</v>
      </c>
      <c r="P91" s="210" t="s">
        <v>16</v>
      </c>
      <c r="Q91" s="63">
        <v>24851</v>
      </c>
      <c r="R91" s="130"/>
      <c r="S91" s="63">
        <v>31660</v>
      </c>
      <c r="T91" s="130"/>
      <c r="U91" s="63">
        <v>30769</v>
      </c>
      <c r="V91" s="130"/>
      <c r="W91" s="63">
        <v>28809</v>
      </c>
      <c r="X91" s="130"/>
      <c r="Y91" s="63">
        <v>28504</v>
      </c>
      <c r="Z91" s="130"/>
    </row>
    <row r="92" spans="3:26" ht="11.25" customHeight="1">
      <c r="C92" s="130"/>
      <c r="D92" s="130"/>
      <c r="E92" s="130"/>
      <c r="F92" s="130"/>
      <c r="G92" s="130"/>
      <c r="H92" s="63"/>
      <c r="I92" s="130"/>
      <c r="J92" s="63"/>
      <c r="K92" s="130"/>
      <c r="L92" s="63"/>
      <c r="M92" s="130"/>
      <c r="N92" s="130"/>
      <c r="O92" s="216"/>
      <c r="P92" s="210"/>
      <c r="Q92" s="63"/>
      <c r="R92" s="130"/>
      <c r="S92" s="63"/>
      <c r="T92" s="130"/>
      <c r="U92" s="63"/>
      <c r="V92" s="130"/>
      <c r="W92" s="63"/>
      <c r="X92" s="130"/>
      <c r="Y92" s="63"/>
      <c r="Z92" s="130"/>
    </row>
    <row r="93" spans="1:26" ht="11.25" customHeight="1">
      <c r="A93" s="115" t="s">
        <v>18</v>
      </c>
      <c r="C93" s="130"/>
      <c r="D93" s="130"/>
      <c r="E93" s="138">
        <v>2</v>
      </c>
      <c r="F93" s="130"/>
      <c r="G93" s="138">
        <v>4939</v>
      </c>
      <c r="H93" s="63"/>
      <c r="I93" s="130">
        <v>14585</v>
      </c>
      <c r="J93" s="63"/>
      <c r="K93" s="130">
        <v>19683</v>
      </c>
      <c r="L93" s="63"/>
      <c r="M93" s="130">
        <v>21016</v>
      </c>
      <c r="N93" s="130"/>
      <c r="O93" s="216">
        <v>18264</v>
      </c>
      <c r="P93" s="210"/>
      <c r="Q93" s="63">
        <v>15014</v>
      </c>
      <c r="R93" s="130"/>
      <c r="S93" s="63">
        <v>15580</v>
      </c>
      <c r="T93" s="130"/>
      <c r="U93" s="63">
        <v>25590</v>
      </c>
      <c r="V93" s="130"/>
      <c r="W93" s="63">
        <v>24199</v>
      </c>
      <c r="X93" s="130"/>
      <c r="Y93" s="63">
        <v>22146</v>
      </c>
      <c r="Z93" s="130"/>
    </row>
    <row r="94" spans="3:26" ht="11.25" customHeight="1">
      <c r="C94" s="130"/>
      <c r="D94" s="130"/>
      <c r="E94" s="130"/>
      <c r="F94" s="130"/>
      <c r="G94" s="130"/>
      <c r="H94" s="63"/>
      <c r="I94" s="130"/>
      <c r="J94" s="63"/>
      <c r="K94" s="130"/>
      <c r="L94" s="63"/>
      <c r="M94" s="130"/>
      <c r="N94" s="130"/>
      <c r="O94" s="216"/>
      <c r="P94" s="210"/>
      <c r="Q94" s="63"/>
      <c r="R94" s="130"/>
      <c r="S94" s="63"/>
      <c r="T94" s="130"/>
      <c r="U94" s="63"/>
      <c r="V94" s="130"/>
      <c r="W94" s="63"/>
      <c r="X94" s="130"/>
      <c r="Y94" s="63"/>
      <c r="Z94" s="130"/>
    </row>
    <row r="95" spans="1:26" ht="11.25" customHeight="1">
      <c r="A95" s="115" t="s">
        <v>19</v>
      </c>
      <c r="C95" s="130"/>
      <c r="D95" s="130"/>
      <c r="E95" s="130"/>
      <c r="F95" s="130"/>
      <c r="G95" s="130"/>
      <c r="H95" s="63"/>
      <c r="I95" s="130">
        <v>9174</v>
      </c>
      <c r="J95" s="63"/>
      <c r="K95" s="130">
        <v>9299</v>
      </c>
      <c r="L95" s="63"/>
      <c r="M95" s="130">
        <v>18530</v>
      </c>
      <c r="N95" s="130"/>
      <c r="O95" s="216">
        <v>21836</v>
      </c>
      <c r="P95" s="210"/>
      <c r="Q95" s="63">
        <v>26489</v>
      </c>
      <c r="R95" s="130"/>
      <c r="S95" s="63">
        <v>26618</v>
      </c>
      <c r="T95" s="130"/>
      <c r="U95" s="63">
        <v>30385</v>
      </c>
      <c r="V95" s="130"/>
      <c r="W95" s="63">
        <v>44824</v>
      </c>
      <c r="X95" s="130"/>
      <c r="Y95" s="63">
        <v>43000</v>
      </c>
      <c r="Z95" s="130"/>
    </row>
    <row r="96" spans="3:26" ht="11.25" customHeight="1">
      <c r="C96" s="130"/>
      <c r="D96" s="130"/>
      <c r="E96" s="130"/>
      <c r="F96" s="130"/>
      <c r="G96" s="130"/>
      <c r="H96" s="63"/>
      <c r="I96" s="130"/>
      <c r="J96" s="63"/>
      <c r="K96" s="130"/>
      <c r="L96" s="63"/>
      <c r="M96" s="130"/>
      <c r="N96" s="130"/>
      <c r="O96" s="216"/>
      <c r="P96" s="210"/>
      <c r="Q96" s="63"/>
      <c r="R96" s="130"/>
      <c r="S96" s="63"/>
      <c r="T96" s="130"/>
      <c r="U96" s="63"/>
      <c r="V96" s="130"/>
      <c r="W96" s="63"/>
      <c r="X96" s="130"/>
      <c r="Y96" s="63"/>
      <c r="Z96" s="130"/>
    </row>
    <row r="97" spans="1:26" ht="11.25" customHeight="1">
      <c r="A97" s="131" t="s">
        <v>20</v>
      </c>
      <c r="C97" s="130"/>
      <c r="D97" s="130"/>
      <c r="E97" s="130"/>
      <c r="F97" s="130"/>
      <c r="G97" s="130"/>
      <c r="H97" s="63"/>
      <c r="I97" s="130">
        <v>2675</v>
      </c>
      <c r="J97" s="63"/>
      <c r="K97" s="130">
        <v>12085</v>
      </c>
      <c r="L97" s="63"/>
      <c r="M97" s="130">
        <v>13085</v>
      </c>
      <c r="N97" s="130"/>
      <c r="O97" s="216">
        <v>15348</v>
      </c>
      <c r="P97" s="210"/>
      <c r="Q97" s="63">
        <v>13682</v>
      </c>
      <c r="R97" s="130"/>
      <c r="S97" s="63">
        <v>12482</v>
      </c>
      <c r="T97" s="130"/>
      <c r="U97" s="63">
        <v>14677</v>
      </c>
      <c r="V97" s="130"/>
      <c r="W97" s="63">
        <v>15817</v>
      </c>
      <c r="X97" s="130"/>
      <c r="Y97" s="63">
        <v>14797</v>
      </c>
      <c r="Z97" s="130"/>
    </row>
    <row r="98" spans="3:26" ht="11.25" customHeight="1">
      <c r="C98" s="130"/>
      <c r="D98" s="130"/>
      <c r="E98" s="130"/>
      <c r="F98" s="130"/>
      <c r="G98" s="130"/>
      <c r="H98" s="63"/>
      <c r="I98" s="130"/>
      <c r="J98" s="63"/>
      <c r="K98" s="130"/>
      <c r="L98" s="63"/>
      <c r="M98" s="130"/>
      <c r="N98" s="130"/>
      <c r="O98" s="216"/>
      <c r="P98" s="210"/>
      <c r="Q98" s="63"/>
      <c r="R98" s="130"/>
      <c r="S98" s="63"/>
      <c r="T98" s="130"/>
      <c r="U98" s="63"/>
      <c r="V98" s="130"/>
      <c r="W98" s="63"/>
      <c r="X98" s="130"/>
      <c r="Y98" s="63"/>
      <c r="Z98" s="130"/>
    </row>
    <row r="99" spans="1:26" ht="11.25" customHeight="1">
      <c r="A99" s="115" t="s">
        <v>21</v>
      </c>
      <c r="C99" s="130"/>
      <c r="D99" s="130"/>
      <c r="E99" s="130"/>
      <c r="F99" s="130"/>
      <c r="G99" s="130"/>
      <c r="H99" s="63"/>
      <c r="I99" s="130"/>
      <c r="J99" s="63"/>
      <c r="K99" s="130">
        <v>8911</v>
      </c>
      <c r="L99" s="63"/>
      <c r="M99" s="130">
        <v>10012</v>
      </c>
      <c r="N99" s="130"/>
      <c r="O99" s="216">
        <v>14976</v>
      </c>
      <c r="P99" s="210"/>
      <c r="Q99" s="63">
        <v>15605</v>
      </c>
      <c r="R99" s="130"/>
      <c r="S99" s="63">
        <v>15002</v>
      </c>
      <c r="T99" s="130"/>
      <c r="U99" s="63">
        <v>16270</v>
      </c>
      <c r="V99" s="130"/>
      <c r="W99" s="63">
        <v>15424</v>
      </c>
      <c r="X99" s="130"/>
      <c r="Y99" s="63">
        <v>17168</v>
      </c>
      <c r="Z99" s="130"/>
    </row>
    <row r="100" spans="3:26" ht="11.25" customHeight="1">
      <c r="C100" s="130"/>
      <c r="D100" s="130"/>
      <c r="E100" s="130"/>
      <c r="F100" s="130"/>
      <c r="G100" s="130"/>
      <c r="H100" s="63"/>
      <c r="I100" s="130"/>
      <c r="J100" s="63"/>
      <c r="K100" s="130"/>
      <c r="L100" s="63"/>
      <c r="M100" s="130"/>
      <c r="N100" s="130"/>
      <c r="O100" s="216"/>
      <c r="P100" s="210"/>
      <c r="Q100" s="63"/>
      <c r="R100" s="130"/>
      <c r="S100" s="63"/>
      <c r="T100" s="130"/>
      <c r="U100" s="63"/>
      <c r="V100" s="130"/>
      <c r="W100" s="63"/>
      <c r="X100" s="130"/>
      <c r="Y100" s="63"/>
      <c r="Z100" s="130"/>
    </row>
    <row r="101" spans="1:26" ht="11.25" customHeight="1">
      <c r="A101" s="115" t="s">
        <v>22</v>
      </c>
      <c r="C101" s="130"/>
      <c r="D101" s="130"/>
      <c r="E101" s="130"/>
      <c r="F101" s="130"/>
      <c r="G101" s="130"/>
      <c r="H101" s="63"/>
      <c r="I101" s="130">
        <v>4984</v>
      </c>
      <c r="J101" s="63"/>
      <c r="K101" s="130">
        <v>24044</v>
      </c>
      <c r="L101" s="63"/>
      <c r="M101" s="130">
        <v>28408</v>
      </c>
      <c r="N101" s="130"/>
      <c r="O101" s="216">
        <v>26415</v>
      </c>
      <c r="P101" s="210"/>
      <c r="Q101" s="63">
        <v>28108</v>
      </c>
      <c r="R101" s="130"/>
      <c r="S101" s="63">
        <v>29198</v>
      </c>
      <c r="T101" s="130"/>
      <c r="U101" s="63">
        <v>32680</v>
      </c>
      <c r="V101" s="130"/>
      <c r="W101" s="63">
        <v>39834</v>
      </c>
      <c r="X101" s="130"/>
      <c r="Y101" s="63">
        <v>40021</v>
      </c>
      <c r="Z101" s="130"/>
    </row>
    <row r="102" spans="3:26" ht="11.25" customHeight="1">
      <c r="C102" s="130"/>
      <c r="D102" s="130"/>
      <c r="E102" s="130"/>
      <c r="F102" s="130"/>
      <c r="G102" s="130"/>
      <c r="H102" s="63"/>
      <c r="I102" s="130"/>
      <c r="J102" s="63"/>
      <c r="K102" s="130"/>
      <c r="L102" s="63"/>
      <c r="M102" s="130"/>
      <c r="N102" s="130"/>
      <c r="O102" s="216"/>
      <c r="P102" s="210"/>
      <c r="Q102" s="63"/>
      <c r="R102" s="130"/>
      <c r="S102" s="63"/>
      <c r="T102" s="130"/>
      <c r="U102" s="63"/>
      <c r="V102" s="130"/>
      <c r="W102" s="63"/>
      <c r="X102" s="130"/>
      <c r="Y102" s="63"/>
      <c r="Z102" s="130"/>
    </row>
    <row r="103" spans="1:26" ht="11.25" customHeight="1">
      <c r="A103" s="115" t="s">
        <v>23</v>
      </c>
      <c r="C103" s="130"/>
      <c r="D103" s="130"/>
      <c r="E103" s="130"/>
      <c r="F103" s="130"/>
      <c r="G103" s="130">
        <v>1</v>
      </c>
      <c r="H103" s="63"/>
      <c r="I103" s="130">
        <v>6281</v>
      </c>
      <c r="J103" s="63"/>
      <c r="K103" s="130">
        <v>15042</v>
      </c>
      <c r="L103" s="63"/>
      <c r="M103" s="130">
        <v>16180</v>
      </c>
      <c r="N103" s="130"/>
      <c r="O103" s="216">
        <v>25007</v>
      </c>
      <c r="P103" s="210"/>
      <c r="Q103" s="63">
        <v>26924</v>
      </c>
      <c r="R103" s="130"/>
      <c r="S103" s="63">
        <v>24291</v>
      </c>
      <c r="T103" s="130"/>
      <c r="U103" s="63">
        <v>27736</v>
      </c>
      <c r="V103" s="130"/>
      <c r="W103" s="63">
        <v>31147</v>
      </c>
      <c r="X103" s="130"/>
      <c r="Y103" s="63">
        <v>31967</v>
      </c>
      <c r="Z103" s="130"/>
    </row>
    <row r="104" spans="3:26" ht="11.25" customHeight="1">
      <c r="C104" s="130"/>
      <c r="D104" s="130"/>
      <c r="E104" s="130"/>
      <c r="F104" s="130"/>
      <c r="G104" s="130"/>
      <c r="H104" s="63"/>
      <c r="I104" s="130"/>
      <c r="J104" s="63"/>
      <c r="K104" s="130"/>
      <c r="L104" s="63"/>
      <c r="M104" s="130"/>
      <c r="N104" s="130"/>
      <c r="O104" s="216"/>
      <c r="P104" s="210"/>
      <c r="Q104" s="63"/>
      <c r="R104" s="130"/>
      <c r="S104" s="63"/>
      <c r="T104" s="130"/>
      <c r="U104" s="63"/>
      <c r="V104" s="130"/>
      <c r="W104" s="63"/>
      <c r="X104" s="130"/>
      <c r="Y104" s="63"/>
      <c r="Z104" s="130"/>
    </row>
    <row r="105" spans="1:26" ht="11.25" customHeight="1">
      <c r="A105" s="115" t="s">
        <v>24</v>
      </c>
      <c r="C105" s="130"/>
      <c r="D105" s="130"/>
      <c r="E105" s="130"/>
      <c r="F105" s="130"/>
      <c r="G105" s="130"/>
      <c r="H105" s="63"/>
      <c r="I105" s="130"/>
      <c r="J105" s="63"/>
      <c r="K105" s="130"/>
      <c r="L105" s="63"/>
      <c r="M105" s="130"/>
      <c r="N105" s="130"/>
      <c r="O105" s="216"/>
      <c r="P105" s="210"/>
      <c r="Q105" s="63"/>
      <c r="R105" s="130"/>
      <c r="S105" s="63"/>
      <c r="T105" s="130"/>
      <c r="U105" s="63">
        <v>14777</v>
      </c>
      <c r="V105" s="130"/>
      <c r="W105" s="63">
        <v>26869</v>
      </c>
      <c r="X105" s="130"/>
      <c r="Y105" s="63">
        <v>38140</v>
      </c>
      <c r="Z105" s="130"/>
    </row>
    <row r="106" spans="3:26" ht="11.25" customHeight="1">
      <c r="C106" s="130"/>
      <c r="D106" s="130"/>
      <c r="E106" s="130"/>
      <c r="F106" s="130"/>
      <c r="G106" s="130"/>
      <c r="H106" s="63"/>
      <c r="I106" s="130"/>
      <c r="J106" s="63"/>
      <c r="K106" s="130"/>
      <c r="L106" s="63"/>
      <c r="M106" s="130"/>
      <c r="N106" s="130"/>
      <c r="O106" s="216"/>
      <c r="P106" s="210"/>
      <c r="Q106" s="63"/>
      <c r="R106" s="130"/>
      <c r="S106" s="63"/>
      <c r="T106" s="130"/>
      <c r="U106" s="63"/>
      <c r="V106" s="130"/>
      <c r="W106" s="63"/>
      <c r="X106" s="130"/>
      <c r="Y106" s="63"/>
      <c r="Z106" s="130"/>
    </row>
    <row r="107" spans="1:26" ht="11.25" customHeight="1">
      <c r="A107" s="131" t="s">
        <v>25</v>
      </c>
      <c r="C107" s="130"/>
      <c r="D107" s="130"/>
      <c r="E107" s="130"/>
      <c r="F107" s="130"/>
      <c r="G107" s="130"/>
      <c r="H107" s="63"/>
      <c r="I107" s="130">
        <v>193</v>
      </c>
      <c r="J107" s="63"/>
      <c r="K107" s="130">
        <v>14965</v>
      </c>
      <c r="L107" s="63"/>
      <c r="M107" s="130">
        <v>31067</v>
      </c>
      <c r="N107" s="130"/>
      <c r="O107" s="216">
        <v>32610</v>
      </c>
      <c r="P107" s="210"/>
      <c r="Q107" s="63">
        <v>22021</v>
      </c>
      <c r="R107" s="130"/>
      <c r="S107" s="63">
        <v>23815</v>
      </c>
      <c r="T107" s="130"/>
      <c r="U107" s="63">
        <v>26473</v>
      </c>
      <c r="V107" s="130"/>
      <c r="W107" s="63">
        <v>38171</v>
      </c>
      <c r="X107" s="130"/>
      <c r="Y107" s="63">
        <v>41565</v>
      </c>
      <c r="Z107" s="130"/>
    </row>
    <row r="108" spans="3:26" ht="11.25" customHeight="1">
      <c r="C108" s="130"/>
      <c r="D108" s="130"/>
      <c r="E108" s="130"/>
      <c r="F108" s="130"/>
      <c r="G108" s="130"/>
      <c r="H108" s="63"/>
      <c r="I108" s="130"/>
      <c r="J108" s="63"/>
      <c r="K108" s="130"/>
      <c r="L108" s="63"/>
      <c r="M108" s="130"/>
      <c r="N108" s="130"/>
      <c r="O108" s="216"/>
      <c r="P108" s="210"/>
      <c r="Q108" s="63"/>
      <c r="R108" s="130"/>
      <c r="S108" s="63"/>
      <c r="T108" s="130"/>
      <c r="U108" s="63"/>
      <c r="V108" s="130"/>
      <c r="W108" s="63"/>
      <c r="X108" s="130"/>
      <c r="Y108" s="63"/>
      <c r="Z108" s="130"/>
    </row>
    <row r="109" spans="1:26" ht="11.25" customHeight="1">
      <c r="A109" s="115" t="s">
        <v>45</v>
      </c>
      <c r="C109" s="130"/>
      <c r="D109" s="130"/>
      <c r="E109" s="130"/>
      <c r="F109" s="130"/>
      <c r="G109" s="130"/>
      <c r="H109" s="63"/>
      <c r="I109" s="130"/>
      <c r="J109" s="63"/>
      <c r="K109" s="130"/>
      <c r="L109" s="63"/>
      <c r="M109" s="130"/>
      <c r="N109" s="130"/>
      <c r="O109" s="216"/>
      <c r="P109" s="210"/>
      <c r="Q109" s="63">
        <v>7336</v>
      </c>
      <c r="R109" s="130"/>
      <c r="S109" s="63">
        <v>20563</v>
      </c>
      <c r="T109" s="130"/>
      <c r="U109" s="63">
        <v>30758</v>
      </c>
      <c r="V109" s="130"/>
      <c r="W109" s="63">
        <v>33111</v>
      </c>
      <c r="X109" s="130"/>
      <c r="Y109" s="63">
        <v>33340</v>
      </c>
      <c r="Z109" s="130"/>
    </row>
    <row r="110" spans="3:26" ht="11.25" customHeight="1">
      <c r="C110" s="130"/>
      <c r="D110" s="130"/>
      <c r="E110" s="130"/>
      <c r="F110" s="130"/>
      <c r="G110" s="130"/>
      <c r="H110" s="63"/>
      <c r="I110" s="130"/>
      <c r="J110" s="63"/>
      <c r="K110" s="130"/>
      <c r="L110" s="63"/>
      <c r="M110" s="130"/>
      <c r="N110" s="130"/>
      <c r="O110" s="216"/>
      <c r="P110" s="210"/>
      <c r="Q110" s="63"/>
      <c r="R110" s="130"/>
      <c r="S110" s="63"/>
      <c r="T110" s="130"/>
      <c r="U110" s="63"/>
      <c r="V110" s="130"/>
      <c r="W110" s="63"/>
      <c r="X110" s="130"/>
      <c r="Y110" s="63"/>
      <c r="Z110" s="130"/>
    </row>
    <row r="111" spans="1:27" ht="11.25" customHeight="1">
      <c r="A111" s="115" t="s">
        <v>26</v>
      </c>
      <c r="C111" s="133"/>
      <c r="D111" s="130"/>
      <c r="E111" s="133"/>
      <c r="F111" s="130"/>
      <c r="G111" s="133"/>
      <c r="H111" s="130"/>
      <c r="I111" s="133"/>
      <c r="J111" s="130"/>
      <c r="K111" s="133"/>
      <c r="L111" s="130"/>
      <c r="M111" s="133"/>
      <c r="N111" s="130"/>
      <c r="O111" s="218">
        <v>5285</v>
      </c>
      <c r="P111" s="210"/>
      <c r="Q111" s="133">
        <v>19446</v>
      </c>
      <c r="R111" s="130"/>
      <c r="S111" s="133">
        <v>24420</v>
      </c>
      <c r="T111" s="130"/>
      <c r="U111" s="133">
        <v>31959</v>
      </c>
      <c r="V111" s="130"/>
      <c r="W111" s="133">
        <v>38375</v>
      </c>
      <c r="X111" s="130"/>
      <c r="Y111" s="133">
        <v>39552</v>
      </c>
      <c r="Z111" s="130"/>
      <c r="AA111" s="142"/>
    </row>
    <row r="112" spans="3:26" ht="11.25" customHeight="1">
      <c r="C112" s="126"/>
      <c r="E112" s="126"/>
      <c r="G112" s="126"/>
      <c r="H112" s="142"/>
      <c r="I112" s="126"/>
      <c r="J112" s="142"/>
      <c r="K112" s="126"/>
      <c r="L112" s="142"/>
      <c r="M112" s="126"/>
      <c r="N112" s="142"/>
      <c r="O112" s="126"/>
      <c r="P112" s="181"/>
      <c r="Q112" s="126"/>
      <c r="R112" s="142"/>
      <c r="S112" s="126"/>
      <c r="T112" s="142"/>
      <c r="U112" s="126"/>
      <c r="V112" s="142"/>
      <c r="W112" s="126"/>
      <c r="X112" s="142"/>
      <c r="Y112" s="126"/>
      <c r="Z112" s="142"/>
    </row>
    <row r="113" spans="1:26" ht="11.25" customHeight="1" thickBot="1">
      <c r="A113" s="115" t="s">
        <v>38</v>
      </c>
      <c r="C113" s="180">
        <f>SUM(C89:C111)</f>
        <v>0</v>
      </c>
      <c r="D113" s="152"/>
      <c r="E113" s="180">
        <f>SUM(E89:E111)</f>
        <v>2</v>
      </c>
      <c r="F113" s="152"/>
      <c r="G113" s="180">
        <f>SUM(G89:G111)</f>
        <v>4940</v>
      </c>
      <c r="H113" s="152"/>
      <c r="I113" s="180">
        <f>SUM(I89:I111)</f>
        <v>52538</v>
      </c>
      <c r="J113" s="152"/>
      <c r="K113" s="180">
        <f>SUM(K89:K111)</f>
        <v>141539</v>
      </c>
      <c r="L113" s="152"/>
      <c r="M113" s="180">
        <f>SUM(M89:M111)</f>
        <v>173650</v>
      </c>
      <c r="N113" s="98"/>
      <c r="O113" s="236">
        <f>SUM(O89:O111)</f>
        <v>197822</v>
      </c>
      <c r="P113" s="210" t="s">
        <v>16</v>
      </c>
      <c r="Q113" s="180">
        <f>SUM(Q89:Q111)</f>
        <v>226252</v>
      </c>
      <c r="R113" s="98"/>
      <c r="S113" s="180">
        <f>SUM(S89:S111)</f>
        <v>238203</v>
      </c>
      <c r="T113" s="98"/>
      <c r="U113" s="180">
        <f>SUM(U89:U111)</f>
        <v>292576</v>
      </c>
      <c r="V113" s="98"/>
      <c r="W113" s="180">
        <f>SUM(W89:W111)</f>
        <v>357233</v>
      </c>
      <c r="X113" s="98"/>
      <c r="Y113" s="180">
        <f>SUM(Y89:Y111)</f>
        <v>358414</v>
      </c>
      <c r="Z113" s="98"/>
    </row>
    <row r="114" spans="3:25" ht="11.25" customHeight="1" thickTop="1">
      <c r="C114" s="126"/>
      <c r="E114" s="126"/>
      <c r="G114" s="126"/>
      <c r="I114" s="126"/>
      <c r="K114" s="126"/>
      <c r="L114" s="142"/>
      <c r="M114" s="126"/>
      <c r="O114" s="126"/>
      <c r="P114" s="181"/>
      <c r="Q114" s="126"/>
      <c r="R114" s="142"/>
      <c r="S114" s="126"/>
      <c r="U114" s="126"/>
      <c r="V114" s="142"/>
      <c r="W114" s="126"/>
      <c r="Y114" s="126"/>
    </row>
    <row r="115" spans="3:20" ht="11.25" customHeight="1">
      <c r="C115" s="126"/>
      <c r="D115" s="173"/>
      <c r="E115" s="70"/>
      <c r="T115" s="115"/>
    </row>
    <row r="116" spans="1:20" ht="11.25" customHeight="1">
      <c r="A116" s="118" t="s">
        <v>71</v>
      </c>
      <c r="C116" s="126"/>
      <c r="D116" s="173"/>
      <c r="E116" s="70"/>
      <c r="T116" s="115"/>
    </row>
    <row r="117" spans="1:20" ht="11.25" customHeight="1">
      <c r="A117" s="123" t="s">
        <v>94</v>
      </c>
      <c r="C117" s="126"/>
      <c r="D117" s="173"/>
      <c r="E117" s="70"/>
      <c r="T117" s="115"/>
    </row>
    <row r="118" ht="11.25" customHeight="1">
      <c r="T118" s="115"/>
    </row>
    <row r="119" spans="1:20" ht="11.25" customHeight="1">
      <c r="A119" s="115"/>
      <c r="T119" s="115"/>
    </row>
    <row r="120" spans="1:36" ht="11.25" customHeight="1">
      <c r="A120" s="115" t="s">
        <v>0</v>
      </c>
      <c r="AE120" s="115" t="s">
        <v>0</v>
      </c>
      <c r="AH120" s="142"/>
      <c r="AJ120" s="142"/>
    </row>
    <row r="121" spans="1:36" ht="11.25" customHeight="1">
      <c r="A121" s="115" t="s">
        <v>75</v>
      </c>
      <c r="AE121" s="115" t="s">
        <v>76</v>
      </c>
      <c r="AH121" s="142"/>
      <c r="AJ121" s="142"/>
    </row>
    <row r="122" spans="1:38" ht="11.25" customHeight="1">
      <c r="A122" s="119" t="str">
        <f>A3</f>
        <v>1978-1989</v>
      </c>
      <c r="B122" s="140"/>
      <c r="C122" s="140"/>
      <c r="D122" s="140"/>
      <c r="E122" s="140"/>
      <c r="F122" s="140"/>
      <c r="G122" s="140"/>
      <c r="H122" s="140"/>
      <c r="I122" s="140"/>
      <c r="AE122" s="119" t="s">
        <v>88</v>
      </c>
      <c r="AF122" s="140"/>
      <c r="AG122" s="140"/>
      <c r="AH122" s="140"/>
      <c r="AI122" s="140"/>
      <c r="AJ122" s="140"/>
      <c r="AK122" s="140"/>
      <c r="AL122" s="140"/>
    </row>
    <row r="123" spans="1:36" ht="11.25" customHeight="1">
      <c r="A123" s="115"/>
      <c r="AE123" s="115"/>
      <c r="AH123" s="142"/>
      <c r="AJ123" s="142"/>
    </row>
    <row r="124" spans="1:36" ht="11.25" customHeight="1">
      <c r="A124" s="115"/>
      <c r="AE124" s="115"/>
      <c r="AH124" s="142"/>
      <c r="AJ124" s="142"/>
    </row>
    <row r="125" spans="1:56" ht="11.25" customHeight="1">
      <c r="A125" s="115"/>
      <c r="C125" s="124" t="s">
        <v>3</v>
      </c>
      <c r="E125" s="124" t="s">
        <v>4</v>
      </c>
      <c r="G125" s="124" t="s">
        <v>5</v>
      </c>
      <c r="H125" s="142"/>
      <c r="I125" s="124" t="s">
        <v>6</v>
      </c>
      <c r="J125" s="142"/>
      <c r="K125" s="124" t="s">
        <v>7</v>
      </c>
      <c r="L125" s="142"/>
      <c r="M125" s="124" t="s">
        <v>8</v>
      </c>
      <c r="N125" s="142"/>
      <c r="O125" s="124" t="s">
        <v>9</v>
      </c>
      <c r="P125" s="181"/>
      <c r="Q125" s="124" t="s">
        <v>10</v>
      </c>
      <c r="R125" s="142"/>
      <c r="S125" s="124" t="s">
        <v>11</v>
      </c>
      <c r="T125" s="142"/>
      <c r="U125" s="124" t="s">
        <v>12</v>
      </c>
      <c r="V125" s="142"/>
      <c r="W125" s="124" t="s">
        <v>13</v>
      </c>
      <c r="X125" s="142"/>
      <c r="Y125" s="124" t="s">
        <v>14</v>
      </c>
      <c r="Z125" s="142"/>
      <c r="AE125" s="115"/>
      <c r="AG125" s="124" t="s">
        <v>3</v>
      </c>
      <c r="AH125" s="142"/>
      <c r="AI125" s="124" t="s">
        <v>4</v>
      </c>
      <c r="AJ125" s="142"/>
      <c r="AK125" s="124" t="s">
        <v>5</v>
      </c>
      <c r="AL125" s="142"/>
      <c r="AM125" s="124" t="s">
        <v>6</v>
      </c>
      <c r="AN125" s="142"/>
      <c r="AO125" s="124" t="s">
        <v>7</v>
      </c>
      <c r="AP125" s="142"/>
      <c r="AQ125" s="124" t="s">
        <v>8</v>
      </c>
      <c r="AR125" s="142"/>
      <c r="AS125" s="124" t="s">
        <v>9</v>
      </c>
      <c r="AT125" s="142"/>
      <c r="AU125" s="124" t="s">
        <v>10</v>
      </c>
      <c r="AV125" s="142"/>
      <c r="AW125" s="124" t="s">
        <v>11</v>
      </c>
      <c r="AX125" s="142"/>
      <c r="AY125" s="124" t="s">
        <v>12</v>
      </c>
      <c r="AZ125" s="142"/>
      <c r="BA125" s="124" t="s">
        <v>13</v>
      </c>
      <c r="BB125" s="142"/>
      <c r="BC125" s="124" t="s">
        <v>14</v>
      </c>
      <c r="BD125" s="142"/>
    </row>
    <row r="126" spans="1:55" ht="11.25" customHeight="1">
      <c r="A126" s="115"/>
      <c r="C126" s="126"/>
      <c r="E126" s="126"/>
      <c r="G126" s="126"/>
      <c r="I126" s="126"/>
      <c r="K126" s="126"/>
      <c r="M126" s="126"/>
      <c r="O126" s="126"/>
      <c r="P126" s="181"/>
      <c r="Q126" s="126"/>
      <c r="S126" s="126"/>
      <c r="U126" s="126"/>
      <c r="W126" s="126"/>
      <c r="X126" s="142"/>
      <c r="Y126" s="126"/>
      <c r="AE126" s="115"/>
      <c r="AG126" s="126"/>
      <c r="AH126" s="142"/>
      <c r="AI126" s="126"/>
      <c r="AJ126" s="142"/>
      <c r="AK126" s="126"/>
      <c r="AM126" s="126"/>
      <c r="AO126" s="126"/>
      <c r="AQ126" s="126"/>
      <c r="AS126" s="126"/>
      <c r="AU126" s="126"/>
      <c r="AV126" s="142"/>
      <c r="AW126" s="126"/>
      <c r="AY126" s="126"/>
      <c r="BA126" s="126"/>
      <c r="BC126" s="126"/>
    </row>
    <row r="127" spans="1:56" ht="11.25" customHeight="1">
      <c r="A127" s="115"/>
      <c r="C127" s="128"/>
      <c r="D127" s="135"/>
      <c r="E127" s="128"/>
      <c r="F127" s="135"/>
      <c r="G127" s="128"/>
      <c r="H127" s="128"/>
      <c r="I127" s="128"/>
      <c r="J127" s="128"/>
      <c r="K127" s="128"/>
      <c r="L127" s="128"/>
      <c r="M127" s="128"/>
      <c r="N127" s="128"/>
      <c r="O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E127" s="115"/>
      <c r="AG127" s="128"/>
      <c r="AH127" s="135"/>
      <c r="AI127" s="128"/>
      <c r="AJ127" s="135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</row>
    <row r="128" spans="1:56" ht="11.25" customHeight="1">
      <c r="A128" s="115" t="s">
        <v>15</v>
      </c>
      <c r="C128" s="144"/>
      <c r="D128" s="145"/>
      <c r="E128" s="144"/>
      <c r="F128" s="145"/>
      <c r="G128" s="144"/>
      <c r="H128" s="144"/>
      <c r="I128" s="144">
        <f>I89/REVENUE!I10</f>
        <v>0.038</v>
      </c>
      <c r="J128" s="144"/>
      <c r="K128" s="144">
        <f>K89/REVENUE!K10</f>
        <v>0.146</v>
      </c>
      <c r="L128" s="144"/>
      <c r="M128" s="144">
        <f>M89/REVENUE!M10</f>
        <v>0.108</v>
      </c>
      <c r="N128" s="127"/>
      <c r="O128" s="144">
        <f>O89/REVENUE!O10</f>
        <v>0.12</v>
      </c>
      <c r="P128" s="209"/>
      <c r="Q128" s="144">
        <f>Q89/REVENUE!Q10</f>
        <v>0.174</v>
      </c>
      <c r="R128" s="63"/>
      <c r="S128" s="144">
        <f>S89/REVENUE!S10</f>
        <v>0.119</v>
      </c>
      <c r="T128" s="127"/>
      <c r="U128" s="144">
        <f>U89/REVENUE!U10</f>
        <v>0.117</v>
      </c>
      <c r="V128" s="127"/>
      <c r="W128" s="144">
        <f>W89/REVENUE!W10</f>
        <v>0.208</v>
      </c>
      <c r="X128" s="127"/>
      <c r="Y128" s="144">
        <f>Y89/REVENUE!Y10</f>
        <v>0.221</v>
      </c>
      <c r="Z128" s="63" t="s">
        <v>46</v>
      </c>
      <c r="AE128" s="115" t="s">
        <v>15</v>
      </c>
      <c r="AG128" s="144"/>
      <c r="AH128" s="145"/>
      <c r="AI128" s="144"/>
      <c r="AJ128" s="145"/>
      <c r="AK128" s="144"/>
      <c r="AL128" s="144"/>
      <c r="AM128" s="144">
        <f>I89/REVENUE!I449</f>
        <v>0.034</v>
      </c>
      <c r="AN128" s="144"/>
      <c r="AO128" s="144">
        <f>K89/REVENUE!K449</f>
        <v>0.128</v>
      </c>
      <c r="AP128" s="144"/>
      <c r="AQ128" s="144">
        <f>M89/REVENUE!M449</f>
        <v>0.094</v>
      </c>
      <c r="AR128" s="144"/>
      <c r="AS128" s="144">
        <f>O89/REVENUE!O449</f>
        <v>0.101</v>
      </c>
      <c r="AT128" s="144"/>
      <c r="AU128" s="144">
        <f>Q89/REVENUE!Q449</f>
        <v>0.148</v>
      </c>
      <c r="AV128" s="144"/>
      <c r="AW128" s="144">
        <f>S89/REVENUE!S449</f>
        <v>0.107</v>
      </c>
      <c r="AX128" s="144"/>
      <c r="AY128" s="144">
        <f>U89/REVENUE!U449</f>
        <v>0.106</v>
      </c>
      <c r="AZ128" s="144"/>
      <c r="BA128" s="144">
        <f>W89/REVENUE!W449</f>
        <v>0.187</v>
      </c>
      <c r="BB128" s="144"/>
      <c r="BC128" s="144">
        <f>Y89/REVENUE!Y449</f>
        <v>0.2</v>
      </c>
      <c r="BD128" s="214" t="s">
        <v>46</v>
      </c>
    </row>
    <row r="129" spans="1:56" ht="11.25" customHeight="1">
      <c r="A129" s="115"/>
      <c r="C129" s="144"/>
      <c r="D129" s="135"/>
      <c r="E129" s="144"/>
      <c r="F129" s="135"/>
      <c r="G129" s="144"/>
      <c r="H129" s="128"/>
      <c r="I129" s="144"/>
      <c r="J129" s="128"/>
      <c r="K129" s="144"/>
      <c r="L129" s="128"/>
      <c r="M129" s="144"/>
      <c r="N129" s="128"/>
      <c r="O129" s="144"/>
      <c r="Q129" s="144"/>
      <c r="R129" s="128"/>
      <c r="S129" s="144"/>
      <c r="T129" s="128"/>
      <c r="U129" s="144"/>
      <c r="V129" s="128"/>
      <c r="W129" s="144"/>
      <c r="X129" s="128"/>
      <c r="Y129" s="144"/>
      <c r="Z129" s="128"/>
      <c r="AE129" s="115"/>
      <c r="AG129" s="128"/>
      <c r="AH129" s="135"/>
      <c r="AI129" s="128"/>
      <c r="AJ129" s="135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44"/>
      <c r="AX129" s="128"/>
      <c r="AY129" s="144"/>
      <c r="AZ129" s="128"/>
      <c r="BA129" s="144"/>
      <c r="BB129" s="128"/>
      <c r="BC129" s="144"/>
      <c r="BD129" s="128"/>
    </row>
    <row r="130" spans="1:56" ht="11.25" customHeight="1">
      <c r="A130" s="115" t="s">
        <v>17</v>
      </c>
      <c r="C130" s="144"/>
      <c r="D130" s="130"/>
      <c r="E130" s="144"/>
      <c r="F130" s="130"/>
      <c r="G130" s="144">
        <f>G91/REVENUE!G12</f>
        <v>0</v>
      </c>
      <c r="H130" s="63"/>
      <c r="I130" s="144">
        <f>I91/REVENUE!I12</f>
        <v>0.057</v>
      </c>
      <c r="J130" s="144"/>
      <c r="K130" s="144">
        <f>K91/REVENUE!K12</f>
        <v>0.063</v>
      </c>
      <c r="L130" s="144"/>
      <c r="M130" s="144">
        <f>M91/REVENUE!M12</f>
        <v>0.059</v>
      </c>
      <c r="N130" s="63"/>
      <c r="O130" s="144">
        <f>O91/REVENUE!O12</f>
        <v>0.091</v>
      </c>
      <c r="P130" s="15" t="s">
        <v>16</v>
      </c>
      <c r="Q130" s="144">
        <f>Q91/REVENUE!Q12</f>
        <v>0.094</v>
      </c>
      <c r="R130" s="63"/>
      <c r="S130" s="144">
        <f>S91/REVENUE!S12</f>
        <v>0.116</v>
      </c>
      <c r="T130" s="63"/>
      <c r="U130" s="144">
        <f>U91/REVENUE!U12</f>
        <v>0.114</v>
      </c>
      <c r="V130" s="63"/>
      <c r="W130" s="144">
        <f>W91/REVENUE!W12</f>
        <v>0.117</v>
      </c>
      <c r="X130" s="63"/>
      <c r="Y130" s="144">
        <f>Y91/REVENUE!Y12</f>
        <v>0.12</v>
      </c>
      <c r="Z130" s="63"/>
      <c r="AE130" s="115" t="s">
        <v>17</v>
      </c>
      <c r="AG130" s="144"/>
      <c r="AH130" s="130"/>
      <c r="AI130" s="144"/>
      <c r="AJ130" s="130"/>
      <c r="AK130" s="144">
        <f>G91/REVENUE!G451</f>
        <v>0</v>
      </c>
      <c r="AL130" s="63"/>
      <c r="AM130" s="144">
        <f>I91/REVENUE!I451</f>
        <v>0.052</v>
      </c>
      <c r="AN130" s="144"/>
      <c r="AO130" s="144">
        <f>K91/REVENUE!K451</f>
        <v>0.056</v>
      </c>
      <c r="AP130" s="144"/>
      <c r="AQ130" s="144">
        <f>M91/REVENUE!M451</f>
        <v>0.053</v>
      </c>
      <c r="AR130" s="63"/>
      <c r="AS130" s="144">
        <f>O91/REVENUE!O451</f>
        <v>0.081</v>
      </c>
      <c r="AT130" s="15" t="s">
        <v>16</v>
      </c>
      <c r="AU130" s="144">
        <f>Q91/REVENUE!Q451</f>
        <v>0.082</v>
      </c>
      <c r="AV130" s="63"/>
      <c r="AW130" s="144">
        <f>S91/REVENUE!S451</f>
        <v>0.103</v>
      </c>
      <c r="AX130" s="63"/>
      <c r="AY130" s="144">
        <f>U91/REVENUE!U451</f>
        <v>0.101</v>
      </c>
      <c r="AZ130" s="63"/>
      <c r="BA130" s="144">
        <f>W91/REVENUE!W451</f>
        <v>0.103</v>
      </c>
      <c r="BB130" s="63"/>
      <c r="BC130" s="144">
        <f>Y91/REVENUE!Y451</f>
        <v>0.106</v>
      </c>
      <c r="BD130" s="144"/>
    </row>
    <row r="131" spans="3:56" ht="11.25" customHeight="1">
      <c r="C131" s="144"/>
      <c r="D131" s="130"/>
      <c r="E131" s="144"/>
      <c r="F131" s="130"/>
      <c r="G131" s="144"/>
      <c r="H131" s="63"/>
      <c r="I131" s="144"/>
      <c r="J131" s="63"/>
      <c r="K131" s="144"/>
      <c r="L131" s="63"/>
      <c r="M131" s="144"/>
      <c r="N131" s="63"/>
      <c r="O131" s="144"/>
      <c r="P131" s="52"/>
      <c r="Q131" s="144"/>
      <c r="R131" s="63"/>
      <c r="S131" s="144"/>
      <c r="T131" s="63"/>
      <c r="U131" s="144"/>
      <c r="V131" s="63"/>
      <c r="W131" s="144"/>
      <c r="X131" s="63"/>
      <c r="Y131" s="144"/>
      <c r="Z131" s="63"/>
      <c r="AG131" s="144"/>
      <c r="AH131" s="130"/>
      <c r="AI131" s="144"/>
      <c r="AJ131" s="130"/>
      <c r="AK131" s="144"/>
      <c r="AL131" s="63"/>
      <c r="AM131" s="144"/>
      <c r="AN131" s="63"/>
      <c r="AO131" s="144"/>
      <c r="AP131" s="63"/>
      <c r="AQ131" s="144"/>
      <c r="AR131" s="63"/>
      <c r="AS131" s="144"/>
      <c r="AT131" s="63"/>
      <c r="AU131" s="144"/>
      <c r="AV131" s="63"/>
      <c r="AW131" s="144"/>
      <c r="AX131" s="63"/>
      <c r="AY131" s="144"/>
      <c r="AZ131" s="63"/>
      <c r="BA131" s="144"/>
      <c r="BB131" s="63"/>
      <c r="BC131" s="144"/>
      <c r="BD131" s="63"/>
    </row>
    <row r="132" spans="1:56" ht="11.25" customHeight="1">
      <c r="A132" s="115" t="s">
        <v>18</v>
      </c>
      <c r="C132" s="144"/>
      <c r="D132" s="130"/>
      <c r="E132" s="144">
        <f>E93/REVENUE!E14</f>
        <v>0.001</v>
      </c>
      <c r="F132" s="145"/>
      <c r="G132" s="144">
        <f>G93/REVENUE!G14</f>
        <v>0.024</v>
      </c>
      <c r="H132" s="144"/>
      <c r="I132" s="144">
        <f>I93/REVENUE!I14</f>
        <v>0.068</v>
      </c>
      <c r="J132" s="144"/>
      <c r="K132" s="144">
        <f>K93/REVENUE!K14</f>
        <v>0.088</v>
      </c>
      <c r="L132" s="144"/>
      <c r="M132" s="144">
        <f>M93/REVENUE!M14</f>
        <v>0.08</v>
      </c>
      <c r="N132" s="63"/>
      <c r="O132" s="144">
        <f>O93/REVENUE!O14</f>
        <v>0.067</v>
      </c>
      <c r="P132" s="52"/>
      <c r="Q132" s="144">
        <f>Q93/REVENUE!Q14</f>
        <v>0.059</v>
      </c>
      <c r="R132" s="63"/>
      <c r="S132" s="144">
        <f>S93/REVENUE!S14</f>
        <v>0.06</v>
      </c>
      <c r="T132" s="63"/>
      <c r="U132" s="144">
        <f>U93/REVENUE!U14</f>
        <v>0.09</v>
      </c>
      <c r="V132" s="63"/>
      <c r="W132" s="144">
        <f>W93/REVENUE!W14</f>
        <v>0.08</v>
      </c>
      <c r="X132" s="63"/>
      <c r="Y132" s="144">
        <f>Y93/REVENUE!Y14</f>
        <v>0.068</v>
      </c>
      <c r="Z132" s="63"/>
      <c r="AE132" s="115" t="s">
        <v>18</v>
      </c>
      <c r="AG132" s="144"/>
      <c r="AH132" s="130"/>
      <c r="AI132" s="144">
        <f>E93/REVENUE!E453</f>
        <v>0.001</v>
      </c>
      <c r="AJ132" s="144"/>
      <c r="AK132" s="144">
        <f>G93/REVENUE!G453</f>
        <v>0.022</v>
      </c>
      <c r="AL132" s="144"/>
      <c r="AM132" s="144">
        <f>I93/REVENUE!I453</f>
        <v>0.064</v>
      </c>
      <c r="AN132" s="144"/>
      <c r="AO132" s="144">
        <f>K93/REVENUE!K453</f>
        <v>0.082</v>
      </c>
      <c r="AP132" s="144"/>
      <c r="AQ132" s="144">
        <f>M93/REVENUE!M453</f>
        <v>0.074</v>
      </c>
      <c r="AR132" s="63"/>
      <c r="AS132" s="144">
        <f>O93/REVENUE!O453</f>
        <v>0.062</v>
      </c>
      <c r="AT132" s="63"/>
      <c r="AU132" s="144">
        <f>Q93/REVENUE!Q453</f>
        <v>0.055</v>
      </c>
      <c r="AV132" s="63"/>
      <c r="AW132" s="144">
        <f>S93/REVENUE!S453</f>
        <v>0.057</v>
      </c>
      <c r="AX132" s="63"/>
      <c r="AY132" s="144">
        <f>U93/REVENUE!U453</f>
        <v>0.083</v>
      </c>
      <c r="AZ132" s="63"/>
      <c r="BA132" s="144">
        <f>W93/REVENUE!W453</f>
        <v>0.074</v>
      </c>
      <c r="BB132" s="63"/>
      <c r="BC132" s="144">
        <f>Y93/REVENUE!Y453</f>
        <v>0.062</v>
      </c>
      <c r="BD132" s="63"/>
    </row>
    <row r="133" spans="3:56" ht="11.25" customHeight="1">
      <c r="C133" s="144"/>
      <c r="D133" s="130"/>
      <c r="E133" s="144"/>
      <c r="F133" s="130"/>
      <c r="G133" s="144"/>
      <c r="H133" s="63"/>
      <c r="I133" s="144"/>
      <c r="J133" s="63"/>
      <c r="K133" s="144"/>
      <c r="L133" s="63"/>
      <c r="M133" s="144"/>
      <c r="N133" s="63"/>
      <c r="O133" s="144"/>
      <c r="P133" s="52"/>
      <c r="Q133" s="144"/>
      <c r="R133" s="63"/>
      <c r="S133" s="144"/>
      <c r="T133" s="63"/>
      <c r="U133" s="144"/>
      <c r="V133" s="63"/>
      <c r="W133" s="144"/>
      <c r="X133" s="63"/>
      <c r="Y133" s="144"/>
      <c r="Z133" s="63"/>
      <c r="AG133" s="144"/>
      <c r="AH133" s="130"/>
      <c r="AI133" s="144"/>
      <c r="AJ133" s="130"/>
      <c r="AK133" s="144"/>
      <c r="AL133" s="63"/>
      <c r="AM133" s="144"/>
      <c r="AN133" s="63"/>
      <c r="AO133" s="144"/>
      <c r="AP133" s="63"/>
      <c r="AQ133" s="144"/>
      <c r="AR133" s="63"/>
      <c r="AS133" s="144"/>
      <c r="AT133" s="63"/>
      <c r="AU133" s="144"/>
      <c r="AV133" s="63"/>
      <c r="AW133" s="144"/>
      <c r="AX133" s="63"/>
      <c r="AY133" s="144"/>
      <c r="AZ133" s="63"/>
      <c r="BA133" s="144"/>
      <c r="BB133" s="63"/>
      <c r="BC133" s="144"/>
      <c r="BD133" s="63"/>
    </row>
    <row r="134" spans="1:56" ht="11.25" customHeight="1">
      <c r="A134" s="115" t="s">
        <v>19</v>
      </c>
      <c r="C134" s="144"/>
      <c r="D134" s="130"/>
      <c r="E134" s="144">
        <f>E95/REVENUE!E16</f>
        <v>0</v>
      </c>
      <c r="F134" s="130"/>
      <c r="G134" s="144">
        <f>G95/REVENUE!G16</f>
        <v>0</v>
      </c>
      <c r="H134" s="63"/>
      <c r="I134" s="144">
        <f>I95/REVENUE!I16</f>
        <v>0.042</v>
      </c>
      <c r="J134" s="144"/>
      <c r="K134" s="144">
        <f>K95/REVENUE!K16</f>
        <v>0.043</v>
      </c>
      <c r="L134" s="144"/>
      <c r="M134" s="144">
        <f>M95/REVENUE!M16</f>
        <v>0.078</v>
      </c>
      <c r="N134" s="63"/>
      <c r="O134" s="144">
        <f>O95/REVENUE!O16</f>
        <v>0.086</v>
      </c>
      <c r="P134" s="52"/>
      <c r="Q134" s="144">
        <f>Q95/REVENUE!Q16</f>
        <v>0.094</v>
      </c>
      <c r="R134" s="63"/>
      <c r="S134" s="144">
        <f>S95/REVENUE!S16</f>
        <v>0.091</v>
      </c>
      <c r="T134" s="63"/>
      <c r="U134" s="144">
        <f>U95/REVENUE!U16</f>
        <v>0.095</v>
      </c>
      <c r="V134" s="63"/>
      <c r="W134" s="144">
        <f>W95/REVENUE!W16</f>
        <v>0.132</v>
      </c>
      <c r="X134" s="63"/>
      <c r="Y134" s="144">
        <f>Y95/REVENUE!Y16</f>
        <v>0.129</v>
      </c>
      <c r="Z134" s="63"/>
      <c r="AE134" s="115" t="s">
        <v>19</v>
      </c>
      <c r="AG134" s="144"/>
      <c r="AH134" s="130"/>
      <c r="AI134" s="144">
        <f>E95/REVENUE!E455</f>
        <v>0</v>
      </c>
      <c r="AJ134" s="130"/>
      <c r="AK134" s="144">
        <f>G95/REVENUE!G455</f>
        <v>0</v>
      </c>
      <c r="AL134" s="63"/>
      <c r="AM134" s="144">
        <f>I95/REVENUE!I455</f>
        <v>0.038</v>
      </c>
      <c r="AN134" s="144"/>
      <c r="AO134" s="144">
        <f>K95/REVENUE!K455</f>
        <v>0.039</v>
      </c>
      <c r="AP134" s="144"/>
      <c r="AQ134" s="144">
        <f>M95/REVENUE!M455</f>
        <v>0.07</v>
      </c>
      <c r="AR134" s="63"/>
      <c r="AS134" s="144">
        <f>O95/REVENUE!O455</f>
        <v>0.076</v>
      </c>
      <c r="AT134" s="63"/>
      <c r="AU134" s="144">
        <f>Q95/REVENUE!Q455</f>
        <v>0.084</v>
      </c>
      <c r="AV134" s="63"/>
      <c r="AW134" s="144">
        <f>S95/REVENUE!S455</f>
        <v>0.081</v>
      </c>
      <c r="AX134" s="63"/>
      <c r="AY134" s="144">
        <f>U95/REVENUE!U455</f>
        <v>0.085</v>
      </c>
      <c r="AZ134" s="63"/>
      <c r="BA134" s="144">
        <f>W95/REVENUE!W455</f>
        <v>0.119</v>
      </c>
      <c r="BB134" s="63"/>
      <c r="BC134" s="144">
        <f>Y95/REVENUE!Y455</f>
        <v>0.115</v>
      </c>
      <c r="BD134" s="63"/>
    </row>
    <row r="135" spans="3:56" ht="11.25" customHeight="1">
      <c r="C135" s="144"/>
      <c r="D135" s="130"/>
      <c r="E135" s="144"/>
      <c r="F135" s="130"/>
      <c r="G135" s="144"/>
      <c r="H135" s="63"/>
      <c r="I135" s="144"/>
      <c r="J135" s="144"/>
      <c r="K135" s="144"/>
      <c r="L135" s="144"/>
      <c r="M135" s="144"/>
      <c r="N135" s="63"/>
      <c r="O135" s="144"/>
      <c r="P135" s="52"/>
      <c r="Q135" s="144"/>
      <c r="R135" s="63"/>
      <c r="S135" s="144"/>
      <c r="T135" s="63"/>
      <c r="U135" s="144"/>
      <c r="V135" s="63"/>
      <c r="W135" s="144"/>
      <c r="X135" s="63"/>
      <c r="Y135" s="144"/>
      <c r="Z135" s="63"/>
      <c r="AG135" s="144"/>
      <c r="AH135" s="130"/>
      <c r="AI135" s="144"/>
      <c r="AJ135" s="130"/>
      <c r="AK135" s="144"/>
      <c r="AL135" s="63"/>
      <c r="AM135" s="144"/>
      <c r="AN135" s="144"/>
      <c r="AO135" s="144"/>
      <c r="AP135" s="144"/>
      <c r="AQ135" s="144"/>
      <c r="AR135" s="63"/>
      <c r="AS135" s="144"/>
      <c r="AT135" s="63"/>
      <c r="AU135" s="144"/>
      <c r="AV135" s="63"/>
      <c r="AW135" s="144"/>
      <c r="AX135" s="63"/>
      <c r="AY135" s="144"/>
      <c r="AZ135" s="63"/>
      <c r="BA135" s="144"/>
      <c r="BB135" s="63"/>
      <c r="BC135" s="144"/>
      <c r="BD135" s="63"/>
    </row>
    <row r="136" spans="1:56" ht="11.25" customHeight="1">
      <c r="A136" s="131" t="s">
        <v>20</v>
      </c>
      <c r="C136" s="144"/>
      <c r="D136" s="130"/>
      <c r="E136" s="144"/>
      <c r="F136" s="130"/>
      <c r="G136" s="144"/>
      <c r="H136" s="63"/>
      <c r="I136" s="144">
        <f>I97/REVENUE!I18</f>
        <v>0.065</v>
      </c>
      <c r="J136" s="144"/>
      <c r="K136" s="144">
        <f>K97/REVENUE!K18</f>
        <v>0.113</v>
      </c>
      <c r="L136" s="144"/>
      <c r="M136" s="144">
        <f>M97/REVENUE!M18</f>
        <v>0.102</v>
      </c>
      <c r="N136" s="63"/>
      <c r="O136" s="144">
        <f>O97/REVENUE!O18</f>
        <v>0.107</v>
      </c>
      <c r="P136" s="52"/>
      <c r="Q136" s="144">
        <f>Q97/REVENUE!Q18</f>
        <v>0.098</v>
      </c>
      <c r="R136" s="63"/>
      <c r="S136" s="144">
        <f>S97/REVENUE!S18</f>
        <v>0.09</v>
      </c>
      <c r="T136" s="63"/>
      <c r="U136" s="144">
        <f>U97/REVENUE!U18</f>
        <v>0.101</v>
      </c>
      <c r="V136" s="63"/>
      <c r="W136" s="144">
        <f>W97/REVENUE!W18</f>
        <v>0.104</v>
      </c>
      <c r="X136" s="63"/>
      <c r="Y136" s="144">
        <f>Y97/REVENUE!Y18</f>
        <v>0.099</v>
      </c>
      <c r="Z136" s="63"/>
      <c r="AE136" s="131" t="s">
        <v>20</v>
      </c>
      <c r="AG136" s="144"/>
      <c r="AH136" s="130"/>
      <c r="AI136" s="144"/>
      <c r="AJ136" s="130"/>
      <c r="AK136" s="144"/>
      <c r="AL136" s="63"/>
      <c r="AM136" s="144">
        <f>I97/REVENUE!I457</f>
        <v>0.06</v>
      </c>
      <c r="AN136" s="144"/>
      <c r="AO136" s="144">
        <f>K97/REVENUE!K457</f>
        <v>0.099</v>
      </c>
      <c r="AP136" s="144"/>
      <c r="AQ136" s="144">
        <f>M97/REVENUE!M457</f>
        <v>0.09</v>
      </c>
      <c r="AR136" s="63"/>
      <c r="AS136" s="144">
        <f>O97/REVENUE!O457</f>
        <v>0.096</v>
      </c>
      <c r="AT136" s="63"/>
      <c r="AU136" s="144">
        <f>Q97/REVENUE!Q457</f>
        <v>0.086</v>
      </c>
      <c r="AV136" s="63"/>
      <c r="AW136" s="144">
        <f>S97/REVENUE!S457</f>
        <v>0.079</v>
      </c>
      <c r="AX136" s="63"/>
      <c r="AY136" s="144">
        <f>U97/REVENUE!U457</f>
        <v>0.089</v>
      </c>
      <c r="AZ136" s="63"/>
      <c r="BA136" s="144">
        <f>W97/REVENUE!W457</f>
        <v>0.091</v>
      </c>
      <c r="BB136" s="63"/>
      <c r="BC136" s="144">
        <f>Y97/REVENUE!Y457</f>
        <v>0.089</v>
      </c>
      <c r="BD136" s="63"/>
    </row>
    <row r="137" spans="3:56" ht="11.25" customHeight="1">
      <c r="C137" s="144"/>
      <c r="D137" s="130"/>
      <c r="E137" s="144"/>
      <c r="F137" s="130"/>
      <c r="G137" s="144"/>
      <c r="H137" s="63"/>
      <c r="I137" s="144"/>
      <c r="J137" s="144"/>
      <c r="K137" s="144"/>
      <c r="L137" s="63"/>
      <c r="M137" s="144"/>
      <c r="N137" s="63"/>
      <c r="O137" s="144"/>
      <c r="P137" s="52"/>
      <c r="Q137" s="144"/>
      <c r="R137" s="63"/>
      <c r="S137" s="144"/>
      <c r="T137" s="63"/>
      <c r="U137" s="144"/>
      <c r="V137" s="63"/>
      <c r="W137" s="144"/>
      <c r="X137" s="63"/>
      <c r="Y137" s="144"/>
      <c r="Z137" s="63"/>
      <c r="AG137" s="144"/>
      <c r="AH137" s="130"/>
      <c r="AI137" s="144"/>
      <c r="AJ137" s="130"/>
      <c r="AK137" s="144"/>
      <c r="AL137" s="63"/>
      <c r="AM137" s="144"/>
      <c r="AN137" s="144"/>
      <c r="AO137" s="144"/>
      <c r="AP137" s="63"/>
      <c r="AQ137" s="144"/>
      <c r="AR137" s="63"/>
      <c r="AS137" s="144"/>
      <c r="AT137" s="63"/>
      <c r="AU137" s="144"/>
      <c r="AV137" s="63"/>
      <c r="AW137" s="144"/>
      <c r="AX137" s="63"/>
      <c r="AY137" s="144"/>
      <c r="AZ137" s="63"/>
      <c r="BA137" s="144"/>
      <c r="BB137" s="63"/>
      <c r="BC137" s="144"/>
      <c r="BD137" s="63"/>
    </row>
    <row r="138" spans="1:56" ht="11.25" customHeight="1">
      <c r="A138" s="115" t="s">
        <v>21</v>
      </c>
      <c r="C138" s="144"/>
      <c r="D138" s="130"/>
      <c r="E138" s="144"/>
      <c r="F138" s="130"/>
      <c r="G138" s="144">
        <f>G99/REVENUE!G20</f>
        <v>0</v>
      </c>
      <c r="H138" s="63"/>
      <c r="I138" s="144">
        <f>I99/REVENUE!I20</f>
        <v>0</v>
      </c>
      <c r="J138" s="144"/>
      <c r="K138" s="144">
        <f>K99/REVENUE!K20</f>
        <v>0.044</v>
      </c>
      <c r="L138" s="144"/>
      <c r="M138" s="144">
        <f>M99/REVENUE!M20</f>
        <v>0.043</v>
      </c>
      <c r="N138" s="63"/>
      <c r="O138" s="144">
        <f>O99/REVENUE!O20</f>
        <v>0.061</v>
      </c>
      <c r="P138" s="52"/>
      <c r="Q138" s="144">
        <f>Q99/REVENUE!Q20</f>
        <v>0.064</v>
      </c>
      <c r="R138" s="63"/>
      <c r="S138" s="144">
        <f>S99/REVENUE!S20</f>
        <v>0.055</v>
      </c>
      <c r="T138" s="63"/>
      <c r="U138" s="144">
        <f>U99/REVENUE!U20</f>
        <v>0.058</v>
      </c>
      <c r="V138" s="63"/>
      <c r="W138" s="144">
        <f>W99/REVENUE!W20</f>
        <v>0.049</v>
      </c>
      <c r="X138" s="63"/>
      <c r="Y138" s="144">
        <f>Y99/REVENUE!Y20</f>
        <v>0.053</v>
      </c>
      <c r="Z138" s="63"/>
      <c r="AE138" s="115" t="s">
        <v>21</v>
      </c>
      <c r="AG138" s="144"/>
      <c r="AH138" s="130"/>
      <c r="AI138" s="144"/>
      <c r="AJ138" s="130"/>
      <c r="AK138" s="144">
        <f>G99/REVENUE!G459</f>
        <v>0</v>
      </c>
      <c r="AL138" s="63"/>
      <c r="AM138" s="144">
        <f>I99/REVENUE!I459</f>
        <v>0</v>
      </c>
      <c r="AN138" s="144"/>
      <c r="AO138" s="144">
        <f>K99/REVENUE!K459</f>
        <v>0.04</v>
      </c>
      <c r="AP138" s="144"/>
      <c r="AQ138" s="144">
        <f>M99/REVENUE!M459</f>
        <v>0.04</v>
      </c>
      <c r="AR138" s="63"/>
      <c r="AS138" s="144">
        <f>O99/REVENUE!O459</f>
        <v>0.056</v>
      </c>
      <c r="AT138" s="63"/>
      <c r="AU138" s="144">
        <f>Q99/REVENUE!Q459</f>
        <v>0.057</v>
      </c>
      <c r="AV138" s="63"/>
      <c r="AW138" s="144">
        <f>S99/REVENUE!S459</f>
        <v>0.049</v>
      </c>
      <c r="AX138" s="63"/>
      <c r="AY138" s="144">
        <f>U99/REVENUE!U459</f>
        <v>0.052</v>
      </c>
      <c r="AZ138" s="63"/>
      <c r="BA138" s="144">
        <f>W99/REVENUE!W459</f>
        <v>0.043</v>
      </c>
      <c r="BB138" s="63"/>
      <c r="BC138" s="144">
        <f>Y99/REVENUE!Y459</f>
        <v>0.046</v>
      </c>
      <c r="BD138" s="63"/>
    </row>
    <row r="139" spans="3:56" ht="11.25" customHeight="1">
      <c r="C139" s="144"/>
      <c r="D139" s="130"/>
      <c r="E139" s="144"/>
      <c r="F139" s="130"/>
      <c r="G139" s="144"/>
      <c r="H139" s="63"/>
      <c r="I139" s="144"/>
      <c r="J139" s="144"/>
      <c r="K139" s="144"/>
      <c r="L139" s="63"/>
      <c r="M139" s="144"/>
      <c r="N139" s="63"/>
      <c r="O139" s="144"/>
      <c r="P139" s="52"/>
      <c r="Q139" s="144"/>
      <c r="R139" s="63"/>
      <c r="S139" s="144"/>
      <c r="T139" s="63"/>
      <c r="U139" s="144"/>
      <c r="V139" s="63"/>
      <c r="W139" s="144"/>
      <c r="X139" s="63"/>
      <c r="Y139" s="144"/>
      <c r="Z139" s="63"/>
      <c r="AG139" s="144"/>
      <c r="AH139" s="130"/>
      <c r="AI139" s="144"/>
      <c r="AJ139" s="130"/>
      <c r="AK139" s="144"/>
      <c r="AL139" s="63"/>
      <c r="AM139" s="144"/>
      <c r="AN139" s="144"/>
      <c r="AO139" s="144"/>
      <c r="AP139" s="63"/>
      <c r="AQ139" s="144"/>
      <c r="AR139" s="63"/>
      <c r="AS139" s="144"/>
      <c r="AT139" s="63"/>
      <c r="AU139" s="144"/>
      <c r="AV139" s="63"/>
      <c r="AW139" s="144"/>
      <c r="AX139" s="63"/>
      <c r="AY139" s="144"/>
      <c r="AZ139" s="63"/>
      <c r="BA139" s="144"/>
      <c r="BB139" s="63"/>
      <c r="BC139" s="144"/>
      <c r="BD139" s="63"/>
    </row>
    <row r="140" spans="1:56" ht="11.25" customHeight="1">
      <c r="A140" s="115" t="s">
        <v>22</v>
      </c>
      <c r="C140" s="144">
        <f>C101/REVENUE!C22</f>
        <v>0</v>
      </c>
      <c r="D140" s="130"/>
      <c r="E140" s="144">
        <f>E101/REVENUE!E22</f>
        <v>0</v>
      </c>
      <c r="F140" s="130"/>
      <c r="G140" s="144">
        <f>G101/REVENUE!G22</f>
        <v>0</v>
      </c>
      <c r="H140" s="63"/>
      <c r="I140" s="144">
        <f>I101/REVENUE!I22</f>
        <v>0.022</v>
      </c>
      <c r="J140" s="144"/>
      <c r="K140" s="144">
        <f>K101/REVENUE!K22</f>
        <v>0.095</v>
      </c>
      <c r="L140" s="144"/>
      <c r="M140" s="144">
        <f>M101/REVENUE!M22</f>
        <v>0.098</v>
      </c>
      <c r="N140" s="63"/>
      <c r="O140" s="144">
        <f>O101/REVENUE!O22</f>
        <v>0.091</v>
      </c>
      <c r="P140" s="52"/>
      <c r="Q140" s="144">
        <f>Q101/REVENUE!Q22</f>
        <v>0.103</v>
      </c>
      <c r="R140" s="63"/>
      <c r="S140" s="144">
        <f>S101/REVENUE!S22</f>
        <v>0.109</v>
      </c>
      <c r="T140" s="63"/>
      <c r="U140" s="144">
        <f>U101/REVENUE!U22</f>
        <v>0.12</v>
      </c>
      <c r="V140" s="63"/>
      <c r="W140" s="144">
        <f>W101/REVENUE!W22</f>
        <v>0.145</v>
      </c>
      <c r="X140" s="63"/>
      <c r="Y140" s="144">
        <f>Y101/REVENUE!Y22</f>
        <v>0.157</v>
      </c>
      <c r="Z140" s="63"/>
      <c r="AE140" s="115" t="s">
        <v>22</v>
      </c>
      <c r="AG140" s="144"/>
      <c r="AH140" s="130"/>
      <c r="AI140" s="144">
        <f>E101/REVENUE!E461</f>
        <v>0</v>
      </c>
      <c r="AJ140" s="130"/>
      <c r="AK140" s="144">
        <f>G101/REVENUE!G461</f>
        <v>0</v>
      </c>
      <c r="AL140" s="63"/>
      <c r="AM140" s="144">
        <f>I101/REVENUE!I461</f>
        <v>0.02</v>
      </c>
      <c r="AN140" s="144"/>
      <c r="AO140" s="144">
        <f>K101/REVENUE!K461</f>
        <v>0.087</v>
      </c>
      <c r="AP140" s="144"/>
      <c r="AQ140" s="144">
        <f>M101/REVENUE!M461</f>
        <v>0.09</v>
      </c>
      <c r="AR140" s="63"/>
      <c r="AS140" s="144">
        <f>O101/REVENUE!O461</f>
        <v>0.082</v>
      </c>
      <c r="AT140" s="63"/>
      <c r="AU140" s="144">
        <f>Q101/REVENUE!Q461</f>
        <v>0.092</v>
      </c>
      <c r="AV140" s="63"/>
      <c r="AW140" s="144">
        <f>S101/REVENUE!S461</f>
        <v>0.098</v>
      </c>
      <c r="AX140" s="63"/>
      <c r="AY140" s="144">
        <f>U101/REVENUE!U461</f>
        <v>0.107</v>
      </c>
      <c r="AZ140" s="63"/>
      <c r="BA140" s="144">
        <f>W101/REVENUE!W461</f>
        <v>0.128</v>
      </c>
      <c r="BB140" s="63"/>
      <c r="BC140" s="144">
        <f>Y101/REVENUE!Y461</f>
        <v>0.141</v>
      </c>
      <c r="BD140" s="63"/>
    </row>
    <row r="141" spans="3:56" ht="11.25" customHeight="1">
      <c r="C141" s="144"/>
      <c r="D141" s="130"/>
      <c r="E141" s="144"/>
      <c r="F141" s="130"/>
      <c r="G141" s="144"/>
      <c r="H141" s="63"/>
      <c r="I141" s="144"/>
      <c r="J141" s="144"/>
      <c r="K141" s="144"/>
      <c r="L141" s="63"/>
      <c r="M141" s="144"/>
      <c r="N141" s="63"/>
      <c r="O141" s="144"/>
      <c r="P141" s="52"/>
      <c r="Q141" s="144"/>
      <c r="R141" s="63"/>
      <c r="S141" s="144"/>
      <c r="T141" s="63"/>
      <c r="U141" s="144"/>
      <c r="V141" s="63"/>
      <c r="W141" s="144"/>
      <c r="X141" s="63"/>
      <c r="Y141" s="144"/>
      <c r="Z141" s="63"/>
      <c r="AG141" s="144"/>
      <c r="AH141" s="130"/>
      <c r="AI141" s="144"/>
      <c r="AJ141" s="130"/>
      <c r="AK141" s="144"/>
      <c r="AL141" s="63"/>
      <c r="AM141" s="144"/>
      <c r="AN141" s="144"/>
      <c r="AO141" s="144"/>
      <c r="AP141" s="63"/>
      <c r="AQ141" s="144"/>
      <c r="AR141" s="63"/>
      <c r="AS141" s="144"/>
      <c r="AT141" s="63"/>
      <c r="AU141" s="144"/>
      <c r="AV141" s="63"/>
      <c r="AW141" s="144"/>
      <c r="AX141" s="63"/>
      <c r="AY141" s="144"/>
      <c r="AZ141" s="63"/>
      <c r="BA141" s="144"/>
      <c r="BB141" s="63"/>
      <c r="BC141" s="144"/>
      <c r="BD141" s="63"/>
    </row>
    <row r="142" spans="1:56" ht="11.25" customHeight="1">
      <c r="A142" s="115" t="s">
        <v>23</v>
      </c>
      <c r="C142" s="144"/>
      <c r="D142" s="130"/>
      <c r="E142" s="144"/>
      <c r="F142" s="130"/>
      <c r="G142" s="144">
        <f>G103/REVENUE!G24</f>
        <v>0</v>
      </c>
      <c r="H142" s="144"/>
      <c r="I142" s="144">
        <f>I103/REVENUE!I24</f>
        <v>0.059</v>
      </c>
      <c r="J142" s="144"/>
      <c r="K142" s="144">
        <f>K103/REVENUE!K24</f>
        <v>0.092</v>
      </c>
      <c r="L142" s="144"/>
      <c r="M142" s="144">
        <f>M103/REVENUE!M24</f>
        <v>0.092</v>
      </c>
      <c r="N142" s="63"/>
      <c r="O142" s="144">
        <f>O103/REVENUE!O24</f>
        <v>0.143</v>
      </c>
      <c r="P142" s="52"/>
      <c r="Q142" s="144">
        <f>Q103/REVENUE!Q24</f>
        <v>0.139</v>
      </c>
      <c r="R142" s="63"/>
      <c r="S142" s="144">
        <f>S103/REVENUE!S24</f>
        <v>0.118</v>
      </c>
      <c r="T142" s="63"/>
      <c r="U142" s="144">
        <f>U103/REVENUE!U24</f>
        <v>0.132</v>
      </c>
      <c r="V142" s="63"/>
      <c r="W142" s="144">
        <f>W103/REVENUE!W24</f>
        <v>0.139</v>
      </c>
      <c r="X142" s="63"/>
      <c r="Y142" s="144">
        <f>Y103/REVENUE!Y24</f>
        <v>0.132</v>
      </c>
      <c r="Z142" s="63"/>
      <c r="AE142" s="115" t="s">
        <v>23</v>
      </c>
      <c r="AG142" s="144"/>
      <c r="AH142" s="130"/>
      <c r="AI142" s="144"/>
      <c r="AJ142" s="130"/>
      <c r="AK142" s="144">
        <f>G103/REVENUE!G463</f>
        <v>0</v>
      </c>
      <c r="AL142" s="144"/>
      <c r="AM142" s="144">
        <f>I103/REVENUE!I463</f>
        <v>0.052</v>
      </c>
      <c r="AN142" s="144"/>
      <c r="AO142" s="144">
        <f>K103/REVENUE!K463</f>
        <v>0.081</v>
      </c>
      <c r="AP142" s="144"/>
      <c r="AQ142" s="144">
        <f>M103/REVENUE!M463</f>
        <v>0.081</v>
      </c>
      <c r="AR142" s="63"/>
      <c r="AS142" s="144">
        <f>O103/REVENUE!O463</f>
        <v>0.129</v>
      </c>
      <c r="AT142" s="63"/>
      <c r="AU142" s="144">
        <f>Q103/REVENUE!Q463</f>
        <v>0.128</v>
      </c>
      <c r="AV142" s="63"/>
      <c r="AW142" s="144">
        <f>S103/REVENUE!S463</f>
        <v>0.109</v>
      </c>
      <c r="AX142" s="63"/>
      <c r="AY142" s="144">
        <f>U103/REVENUE!U463</f>
        <v>0.121</v>
      </c>
      <c r="AZ142" s="63"/>
      <c r="BA142" s="144">
        <f>W103/REVENUE!W463</f>
        <v>0.126</v>
      </c>
      <c r="BB142" s="63"/>
      <c r="BC142" s="144">
        <f>Y103/REVENUE!Y463</f>
        <v>0.121</v>
      </c>
      <c r="BD142" s="63"/>
    </row>
    <row r="143" spans="3:56" ht="11.25" customHeight="1">
      <c r="C143" s="144"/>
      <c r="D143" s="130"/>
      <c r="E143" s="144"/>
      <c r="F143" s="130"/>
      <c r="G143" s="144"/>
      <c r="H143" s="63"/>
      <c r="I143" s="144"/>
      <c r="J143" s="63"/>
      <c r="K143" s="144"/>
      <c r="L143" s="63"/>
      <c r="M143" s="144"/>
      <c r="N143" s="63"/>
      <c r="O143" s="144"/>
      <c r="P143" s="52"/>
      <c r="Q143" s="144"/>
      <c r="R143" s="63"/>
      <c r="S143" s="144"/>
      <c r="T143" s="63"/>
      <c r="U143" s="144"/>
      <c r="V143" s="63"/>
      <c r="W143" s="144"/>
      <c r="X143" s="63"/>
      <c r="Y143" s="144"/>
      <c r="Z143" s="63"/>
      <c r="AG143" s="144"/>
      <c r="AH143" s="130"/>
      <c r="AI143" s="144"/>
      <c r="AJ143" s="130"/>
      <c r="AK143" s="144"/>
      <c r="AL143" s="63"/>
      <c r="AM143" s="144"/>
      <c r="AN143" s="63"/>
      <c r="AO143" s="144"/>
      <c r="AP143" s="63"/>
      <c r="AQ143" s="144"/>
      <c r="AR143" s="63"/>
      <c r="AS143" s="144"/>
      <c r="AT143" s="63"/>
      <c r="AU143" s="144"/>
      <c r="AV143" s="63"/>
      <c r="AW143" s="144"/>
      <c r="AX143" s="63"/>
      <c r="AY143" s="144"/>
      <c r="AZ143" s="63"/>
      <c r="BA143" s="144"/>
      <c r="BB143" s="63"/>
      <c r="BC143" s="144"/>
      <c r="BD143" s="63"/>
    </row>
    <row r="144" spans="1:56" ht="11.25" customHeight="1">
      <c r="A144" s="115" t="s">
        <v>24</v>
      </c>
      <c r="C144" s="144"/>
      <c r="D144" s="145"/>
      <c r="E144" s="144"/>
      <c r="F144" s="145"/>
      <c r="G144" s="144"/>
      <c r="H144" s="144"/>
      <c r="I144" s="144"/>
      <c r="J144" s="144"/>
      <c r="K144" s="144"/>
      <c r="L144" s="144"/>
      <c r="M144" s="144"/>
      <c r="N144" s="144"/>
      <c r="O144" s="144"/>
      <c r="P144" s="46"/>
      <c r="Q144" s="144"/>
      <c r="R144" s="144"/>
      <c r="S144" s="144"/>
      <c r="T144" s="63"/>
      <c r="U144" s="144">
        <f>U105/REVENUE!U26</f>
        <v>0.084</v>
      </c>
      <c r="V144" s="63"/>
      <c r="W144" s="144">
        <f>W105/REVENUE!W26</f>
        <v>0.111</v>
      </c>
      <c r="X144" s="63"/>
      <c r="Y144" s="144">
        <f>Y105/REVENUE!Y26</f>
        <v>0.132</v>
      </c>
      <c r="Z144" s="63"/>
      <c r="AE144" s="115" t="s">
        <v>24</v>
      </c>
      <c r="AG144" s="144"/>
      <c r="AH144" s="145"/>
      <c r="AI144" s="144"/>
      <c r="AJ144" s="145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44"/>
      <c r="AV144" s="144"/>
      <c r="AW144" s="144"/>
      <c r="AX144" s="63"/>
      <c r="AY144" s="144">
        <f>U105/REVENUE!U465</f>
        <v>0.078</v>
      </c>
      <c r="AZ144" s="63"/>
      <c r="BA144" s="144">
        <f>W105/REVENUE!W465</f>
        <v>0.099</v>
      </c>
      <c r="BB144" s="63"/>
      <c r="BC144" s="144">
        <f>Y105/REVENUE!Y465</f>
        <v>0.118</v>
      </c>
      <c r="BD144" s="63"/>
    </row>
    <row r="145" spans="3:56" ht="11.25" customHeight="1">
      <c r="C145" s="144"/>
      <c r="D145" s="130"/>
      <c r="E145" s="144"/>
      <c r="F145" s="130"/>
      <c r="G145" s="144"/>
      <c r="H145" s="63"/>
      <c r="I145" s="144"/>
      <c r="J145" s="63"/>
      <c r="K145" s="144"/>
      <c r="L145" s="63"/>
      <c r="M145" s="144"/>
      <c r="N145" s="63"/>
      <c r="O145" s="144"/>
      <c r="P145" s="52"/>
      <c r="Q145" s="144"/>
      <c r="R145" s="63"/>
      <c r="S145" s="144"/>
      <c r="T145" s="63"/>
      <c r="U145" s="144"/>
      <c r="V145" s="63"/>
      <c r="W145" s="144"/>
      <c r="X145" s="63"/>
      <c r="Y145" s="144"/>
      <c r="Z145" s="63"/>
      <c r="AG145" s="144"/>
      <c r="AH145" s="130"/>
      <c r="AI145" s="144"/>
      <c r="AJ145" s="130"/>
      <c r="AK145" s="144"/>
      <c r="AL145" s="63"/>
      <c r="AM145" s="144"/>
      <c r="AN145" s="63"/>
      <c r="AO145" s="144"/>
      <c r="AP145" s="63"/>
      <c r="AQ145" s="144"/>
      <c r="AR145" s="63"/>
      <c r="AS145" s="144"/>
      <c r="AT145" s="63"/>
      <c r="AU145" s="144"/>
      <c r="AV145" s="63"/>
      <c r="AW145" s="144"/>
      <c r="AX145" s="63"/>
      <c r="AY145" s="144"/>
      <c r="AZ145" s="63"/>
      <c r="BA145" s="144"/>
      <c r="BB145" s="63"/>
      <c r="BC145" s="144"/>
      <c r="BD145" s="63"/>
    </row>
    <row r="146" spans="1:56" ht="11.25" customHeight="1">
      <c r="A146" s="131" t="s">
        <v>25</v>
      </c>
      <c r="C146" s="144"/>
      <c r="D146" s="130"/>
      <c r="E146" s="144"/>
      <c r="F146" s="130"/>
      <c r="G146" s="144"/>
      <c r="H146" s="63"/>
      <c r="I146" s="144">
        <f>I107/REVENUE!I28</f>
        <v>0.016</v>
      </c>
      <c r="J146" s="144"/>
      <c r="K146" s="144">
        <f>K107/REVENUE!K28</f>
        <v>0.087</v>
      </c>
      <c r="L146" s="144"/>
      <c r="M146" s="144">
        <f>M107/REVENUE!M28</f>
        <v>0.138</v>
      </c>
      <c r="N146" s="63"/>
      <c r="O146" s="144">
        <f>O107/REVENUE!O28</f>
        <v>0.133</v>
      </c>
      <c r="P146" s="52"/>
      <c r="Q146" s="144">
        <f>Q107/REVENUE!Q28</f>
        <v>0.094</v>
      </c>
      <c r="R146" s="63"/>
      <c r="S146" s="144">
        <f>S107/REVENUE!S28</f>
        <v>0.1</v>
      </c>
      <c r="T146" s="63"/>
      <c r="U146" s="144">
        <f>U107/REVENUE!U28</f>
        <v>0.114</v>
      </c>
      <c r="V146" s="63"/>
      <c r="W146" s="144">
        <f>W107/REVENUE!W28</f>
        <v>0.148</v>
      </c>
      <c r="X146" s="63"/>
      <c r="Y146" s="144">
        <f>Y107/REVENUE!Y28</f>
        <v>0.128</v>
      </c>
      <c r="Z146" s="63"/>
      <c r="AE146" s="131" t="s">
        <v>25</v>
      </c>
      <c r="AG146" s="144"/>
      <c r="AH146" s="130"/>
      <c r="AI146" s="144"/>
      <c r="AJ146" s="130"/>
      <c r="AK146" s="144"/>
      <c r="AL146" s="63"/>
      <c r="AM146" s="144">
        <f>I107/REVENUE!I467</f>
        <v>0.014</v>
      </c>
      <c r="AN146" s="144"/>
      <c r="AO146" s="144">
        <f>K107/REVENUE!K467</f>
        <v>0.078</v>
      </c>
      <c r="AP146" s="144"/>
      <c r="AQ146" s="144">
        <f>M107/REVENUE!M467</f>
        <v>0.124</v>
      </c>
      <c r="AR146" s="63"/>
      <c r="AS146" s="144">
        <f>O107/REVENUE!O467</f>
        <v>0.117</v>
      </c>
      <c r="AT146" s="63"/>
      <c r="AU146" s="144">
        <f>Q107/REVENUE!Q467</f>
        <v>0.084</v>
      </c>
      <c r="AV146" s="63"/>
      <c r="AW146" s="144">
        <f>S107/REVENUE!S467</f>
        <v>0.091</v>
      </c>
      <c r="AX146" s="63"/>
      <c r="AY146" s="144">
        <f>U107/REVENUE!U467</f>
        <v>0.104</v>
      </c>
      <c r="AZ146" s="63"/>
      <c r="BA146" s="144">
        <f>W107/REVENUE!W467</f>
        <v>0.135</v>
      </c>
      <c r="BB146" s="63"/>
      <c r="BC146" s="144">
        <f>Y107/REVENUE!Y467</f>
        <v>0.114</v>
      </c>
      <c r="BD146" s="63"/>
    </row>
    <row r="147" spans="1:56" ht="11.25" customHeight="1">
      <c r="A147" s="115"/>
      <c r="C147" s="144"/>
      <c r="D147" s="130"/>
      <c r="E147" s="144"/>
      <c r="F147" s="130"/>
      <c r="G147" s="144"/>
      <c r="H147" s="63"/>
      <c r="I147" s="144"/>
      <c r="J147" s="63"/>
      <c r="K147" s="144"/>
      <c r="L147" s="63"/>
      <c r="M147" s="144"/>
      <c r="N147" s="63"/>
      <c r="O147" s="144"/>
      <c r="P147" s="52"/>
      <c r="Q147" s="144"/>
      <c r="R147" s="63"/>
      <c r="S147" s="144"/>
      <c r="T147" s="63"/>
      <c r="U147" s="144"/>
      <c r="V147" s="63"/>
      <c r="W147" s="144"/>
      <c r="X147" s="63"/>
      <c r="Y147" s="144"/>
      <c r="Z147" s="63"/>
      <c r="AE147" s="115"/>
      <c r="AG147" s="144"/>
      <c r="AH147" s="130"/>
      <c r="AI147" s="144"/>
      <c r="AJ147" s="130"/>
      <c r="AK147" s="144"/>
      <c r="AL147" s="63"/>
      <c r="AM147" s="144"/>
      <c r="AN147" s="63"/>
      <c r="AO147" s="144"/>
      <c r="AP147" s="63"/>
      <c r="AQ147" s="144"/>
      <c r="AR147" s="63"/>
      <c r="AS147" s="144"/>
      <c r="AT147" s="63"/>
      <c r="AU147" s="144"/>
      <c r="AV147" s="63"/>
      <c r="AW147" s="144"/>
      <c r="AX147" s="63"/>
      <c r="AY147" s="144"/>
      <c r="AZ147" s="63"/>
      <c r="BA147" s="144"/>
      <c r="BB147" s="63"/>
      <c r="BC147" s="144"/>
      <c r="BD147" s="63"/>
    </row>
    <row r="148" spans="1:56" ht="11.25" customHeight="1">
      <c r="A148" s="115" t="s">
        <v>45</v>
      </c>
      <c r="C148" s="144"/>
      <c r="D148" s="130"/>
      <c r="E148" s="144"/>
      <c r="F148" s="130"/>
      <c r="G148" s="144"/>
      <c r="H148" s="63"/>
      <c r="I148" s="144"/>
      <c r="J148" s="63"/>
      <c r="K148" s="144"/>
      <c r="L148" s="63"/>
      <c r="M148" s="144"/>
      <c r="N148" s="63"/>
      <c r="O148" s="144"/>
      <c r="P148" s="52"/>
      <c r="Q148" s="144">
        <f>Q109/REVENUE!Q30</f>
        <v>0.057</v>
      </c>
      <c r="R148" s="63"/>
      <c r="S148" s="144">
        <f>S109/REVENUE!S30</f>
        <v>0.082</v>
      </c>
      <c r="T148" s="63"/>
      <c r="U148" s="144">
        <f>U109/REVENUE!U30</f>
        <v>0.114</v>
      </c>
      <c r="V148" s="63"/>
      <c r="W148" s="144">
        <f>W109/REVENUE!W30</f>
        <v>0.119</v>
      </c>
      <c r="X148" s="63"/>
      <c r="Y148" s="144">
        <f>Y109/REVENUE!Y30</f>
        <v>0.113</v>
      </c>
      <c r="Z148" s="63"/>
      <c r="AE148" s="115" t="s">
        <v>45</v>
      </c>
      <c r="AG148" s="144"/>
      <c r="AH148" s="130"/>
      <c r="AI148" s="144"/>
      <c r="AJ148" s="130"/>
      <c r="AK148" s="144"/>
      <c r="AL148" s="63"/>
      <c r="AM148" s="144"/>
      <c r="AN148" s="63"/>
      <c r="AO148" s="144"/>
      <c r="AP148" s="63"/>
      <c r="AQ148" s="144"/>
      <c r="AR148" s="63"/>
      <c r="AS148" s="144"/>
      <c r="AT148" s="63"/>
      <c r="AU148" s="144">
        <f>Q109/REVENUE!Q469</f>
        <v>0.051</v>
      </c>
      <c r="AV148" s="63"/>
      <c r="AW148" s="144">
        <f>S109/REVENUE!S469</f>
        <v>0.073</v>
      </c>
      <c r="AX148" s="63"/>
      <c r="AY148" s="144">
        <f>U109/REVENUE!U469</f>
        <v>0.1</v>
      </c>
      <c r="AZ148" s="63"/>
      <c r="BA148" s="144">
        <f>W109/REVENUE!W469</f>
        <v>0.105</v>
      </c>
      <c r="BB148" s="63"/>
      <c r="BC148" s="144">
        <f>Y109/REVENUE!Y469</f>
        <v>0.097</v>
      </c>
      <c r="BD148" s="63"/>
    </row>
    <row r="149" spans="1:56" ht="11.25" customHeight="1">
      <c r="A149" s="115"/>
      <c r="C149" s="144"/>
      <c r="D149" s="130"/>
      <c r="E149" s="144"/>
      <c r="F149" s="130"/>
      <c r="G149" s="144"/>
      <c r="H149" s="63"/>
      <c r="I149" s="144"/>
      <c r="J149" s="63"/>
      <c r="K149" s="144"/>
      <c r="L149" s="63"/>
      <c r="M149" s="144"/>
      <c r="N149" s="63"/>
      <c r="O149" s="144"/>
      <c r="P149" s="52"/>
      <c r="Q149" s="144"/>
      <c r="R149" s="63"/>
      <c r="S149" s="144"/>
      <c r="T149" s="63"/>
      <c r="U149" s="144"/>
      <c r="V149" s="63"/>
      <c r="W149" s="144"/>
      <c r="X149" s="63"/>
      <c r="Y149" s="144"/>
      <c r="Z149" s="63"/>
      <c r="AE149" s="115"/>
      <c r="AG149" s="144"/>
      <c r="AH149" s="130"/>
      <c r="AI149" s="144"/>
      <c r="AJ149" s="130"/>
      <c r="AK149" s="144"/>
      <c r="AL149" s="63"/>
      <c r="AM149" s="144"/>
      <c r="AN149" s="63"/>
      <c r="AO149" s="144"/>
      <c r="AP149" s="63"/>
      <c r="AQ149" s="144"/>
      <c r="AR149" s="63"/>
      <c r="AS149" s="144"/>
      <c r="AT149" s="63"/>
      <c r="AU149" s="144"/>
      <c r="AV149" s="63"/>
      <c r="AW149" s="144"/>
      <c r="AX149" s="63"/>
      <c r="AY149" s="144"/>
      <c r="AZ149" s="63"/>
      <c r="BA149" s="144"/>
      <c r="BB149" s="63"/>
      <c r="BC149" s="144"/>
      <c r="BD149" s="63"/>
    </row>
    <row r="150" spans="1:56" ht="11.25" customHeight="1">
      <c r="A150" s="115" t="s">
        <v>26</v>
      </c>
      <c r="C150" s="144"/>
      <c r="D150" s="130"/>
      <c r="E150" s="144"/>
      <c r="F150" s="130"/>
      <c r="G150" s="144"/>
      <c r="H150" s="63"/>
      <c r="I150" s="144"/>
      <c r="J150" s="63"/>
      <c r="K150" s="144"/>
      <c r="L150" s="63"/>
      <c r="M150" s="144"/>
      <c r="N150" s="63"/>
      <c r="O150" s="144">
        <f>O111/REVENUE!O32</f>
        <v>0.037</v>
      </c>
      <c r="P150" s="52"/>
      <c r="Q150" s="144">
        <f>Q111/REVENUE!Q32</f>
        <v>0.084</v>
      </c>
      <c r="R150" s="63"/>
      <c r="S150" s="144">
        <f>S111/REVENUE!S32</f>
        <v>0.099</v>
      </c>
      <c r="T150" s="63"/>
      <c r="U150" s="144">
        <f>U111/REVENUE!U32</f>
        <v>0.115</v>
      </c>
      <c r="V150" s="63"/>
      <c r="W150" s="144">
        <f>W111/REVENUE!W32</f>
        <v>0.11</v>
      </c>
      <c r="X150" s="63"/>
      <c r="Y150" s="144">
        <f>Y111/REVENUE!Y32</f>
        <v>0.113</v>
      </c>
      <c r="Z150" s="63"/>
      <c r="AE150" s="115" t="s">
        <v>26</v>
      </c>
      <c r="AG150" s="144"/>
      <c r="AH150" s="130"/>
      <c r="AI150" s="144"/>
      <c r="AJ150" s="130"/>
      <c r="AK150" s="144"/>
      <c r="AL150" s="63"/>
      <c r="AM150" s="144"/>
      <c r="AN150" s="63"/>
      <c r="AO150" s="144"/>
      <c r="AP150" s="63"/>
      <c r="AQ150" s="144"/>
      <c r="AR150" s="63"/>
      <c r="AS150" s="144">
        <f>O111/REVENUE!O471</f>
        <v>0.032</v>
      </c>
      <c r="AT150" s="63"/>
      <c r="AU150" s="144">
        <f>Q111/REVENUE!Q471</f>
        <v>0.073</v>
      </c>
      <c r="AV150" s="63"/>
      <c r="AW150" s="144">
        <f>S111/REVENUE!S471</f>
        <v>0.088</v>
      </c>
      <c r="AX150" s="63"/>
      <c r="AY150" s="144">
        <f>U111/REVENUE!U471</f>
        <v>0.102</v>
      </c>
      <c r="AZ150" s="63"/>
      <c r="BA150" s="144">
        <f>W111/REVENUE!W471</f>
        <v>0.099</v>
      </c>
      <c r="BB150" s="63"/>
      <c r="BC150" s="144">
        <f>Y111/REVENUE!Y471</f>
        <v>0.1</v>
      </c>
      <c r="BD150" s="63"/>
    </row>
    <row r="151" spans="1:85" ht="11.25" customHeight="1">
      <c r="A151" s="132"/>
      <c r="B151" s="142"/>
      <c r="C151" s="144"/>
      <c r="D151" s="135"/>
      <c r="E151" s="144"/>
      <c r="F151" s="135"/>
      <c r="G151" s="144"/>
      <c r="H151" s="135"/>
      <c r="I151" s="144"/>
      <c r="J151" s="135"/>
      <c r="K151" s="144"/>
      <c r="L151" s="135"/>
      <c r="M151" s="144"/>
      <c r="N151" s="135"/>
      <c r="O151" s="144"/>
      <c r="P151" s="181"/>
      <c r="Q151" s="144"/>
      <c r="R151" s="135"/>
      <c r="S151" s="144"/>
      <c r="T151" s="135"/>
      <c r="U151" s="144"/>
      <c r="V151" s="135"/>
      <c r="W151" s="144"/>
      <c r="X151" s="135"/>
      <c r="Y151" s="144"/>
      <c r="Z151" s="135"/>
      <c r="AA151" s="142"/>
      <c r="AE151" s="132"/>
      <c r="AF151" s="142"/>
      <c r="AG151" s="144"/>
      <c r="AH151" s="135"/>
      <c r="AI151" s="144"/>
      <c r="AJ151" s="135"/>
      <c r="AK151" s="144"/>
      <c r="AL151" s="135"/>
      <c r="AM151" s="144"/>
      <c r="AN151" s="135"/>
      <c r="AO151" s="144"/>
      <c r="AP151" s="135"/>
      <c r="AQ151" s="144"/>
      <c r="AR151" s="135"/>
      <c r="AS151" s="144"/>
      <c r="AT151" s="135"/>
      <c r="AU151" s="144"/>
      <c r="AV151" s="135"/>
      <c r="AW151" s="134"/>
      <c r="AX151" s="135"/>
      <c r="AY151" s="134"/>
      <c r="AZ151" s="135"/>
      <c r="BA151" s="134"/>
      <c r="BB151" s="135"/>
      <c r="BC151" s="134"/>
      <c r="BD151" s="135"/>
      <c r="BE151" s="142"/>
      <c r="BF151" s="142"/>
      <c r="BG151" s="142"/>
      <c r="BH151" s="142"/>
      <c r="BI151" s="142"/>
      <c r="BJ151" s="142"/>
      <c r="BK151" s="142"/>
      <c r="BL151" s="142"/>
      <c r="BM151" s="142"/>
      <c r="BN151" s="142"/>
      <c r="BO151" s="142"/>
      <c r="BP151" s="142"/>
      <c r="BQ151" s="142"/>
      <c r="BR151" s="142"/>
      <c r="BS151" s="142"/>
      <c r="BT151" s="142"/>
      <c r="BU151" s="142"/>
      <c r="BV151" s="142"/>
      <c r="BW151" s="142"/>
      <c r="BX151" s="142"/>
      <c r="BY151" s="142"/>
      <c r="BZ151" s="142"/>
      <c r="CA151" s="142"/>
      <c r="CB151" s="142"/>
      <c r="CC151" s="142"/>
      <c r="CD151" s="142"/>
      <c r="CE151" s="142"/>
      <c r="CF151" s="142"/>
      <c r="CG151" s="142"/>
    </row>
    <row r="152" spans="1:85" ht="11.25" customHeight="1">
      <c r="A152" s="132" t="s">
        <v>38</v>
      </c>
      <c r="B152" s="142"/>
      <c r="C152" s="144">
        <f>C113/REVENUE!C34</f>
        <v>0</v>
      </c>
      <c r="D152" s="145"/>
      <c r="E152" s="144">
        <f>E113/REVENUE!E34</f>
        <v>0</v>
      </c>
      <c r="F152" s="145"/>
      <c r="G152" s="144">
        <f>G113/REVENUE!G34</f>
        <v>0.007</v>
      </c>
      <c r="H152" s="145"/>
      <c r="I152" s="144">
        <f>I113/REVENUE!I34</f>
        <v>0.041</v>
      </c>
      <c r="J152" s="145"/>
      <c r="K152" s="144">
        <f>K113/REVENUE!K34</f>
        <v>0.083</v>
      </c>
      <c r="L152" s="145"/>
      <c r="M152" s="144">
        <f>M113/REVENUE!M34</f>
        <v>0.086</v>
      </c>
      <c r="N152" s="130"/>
      <c r="O152" s="144">
        <f>O113/REVENUE!O34</f>
        <v>0.093</v>
      </c>
      <c r="P152" s="55" t="s">
        <v>16</v>
      </c>
      <c r="Q152" s="144">
        <f>Q113/REVENUE!Q34</f>
        <v>0.094</v>
      </c>
      <c r="R152" s="130"/>
      <c r="S152" s="144">
        <f>S113/REVENUE!S34</f>
        <v>0.093</v>
      </c>
      <c r="T152" s="130"/>
      <c r="U152" s="144">
        <f>U113/REVENUE!U34</f>
        <v>0.104</v>
      </c>
      <c r="V152" s="130"/>
      <c r="W152" s="144">
        <f>W113/REVENUE!W34</f>
        <v>0.116</v>
      </c>
      <c r="X152" s="130"/>
      <c r="Y152" s="144">
        <f>Y113/REVENUE!Y34</f>
        <v>0.113</v>
      </c>
      <c r="Z152" s="130"/>
      <c r="AA152" s="142"/>
      <c r="AE152" s="132" t="s">
        <v>38</v>
      </c>
      <c r="AF152" s="142"/>
      <c r="AG152" s="144"/>
      <c r="AH152" s="145"/>
      <c r="AI152" s="144">
        <f>E113/REVENUE!E473</f>
        <v>0</v>
      </c>
      <c r="AJ152" s="145"/>
      <c r="AK152" s="144">
        <f>G113/REVENUE!G473</f>
        <v>0.006</v>
      </c>
      <c r="AL152" s="145"/>
      <c r="AM152" s="144">
        <f>I113/REVENUE!I473</f>
        <v>0.038</v>
      </c>
      <c r="AN152" s="145"/>
      <c r="AO152" s="144">
        <f>K113/REVENUE!K473</f>
        <v>0.074</v>
      </c>
      <c r="AP152" s="145"/>
      <c r="AQ152" s="144">
        <f>M113/REVENUE!M473</f>
        <v>0.078</v>
      </c>
      <c r="AR152" s="145"/>
      <c r="AS152" s="144">
        <f>O113/REVENUE!O473</f>
        <v>0.083</v>
      </c>
      <c r="AT152" s="222" t="s">
        <v>16</v>
      </c>
      <c r="AU152" s="144">
        <f>Q113/REVENUE!Q473</f>
        <v>0.084</v>
      </c>
      <c r="AV152" s="145"/>
      <c r="AW152" s="144">
        <f>S113/REVENUE!S473</f>
        <v>0.084</v>
      </c>
      <c r="AX152" s="145"/>
      <c r="AY152" s="144">
        <f>U113/REVENUE!U473</f>
        <v>0.093</v>
      </c>
      <c r="AZ152" s="145"/>
      <c r="BA152" s="144">
        <f>W113/REVENUE!W473</f>
        <v>0.104</v>
      </c>
      <c r="BB152" s="145"/>
      <c r="BC152" s="144">
        <f>Y113/REVENUE!Y473</f>
        <v>0.101</v>
      </c>
      <c r="BD152" s="145"/>
      <c r="BE152" s="142"/>
      <c r="BF152" s="142"/>
      <c r="BG152" s="142"/>
      <c r="BH152" s="142"/>
      <c r="BI152" s="142"/>
      <c r="BJ152" s="142"/>
      <c r="BK152" s="142"/>
      <c r="BL152" s="142"/>
      <c r="BM152" s="142"/>
      <c r="BN152" s="142"/>
      <c r="BO152" s="142"/>
      <c r="BP152" s="142"/>
      <c r="BQ152" s="142"/>
      <c r="BR152" s="142"/>
      <c r="BS152" s="142"/>
      <c r="BT152" s="142"/>
      <c r="BU152" s="142"/>
      <c r="BV152" s="142"/>
      <c r="BW152" s="142"/>
      <c r="BX152" s="142"/>
      <c r="BY152" s="142"/>
      <c r="BZ152" s="142"/>
      <c r="CA152" s="142"/>
      <c r="CB152" s="142"/>
      <c r="CC152" s="142"/>
      <c r="CD152" s="142"/>
      <c r="CE152" s="142"/>
      <c r="CF152" s="142"/>
      <c r="CG152" s="142"/>
    </row>
    <row r="153" spans="1:85" ht="11.25" customHeight="1">
      <c r="A153" s="115"/>
      <c r="C153" s="146"/>
      <c r="E153" s="146"/>
      <c r="G153" s="146"/>
      <c r="H153" s="142"/>
      <c r="I153" s="146"/>
      <c r="J153" s="142"/>
      <c r="K153" s="146"/>
      <c r="L153" s="142"/>
      <c r="M153" s="146"/>
      <c r="N153" s="142"/>
      <c r="O153" s="146"/>
      <c r="P153" s="181"/>
      <c r="Q153" s="146"/>
      <c r="R153" s="142"/>
      <c r="S153" s="146"/>
      <c r="T153" s="142"/>
      <c r="U153" s="146"/>
      <c r="V153" s="142"/>
      <c r="W153" s="146"/>
      <c r="X153" s="142"/>
      <c r="Y153" s="146"/>
      <c r="Z153" s="142"/>
      <c r="AA153" s="142"/>
      <c r="AE153" s="115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  <c r="AQ153" s="142"/>
      <c r="AR153" s="142"/>
      <c r="AS153" s="142"/>
      <c r="AT153" s="142"/>
      <c r="AU153" s="142"/>
      <c r="AV153" s="142"/>
      <c r="AW153" s="146"/>
      <c r="AX153" s="142"/>
      <c r="AY153" s="146"/>
      <c r="AZ153" s="142"/>
      <c r="BA153" s="146"/>
      <c r="BB153" s="142"/>
      <c r="BC153" s="146"/>
      <c r="BD153" s="142"/>
      <c r="BE153" s="142"/>
      <c r="BF153" s="142"/>
      <c r="BG153" s="142"/>
      <c r="BH153" s="142"/>
      <c r="BI153" s="142"/>
      <c r="BJ153" s="142"/>
      <c r="BK153" s="142"/>
      <c r="BL153" s="142"/>
      <c r="BM153" s="142"/>
      <c r="BN153" s="142"/>
      <c r="BO153" s="142"/>
      <c r="BP153" s="142"/>
      <c r="BQ153" s="142"/>
      <c r="BR153" s="142"/>
      <c r="BS153" s="142"/>
      <c r="BT153" s="142"/>
      <c r="BU153" s="142"/>
      <c r="BV153" s="142"/>
      <c r="BW153" s="142"/>
      <c r="BX153" s="142"/>
      <c r="BY153" s="142"/>
      <c r="BZ153" s="142"/>
      <c r="CA153" s="142"/>
      <c r="CB153" s="142"/>
      <c r="CC153" s="142"/>
      <c r="CD153" s="142"/>
      <c r="CE153" s="142"/>
      <c r="CF153" s="142"/>
      <c r="CG153" s="142"/>
    </row>
    <row r="154" spans="1:85" ht="11.25" customHeight="1">
      <c r="A154" s="118" t="s">
        <v>71</v>
      </c>
      <c r="C154" s="146"/>
      <c r="D154" s="173"/>
      <c r="E154" s="191"/>
      <c r="G154" s="142"/>
      <c r="H154" s="142"/>
      <c r="I154" s="142"/>
      <c r="J154" s="142"/>
      <c r="K154" s="142"/>
      <c r="L154" s="142"/>
      <c r="M154" s="142"/>
      <c r="N154" s="142"/>
      <c r="O154" s="142"/>
      <c r="P154" s="181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G154" s="142"/>
      <c r="AH154" s="173"/>
      <c r="AI154" s="191"/>
      <c r="AJ154" s="142"/>
      <c r="AK154" s="142"/>
      <c r="AL154" s="142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142"/>
      <c r="AW154" s="142"/>
      <c r="AX154" s="142"/>
      <c r="AY154" s="142"/>
      <c r="AZ154" s="142"/>
      <c r="BA154" s="142"/>
      <c r="BB154" s="142"/>
      <c r="BC154" s="142"/>
      <c r="BD154" s="142"/>
      <c r="BE154" s="142"/>
      <c r="BF154" s="142"/>
      <c r="BG154" s="142"/>
      <c r="BH154" s="142"/>
      <c r="BI154" s="142"/>
      <c r="BJ154" s="142"/>
      <c r="BK154" s="142"/>
      <c r="BL154" s="142"/>
      <c r="BM154" s="142"/>
      <c r="BN154" s="142"/>
      <c r="BO154" s="142"/>
      <c r="BP154" s="142"/>
      <c r="BQ154" s="142"/>
      <c r="BR154" s="142"/>
      <c r="BS154" s="142"/>
      <c r="BT154" s="142"/>
      <c r="BU154" s="142"/>
      <c r="BV154" s="142"/>
      <c r="BW154" s="142"/>
      <c r="BX154" s="142"/>
      <c r="BY154" s="142"/>
      <c r="BZ154" s="142"/>
      <c r="CA154" s="142"/>
      <c r="CB154" s="142"/>
      <c r="CC154" s="142"/>
      <c r="CD154" s="142"/>
      <c r="CE154" s="142"/>
      <c r="CF154" s="142"/>
      <c r="CG154" s="142"/>
    </row>
    <row r="155" spans="1:31" ht="11.25" customHeight="1">
      <c r="A155" s="123" t="s">
        <v>94</v>
      </c>
      <c r="AE155" s="118" t="s">
        <v>71</v>
      </c>
    </row>
    <row r="156" ht="11.25" customHeight="1">
      <c r="AE156" s="123" t="s">
        <v>94</v>
      </c>
    </row>
    <row r="157" ht="11.25" customHeight="1">
      <c r="A157" s="115" t="s">
        <v>0</v>
      </c>
    </row>
    <row r="158" ht="11.25" customHeight="1">
      <c r="A158" s="115" t="s">
        <v>77</v>
      </c>
    </row>
    <row r="159" spans="1:9" ht="11.25" customHeight="1">
      <c r="A159" s="119" t="str">
        <f>A3</f>
        <v>1978-1989</v>
      </c>
      <c r="B159" s="140"/>
      <c r="C159" s="140"/>
      <c r="D159" s="140"/>
      <c r="E159" s="140"/>
      <c r="F159" s="140"/>
      <c r="G159" s="140"/>
      <c r="H159" s="140"/>
      <c r="I159" s="140"/>
    </row>
    <row r="160" ht="11.25" customHeight="1">
      <c r="A160" s="115" t="s">
        <v>2</v>
      </c>
    </row>
    <row r="161" ht="11.25" customHeight="1">
      <c r="A161" s="115"/>
    </row>
    <row r="162" ht="11.25" customHeight="1">
      <c r="A162" s="115"/>
    </row>
    <row r="163" spans="1:26" ht="11.25" customHeight="1">
      <c r="A163" s="115"/>
      <c r="C163" s="124" t="s">
        <v>3</v>
      </c>
      <c r="E163" s="124" t="s">
        <v>4</v>
      </c>
      <c r="G163" s="124" t="s">
        <v>5</v>
      </c>
      <c r="H163" s="142"/>
      <c r="I163" s="124" t="s">
        <v>6</v>
      </c>
      <c r="J163" s="142"/>
      <c r="K163" s="124" t="s">
        <v>7</v>
      </c>
      <c r="L163" s="142"/>
      <c r="M163" s="124" t="s">
        <v>8</v>
      </c>
      <c r="N163" s="142"/>
      <c r="O163" s="124" t="s">
        <v>9</v>
      </c>
      <c r="P163" s="181"/>
      <c r="Q163" s="124" t="s">
        <v>10</v>
      </c>
      <c r="R163" s="142"/>
      <c r="S163" s="124" t="s">
        <v>11</v>
      </c>
      <c r="T163" s="142"/>
      <c r="U163" s="124" t="s">
        <v>12</v>
      </c>
      <c r="V163" s="142"/>
      <c r="W163" s="124" t="s">
        <v>13</v>
      </c>
      <c r="X163" s="142"/>
      <c r="Y163" s="124" t="s">
        <v>14</v>
      </c>
      <c r="Z163" s="142"/>
    </row>
    <row r="164" spans="1:25" ht="11.25" customHeight="1">
      <c r="A164" s="115"/>
      <c r="C164" s="126"/>
      <c r="E164" s="126"/>
      <c r="G164" s="126"/>
      <c r="H164" s="142"/>
      <c r="I164" s="126"/>
      <c r="K164" s="126"/>
      <c r="L164" s="142"/>
      <c r="M164" s="126"/>
      <c r="O164" s="126"/>
      <c r="Q164" s="126"/>
      <c r="S164" s="126"/>
      <c r="U164" s="126"/>
      <c r="W164" s="126"/>
      <c r="Y164" s="126"/>
    </row>
    <row r="165" ht="11.25" customHeight="1">
      <c r="A165" s="115"/>
    </row>
    <row r="166" spans="1:26" ht="11.25" customHeight="1">
      <c r="A166" s="115" t="s">
        <v>15</v>
      </c>
      <c r="C166" s="127"/>
      <c r="D166" s="138"/>
      <c r="E166" s="127"/>
      <c r="F166" s="138"/>
      <c r="G166" s="127"/>
      <c r="H166" s="127"/>
      <c r="I166" s="127">
        <f>I10+I89</f>
        <v>15829</v>
      </c>
      <c r="J166" s="127"/>
      <c r="K166" s="127">
        <f>K10+K89</f>
        <v>47168</v>
      </c>
      <c r="L166" s="127"/>
      <c r="M166" s="186">
        <f>M10+M89</f>
        <v>43359</v>
      </c>
      <c r="N166" s="189"/>
      <c r="O166" s="220">
        <f>O10+O89</f>
        <v>51680</v>
      </c>
      <c r="P166" s="209"/>
      <c r="Q166" s="127">
        <f>Q10+Q89</f>
        <v>53816</v>
      </c>
      <c r="R166" s="127"/>
      <c r="S166" s="127">
        <f aca="true" t="shared" si="0" ref="S166:S186">S10+S89</f>
        <v>27804</v>
      </c>
      <c r="T166" s="127"/>
      <c r="U166" s="127">
        <f aca="true" t="shared" si="1" ref="U166:U186">U10+U89</f>
        <v>19626</v>
      </c>
      <c r="V166" s="127"/>
      <c r="W166" s="127">
        <f aca="true" t="shared" si="2" ref="W166:W186">W10+W89</f>
        <v>31956</v>
      </c>
      <c r="X166" s="127"/>
      <c r="Y166" s="127">
        <f aca="true" t="shared" si="3" ref="Y166:Y186">Y10+Y89</f>
        <v>12187</v>
      </c>
      <c r="Z166" s="53" t="s">
        <v>46</v>
      </c>
    </row>
    <row r="167" spans="1:26" ht="11.25" customHeight="1">
      <c r="A167" s="115"/>
      <c r="C167" s="128"/>
      <c r="D167" s="135"/>
      <c r="E167" s="128"/>
      <c r="F167" s="135"/>
      <c r="G167" s="128"/>
      <c r="H167" s="128"/>
      <c r="I167" s="128"/>
      <c r="J167" s="128"/>
      <c r="K167" s="128"/>
      <c r="L167" s="128"/>
      <c r="M167" s="63"/>
      <c r="N167" s="128"/>
      <c r="O167" s="63"/>
      <c r="Q167" s="63"/>
      <c r="R167" s="128"/>
      <c r="S167" s="63"/>
      <c r="T167" s="128"/>
      <c r="U167" s="63"/>
      <c r="V167" s="128"/>
      <c r="W167" s="63"/>
      <c r="X167" s="128"/>
      <c r="Y167" s="63"/>
      <c r="Z167" s="128"/>
    </row>
    <row r="168" spans="1:27" ht="11.25" customHeight="1">
      <c r="A168" s="115" t="s">
        <v>17</v>
      </c>
      <c r="C168" s="63"/>
      <c r="D168" s="130"/>
      <c r="E168" s="63"/>
      <c r="F168" s="130"/>
      <c r="G168" s="127">
        <f>G12+G91</f>
        <v>891</v>
      </c>
      <c r="H168" s="127"/>
      <c r="I168" s="63">
        <f>I12+I91</f>
        <v>27997</v>
      </c>
      <c r="J168" s="127"/>
      <c r="K168" s="63">
        <f>K12+K91</f>
        <v>41499</v>
      </c>
      <c r="L168" s="190"/>
      <c r="M168" s="63">
        <f>M12+M91</f>
        <v>54513</v>
      </c>
      <c r="N168" s="63"/>
      <c r="O168" s="216">
        <f>O12+O91</f>
        <v>43574</v>
      </c>
      <c r="P168" s="15" t="s">
        <v>16</v>
      </c>
      <c r="Q168" s="63">
        <f>Q12+Q91</f>
        <v>64463</v>
      </c>
      <c r="R168" s="63"/>
      <c r="S168" s="63">
        <f t="shared" si="0"/>
        <v>67245</v>
      </c>
      <c r="T168" s="63"/>
      <c r="U168" s="63">
        <f t="shared" si="1"/>
        <v>65404</v>
      </c>
      <c r="V168" s="63"/>
      <c r="W168" s="63">
        <f t="shared" si="2"/>
        <v>60702</v>
      </c>
      <c r="X168" s="63"/>
      <c r="Y168" s="63">
        <f t="shared" si="3"/>
        <v>59569</v>
      </c>
      <c r="Z168" s="63"/>
      <c r="AA168" s="59"/>
    </row>
    <row r="169" spans="3:26" ht="11.25" customHeight="1">
      <c r="C169" s="63"/>
      <c r="D169" s="130"/>
      <c r="E169" s="63"/>
      <c r="F169" s="130"/>
      <c r="G169" s="63"/>
      <c r="H169" s="63"/>
      <c r="I169" s="63"/>
      <c r="J169" s="63"/>
      <c r="K169" s="192"/>
      <c r="L169" s="192"/>
      <c r="M169" s="63"/>
      <c r="N169" s="192"/>
      <c r="O169" s="216"/>
      <c r="P169" s="211"/>
      <c r="Q169" s="63"/>
      <c r="R169" s="63"/>
      <c r="S169" s="63"/>
      <c r="T169" s="63"/>
      <c r="U169" s="63"/>
      <c r="V169" s="63"/>
      <c r="W169" s="63"/>
      <c r="X169" s="63"/>
      <c r="Y169" s="63"/>
      <c r="Z169" s="63"/>
    </row>
    <row r="170" spans="1:26" ht="11.25" customHeight="1">
      <c r="A170" s="115" t="s">
        <v>18</v>
      </c>
      <c r="C170" s="63"/>
      <c r="D170" s="130"/>
      <c r="E170" s="127">
        <f>E14+E93</f>
        <v>67</v>
      </c>
      <c r="F170" s="130"/>
      <c r="G170" s="63">
        <f>G14+G93</f>
        <v>20100</v>
      </c>
      <c r="H170" s="63"/>
      <c r="I170" s="63">
        <f>I14+I93</f>
        <v>28475</v>
      </c>
      <c r="J170" s="63"/>
      <c r="K170" s="63">
        <f>K14+K93</f>
        <v>36731</v>
      </c>
      <c r="L170" s="63"/>
      <c r="M170" s="63">
        <f>M14+M93</f>
        <v>43449</v>
      </c>
      <c r="N170" s="63"/>
      <c r="O170" s="216">
        <f>O14+O93</f>
        <v>39711</v>
      </c>
      <c r="P170" s="52"/>
      <c r="Q170" s="63">
        <f>Q14+Q93</f>
        <v>30972</v>
      </c>
      <c r="R170" s="63"/>
      <c r="S170" s="63">
        <f t="shared" si="0"/>
        <v>30090</v>
      </c>
      <c r="T170" s="63"/>
      <c r="U170" s="63">
        <f t="shared" si="1"/>
        <v>44736</v>
      </c>
      <c r="V170" s="63"/>
      <c r="W170" s="63">
        <f t="shared" si="2"/>
        <v>50752</v>
      </c>
      <c r="X170" s="63"/>
      <c r="Y170" s="63">
        <f t="shared" si="3"/>
        <v>53707</v>
      </c>
      <c r="Z170" s="63"/>
    </row>
    <row r="171" spans="3:26" ht="11.25" customHeight="1">
      <c r="C171" s="63"/>
      <c r="D171" s="130"/>
      <c r="E171" s="63"/>
      <c r="F171" s="130"/>
      <c r="G171" s="63"/>
      <c r="H171" s="63"/>
      <c r="I171" s="63"/>
      <c r="J171" s="63"/>
      <c r="K171" s="63"/>
      <c r="L171" s="63"/>
      <c r="M171" s="63"/>
      <c r="N171" s="63"/>
      <c r="O171" s="216"/>
      <c r="P171" s="52"/>
      <c r="Q171" s="63"/>
      <c r="R171" s="63"/>
      <c r="S171" s="63"/>
      <c r="T171" s="63"/>
      <c r="U171" s="63"/>
      <c r="V171" s="63"/>
      <c r="W171" s="63"/>
      <c r="X171" s="63"/>
      <c r="Y171" s="63"/>
      <c r="Z171" s="63"/>
    </row>
    <row r="172" spans="1:26" ht="11.25" customHeight="1">
      <c r="A172" s="115" t="s">
        <v>19</v>
      </c>
      <c r="C172" s="63"/>
      <c r="D172" s="130"/>
      <c r="E172" s="63">
        <f>E16+E95</f>
        <v>6539</v>
      </c>
      <c r="F172" s="130"/>
      <c r="G172" s="63">
        <f>G16+G95</f>
        <v>23490</v>
      </c>
      <c r="H172" s="63"/>
      <c r="I172" s="63">
        <f>I16+I95</f>
        <v>28919</v>
      </c>
      <c r="J172" s="63"/>
      <c r="K172" s="63">
        <f>K16+K95</f>
        <v>28668</v>
      </c>
      <c r="L172" s="63"/>
      <c r="M172" s="63">
        <f>M16+M95</f>
        <v>44511</v>
      </c>
      <c r="N172" s="63"/>
      <c r="O172" s="216">
        <f>O16+O95</f>
        <v>57051</v>
      </c>
      <c r="P172" s="52"/>
      <c r="Q172" s="63">
        <f>Q16+Q95</f>
        <v>61554</v>
      </c>
      <c r="R172" s="63"/>
      <c r="S172" s="63">
        <f t="shared" si="0"/>
        <v>62673</v>
      </c>
      <c r="T172" s="63"/>
      <c r="U172" s="63">
        <f t="shared" si="1"/>
        <v>69480</v>
      </c>
      <c r="V172" s="63"/>
      <c r="W172" s="63">
        <f t="shared" si="2"/>
        <v>82636</v>
      </c>
      <c r="X172" s="63"/>
      <c r="Y172" s="63">
        <f t="shared" si="3"/>
        <v>84933</v>
      </c>
      <c r="Z172" s="63"/>
    </row>
    <row r="173" spans="3:26" ht="11.25" customHeight="1">
      <c r="C173" s="63"/>
      <c r="D173" s="130"/>
      <c r="E173" s="63"/>
      <c r="F173" s="130"/>
      <c r="G173" s="63"/>
      <c r="H173" s="63"/>
      <c r="I173" s="63"/>
      <c r="J173" s="63"/>
      <c r="K173" s="63"/>
      <c r="L173" s="63"/>
      <c r="M173" s="63"/>
      <c r="N173" s="63"/>
      <c r="O173" s="216"/>
      <c r="P173" s="52"/>
      <c r="Q173" s="63"/>
      <c r="R173" s="63"/>
      <c r="S173" s="63"/>
      <c r="T173" s="63"/>
      <c r="U173" s="63"/>
      <c r="V173" s="63"/>
      <c r="W173" s="63"/>
      <c r="X173" s="63"/>
      <c r="Y173" s="63"/>
      <c r="Z173" s="63"/>
    </row>
    <row r="174" spans="1:26" ht="11.25" customHeight="1">
      <c r="A174" s="131" t="s">
        <v>20</v>
      </c>
      <c r="C174" s="63"/>
      <c r="D174" s="130"/>
      <c r="E174" s="63"/>
      <c r="F174" s="130"/>
      <c r="G174" s="63"/>
      <c r="H174" s="63"/>
      <c r="I174" s="63">
        <f>I18+I97</f>
        <v>6286</v>
      </c>
      <c r="J174" s="63"/>
      <c r="K174" s="63">
        <f>K18+K97</f>
        <v>26875</v>
      </c>
      <c r="L174" s="63"/>
      <c r="M174" s="63">
        <f>M18+M97</f>
        <v>30881</v>
      </c>
      <c r="N174" s="63"/>
      <c r="O174" s="216">
        <f>O18+O97</f>
        <v>32819</v>
      </c>
      <c r="P174" s="52"/>
      <c r="Q174" s="63">
        <f>Q18+Q97</f>
        <v>31574</v>
      </c>
      <c r="R174" s="63"/>
      <c r="S174" s="63">
        <f t="shared" si="0"/>
        <v>31246</v>
      </c>
      <c r="T174" s="63"/>
      <c r="U174" s="63">
        <f t="shared" si="1"/>
        <v>34011</v>
      </c>
      <c r="V174" s="63"/>
      <c r="W174" s="63">
        <f t="shared" si="2"/>
        <v>37304</v>
      </c>
      <c r="X174" s="63"/>
      <c r="Y174" s="63">
        <f t="shared" si="3"/>
        <v>31021</v>
      </c>
      <c r="Z174" s="63"/>
    </row>
    <row r="175" spans="3:26" ht="11.25" customHeight="1">
      <c r="C175" s="63"/>
      <c r="D175" s="130"/>
      <c r="E175" s="63"/>
      <c r="F175" s="130"/>
      <c r="G175" s="63"/>
      <c r="H175" s="63"/>
      <c r="I175" s="63"/>
      <c r="J175" s="63"/>
      <c r="K175" s="63"/>
      <c r="L175" s="63"/>
      <c r="M175" s="63"/>
      <c r="N175" s="63"/>
      <c r="O175" s="216"/>
      <c r="P175" s="52"/>
      <c r="Q175" s="63"/>
      <c r="R175" s="63"/>
      <c r="S175" s="63"/>
      <c r="T175" s="63"/>
      <c r="U175" s="63"/>
      <c r="V175" s="63"/>
      <c r="W175" s="63"/>
      <c r="X175" s="63"/>
      <c r="Y175" s="63"/>
      <c r="Z175" s="63"/>
    </row>
    <row r="176" spans="1:26" ht="11.25" customHeight="1">
      <c r="A176" s="115" t="s">
        <v>21</v>
      </c>
      <c r="C176" s="63"/>
      <c r="D176" s="130"/>
      <c r="E176" s="63"/>
      <c r="F176" s="130"/>
      <c r="G176" s="63">
        <f>G20+G99</f>
        <v>265</v>
      </c>
      <c r="H176" s="63"/>
      <c r="I176" s="63">
        <f>I20+I99</f>
        <v>12848</v>
      </c>
      <c r="J176" s="63"/>
      <c r="K176" s="63">
        <f>K20+K99</f>
        <v>30205</v>
      </c>
      <c r="L176" s="63"/>
      <c r="M176" s="63">
        <f>M20+M99</f>
        <v>29449</v>
      </c>
      <c r="N176" s="63"/>
      <c r="O176" s="216">
        <f>O20+O99</f>
        <v>37601</v>
      </c>
      <c r="P176" s="52"/>
      <c r="Q176" s="63">
        <f>Q20+Q99</f>
        <v>43623</v>
      </c>
      <c r="R176" s="63"/>
      <c r="S176" s="63">
        <f t="shared" si="0"/>
        <v>45415</v>
      </c>
      <c r="T176" s="63"/>
      <c r="U176" s="63">
        <f t="shared" si="1"/>
        <v>50074</v>
      </c>
      <c r="V176" s="63"/>
      <c r="W176" s="63">
        <f t="shared" si="2"/>
        <v>58768</v>
      </c>
      <c r="X176" s="63"/>
      <c r="Y176" s="63">
        <f t="shared" si="3"/>
        <v>60064</v>
      </c>
      <c r="Z176" s="63"/>
    </row>
    <row r="177" spans="3:26" ht="11.25" customHeight="1">
      <c r="C177" s="63"/>
      <c r="D177" s="130"/>
      <c r="E177" s="63"/>
      <c r="F177" s="130"/>
      <c r="G177" s="63"/>
      <c r="H177" s="63"/>
      <c r="I177" s="63"/>
      <c r="J177" s="63"/>
      <c r="K177" s="63"/>
      <c r="L177" s="63"/>
      <c r="M177" s="63"/>
      <c r="N177" s="63"/>
      <c r="O177" s="216"/>
      <c r="P177" s="52"/>
      <c r="Q177" s="63"/>
      <c r="R177" s="63"/>
      <c r="S177" s="63"/>
      <c r="T177" s="63"/>
      <c r="U177" s="63"/>
      <c r="V177" s="63"/>
      <c r="W177" s="63"/>
      <c r="X177" s="63"/>
      <c r="Y177" s="63"/>
      <c r="Z177" s="63"/>
    </row>
    <row r="178" spans="1:26" ht="11.25" customHeight="1">
      <c r="A178" s="115" t="s">
        <v>22</v>
      </c>
      <c r="C178" s="127">
        <f>C22</f>
        <v>6527</v>
      </c>
      <c r="D178" s="130"/>
      <c r="E178" s="63">
        <f>E22+E101</f>
        <v>8949</v>
      </c>
      <c r="F178" s="130"/>
      <c r="G178" s="63">
        <f>G22+G101</f>
        <v>23730</v>
      </c>
      <c r="H178" s="63"/>
      <c r="I178" s="63">
        <f>I22+I101</f>
        <v>24463</v>
      </c>
      <c r="J178" s="63"/>
      <c r="K178" s="63">
        <f>K22+K101</f>
        <v>47836</v>
      </c>
      <c r="L178" s="63"/>
      <c r="M178" s="63">
        <f>M22+M101</f>
        <v>55867</v>
      </c>
      <c r="N178" s="63"/>
      <c r="O178" s="216">
        <f>O22+O101</f>
        <v>56501</v>
      </c>
      <c r="P178" s="52"/>
      <c r="Q178" s="63">
        <f>Q22+Q101</f>
        <v>60784</v>
      </c>
      <c r="R178" s="63"/>
      <c r="S178" s="63">
        <f t="shared" si="0"/>
        <v>59418</v>
      </c>
      <c r="T178" s="63"/>
      <c r="U178" s="63">
        <f t="shared" si="1"/>
        <v>64835</v>
      </c>
      <c r="V178" s="63"/>
      <c r="W178" s="63">
        <f t="shared" si="2"/>
        <v>75767</v>
      </c>
      <c r="X178" s="63"/>
      <c r="Y178" s="63">
        <f t="shared" si="3"/>
        <v>68617</v>
      </c>
      <c r="Z178" s="63"/>
    </row>
    <row r="179" spans="3:26" ht="11.25" customHeight="1">
      <c r="C179" s="127"/>
      <c r="D179" s="130"/>
      <c r="E179" s="63"/>
      <c r="F179" s="130"/>
      <c r="G179" s="63"/>
      <c r="H179" s="63"/>
      <c r="I179" s="63"/>
      <c r="J179" s="63"/>
      <c r="K179" s="63"/>
      <c r="L179" s="63"/>
      <c r="M179" s="63"/>
      <c r="N179" s="63"/>
      <c r="O179" s="216"/>
      <c r="P179" s="52"/>
      <c r="Q179" s="63"/>
      <c r="R179" s="63"/>
      <c r="S179" s="63"/>
      <c r="T179" s="63"/>
      <c r="U179" s="63"/>
      <c r="V179" s="63"/>
      <c r="W179" s="63"/>
      <c r="X179" s="63"/>
      <c r="Y179" s="63"/>
      <c r="Z179" s="63"/>
    </row>
    <row r="180" spans="1:26" ht="11.25" customHeight="1">
      <c r="A180" s="115" t="s">
        <v>23</v>
      </c>
      <c r="C180" s="63"/>
      <c r="D180" s="130"/>
      <c r="E180" s="63"/>
      <c r="F180" s="130"/>
      <c r="G180" s="63">
        <f>G24+G103</f>
        <v>2803</v>
      </c>
      <c r="H180" s="63"/>
      <c r="I180" s="63">
        <f>I24+I103</f>
        <v>20262</v>
      </c>
      <c r="J180" s="63"/>
      <c r="K180" s="63">
        <f>K24+K103</f>
        <v>36878</v>
      </c>
      <c r="L180" s="63"/>
      <c r="M180" s="63">
        <f>M24+M103</f>
        <v>39961</v>
      </c>
      <c r="N180" s="63"/>
      <c r="O180" s="216">
        <f>O24+O103</f>
        <v>44853</v>
      </c>
      <c r="P180" s="52"/>
      <c r="Q180" s="63">
        <f>Q24+Q103</f>
        <v>44317</v>
      </c>
      <c r="R180" s="63"/>
      <c r="S180" s="63">
        <f t="shared" si="0"/>
        <v>42379</v>
      </c>
      <c r="T180" s="63"/>
      <c r="U180" s="63">
        <f t="shared" si="1"/>
        <v>47816</v>
      </c>
      <c r="V180" s="63"/>
      <c r="W180" s="63">
        <f t="shared" si="2"/>
        <v>54078</v>
      </c>
      <c r="X180" s="63"/>
      <c r="Y180" s="63">
        <f t="shared" si="3"/>
        <v>53355</v>
      </c>
      <c r="Z180" s="63"/>
    </row>
    <row r="181" spans="3:26" ht="11.25" customHeight="1">
      <c r="C181" s="63"/>
      <c r="D181" s="130"/>
      <c r="E181" s="63"/>
      <c r="F181" s="130"/>
      <c r="G181" s="63"/>
      <c r="H181" s="63"/>
      <c r="I181" s="63"/>
      <c r="J181" s="63"/>
      <c r="K181" s="63"/>
      <c r="L181" s="63"/>
      <c r="M181" s="63"/>
      <c r="N181" s="63"/>
      <c r="O181" s="216"/>
      <c r="P181" s="52"/>
      <c r="Q181" s="63"/>
      <c r="R181" s="63"/>
      <c r="S181" s="63"/>
      <c r="T181" s="63"/>
      <c r="U181" s="63"/>
      <c r="V181" s="63"/>
      <c r="W181" s="63"/>
      <c r="X181" s="63"/>
      <c r="Y181" s="63"/>
      <c r="Z181" s="63"/>
    </row>
    <row r="182" spans="1:26" ht="11.25" customHeight="1">
      <c r="A182" s="115" t="s">
        <v>24</v>
      </c>
      <c r="C182" s="63"/>
      <c r="D182" s="130"/>
      <c r="E182" s="63"/>
      <c r="F182" s="130"/>
      <c r="G182" s="63"/>
      <c r="H182" s="63"/>
      <c r="I182" s="63"/>
      <c r="J182" s="63"/>
      <c r="K182" s="63"/>
      <c r="L182" s="63"/>
      <c r="M182" s="63"/>
      <c r="N182" s="63"/>
      <c r="O182" s="216"/>
      <c r="P182" s="52"/>
      <c r="Q182" s="63"/>
      <c r="R182" s="63"/>
      <c r="S182" s="63"/>
      <c r="T182" s="63"/>
      <c r="U182" s="63">
        <f t="shared" si="1"/>
        <v>28647</v>
      </c>
      <c r="V182" s="63"/>
      <c r="W182" s="63">
        <f t="shared" si="2"/>
        <v>56385</v>
      </c>
      <c r="X182" s="63"/>
      <c r="Y182" s="63">
        <f t="shared" si="3"/>
        <v>72222</v>
      </c>
      <c r="Z182" s="63"/>
    </row>
    <row r="183" spans="3:26" ht="11.25" customHeight="1">
      <c r="C183" s="63"/>
      <c r="D183" s="130"/>
      <c r="E183" s="63"/>
      <c r="F183" s="130"/>
      <c r="G183" s="63"/>
      <c r="H183" s="63"/>
      <c r="I183" s="63"/>
      <c r="J183" s="63"/>
      <c r="K183" s="63"/>
      <c r="L183" s="63"/>
      <c r="M183" s="63"/>
      <c r="N183" s="63"/>
      <c r="O183" s="216"/>
      <c r="P183" s="52"/>
      <c r="Q183" s="63"/>
      <c r="R183" s="63"/>
      <c r="S183" s="63"/>
      <c r="T183" s="63"/>
      <c r="U183" s="63"/>
      <c r="V183" s="63"/>
      <c r="W183" s="63"/>
      <c r="X183" s="63"/>
      <c r="Y183" s="63"/>
      <c r="Z183" s="63"/>
    </row>
    <row r="184" spans="1:26" ht="11.25" customHeight="1">
      <c r="A184" s="131" t="s">
        <v>25</v>
      </c>
      <c r="C184" s="63"/>
      <c r="D184" s="130"/>
      <c r="E184" s="63"/>
      <c r="F184" s="130"/>
      <c r="G184" s="63"/>
      <c r="H184" s="63"/>
      <c r="I184" s="63">
        <f>I28+I107</f>
        <v>1558</v>
      </c>
      <c r="J184" s="63"/>
      <c r="K184" s="63">
        <f>K28+K107</f>
        <v>35013</v>
      </c>
      <c r="L184" s="63"/>
      <c r="M184" s="63">
        <f>M28+M107</f>
        <v>56051</v>
      </c>
      <c r="N184" s="63"/>
      <c r="O184" s="216">
        <f>O28+O107</f>
        <v>66275</v>
      </c>
      <c r="P184" s="52"/>
      <c r="Q184" s="63">
        <f>Q28+Q107</f>
        <v>50331</v>
      </c>
      <c r="R184" s="63"/>
      <c r="S184" s="63">
        <f t="shared" si="0"/>
        <v>46484</v>
      </c>
      <c r="T184" s="63"/>
      <c r="U184" s="63">
        <f t="shared" si="1"/>
        <v>47663</v>
      </c>
      <c r="V184" s="63"/>
      <c r="W184" s="63">
        <f t="shared" si="2"/>
        <v>63029</v>
      </c>
      <c r="X184" s="63"/>
      <c r="Y184" s="63">
        <f t="shared" si="3"/>
        <v>79383</v>
      </c>
      <c r="Z184" s="63"/>
    </row>
    <row r="185" spans="1:26" ht="11.25" customHeight="1">
      <c r="A185" s="115"/>
      <c r="C185" s="63"/>
      <c r="D185" s="130"/>
      <c r="E185" s="63"/>
      <c r="F185" s="130"/>
      <c r="G185" s="63"/>
      <c r="H185" s="63"/>
      <c r="I185" s="127"/>
      <c r="J185" s="63"/>
      <c r="K185" s="63"/>
      <c r="L185" s="63"/>
      <c r="M185" s="63"/>
      <c r="N185" s="63"/>
      <c r="O185" s="216"/>
      <c r="P185" s="52"/>
      <c r="Q185" s="63"/>
      <c r="R185" s="63"/>
      <c r="S185" s="63"/>
      <c r="T185" s="63"/>
      <c r="U185" s="63"/>
      <c r="V185" s="63"/>
      <c r="W185" s="63"/>
      <c r="X185" s="63"/>
      <c r="Y185" s="63"/>
      <c r="Z185" s="63"/>
    </row>
    <row r="186" spans="1:26" ht="11.25" customHeight="1">
      <c r="A186" s="115" t="s">
        <v>45</v>
      </c>
      <c r="C186" s="63"/>
      <c r="D186" s="130"/>
      <c r="E186" s="63"/>
      <c r="F186" s="130"/>
      <c r="G186" s="63"/>
      <c r="H186" s="63"/>
      <c r="I186" s="127"/>
      <c r="J186" s="63"/>
      <c r="K186" s="63"/>
      <c r="L186" s="63"/>
      <c r="M186" s="63"/>
      <c r="N186" s="63"/>
      <c r="O186" s="216"/>
      <c r="P186" s="52"/>
      <c r="Q186" s="63">
        <f>Q30+Q109</f>
        <v>22736</v>
      </c>
      <c r="R186" s="63"/>
      <c r="S186" s="63">
        <f t="shared" si="0"/>
        <v>50431</v>
      </c>
      <c r="T186" s="63"/>
      <c r="U186" s="63">
        <f t="shared" si="1"/>
        <v>68850</v>
      </c>
      <c r="V186" s="63"/>
      <c r="W186" s="63">
        <f t="shared" si="2"/>
        <v>70730</v>
      </c>
      <c r="X186" s="63"/>
      <c r="Y186" s="63">
        <f t="shared" si="3"/>
        <v>82489</v>
      </c>
      <c r="Z186" s="63"/>
    </row>
    <row r="187" spans="1:26" ht="11.25" customHeight="1">
      <c r="A187" s="115"/>
      <c r="C187" s="63"/>
      <c r="D187" s="130"/>
      <c r="E187" s="63"/>
      <c r="F187" s="130"/>
      <c r="G187" s="63"/>
      <c r="H187" s="63"/>
      <c r="I187" s="127"/>
      <c r="J187" s="63"/>
      <c r="K187" s="63"/>
      <c r="L187" s="63"/>
      <c r="M187" s="63"/>
      <c r="N187" s="63"/>
      <c r="O187" s="216"/>
      <c r="P187" s="52"/>
      <c r="Q187" s="63"/>
      <c r="R187" s="63"/>
      <c r="S187" s="63"/>
      <c r="T187" s="63"/>
      <c r="U187" s="63"/>
      <c r="V187" s="63"/>
      <c r="W187" s="63"/>
      <c r="X187" s="63"/>
      <c r="Y187" s="63"/>
      <c r="Z187" s="63"/>
    </row>
    <row r="188" spans="1:27" ht="11.25" customHeight="1">
      <c r="A188" s="115" t="s">
        <v>26</v>
      </c>
      <c r="C188" s="133"/>
      <c r="D188" s="130"/>
      <c r="E188" s="133"/>
      <c r="F188" s="130"/>
      <c r="G188" s="133"/>
      <c r="H188" s="130"/>
      <c r="I188" s="133"/>
      <c r="J188" s="130"/>
      <c r="K188" s="133"/>
      <c r="L188" s="130"/>
      <c r="M188" s="133"/>
      <c r="N188" s="130"/>
      <c r="O188" s="218">
        <f>O32+O111</f>
        <v>26447</v>
      </c>
      <c r="P188" s="210"/>
      <c r="Q188" s="133">
        <f>Q32+Q111</f>
        <v>54814</v>
      </c>
      <c r="R188" s="130"/>
      <c r="S188" s="133">
        <f>S32+S111</f>
        <v>56243</v>
      </c>
      <c r="T188" s="130"/>
      <c r="U188" s="133">
        <f>U32+U111</f>
        <v>66477</v>
      </c>
      <c r="V188" s="130"/>
      <c r="W188" s="133">
        <f>W32+W111</f>
        <v>79226</v>
      </c>
      <c r="X188" s="130"/>
      <c r="Y188" s="133">
        <f>Y32+Y111</f>
        <v>87141</v>
      </c>
      <c r="Z188" s="130"/>
      <c r="AA188" s="142"/>
    </row>
    <row r="189" spans="1:26" ht="11.25" customHeight="1">
      <c r="A189" s="115"/>
      <c r="C189" s="126"/>
      <c r="E189" s="126"/>
      <c r="G189" s="126"/>
      <c r="H189" s="142"/>
      <c r="I189" s="126"/>
      <c r="J189" s="142"/>
      <c r="K189" s="126"/>
      <c r="L189" s="142"/>
      <c r="M189" s="126"/>
      <c r="N189" s="142"/>
      <c r="O189" s="126"/>
      <c r="P189" s="181"/>
      <c r="Q189" s="126"/>
      <c r="R189" s="142"/>
      <c r="S189" s="126"/>
      <c r="T189" s="142"/>
      <c r="U189" s="126"/>
      <c r="V189" s="142"/>
      <c r="W189" s="126"/>
      <c r="X189" s="142"/>
      <c r="Y189" s="126"/>
      <c r="Z189" s="142"/>
    </row>
    <row r="190" spans="1:26" ht="11.25" customHeight="1" thickBot="1">
      <c r="A190" s="115" t="s">
        <v>38</v>
      </c>
      <c r="C190" s="193">
        <f>SUM(C166:C188)</f>
        <v>6527</v>
      </c>
      <c r="D190" s="194"/>
      <c r="E190" s="193">
        <f>SUM(E166:E188)</f>
        <v>15555</v>
      </c>
      <c r="F190" s="194"/>
      <c r="G190" s="193">
        <f>SUM(G166:G188)</f>
        <v>71279</v>
      </c>
      <c r="H190" s="194"/>
      <c r="I190" s="193">
        <f>SUM(I166:I188)</f>
        <v>166637</v>
      </c>
      <c r="J190" s="194"/>
      <c r="K190" s="193">
        <f>SUM(K166:K188)</f>
        <v>330873</v>
      </c>
      <c r="L190" s="194"/>
      <c r="M190" s="193">
        <f>SUM(M166:M188)</f>
        <v>398041</v>
      </c>
      <c r="N190" s="98"/>
      <c r="O190" s="238">
        <f>SUM(O166:O188)</f>
        <v>456512</v>
      </c>
      <c r="P190" s="55" t="s">
        <v>16</v>
      </c>
      <c r="Q190" s="193">
        <f>SUM(Q166:Q188)</f>
        <v>518984</v>
      </c>
      <c r="R190" s="98"/>
      <c r="S190" s="193">
        <f>SUM(S166:S188)</f>
        <v>519428</v>
      </c>
      <c r="T190" s="98"/>
      <c r="U190" s="193">
        <f>SUM(U166:U188)</f>
        <v>607619</v>
      </c>
      <c r="V190" s="98"/>
      <c r="W190" s="193">
        <f>SUM(W166:W188)</f>
        <v>721333</v>
      </c>
      <c r="X190" s="98"/>
      <c r="Y190" s="193">
        <f>SUM(Y166:Y188)</f>
        <v>744688</v>
      </c>
      <c r="Z190" s="98"/>
    </row>
    <row r="191" spans="1:26" ht="11.25" customHeight="1" thickTop="1">
      <c r="A191" s="115"/>
      <c r="C191" s="126"/>
      <c r="E191" s="126"/>
      <c r="G191" s="126"/>
      <c r="H191" s="142"/>
      <c r="I191" s="126"/>
      <c r="J191" s="142"/>
      <c r="K191" s="126"/>
      <c r="L191" s="142"/>
      <c r="M191" s="126"/>
      <c r="N191" s="142"/>
      <c r="O191" s="126"/>
      <c r="Q191" s="126"/>
      <c r="S191" s="126"/>
      <c r="U191" s="126"/>
      <c r="V191" s="142"/>
      <c r="W191" s="126"/>
      <c r="X191" s="142"/>
      <c r="Y191" s="126"/>
      <c r="Z191" s="142"/>
    </row>
    <row r="192" spans="1:26" ht="11.25" customHeight="1">
      <c r="A192" s="123" t="s">
        <v>48</v>
      </c>
      <c r="C192" s="126"/>
      <c r="D192" s="173"/>
      <c r="E192" s="70"/>
      <c r="Z192" s="142"/>
    </row>
    <row r="193" spans="1:26" ht="11.25" customHeight="1">
      <c r="A193" s="123" t="s">
        <v>94</v>
      </c>
      <c r="C193" s="126"/>
      <c r="D193" s="173"/>
      <c r="E193" s="70"/>
      <c r="Z193" s="142"/>
    </row>
    <row r="194" spans="3:26" ht="11.25" customHeight="1">
      <c r="C194" s="126"/>
      <c r="D194" s="173"/>
      <c r="E194" s="70"/>
      <c r="Z194" s="142"/>
    </row>
    <row r="195" ht="11.25" customHeight="1">
      <c r="A195" s="115"/>
    </row>
    <row r="196" ht="11.25" customHeight="1">
      <c r="A196" s="115"/>
    </row>
    <row r="197" spans="1:36" ht="11.25" customHeight="1">
      <c r="A197" s="115" t="s">
        <v>0</v>
      </c>
      <c r="AE197" s="115" t="s">
        <v>0</v>
      </c>
      <c r="AH197" s="142"/>
      <c r="AJ197" s="142"/>
    </row>
    <row r="198" spans="1:36" ht="11.25" customHeight="1">
      <c r="A198" s="115" t="s">
        <v>78</v>
      </c>
      <c r="AE198" s="115" t="s">
        <v>79</v>
      </c>
      <c r="AH198" s="142"/>
      <c r="AJ198" s="142"/>
    </row>
    <row r="199" spans="1:45" ht="11.25" customHeight="1">
      <c r="A199" s="119" t="str">
        <f>A3</f>
        <v>1978-1989</v>
      </c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AE199" s="119" t="s">
        <v>88</v>
      </c>
      <c r="AF199" s="140"/>
      <c r="AG199" s="140"/>
      <c r="AH199" s="140"/>
      <c r="AI199" s="140"/>
      <c r="AJ199" s="140"/>
      <c r="AK199" s="140"/>
      <c r="AL199" s="140"/>
      <c r="AM199" s="140"/>
      <c r="AN199" s="140"/>
      <c r="AO199" s="140"/>
      <c r="AP199" s="140"/>
      <c r="AQ199" s="140"/>
      <c r="AR199" s="140"/>
      <c r="AS199" s="140"/>
    </row>
    <row r="200" spans="1:36" ht="11.25" customHeight="1">
      <c r="A200" s="115"/>
      <c r="AE200" s="115"/>
      <c r="AH200" s="142"/>
      <c r="AJ200" s="142"/>
    </row>
    <row r="201" spans="1:36" ht="11.25" customHeight="1">
      <c r="A201" s="115"/>
      <c r="AE201" s="115"/>
      <c r="AH201" s="142"/>
      <c r="AJ201" s="142"/>
    </row>
    <row r="202" spans="1:56" ht="11.25" customHeight="1">
      <c r="A202" s="115"/>
      <c r="C202" s="124" t="s">
        <v>3</v>
      </c>
      <c r="E202" s="124" t="s">
        <v>4</v>
      </c>
      <c r="G202" s="124" t="s">
        <v>5</v>
      </c>
      <c r="H202" s="142"/>
      <c r="I202" s="124" t="s">
        <v>6</v>
      </c>
      <c r="J202" s="142"/>
      <c r="K202" s="124" t="s">
        <v>7</v>
      </c>
      <c r="L202" s="142"/>
      <c r="M202" s="124" t="s">
        <v>8</v>
      </c>
      <c r="N202" s="142"/>
      <c r="O202" s="124" t="s">
        <v>9</v>
      </c>
      <c r="P202" s="181"/>
      <c r="Q202" s="124" t="s">
        <v>10</v>
      </c>
      <c r="R202" s="142"/>
      <c r="S202" s="124" t="s">
        <v>11</v>
      </c>
      <c r="T202" s="142"/>
      <c r="U202" s="124" t="s">
        <v>12</v>
      </c>
      <c r="V202" s="142"/>
      <c r="W202" s="124" t="s">
        <v>13</v>
      </c>
      <c r="X202" s="142"/>
      <c r="Y202" s="124" t="s">
        <v>14</v>
      </c>
      <c r="Z202" s="142"/>
      <c r="AE202" s="115"/>
      <c r="AG202" s="124" t="s">
        <v>3</v>
      </c>
      <c r="AH202" s="142"/>
      <c r="AI202" s="124" t="s">
        <v>4</v>
      </c>
      <c r="AJ202" s="142"/>
      <c r="AK202" s="124" t="s">
        <v>5</v>
      </c>
      <c r="AL202" s="142"/>
      <c r="AM202" s="124" t="s">
        <v>6</v>
      </c>
      <c r="AN202" s="142"/>
      <c r="AO202" s="124" t="s">
        <v>7</v>
      </c>
      <c r="AP202" s="142"/>
      <c r="AQ202" s="124" t="s">
        <v>8</v>
      </c>
      <c r="AR202" s="142"/>
      <c r="AS202" s="124" t="s">
        <v>9</v>
      </c>
      <c r="AT202" s="142"/>
      <c r="AU202" s="124" t="s">
        <v>10</v>
      </c>
      <c r="AV202" s="142"/>
      <c r="AW202" s="124" t="s">
        <v>11</v>
      </c>
      <c r="AX202" s="142"/>
      <c r="AY202" s="124" t="s">
        <v>12</v>
      </c>
      <c r="AZ202" s="142"/>
      <c r="BA202" s="124" t="s">
        <v>13</v>
      </c>
      <c r="BB202" s="142"/>
      <c r="BC202" s="124" t="s">
        <v>14</v>
      </c>
      <c r="BD202" s="142"/>
    </row>
    <row r="203" spans="1:56" ht="11.25" customHeight="1">
      <c r="A203" s="115"/>
      <c r="C203" s="128"/>
      <c r="D203" s="135"/>
      <c r="E203" s="128"/>
      <c r="F203" s="135"/>
      <c r="G203" s="128"/>
      <c r="H203" s="128"/>
      <c r="I203" s="128"/>
      <c r="J203" s="128"/>
      <c r="K203" s="128"/>
      <c r="L203" s="128"/>
      <c r="M203" s="128"/>
      <c r="N203" s="128"/>
      <c r="O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E203" s="115"/>
      <c r="AG203" s="128"/>
      <c r="AH203" s="135"/>
      <c r="AI203" s="128"/>
      <c r="AJ203" s="135"/>
      <c r="AK203" s="128"/>
      <c r="AL203" s="128"/>
      <c r="AM203" s="128"/>
      <c r="AN203" s="128"/>
      <c r="AO203" s="128"/>
      <c r="AP203" s="135"/>
      <c r="AQ203" s="128"/>
      <c r="AR203" s="128"/>
      <c r="AS203" s="128"/>
      <c r="AT203" s="128"/>
      <c r="AU203" s="128"/>
      <c r="AV203" s="128"/>
      <c r="AW203" s="128"/>
      <c r="AX203" s="128"/>
      <c r="AY203" s="128"/>
      <c r="AZ203" s="135"/>
      <c r="BA203" s="128"/>
      <c r="BB203" s="128"/>
      <c r="BC203" s="144"/>
      <c r="BD203" s="128"/>
    </row>
    <row r="204" spans="1:56" ht="11.25" customHeight="1">
      <c r="A204" s="115" t="s">
        <v>15</v>
      </c>
      <c r="C204" s="144"/>
      <c r="D204" s="145"/>
      <c r="E204" s="144"/>
      <c r="F204" s="145"/>
      <c r="G204" s="144"/>
      <c r="H204" s="144"/>
      <c r="I204" s="144">
        <f>I166/REVENUE!I10</f>
        <v>0.14</v>
      </c>
      <c r="J204" s="144"/>
      <c r="K204" s="144">
        <f>K166/REVENUE!K10</f>
        <v>0.284</v>
      </c>
      <c r="L204" s="144"/>
      <c r="M204" s="144">
        <f>M166/REVENUE!M10</f>
        <v>0.258</v>
      </c>
      <c r="N204" s="144"/>
      <c r="O204" s="144">
        <f>O166/REVENUE!O10</f>
        <v>0.308</v>
      </c>
      <c r="P204" s="46"/>
      <c r="Q204" s="144">
        <f>Q166/REVENUE!Q10</f>
        <v>0.349</v>
      </c>
      <c r="R204" s="127"/>
      <c r="S204" s="144">
        <f>S166/REVENUE!S10</f>
        <v>0.226</v>
      </c>
      <c r="T204" s="127"/>
      <c r="U204" s="144">
        <f>U166/REVENUE!U10</f>
        <v>0.219</v>
      </c>
      <c r="V204" s="63"/>
      <c r="W204" s="144">
        <f>W166/REVENUE!W10</f>
        <v>0.322</v>
      </c>
      <c r="X204" s="63"/>
      <c r="Y204" s="144">
        <f>Y166/REVENUE!Y10</f>
        <v>0.328</v>
      </c>
      <c r="Z204" s="63" t="s">
        <v>46</v>
      </c>
      <c r="AE204" s="115" t="s">
        <v>15</v>
      </c>
      <c r="AG204" s="144"/>
      <c r="AH204" s="145"/>
      <c r="AI204" s="144"/>
      <c r="AJ204" s="145"/>
      <c r="AK204" s="144"/>
      <c r="AL204" s="144"/>
      <c r="AM204" s="144">
        <f>I166/REVENUE!I449</f>
        <v>0.127</v>
      </c>
      <c r="AN204" s="144"/>
      <c r="AO204" s="144">
        <f>K166/REVENUE!K449</f>
        <v>0.25</v>
      </c>
      <c r="AP204" s="144"/>
      <c r="AQ204" s="144">
        <f>M166/REVENUE!M449</f>
        <v>0.224</v>
      </c>
      <c r="AR204" s="144"/>
      <c r="AS204" s="144">
        <f>O166/REVENUE!O449</f>
        <v>0.259</v>
      </c>
      <c r="AT204" s="144"/>
      <c r="AU204" s="144">
        <f>Q166/REVENUE!Q449</f>
        <v>0.297</v>
      </c>
      <c r="AV204" s="127"/>
      <c r="AW204" s="144">
        <f>S166/REVENUE!S449</f>
        <v>0.204</v>
      </c>
      <c r="AX204" s="127"/>
      <c r="AY204" s="144">
        <f>U166/REVENUE!U449</f>
        <v>0.199</v>
      </c>
      <c r="AZ204" s="63"/>
      <c r="BA204" s="144">
        <f>W166/REVENUE!W449</f>
        <v>0.289</v>
      </c>
      <c r="BB204" s="63"/>
      <c r="BC204" s="144">
        <f>Y166/REVENUE!Y449</f>
        <v>0.296</v>
      </c>
      <c r="BD204" s="63" t="s">
        <v>46</v>
      </c>
    </row>
    <row r="205" spans="1:56" ht="11.25" customHeight="1">
      <c r="A205" s="115" t="s">
        <v>28</v>
      </c>
      <c r="C205" s="144"/>
      <c r="D205" s="135"/>
      <c r="E205" s="144"/>
      <c r="F205" s="135"/>
      <c r="G205" s="144"/>
      <c r="H205" s="128"/>
      <c r="I205" s="144"/>
      <c r="J205" s="128"/>
      <c r="K205" s="144"/>
      <c r="L205" s="128"/>
      <c r="M205" s="144"/>
      <c r="N205" s="128"/>
      <c r="O205" s="144"/>
      <c r="Q205" s="144"/>
      <c r="R205" s="128"/>
      <c r="S205" s="144"/>
      <c r="T205" s="128"/>
      <c r="U205" s="144"/>
      <c r="V205" s="128"/>
      <c r="W205" s="144"/>
      <c r="X205" s="128"/>
      <c r="Y205" s="144"/>
      <c r="Z205" s="128"/>
      <c r="AE205" s="115" t="s">
        <v>28</v>
      </c>
      <c r="AG205" s="144"/>
      <c r="AH205" s="135"/>
      <c r="AI205" s="144"/>
      <c r="AJ205" s="135"/>
      <c r="AK205" s="144"/>
      <c r="AL205" s="128"/>
      <c r="AM205" s="144"/>
      <c r="AN205" s="128"/>
      <c r="AO205" s="144"/>
      <c r="AP205" s="128"/>
      <c r="AQ205" s="144"/>
      <c r="AR205" s="128"/>
      <c r="AS205" s="144"/>
      <c r="AT205" s="128"/>
      <c r="AU205" s="144"/>
      <c r="AV205" s="128"/>
      <c r="AW205" s="144"/>
      <c r="AX205" s="128"/>
      <c r="AY205" s="144"/>
      <c r="AZ205" s="128"/>
      <c r="BA205" s="144"/>
      <c r="BB205" s="128"/>
      <c r="BC205" s="144"/>
      <c r="BD205" s="128"/>
    </row>
    <row r="206" spans="1:56" ht="11.25" customHeight="1">
      <c r="A206" s="115" t="s">
        <v>17</v>
      </c>
      <c r="C206" s="144"/>
      <c r="D206" s="130"/>
      <c r="E206" s="144"/>
      <c r="F206" s="130"/>
      <c r="G206" s="144">
        <f>G168/REVENUE!G12</f>
        <v>0.154</v>
      </c>
      <c r="H206" s="144"/>
      <c r="I206" s="144">
        <f>I168/REVENUE!I12</f>
        <v>0.153</v>
      </c>
      <c r="J206" s="144"/>
      <c r="K206" s="144">
        <f>K168/REVENUE!K12</f>
        <v>0.197</v>
      </c>
      <c r="L206" s="144"/>
      <c r="M206" s="144">
        <f>M168/REVENUE!M12</f>
        <v>0.188</v>
      </c>
      <c r="N206" s="63"/>
      <c r="O206" s="144">
        <f>O168/REVENUE!O12</f>
        <v>0.223</v>
      </c>
      <c r="P206" s="15" t="s">
        <v>16</v>
      </c>
      <c r="Q206" s="144">
        <f>Q168/REVENUE!Q12</f>
        <v>0.245</v>
      </c>
      <c r="R206" s="63"/>
      <c r="S206" s="144">
        <f>S168/REVENUE!S12</f>
        <v>0.246</v>
      </c>
      <c r="T206" s="63"/>
      <c r="U206" s="144">
        <f>U168/REVENUE!U12</f>
        <v>0.243</v>
      </c>
      <c r="V206" s="63"/>
      <c r="W206" s="144">
        <f>W168/REVENUE!W12</f>
        <v>0.246</v>
      </c>
      <c r="X206" s="63"/>
      <c r="Y206" s="144">
        <f>Y168/REVENUE!Y12</f>
        <v>0.251</v>
      </c>
      <c r="Z206" s="63"/>
      <c r="AE206" s="115" t="s">
        <v>17</v>
      </c>
      <c r="AG206" s="144"/>
      <c r="AH206" s="130"/>
      <c r="AI206" s="144"/>
      <c r="AJ206" s="130"/>
      <c r="AK206" s="144">
        <f>G168/REVENUE!G451</f>
        <v>0.133</v>
      </c>
      <c r="AL206" s="144"/>
      <c r="AM206" s="144">
        <f>I168/REVENUE!I451</f>
        <v>0.139</v>
      </c>
      <c r="AN206" s="144"/>
      <c r="AO206" s="144">
        <f>K168/REVENUE!K451</f>
        <v>0.174</v>
      </c>
      <c r="AP206" s="144"/>
      <c r="AQ206" s="144">
        <f>M168/REVENUE!M451</f>
        <v>0.167</v>
      </c>
      <c r="AR206" s="63"/>
      <c r="AS206" s="144">
        <f>O168/REVENUE!O451</f>
        <v>0.197</v>
      </c>
      <c r="AT206" s="15" t="s">
        <v>16</v>
      </c>
      <c r="AU206" s="144">
        <f>Q168/REVENUE!Q451</f>
        <v>0.213</v>
      </c>
      <c r="AV206" s="63"/>
      <c r="AW206" s="144">
        <f>S168/REVENUE!S451</f>
        <v>0.218</v>
      </c>
      <c r="AX206" s="63"/>
      <c r="AY206" s="144">
        <f>U168/REVENUE!U451</f>
        <v>0.215</v>
      </c>
      <c r="AZ206" s="63"/>
      <c r="BA206" s="144">
        <f>W168/REVENUE!W451</f>
        <v>0.218</v>
      </c>
      <c r="BB206" s="63"/>
      <c r="BC206" s="144">
        <f>Y168/REVENUE!Y451</f>
        <v>0.222</v>
      </c>
      <c r="BD206" s="63"/>
    </row>
    <row r="207" spans="3:56" ht="11.25" customHeight="1">
      <c r="C207" s="144"/>
      <c r="D207" s="130"/>
      <c r="E207" s="144"/>
      <c r="F207" s="130"/>
      <c r="G207" s="144"/>
      <c r="H207" s="63"/>
      <c r="I207" s="144"/>
      <c r="J207" s="63"/>
      <c r="K207" s="144"/>
      <c r="L207" s="63"/>
      <c r="M207" s="144"/>
      <c r="N207" s="63"/>
      <c r="O207" s="144"/>
      <c r="P207" s="52"/>
      <c r="Q207" s="144"/>
      <c r="R207" s="63"/>
      <c r="S207" s="144"/>
      <c r="T207" s="63"/>
      <c r="U207" s="144"/>
      <c r="V207" s="63"/>
      <c r="W207" s="144"/>
      <c r="X207" s="63"/>
      <c r="Y207" s="144"/>
      <c r="Z207" s="63"/>
      <c r="AG207" s="144"/>
      <c r="AH207" s="130"/>
      <c r="AI207" s="144"/>
      <c r="AJ207" s="130"/>
      <c r="AK207" s="144"/>
      <c r="AL207" s="63"/>
      <c r="AM207" s="144"/>
      <c r="AN207" s="63"/>
      <c r="AO207" s="144"/>
      <c r="AP207" s="63"/>
      <c r="AQ207" s="144"/>
      <c r="AR207" s="63"/>
      <c r="AS207" s="144"/>
      <c r="AT207" s="63"/>
      <c r="AU207" s="144"/>
      <c r="AV207" s="63"/>
      <c r="AW207" s="144"/>
      <c r="AX207" s="63"/>
      <c r="AY207" s="144"/>
      <c r="AZ207" s="63"/>
      <c r="BA207" s="144"/>
      <c r="BB207" s="63"/>
      <c r="BC207" s="144"/>
      <c r="BD207" s="63"/>
    </row>
    <row r="208" spans="1:56" ht="11.25" customHeight="1">
      <c r="A208" s="115" t="s">
        <v>18</v>
      </c>
      <c r="C208" s="144"/>
      <c r="D208" s="130"/>
      <c r="E208" s="144">
        <f>E170/REVENUE!E14</f>
        <v>0.033</v>
      </c>
      <c r="F208" s="145"/>
      <c r="G208" s="144">
        <f>G170/REVENUE!G14</f>
        <v>0.096</v>
      </c>
      <c r="H208" s="144"/>
      <c r="I208" s="144">
        <f>I170/REVENUE!I14</f>
        <v>0.133</v>
      </c>
      <c r="J208" s="144"/>
      <c r="K208" s="144">
        <f>K170/REVENUE!K14</f>
        <v>0.164</v>
      </c>
      <c r="L208" s="144"/>
      <c r="M208" s="144">
        <f>M170/REVENUE!M14</f>
        <v>0.165</v>
      </c>
      <c r="N208" s="63"/>
      <c r="O208" s="144">
        <f>O170/REVENUE!O14</f>
        <v>0.146</v>
      </c>
      <c r="P208" s="52"/>
      <c r="Q208" s="144">
        <f>Q170/REVENUE!Q14</f>
        <v>0.121</v>
      </c>
      <c r="R208" s="63"/>
      <c r="S208" s="144">
        <f>S170/REVENUE!S14</f>
        <v>0.116</v>
      </c>
      <c r="T208" s="63"/>
      <c r="U208" s="144">
        <f>U170/REVENUE!U14</f>
        <v>0.158</v>
      </c>
      <c r="V208" s="63"/>
      <c r="W208" s="144">
        <f>W170/REVENUE!W14</f>
        <v>0.168</v>
      </c>
      <c r="X208" s="63"/>
      <c r="Y208" s="144">
        <f>Y170/REVENUE!Y14</f>
        <v>0.165</v>
      </c>
      <c r="Z208" s="63"/>
      <c r="AE208" s="115" t="s">
        <v>18</v>
      </c>
      <c r="AG208" s="144"/>
      <c r="AH208" s="130"/>
      <c r="AI208" s="144">
        <f>E170/REVENUE!E453</f>
        <v>0.032</v>
      </c>
      <c r="AJ208" s="145"/>
      <c r="AK208" s="144">
        <f>G170/REVENUE!G453</f>
        <v>0.09</v>
      </c>
      <c r="AL208" s="144"/>
      <c r="AM208" s="144">
        <f>I170/REVENUE!I453</f>
        <v>0.125</v>
      </c>
      <c r="AN208" s="144"/>
      <c r="AO208" s="144">
        <f>K170/REVENUE!K453</f>
        <v>0.153</v>
      </c>
      <c r="AP208" s="144"/>
      <c r="AQ208" s="144">
        <f>M170/REVENUE!M453</f>
        <v>0.152</v>
      </c>
      <c r="AR208" s="63"/>
      <c r="AS208" s="144">
        <f>O170/REVENUE!O453</f>
        <v>0.136</v>
      </c>
      <c r="AT208" s="63"/>
      <c r="AU208" s="144">
        <f>Q170/REVENUE!Q453</f>
        <v>0.114</v>
      </c>
      <c r="AV208" s="63"/>
      <c r="AW208" s="144">
        <f>S170/REVENUE!S453</f>
        <v>0.11</v>
      </c>
      <c r="AX208" s="63"/>
      <c r="AY208" s="144">
        <f>U170/REVENUE!U453</f>
        <v>0.146</v>
      </c>
      <c r="AZ208" s="63"/>
      <c r="BA208" s="144">
        <f>W170/REVENUE!W453</f>
        <v>0.155</v>
      </c>
      <c r="BB208" s="63"/>
      <c r="BC208" s="144">
        <f>Y170/REVENUE!Y453</f>
        <v>0.151</v>
      </c>
      <c r="BD208" s="63"/>
    </row>
    <row r="209" spans="3:56" ht="11.25" customHeight="1">
      <c r="C209" s="144"/>
      <c r="D209" s="130"/>
      <c r="E209" s="144"/>
      <c r="F209" s="130"/>
      <c r="G209" s="144"/>
      <c r="H209" s="63"/>
      <c r="I209" s="144"/>
      <c r="J209" s="63"/>
      <c r="K209" s="144"/>
      <c r="L209" s="63"/>
      <c r="M209" s="144"/>
      <c r="N209" s="63"/>
      <c r="O209" s="144"/>
      <c r="P209" s="52"/>
      <c r="Q209" s="144"/>
      <c r="R209" s="63"/>
      <c r="S209" s="144"/>
      <c r="T209" s="63"/>
      <c r="U209" s="144"/>
      <c r="V209" s="63"/>
      <c r="W209" s="144"/>
      <c r="X209" s="63"/>
      <c r="Y209" s="144"/>
      <c r="Z209" s="63"/>
      <c r="AG209" s="144"/>
      <c r="AH209" s="130"/>
      <c r="AI209" s="144"/>
      <c r="AJ209" s="130"/>
      <c r="AK209" s="144"/>
      <c r="AL209" s="63"/>
      <c r="AM209" s="144"/>
      <c r="AN209" s="63"/>
      <c r="AO209" s="144"/>
      <c r="AP209" s="63"/>
      <c r="AQ209" s="144"/>
      <c r="AR209" s="63"/>
      <c r="AS209" s="144"/>
      <c r="AT209" s="63"/>
      <c r="AU209" s="144"/>
      <c r="AV209" s="63"/>
      <c r="AW209" s="144"/>
      <c r="AX209" s="63"/>
      <c r="AY209" s="144"/>
      <c r="AZ209" s="63"/>
      <c r="BA209" s="144"/>
      <c r="BB209" s="63"/>
      <c r="BC209" s="144"/>
      <c r="BD209" s="63"/>
    </row>
    <row r="210" spans="1:56" ht="11.25" customHeight="1">
      <c r="A210" s="115" t="s">
        <v>19</v>
      </c>
      <c r="C210" s="144"/>
      <c r="D210" s="130"/>
      <c r="E210" s="144">
        <f>E172/REVENUE!E16</f>
        <v>0.061</v>
      </c>
      <c r="F210" s="145"/>
      <c r="G210" s="144">
        <f>G172/REVENUE!G16</f>
        <v>0.099</v>
      </c>
      <c r="H210" s="144"/>
      <c r="I210" s="144">
        <f>I172/REVENUE!I16</f>
        <v>0.132</v>
      </c>
      <c r="J210" s="144"/>
      <c r="K210" s="144">
        <f>K172/REVENUE!K16</f>
        <v>0.132</v>
      </c>
      <c r="L210" s="144"/>
      <c r="M210" s="144">
        <f>M172/REVENUE!M16</f>
        <v>0.187</v>
      </c>
      <c r="N210" s="63"/>
      <c r="O210" s="144">
        <f>O172/REVENUE!O16</f>
        <v>0.225</v>
      </c>
      <c r="P210" s="52"/>
      <c r="Q210" s="144">
        <f>Q172/REVENUE!Q16</f>
        <v>0.219</v>
      </c>
      <c r="R210" s="63"/>
      <c r="S210" s="144">
        <f>S172/REVENUE!S16</f>
        <v>0.214</v>
      </c>
      <c r="T210" s="63"/>
      <c r="U210" s="144">
        <f>U172/REVENUE!U16</f>
        <v>0.218</v>
      </c>
      <c r="V210" s="63"/>
      <c r="W210" s="144">
        <f>W172/REVENUE!W16</f>
        <v>0.243</v>
      </c>
      <c r="X210" s="63"/>
      <c r="Y210" s="144">
        <f>Y172/REVENUE!Y16</f>
        <v>0.255</v>
      </c>
      <c r="Z210" s="63"/>
      <c r="AE210" s="115" t="s">
        <v>19</v>
      </c>
      <c r="AG210" s="144"/>
      <c r="AH210" s="130"/>
      <c r="AI210" s="144">
        <f>E172/REVENUE!E455</f>
        <v>0.058</v>
      </c>
      <c r="AJ210" s="145"/>
      <c r="AK210" s="144">
        <f>G172/REVENUE!G455</f>
        <v>0.09</v>
      </c>
      <c r="AL210" s="144"/>
      <c r="AM210" s="144">
        <f>I172/REVENUE!I455</f>
        <v>0.121</v>
      </c>
      <c r="AN210" s="144"/>
      <c r="AO210" s="144">
        <f>K172/REVENUE!K455</f>
        <v>0.121</v>
      </c>
      <c r="AP210" s="144"/>
      <c r="AQ210" s="144">
        <f>M172/REVENUE!M455</f>
        <v>0.169</v>
      </c>
      <c r="AR210" s="63"/>
      <c r="AS210" s="144">
        <f>O172/REVENUE!O455</f>
        <v>0.198</v>
      </c>
      <c r="AT210" s="63"/>
      <c r="AU210" s="144">
        <f>Q172/REVENUE!Q455</f>
        <v>0.195</v>
      </c>
      <c r="AV210" s="63"/>
      <c r="AW210" s="144">
        <f>S172/REVENUE!S455</f>
        <v>0.191</v>
      </c>
      <c r="AX210" s="63"/>
      <c r="AY210" s="144">
        <f>U172/REVENUE!U455</f>
        <v>0.194</v>
      </c>
      <c r="AZ210" s="63"/>
      <c r="BA210" s="144">
        <f>W172/REVENUE!W455</f>
        <v>0.219</v>
      </c>
      <c r="BB210" s="63"/>
      <c r="BC210" s="144">
        <f>Y172/REVENUE!Y455</f>
        <v>0.226</v>
      </c>
      <c r="BD210" s="63"/>
    </row>
    <row r="211" spans="3:56" ht="11.25" customHeight="1">
      <c r="C211" s="144"/>
      <c r="D211" s="130"/>
      <c r="E211" s="144"/>
      <c r="F211" s="130"/>
      <c r="G211" s="144"/>
      <c r="H211" s="63"/>
      <c r="I211" s="144"/>
      <c r="J211" s="63"/>
      <c r="K211" s="144"/>
      <c r="L211" s="63"/>
      <c r="M211" s="144"/>
      <c r="N211" s="63"/>
      <c r="O211" s="144"/>
      <c r="P211" s="52"/>
      <c r="Q211" s="144"/>
      <c r="R211" s="63"/>
      <c r="S211" s="144"/>
      <c r="T211" s="63"/>
      <c r="U211" s="144"/>
      <c r="V211" s="63"/>
      <c r="W211" s="144"/>
      <c r="X211" s="63"/>
      <c r="Y211" s="144"/>
      <c r="Z211" s="63"/>
      <c r="AG211" s="144"/>
      <c r="AH211" s="130"/>
      <c r="AI211" s="144"/>
      <c r="AJ211" s="130"/>
      <c r="AK211" s="144"/>
      <c r="AL211" s="63"/>
      <c r="AM211" s="144"/>
      <c r="AN211" s="63"/>
      <c r="AO211" s="144"/>
      <c r="AP211" s="63"/>
      <c r="AQ211" s="144"/>
      <c r="AR211" s="63"/>
      <c r="AS211" s="144"/>
      <c r="AT211" s="63"/>
      <c r="AU211" s="144"/>
      <c r="AV211" s="63"/>
      <c r="AW211" s="144"/>
      <c r="AX211" s="63"/>
      <c r="AY211" s="144"/>
      <c r="AZ211" s="63"/>
      <c r="BA211" s="144"/>
      <c r="BB211" s="63"/>
      <c r="BC211" s="144"/>
      <c r="BD211" s="63"/>
    </row>
    <row r="212" spans="1:56" ht="11.25" customHeight="1">
      <c r="A212" s="131" t="s">
        <v>20</v>
      </c>
      <c r="C212" s="144"/>
      <c r="D212" s="130"/>
      <c r="E212" s="144"/>
      <c r="F212" s="130"/>
      <c r="G212" s="144"/>
      <c r="H212" s="63"/>
      <c r="I212" s="144">
        <f>I174/REVENUE!I18</f>
        <v>0.154</v>
      </c>
      <c r="J212" s="144"/>
      <c r="K212" s="144">
        <f>K174/REVENUE!K18</f>
        <v>0.251</v>
      </c>
      <c r="L212" s="144"/>
      <c r="M212" s="144">
        <f>M174/REVENUE!M18</f>
        <v>0.241</v>
      </c>
      <c r="N212" s="63"/>
      <c r="O212" s="144">
        <f>O174/REVENUE!O18</f>
        <v>0.23</v>
      </c>
      <c r="P212" s="52"/>
      <c r="Q212" s="144">
        <f>Q174/REVENUE!Q18</f>
        <v>0.225</v>
      </c>
      <c r="R212" s="63"/>
      <c r="S212" s="144">
        <f>S174/REVENUE!S18</f>
        <v>0.226</v>
      </c>
      <c r="T212" s="63"/>
      <c r="U212" s="144">
        <f>U174/REVENUE!U18</f>
        <v>0.235</v>
      </c>
      <c r="V212" s="63"/>
      <c r="W212" s="144">
        <f>W174/REVENUE!W18</f>
        <v>0.245</v>
      </c>
      <c r="X212" s="63"/>
      <c r="Y212" s="144">
        <f>Y174/REVENUE!Y18</f>
        <v>0.208</v>
      </c>
      <c r="Z212" s="63"/>
      <c r="AE212" s="131" t="s">
        <v>20</v>
      </c>
      <c r="AG212" s="144"/>
      <c r="AH212" s="130"/>
      <c r="AI212" s="144"/>
      <c r="AJ212" s="130"/>
      <c r="AK212" s="144"/>
      <c r="AL212" s="63"/>
      <c r="AM212" s="144">
        <f>I174/REVENUE!I457</f>
        <v>0.141</v>
      </c>
      <c r="AN212" s="144"/>
      <c r="AO212" s="144">
        <f>K174/REVENUE!K457</f>
        <v>0.22</v>
      </c>
      <c r="AP212" s="144"/>
      <c r="AQ212" s="144">
        <f>M174/REVENUE!M457</f>
        <v>0.212</v>
      </c>
      <c r="AR212" s="63"/>
      <c r="AS212" s="144">
        <f>O174/REVENUE!O457</f>
        <v>0.205</v>
      </c>
      <c r="AT212" s="63"/>
      <c r="AU212" s="144">
        <f>Q174/REVENUE!Q457</f>
        <v>0.2</v>
      </c>
      <c r="AV212" s="63"/>
      <c r="AW212" s="144">
        <f>S174/REVENUE!S457</f>
        <v>0.199</v>
      </c>
      <c r="AX212" s="63"/>
      <c r="AY212" s="144">
        <f>U174/REVENUE!U457</f>
        <v>0.207</v>
      </c>
      <c r="AZ212" s="63"/>
      <c r="BA212" s="144">
        <f>W174/REVENUE!W457</f>
        <v>0.214</v>
      </c>
      <c r="BB212" s="63"/>
      <c r="BC212" s="144">
        <f>Y174/REVENUE!Y457</f>
        <v>0.187</v>
      </c>
      <c r="BD212" s="63"/>
    </row>
    <row r="213" spans="3:56" ht="11.25" customHeight="1">
      <c r="C213" s="144"/>
      <c r="D213" s="130"/>
      <c r="E213" s="144"/>
      <c r="F213" s="130"/>
      <c r="G213" s="144"/>
      <c r="H213" s="63"/>
      <c r="I213" s="144"/>
      <c r="J213" s="63"/>
      <c r="K213" s="144"/>
      <c r="L213" s="63"/>
      <c r="M213" s="144"/>
      <c r="N213" s="63"/>
      <c r="O213" s="144"/>
      <c r="P213" s="52"/>
      <c r="Q213" s="144"/>
      <c r="R213" s="63"/>
      <c r="S213" s="144"/>
      <c r="T213" s="63"/>
      <c r="U213" s="144"/>
      <c r="V213" s="63"/>
      <c r="W213" s="144"/>
      <c r="X213" s="63"/>
      <c r="Y213" s="144"/>
      <c r="Z213" s="63"/>
      <c r="AG213" s="144"/>
      <c r="AH213" s="130"/>
      <c r="AI213" s="144"/>
      <c r="AJ213" s="130"/>
      <c r="AK213" s="144"/>
      <c r="AL213" s="63"/>
      <c r="AM213" s="144"/>
      <c r="AN213" s="63"/>
      <c r="AO213" s="144"/>
      <c r="AP213" s="63"/>
      <c r="AQ213" s="144"/>
      <c r="AR213" s="63"/>
      <c r="AS213" s="144"/>
      <c r="AT213" s="63"/>
      <c r="AU213" s="144"/>
      <c r="AV213" s="63"/>
      <c r="AW213" s="144"/>
      <c r="AX213" s="63"/>
      <c r="AY213" s="144"/>
      <c r="AZ213" s="63"/>
      <c r="BA213" s="144"/>
      <c r="BB213" s="63"/>
      <c r="BC213" s="144"/>
      <c r="BD213" s="63"/>
    </row>
    <row r="214" spans="1:56" ht="11.25" customHeight="1">
      <c r="A214" s="115" t="s">
        <v>21</v>
      </c>
      <c r="C214" s="144"/>
      <c r="D214" s="130"/>
      <c r="E214" s="144"/>
      <c r="F214" s="130"/>
      <c r="G214" s="144">
        <f>G176/REVENUE!G20</f>
        <v>0.028</v>
      </c>
      <c r="H214" s="144"/>
      <c r="I214" s="144">
        <f>I176/REVENUE!I20</f>
        <v>0.077</v>
      </c>
      <c r="J214" s="144"/>
      <c r="K214" s="144">
        <f>K176/REVENUE!K20</f>
        <v>0.149</v>
      </c>
      <c r="L214" s="144"/>
      <c r="M214" s="144">
        <f>M176/REVENUE!M20</f>
        <v>0.127</v>
      </c>
      <c r="N214" s="63"/>
      <c r="O214" s="144">
        <f>O176/REVENUE!O20</f>
        <v>0.154</v>
      </c>
      <c r="P214" s="52"/>
      <c r="Q214" s="144">
        <f>Q176/REVENUE!Q20</f>
        <v>0.178</v>
      </c>
      <c r="R214" s="63"/>
      <c r="S214" s="144">
        <f>S176/REVENUE!S20</f>
        <v>0.166</v>
      </c>
      <c r="T214" s="63"/>
      <c r="U214" s="144">
        <f>U176/REVENUE!U20</f>
        <v>0.178</v>
      </c>
      <c r="V214" s="63"/>
      <c r="W214" s="144">
        <f>W176/REVENUE!W20</f>
        <v>0.187</v>
      </c>
      <c r="X214" s="63"/>
      <c r="Y214" s="144">
        <f>Y176/REVENUE!Y20</f>
        <v>0.184</v>
      </c>
      <c r="Z214" s="63"/>
      <c r="AE214" s="115" t="s">
        <v>21</v>
      </c>
      <c r="AG214" s="144"/>
      <c r="AH214" s="130"/>
      <c r="AI214" s="144"/>
      <c r="AJ214" s="130"/>
      <c r="AK214" s="144">
        <f>G176/REVENUE!G459</f>
        <v>0.027</v>
      </c>
      <c r="AL214" s="144"/>
      <c r="AM214" s="144">
        <f>I176/REVENUE!I459</f>
        <v>0.072</v>
      </c>
      <c r="AN214" s="144"/>
      <c r="AO214" s="144">
        <f>K176/REVENUE!K459</f>
        <v>0.135</v>
      </c>
      <c r="AP214" s="144"/>
      <c r="AQ214" s="144">
        <f>M176/REVENUE!M459</f>
        <v>0.117</v>
      </c>
      <c r="AR214" s="63"/>
      <c r="AS214" s="144">
        <f>O176/REVENUE!O459</f>
        <v>0.141</v>
      </c>
      <c r="AT214" s="63"/>
      <c r="AU214" s="144">
        <f>Q176/REVENUE!Q459</f>
        <v>0.16</v>
      </c>
      <c r="AV214" s="63"/>
      <c r="AW214" s="144">
        <f>S176/REVENUE!S459</f>
        <v>0.149</v>
      </c>
      <c r="AX214" s="63"/>
      <c r="AY214" s="144">
        <f>U176/REVENUE!U459</f>
        <v>0.159</v>
      </c>
      <c r="AZ214" s="63"/>
      <c r="BA214" s="144">
        <f>W176/REVENUE!W459</f>
        <v>0.164</v>
      </c>
      <c r="BB214" s="63"/>
      <c r="BC214" s="144">
        <f>Y176/REVENUE!Y459</f>
        <v>0.163</v>
      </c>
      <c r="BD214" s="63"/>
    </row>
    <row r="215" spans="3:56" ht="11.25" customHeight="1">
      <c r="C215" s="144"/>
      <c r="D215" s="130"/>
      <c r="E215" s="144"/>
      <c r="F215" s="130"/>
      <c r="G215" s="144"/>
      <c r="H215" s="63"/>
      <c r="I215" s="144"/>
      <c r="J215" s="63"/>
      <c r="K215" s="144"/>
      <c r="L215" s="63"/>
      <c r="M215" s="144"/>
      <c r="N215" s="63"/>
      <c r="O215" s="144"/>
      <c r="P215" s="52"/>
      <c r="Q215" s="144"/>
      <c r="R215" s="63"/>
      <c r="S215" s="144"/>
      <c r="T215" s="63"/>
      <c r="U215" s="144"/>
      <c r="V215" s="63"/>
      <c r="W215" s="144"/>
      <c r="X215" s="63"/>
      <c r="Y215" s="144"/>
      <c r="Z215" s="63"/>
      <c r="AG215" s="144"/>
      <c r="AH215" s="130"/>
      <c r="AI215" s="144"/>
      <c r="AJ215" s="130"/>
      <c r="AK215" s="144"/>
      <c r="AL215" s="63"/>
      <c r="AM215" s="144"/>
      <c r="AN215" s="63"/>
      <c r="AO215" s="144"/>
      <c r="AP215" s="63"/>
      <c r="AQ215" s="144"/>
      <c r="AR215" s="63"/>
      <c r="AS215" s="144"/>
      <c r="AT215" s="63"/>
      <c r="AU215" s="144"/>
      <c r="AV215" s="63"/>
      <c r="AW215" s="144"/>
      <c r="AX215" s="63"/>
      <c r="AY215" s="144"/>
      <c r="AZ215" s="63"/>
      <c r="BA215" s="144"/>
      <c r="BB215" s="63"/>
      <c r="BC215" s="144"/>
      <c r="BD215" s="63"/>
    </row>
    <row r="216" spans="1:56" ht="11.25" customHeight="1">
      <c r="A216" s="115" t="s">
        <v>22</v>
      </c>
      <c r="C216" s="144">
        <f>C178/REVENUE!C22</f>
        <v>0.042</v>
      </c>
      <c r="D216" s="145"/>
      <c r="E216" s="144">
        <f>E178/REVENUE!E22</f>
        <v>0.034</v>
      </c>
      <c r="F216" s="145"/>
      <c r="G216" s="144">
        <f>G178/REVENUE!G22</f>
        <v>0.095</v>
      </c>
      <c r="H216" s="144"/>
      <c r="I216" s="144">
        <f>I178/REVENUE!I22</f>
        <v>0.108</v>
      </c>
      <c r="J216" s="144"/>
      <c r="K216" s="144">
        <f>K178/REVENUE!K22</f>
        <v>0.189</v>
      </c>
      <c r="L216" s="144"/>
      <c r="M216" s="144">
        <f>M178/REVENUE!M22</f>
        <v>0.193</v>
      </c>
      <c r="N216" s="63"/>
      <c r="O216" s="144">
        <f>O178/REVENUE!O22</f>
        <v>0.194</v>
      </c>
      <c r="P216" s="52"/>
      <c r="Q216" s="144">
        <f>Q178/REVENUE!Q22</f>
        <v>0.223</v>
      </c>
      <c r="R216" s="63"/>
      <c r="S216" s="144">
        <f>S178/REVENUE!S22</f>
        <v>0.223</v>
      </c>
      <c r="T216" s="63"/>
      <c r="U216" s="144">
        <f>U178/REVENUE!U22</f>
        <v>0.238</v>
      </c>
      <c r="V216" s="63"/>
      <c r="W216" s="144">
        <f>W178/REVENUE!W22</f>
        <v>0.276</v>
      </c>
      <c r="X216" s="63"/>
      <c r="Y216" s="144">
        <f>Y178/REVENUE!Y22</f>
        <v>0.269</v>
      </c>
      <c r="Z216" s="63"/>
      <c r="AE216" s="115" t="s">
        <v>22</v>
      </c>
      <c r="AG216" s="144">
        <f>C178/REVENUE!C461</f>
        <v>0.04</v>
      </c>
      <c r="AH216" s="145"/>
      <c r="AI216" s="144">
        <f>E178/REVENUE!E461</f>
        <v>0.033</v>
      </c>
      <c r="AJ216" s="145"/>
      <c r="AK216" s="144">
        <f>G178/REVENUE!G461</f>
        <v>0.086</v>
      </c>
      <c r="AL216" s="144"/>
      <c r="AM216" s="144">
        <f>I178/REVENUE!I461</f>
        <v>0.1</v>
      </c>
      <c r="AN216" s="144"/>
      <c r="AO216" s="144">
        <f>K178/REVENUE!K461</f>
        <v>0.173</v>
      </c>
      <c r="AP216" s="144"/>
      <c r="AQ216" s="144">
        <f>M178/REVENUE!M461</f>
        <v>0.176</v>
      </c>
      <c r="AR216" s="63"/>
      <c r="AS216" s="144">
        <f>O178/REVENUE!O461</f>
        <v>0.176</v>
      </c>
      <c r="AT216" s="63"/>
      <c r="AU216" s="144">
        <f>Q178/REVENUE!Q461</f>
        <v>0.199</v>
      </c>
      <c r="AV216" s="63"/>
      <c r="AW216" s="144">
        <f>S178/REVENUE!S461</f>
        <v>0.2</v>
      </c>
      <c r="AX216" s="63"/>
      <c r="AY216" s="144">
        <f>U178/REVENUE!U461</f>
        <v>0.213</v>
      </c>
      <c r="AZ216" s="63"/>
      <c r="BA216" s="144">
        <f>W178/REVENUE!W461</f>
        <v>0.244</v>
      </c>
      <c r="BB216" s="63"/>
      <c r="BC216" s="144">
        <f>Y178/REVENUE!Y461</f>
        <v>0.242</v>
      </c>
      <c r="BD216" s="63"/>
    </row>
    <row r="217" spans="3:56" ht="11.25" customHeight="1">
      <c r="C217" s="144"/>
      <c r="D217" s="130"/>
      <c r="E217" s="144"/>
      <c r="F217" s="130"/>
      <c r="G217" s="144"/>
      <c r="H217" s="63"/>
      <c r="I217" s="144"/>
      <c r="J217" s="63"/>
      <c r="K217" s="144"/>
      <c r="L217" s="63"/>
      <c r="M217" s="144"/>
      <c r="N217" s="63"/>
      <c r="O217" s="144"/>
      <c r="P217" s="52"/>
      <c r="Q217" s="144"/>
      <c r="R217" s="63"/>
      <c r="S217" s="144"/>
      <c r="T217" s="63"/>
      <c r="U217" s="144"/>
      <c r="V217" s="63"/>
      <c r="W217" s="144"/>
      <c r="X217" s="63"/>
      <c r="Y217" s="144"/>
      <c r="Z217" s="63"/>
      <c r="AG217" s="144"/>
      <c r="AH217" s="130"/>
      <c r="AI217" s="144"/>
      <c r="AJ217" s="130"/>
      <c r="AK217" s="144"/>
      <c r="AL217" s="63"/>
      <c r="AM217" s="144"/>
      <c r="AN217" s="63"/>
      <c r="AO217" s="144"/>
      <c r="AP217" s="63"/>
      <c r="AQ217" s="144"/>
      <c r="AR217" s="63"/>
      <c r="AS217" s="144"/>
      <c r="AT217" s="63"/>
      <c r="AU217" s="144"/>
      <c r="AV217" s="63"/>
      <c r="AW217" s="144"/>
      <c r="AX217" s="63"/>
      <c r="AY217" s="144"/>
      <c r="AZ217" s="63"/>
      <c r="BA217" s="144"/>
      <c r="BB217" s="63"/>
      <c r="BC217" s="144"/>
      <c r="BD217" s="63"/>
    </row>
    <row r="218" spans="1:56" ht="11.25" customHeight="1">
      <c r="A218" s="115" t="s">
        <v>23</v>
      </c>
      <c r="C218" s="144"/>
      <c r="D218" s="130"/>
      <c r="E218" s="144"/>
      <c r="F218" s="130"/>
      <c r="G218" s="144">
        <f>G180/REVENUE!G24</f>
        <v>0.084</v>
      </c>
      <c r="H218" s="144"/>
      <c r="I218" s="144">
        <f>I180/REVENUE!I24</f>
        <v>0.19</v>
      </c>
      <c r="J218" s="144"/>
      <c r="K218" s="144">
        <f>K180/REVENUE!K24</f>
        <v>0.226</v>
      </c>
      <c r="L218" s="144"/>
      <c r="M218" s="144">
        <f>M180/REVENUE!M24</f>
        <v>0.227</v>
      </c>
      <c r="N218" s="63"/>
      <c r="O218" s="144">
        <f>O180/REVENUE!O24</f>
        <v>0.257</v>
      </c>
      <c r="P218" s="52"/>
      <c r="Q218" s="144">
        <f>Q180/REVENUE!Q24</f>
        <v>0.229</v>
      </c>
      <c r="R218" s="63"/>
      <c r="S218" s="144">
        <f>S180/REVENUE!S24</f>
        <v>0.206</v>
      </c>
      <c r="T218" s="63"/>
      <c r="U218" s="144">
        <f>U180/REVENUE!U24</f>
        <v>0.228</v>
      </c>
      <c r="V218" s="63"/>
      <c r="W218" s="144">
        <f>W180/REVENUE!W24</f>
        <v>0.241</v>
      </c>
      <c r="X218" s="63"/>
      <c r="Y218" s="144">
        <f>Y180/REVENUE!Y24</f>
        <v>0.22</v>
      </c>
      <c r="Z218" s="63"/>
      <c r="AE218" s="115" t="s">
        <v>23</v>
      </c>
      <c r="AG218" s="144"/>
      <c r="AH218" s="130"/>
      <c r="AI218" s="144"/>
      <c r="AJ218" s="130"/>
      <c r="AK218" s="144">
        <f>G180/REVENUE!G463</f>
        <v>0.077</v>
      </c>
      <c r="AL218" s="144"/>
      <c r="AM218" s="144">
        <f>I180/REVENUE!I463</f>
        <v>0.168</v>
      </c>
      <c r="AN218" s="144"/>
      <c r="AO218" s="144">
        <f>K180/REVENUE!K463</f>
        <v>0.199</v>
      </c>
      <c r="AP218" s="144"/>
      <c r="AQ218" s="144">
        <f>M180/REVENUE!M463</f>
        <v>0.2</v>
      </c>
      <c r="AR218" s="63"/>
      <c r="AS218" s="144">
        <f>O180/REVENUE!O463</f>
        <v>0.231</v>
      </c>
      <c r="AT218" s="63"/>
      <c r="AU218" s="144">
        <f>Q180/REVENUE!Q463</f>
        <v>0.21</v>
      </c>
      <c r="AV218" s="63"/>
      <c r="AW218" s="144">
        <f>S180/REVENUE!S463</f>
        <v>0.189</v>
      </c>
      <c r="AX218" s="63"/>
      <c r="AY218" s="144">
        <f>U180/REVENUE!U463</f>
        <v>0.208</v>
      </c>
      <c r="AZ218" s="63"/>
      <c r="BA218" s="144">
        <f>W180/REVENUE!W463</f>
        <v>0.219</v>
      </c>
      <c r="BB218" s="63"/>
      <c r="BC218" s="144">
        <f>Y180/REVENUE!Y463</f>
        <v>0.202</v>
      </c>
      <c r="BD218" s="63"/>
    </row>
    <row r="219" spans="3:56" ht="11.25" customHeight="1">
      <c r="C219" s="144"/>
      <c r="D219" s="130"/>
      <c r="E219" s="144"/>
      <c r="F219" s="130"/>
      <c r="G219" s="144"/>
      <c r="H219" s="63"/>
      <c r="I219" s="144"/>
      <c r="J219" s="63"/>
      <c r="K219" s="144"/>
      <c r="L219" s="63"/>
      <c r="M219" s="144"/>
      <c r="N219" s="63"/>
      <c r="O219" s="144"/>
      <c r="P219" s="52"/>
      <c r="Q219" s="144"/>
      <c r="R219" s="63"/>
      <c r="S219" s="144"/>
      <c r="T219" s="63"/>
      <c r="U219" s="144"/>
      <c r="V219" s="63"/>
      <c r="W219" s="144"/>
      <c r="X219" s="63"/>
      <c r="Y219" s="144"/>
      <c r="Z219" s="63"/>
      <c r="AG219" s="144"/>
      <c r="AH219" s="130"/>
      <c r="AI219" s="144"/>
      <c r="AJ219" s="130"/>
      <c r="AK219" s="144"/>
      <c r="AL219" s="63"/>
      <c r="AM219" s="144"/>
      <c r="AN219" s="63"/>
      <c r="AO219" s="144"/>
      <c r="AP219" s="63"/>
      <c r="AQ219" s="144"/>
      <c r="AR219" s="63"/>
      <c r="AS219" s="144"/>
      <c r="AT219" s="63"/>
      <c r="AU219" s="144"/>
      <c r="AV219" s="63"/>
      <c r="AW219" s="144"/>
      <c r="AX219" s="63"/>
      <c r="AY219" s="144"/>
      <c r="AZ219" s="63"/>
      <c r="BA219" s="144"/>
      <c r="BB219" s="63"/>
      <c r="BC219" s="144"/>
      <c r="BD219" s="63"/>
    </row>
    <row r="220" spans="1:56" ht="11.25" customHeight="1">
      <c r="A220" s="115" t="s">
        <v>24</v>
      </c>
      <c r="C220" s="144"/>
      <c r="D220" s="130"/>
      <c r="E220" s="144"/>
      <c r="F220" s="130"/>
      <c r="G220" s="144"/>
      <c r="H220" s="63"/>
      <c r="I220" s="144"/>
      <c r="J220" s="63"/>
      <c r="K220" s="144"/>
      <c r="L220" s="63"/>
      <c r="M220" s="144"/>
      <c r="N220" s="63"/>
      <c r="O220" s="144"/>
      <c r="P220" s="52"/>
      <c r="Q220" s="144"/>
      <c r="R220" s="63"/>
      <c r="S220" s="144"/>
      <c r="T220" s="63"/>
      <c r="U220" s="144">
        <f>U182/REVENUE!U26</f>
        <v>0.163</v>
      </c>
      <c r="V220" s="63"/>
      <c r="W220" s="144">
        <f>W182/REVENUE!W26</f>
        <v>0.233</v>
      </c>
      <c r="X220" s="63"/>
      <c r="Y220" s="144">
        <f>Y182/REVENUE!Y26</f>
        <v>0.25</v>
      </c>
      <c r="Z220" s="63"/>
      <c r="AE220" s="115" t="s">
        <v>24</v>
      </c>
      <c r="AG220" s="144"/>
      <c r="AH220" s="130"/>
      <c r="AI220" s="144"/>
      <c r="AJ220" s="130"/>
      <c r="AK220" s="144"/>
      <c r="AL220" s="63"/>
      <c r="AM220" s="144"/>
      <c r="AN220" s="63"/>
      <c r="AO220" s="144"/>
      <c r="AP220" s="63"/>
      <c r="AQ220" s="144"/>
      <c r="AR220" s="63"/>
      <c r="AS220" s="144"/>
      <c r="AT220" s="63"/>
      <c r="AU220" s="144"/>
      <c r="AV220" s="63"/>
      <c r="AW220" s="144"/>
      <c r="AX220" s="63"/>
      <c r="AY220" s="144">
        <f>U182/REVENUE!U465</f>
        <v>0.151</v>
      </c>
      <c r="AZ220" s="63"/>
      <c r="BA220" s="144">
        <f>W182/REVENUE!W465</f>
        <v>0.207</v>
      </c>
      <c r="BB220" s="63"/>
      <c r="BC220" s="144">
        <f>Y182/REVENUE!Y465</f>
        <v>0.224</v>
      </c>
      <c r="BD220" s="63"/>
    </row>
    <row r="221" spans="3:56" ht="11.25" customHeight="1">
      <c r="C221" s="144"/>
      <c r="D221" s="130"/>
      <c r="E221" s="144"/>
      <c r="F221" s="130"/>
      <c r="G221" s="144"/>
      <c r="H221" s="63"/>
      <c r="I221" s="144"/>
      <c r="J221" s="63"/>
      <c r="K221" s="144"/>
      <c r="L221" s="63"/>
      <c r="M221" s="144"/>
      <c r="N221" s="63"/>
      <c r="O221" s="144"/>
      <c r="P221" s="52"/>
      <c r="Q221" s="144"/>
      <c r="R221" s="63"/>
      <c r="S221" s="144"/>
      <c r="T221" s="63"/>
      <c r="U221" s="144"/>
      <c r="V221" s="63"/>
      <c r="W221" s="144"/>
      <c r="X221" s="63"/>
      <c r="Y221" s="144"/>
      <c r="Z221" s="63"/>
      <c r="AG221" s="144"/>
      <c r="AH221" s="130"/>
      <c r="AI221" s="144"/>
      <c r="AJ221" s="130"/>
      <c r="AK221" s="144"/>
      <c r="AL221" s="63"/>
      <c r="AM221" s="144"/>
      <c r="AN221" s="63"/>
      <c r="AO221" s="144"/>
      <c r="AP221" s="63"/>
      <c r="AQ221" s="144"/>
      <c r="AR221" s="63"/>
      <c r="AS221" s="144"/>
      <c r="AT221" s="63"/>
      <c r="AU221" s="144"/>
      <c r="AV221" s="63"/>
      <c r="AW221" s="144"/>
      <c r="AX221" s="63"/>
      <c r="AY221" s="144"/>
      <c r="AZ221" s="63"/>
      <c r="BA221" s="144"/>
      <c r="BB221" s="63"/>
      <c r="BC221" s="144"/>
      <c r="BD221" s="63"/>
    </row>
    <row r="222" spans="1:56" ht="11.25" customHeight="1">
      <c r="A222" s="131" t="s">
        <v>25</v>
      </c>
      <c r="C222" s="144"/>
      <c r="D222" s="130"/>
      <c r="E222" s="144"/>
      <c r="F222" s="130"/>
      <c r="G222" s="144"/>
      <c r="H222" s="63"/>
      <c r="I222" s="144">
        <f>I184/REVENUE!I28</f>
        <v>0.129</v>
      </c>
      <c r="J222" s="144"/>
      <c r="K222" s="144">
        <f>K184/REVENUE!K28</f>
        <v>0.203</v>
      </c>
      <c r="L222" s="144"/>
      <c r="M222" s="144">
        <f>M184/REVENUE!M28</f>
        <v>0.249</v>
      </c>
      <c r="N222" s="63"/>
      <c r="O222" s="144">
        <f>O184/REVENUE!O28</f>
        <v>0.27</v>
      </c>
      <c r="P222" s="52"/>
      <c r="Q222" s="144">
        <f>Q184/REVENUE!Q28</f>
        <v>0.214</v>
      </c>
      <c r="R222" s="63"/>
      <c r="S222" s="144">
        <f>S184/REVENUE!S28</f>
        <v>0.194</v>
      </c>
      <c r="T222" s="63"/>
      <c r="U222" s="144">
        <f>U184/REVENUE!U28</f>
        <v>0.205</v>
      </c>
      <c r="V222" s="63"/>
      <c r="W222" s="144">
        <f>W184/REVENUE!W28</f>
        <v>0.245</v>
      </c>
      <c r="X222" s="63"/>
      <c r="Y222" s="144">
        <f>Y184/REVENUE!Y28</f>
        <v>0.244</v>
      </c>
      <c r="Z222" s="63"/>
      <c r="AE222" s="131" t="s">
        <v>25</v>
      </c>
      <c r="AG222" s="144"/>
      <c r="AH222" s="130"/>
      <c r="AI222" s="144"/>
      <c r="AJ222" s="130"/>
      <c r="AK222" s="144"/>
      <c r="AL222" s="63"/>
      <c r="AM222" s="144">
        <f>I184/REVENUE!I467</f>
        <v>0.116</v>
      </c>
      <c r="AN222" s="144"/>
      <c r="AO222" s="144">
        <f>K184/REVENUE!K467</f>
        <v>0.182</v>
      </c>
      <c r="AP222" s="144"/>
      <c r="AQ222" s="144">
        <f>M184/REVENUE!M467</f>
        <v>0.224</v>
      </c>
      <c r="AR222" s="63"/>
      <c r="AS222" s="144">
        <f>O184/REVENUE!O467</f>
        <v>0.237</v>
      </c>
      <c r="AT222" s="63"/>
      <c r="AU222" s="144">
        <f>Q184/REVENUE!Q467</f>
        <v>0.191</v>
      </c>
      <c r="AV222" s="63"/>
      <c r="AW222" s="144">
        <f>S184/REVENUE!S467</f>
        <v>0.177</v>
      </c>
      <c r="AX222" s="63"/>
      <c r="AY222" s="144">
        <f>U184/REVENUE!U467</f>
        <v>0.188</v>
      </c>
      <c r="AZ222" s="63"/>
      <c r="BA222" s="144">
        <f>W184/REVENUE!W467</f>
        <v>0.223</v>
      </c>
      <c r="BB222" s="63"/>
      <c r="BC222" s="144">
        <f>Y184/REVENUE!Y467</f>
        <v>0.219</v>
      </c>
      <c r="BD222" s="63"/>
    </row>
    <row r="223" spans="1:56" ht="11.25" customHeight="1">
      <c r="A223" s="115"/>
      <c r="C223" s="144"/>
      <c r="D223" s="130"/>
      <c r="E223" s="144"/>
      <c r="F223" s="130"/>
      <c r="G223" s="144"/>
      <c r="H223" s="63"/>
      <c r="I223" s="144"/>
      <c r="J223" s="63"/>
      <c r="K223" s="144"/>
      <c r="L223" s="63"/>
      <c r="M223" s="144"/>
      <c r="N223" s="63"/>
      <c r="O223" s="144"/>
      <c r="P223" s="52"/>
      <c r="Q223" s="144"/>
      <c r="R223" s="63"/>
      <c r="S223" s="144"/>
      <c r="T223" s="63"/>
      <c r="U223" s="144"/>
      <c r="V223" s="63"/>
      <c r="W223" s="144"/>
      <c r="X223" s="63"/>
      <c r="Y223" s="144"/>
      <c r="Z223" s="63"/>
      <c r="AE223" s="115"/>
      <c r="AG223" s="144"/>
      <c r="AH223" s="130"/>
      <c r="AI223" s="144"/>
      <c r="AJ223" s="130"/>
      <c r="AK223" s="144"/>
      <c r="AL223" s="63"/>
      <c r="AM223" s="144"/>
      <c r="AN223" s="63"/>
      <c r="AO223" s="144"/>
      <c r="AP223" s="63"/>
      <c r="AQ223" s="144"/>
      <c r="AR223" s="63"/>
      <c r="AS223" s="144"/>
      <c r="AT223" s="63"/>
      <c r="AU223" s="144"/>
      <c r="AV223" s="63"/>
      <c r="AW223" s="144"/>
      <c r="AX223" s="63"/>
      <c r="AY223" s="144"/>
      <c r="AZ223" s="63"/>
      <c r="BA223" s="144"/>
      <c r="BB223" s="63"/>
      <c r="BC223" s="144"/>
      <c r="BD223" s="63"/>
    </row>
    <row r="224" spans="1:56" ht="11.25" customHeight="1">
      <c r="A224" s="115" t="s">
        <v>45</v>
      </c>
      <c r="C224" s="144"/>
      <c r="D224" s="130"/>
      <c r="E224" s="144"/>
      <c r="F224" s="130"/>
      <c r="G224" s="144"/>
      <c r="H224" s="63"/>
      <c r="I224" s="144"/>
      <c r="J224" s="63"/>
      <c r="K224" s="144"/>
      <c r="L224" s="63"/>
      <c r="M224" s="144"/>
      <c r="N224" s="63"/>
      <c r="O224" s="144"/>
      <c r="P224" s="52"/>
      <c r="Q224" s="144">
        <f>Q186/REVENUE!Q30</f>
        <v>0.177</v>
      </c>
      <c r="R224" s="63"/>
      <c r="S224" s="144">
        <f>S186/REVENUE!S30</f>
        <v>0.2</v>
      </c>
      <c r="T224" s="63"/>
      <c r="U224" s="144">
        <f>U186/REVENUE!U30</f>
        <v>0.256</v>
      </c>
      <c r="V224" s="63"/>
      <c r="W224" s="144">
        <f>W186/REVENUE!W30</f>
        <v>0.254</v>
      </c>
      <c r="X224" s="63"/>
      <c r="Y224" s="144">
        <f>Y186/REVENUE!Y30</f>
        <v>0.28</v>
      </c>
      <c r="Z224" s="63"/>
      <c r="AE224" s="115" t="s">
        <v>45</v>
      </c>
      <c r="AG224" s="144"/>
      <c r="AH224" s="130"/>
      <c r="AI224" s="144"/>
      <c r="AJ224" s="130"/>
      <c r="AK224" s="144"/>
      <c r="AL224" s="63"/>
      <c r="AM224" s="144"/>
      <c r="AN224" s="63"/>
      <c r="AO224" s="144"/>
      <c r="AP224" s="63"/>
      <c r="AQ224" s="144"/>
      <c r="AR224" s="63"/>
      <c r="AS224" s="144"/>
      <c r="AT224" s="63"/>
      <c r="AU224" s="144">
        <f>Q186/REVENUE!Q469</f>
        <v>0.158</v>
      </c>
      <c r="AV224" s="63"/>
      <c r="AW224" s="144">
        <f>S186/REVENUE!S469</f>
        <v>0.179</v>
      </c>
      <c r="AX224" s="63"/>
      <c r="AY224" s="144">
        <f>U186/REVENUE!U469</f>
        <v>0.224</v>
      </c>
      <c r="AZ224" s="63"/>
      <c r="BA224" s="144">
        <f>W186/REVENUE!W469</f>
        <v>0.224</v>
      </c>
      <c r="BB224" s="63"/>
      <c r="BC224" s="144">
        <f>Y186/REVENUE!Y469</f>
        <v>0.24</v>
      </c>
      <c r="BD224" s="63"/>
    </row>
    <row r="225" spans="1:56" ht="11.25" customHeight="1">
      <c r="A225" s="115"/>
      <c r="C225" s="144"/>
      <c r="D225" s="130"/>
      <c r="E225" s="144"/>
      <c r="F225" s="130"/>
      <c r="G225" s="144"/>
      <c r="H225" s="63"/>
      <c r="I225" s="144"/>
      <c r="J225" s="63"/>
      <c r="K225" s="144"/>
      <c r="L225" s="63"/>
      <c r="M225" s="144"/>
      <c r="N225" s="63"/>
      <c r="O225" s="144"/>
      <c r="P225" s="52"/>
      <c r="Q225" s="144"/>
      <c r="R225" s="63"/>
      <c r="S225" s="144"/>
      <c r="T225" s="63"/>
      <c r="U225" s="144"/>
      <c r="V225" s="63"/>
      <c r="W225" s="144"/>
      <c r="X225" s="63"/>
      <c r="Y225" s="144"/>
      <c r="Z225" s="63"/>
      <c r="AE225" s="115"/>
      <c r="AG225" s="144"/>
      <c r="AH225" s="130"/>
      <c r="AI225" s="144"/>
      <c r="AJ225" s="130"/>
      <c r="AK225" s="144"/>
      <c r="AL225" s="63"/>
      <c r="AM225" s="144"/>
      <c r="AN225" s="63"/>
      <c r="AO225" s="144"/>
      <c r="AP225" s="63"/>
      <c r="AQ225" s="144"/>
      <c r="AR225" s="63"/>
      <c r="AS225" s="144"/>
      <c r="AT225" s="63"/>
      <c r="AU225" s="144"/>
      <c r="AV225" s="63"/>
      <c r="AW225" s="144"/>
      <c r="AX225" s="63"/>
      <c r="AY225" s="144"/>
      <c r="AZ225" s="63"/>
      <c r="BA225" s="144"/>
      <c r="BB225" s="63"/>
      <c r="BC225" s="144"/>
      <c r="BD225" s="63"/>
    </row>
    <row r="226" spans="1:56" ht="11.25" customHeight="1">
      <c r="A226" s="115" t="s">
        <v>26</v>
      </c>
      <c r="C226" s="144"/>
      <c r="D226" s="130"/>
      <c r="E226" s="144"/>
      <c r="F226" s="130"/>
      <c r="G226" s="144"/>
      <c r="H226" s="63"/>
      <c r="I226" s="144"/>
      <c r="J226" s="63"/>
      <c r="K226" s="144"/>
      <c r="L226" s="63"/>
      <c r="M226" s="144"/>
      <c r="N226" s="63"/>
      <c r="O226" s="144">
        <f>O188/REVENUE!O32</f>
        <v>0.184</v>
      </c>
      <c r="P226" s="52"/>
      <c r="Q226" s="144">
        <f>Q188/REVENUE!Q32</f>
        <v>0.237</v>
      </c>
      <c r="R226" s="63"/>
      <c r="S226" s="144">
        <f>S188/REVENUE!S32</f>
        <v>0.228</v>
      </c>
      <c r="T226" s="63"/>
      <c r="U226" s="144">
        <f>U188/REVENUE!U32</f>
        <v>0.239</v>
      </c>
      <c r="V226" s="63"/>
      <c r="W226" s="144">
        <f>W188/REVENUE!W32</f>
        <v>0.228</v>
      </c>
      <c r="X226" s="63"/>
      <c r="Y226" s="144">
        <f>Y188/REVENUE!Y32</f>
        <v>0.25</v>
      </c>
      <c r="Z226" s="63"/>
      <c r="AE226" s="115" t="s">
        <v>26</v>
      </c>
      <c r="AG226" s="144"/>
      <c r="AH226" s="130"/>
      <c r="AI226" s="144"/>
      <c r="AJ226" s="130"/>
      <c r="AK226" s="144"/>
      <c r="AL226" s="63"/>
      <c r="AM226" s="144"/>
      <c r="AN226" s="63"/>
      <c r="AO226" s="144"/>
      <c r="AP226" s="63"/>
      <c r="AQ226" s="144"/>
      <c r="AR226" s="63"/>
      <c r="AS226" s="144">
        <f>O188/REVENUE!O471</f>
        <v>0.16</v>
      </c>
      <c r="AT226" s="63"/>
      <c r="AU226" s="144">
        <f>Q188/REVENUE!Q471</f>
        <v>0.206</v>
      </c>
      <c r="AV226" s="63"/>
      <c r="AW226" s="144">
        <f>S188/REVENUE!S471</f>
        <v>0.202</v>
      </c>
      <c r="AX226" s="63"/>
      <c r="AY226" s="144">
        <f>U188/REVENUE!U471</f>
        <v>0.213</v>
      </c>
      <c r="AZ226" s="63"/>
      <c r="BA226" s="144">
        <f>W188/REVENUE!W471</f>
        <v>0.204</v>
      </c>
      <c r="BB226" s="63"/>
      <c r="BC226" s="144">
        <f>Y188/REVENUE!Y471</f>
        <v>0.22</v>
      </c>
      <c r="BD226" s="63"/>
    </row>
    <row r="227" spans="1:69" ht="11.25" customHeight="1">
      <c r="A227" s="115"/>
      <c r="C227" s="146"/>
      <c r="E227" s="144"/>
      <c r="G227" s="144"/>
      <c r="H227" s="142"/>
      <c r="I227" s="144"/>
      <c r="J227" s="142"/>
      <c r="K227" s="144"/>
      <c r="L227" s="142"/>
      <c r="M227" s="144"/>
      <c r="N227" s="142"/>
      <c r="O227" s="144"/>
      <c r="P227" s="181"/>
      <c r="Q227" s="144"/>
      <c r="R227" s="142"/>
      <c r="S227" s="144"/>
      <c r="T227" s="142"/>
      <c r="U227" s="144"/>
      <c r="V227" s="135"/>
      <c r="W227" s="144"/>
      <c r="X227" s="142"/>
      <c r="Y227" s="144"/>
      <c r="Z227" s="142"/>
      <c r="AA227" s="142"/>
      <c r="AE227" s="115"/>
      <c r="AG227" s="146"/>
      <c r="AH227" s="142"/>
      <c r="AI227" s="144"/>
      <c r="AJ227" s="142"/>
      <c r="AK227" s="144"/>
      <c r="AL227" s="142"/>
      <c r="AM227" s="144"/>
      <c r="AN227" s="142"/>
      <c r="AO227" s="144"/>
      <c r="AP227" s="142"/>
      <c r="AQ227" s="144"/>
      <c r="AR227" s="142"/>
      <c r="AS227" s="144"/>
      <c r="AT227" s="142"/>
      <c r="AU227" s="144"/>
      <c r="AV227" s="142"/>
      <c r="AW227" s="144"/>
      <c r="AX227" s="142"/>
      <c r="AY227" s="144"/>
      <c r="AZ227" s="142"/>
      <c r="BA227" s="144"/>
      <c r="BB227" s="142"/>
      <c r="BC227" s="144"/>
      <c r="BD227" s="142"/>
      <c r="BE227" s="142"/>
      <c r="BF227" s="142"/>
      <c r="BG227" s="142"/>
      <c r="BH227" s="142"/>
      <c r="BI227" s="142"/>
      <c r="BJ227" s="142"/>
      <c r="BK227" s="142"/>
      <c r="BL227" s="142"/>
      <c r="BM227" s="142"/>
      <c r="BN227" s="142"/>
      <c r="BO227" s="142"/>
      <c r="BP227" s="142"/>
      <c r="BQ227" s="142"/>
    </row>
    <row r="228" spans="1:69" ht="11.25" customHeight="1">
      <c r="A228" s="115" t="s">
        <v>38</v>
      </c>
      <c r="C228" s="144">
        <f>C190/REVENUE!C34</f>
        <v>0.042</v>
      </c>
      <c r="D228" s="99"/>
      <c r="E228" s="144">
        <f>E190/REVENUE!E34</f>
        <v>0.042</v>
      </c>
      <c r="F228" s="99"/>
      <c r="G228" s="144">
        <f>G190/REVENUE!G34</f>
        <v>0.096</v>
      </c>
      <c r="H228" s="99"/>
      <c r="I228" s="144">
        <f>I190/REVENUE!I34</f>
        <v>0.13</v>
      </c>
      <c r="J228" s="99"/>
      <c r="K228" s="144">
        <f>K190/REVENUE!K34</f>
        <v>0.193</v>
      </c>
      <c r="L228" s="99"/>
      <c r="M228" s="144">
        <f>M190/REVENUE!M34</f>
        <v>0.198</v>
      </c>
      <c r="N228" s="98"/>
      <c r="O228" s="144">
        <f>O190/REVENUE!O34</f>
        <v>0.214</v>
      </c>
      <c r="P228" s="55" t="s">
        <v>16</v>
      </c>
      <c r="Q228" s="144">
        <f>Q190/REVENUE!Q34</f>
        <v>0.216</v>
      </c>
      <c r="R228" s="98"/>
      <c r="S228" s="144">
        <f>S190/REVENUE!S34</f>
        <v>0.202</v>
      </c>
      <c r="T228" s="98"/>
      <c r="U228" s="144">
        <f>U190/REVENUE!U34</f>
        <v>0.215</v>
      </c>
      <c r="V228" s="130"/>
      <c r="W228" s="144">
        <f>W190/REVENUE!W34</f>
        <v>0.234</v>
      </c>
      <c r="X228" s="98"/>
      <c r="Y228" s="144">
        <f>Y190/REVENUE!Y34</f>
        <v>0.235</v>
      </c>
      <c r="Z228" s="130"/>
      <c r="AA228" s="142"/>
      <c r="AE228" s="115" t="s">
        <v>38</v>
      </c>
      <c r="AG228" s="144">
        <f>C190/REVENUE!C473</f>
        <v>0.04</v>
      </c>
      <c r="AH228" s="99"/>
      <c r="AI228" s="144">
        <f>E190/REVENUE!E473</f>
        <v>0.04</v>
      </c>
      <c r="AJ228" s="99"/>
      <c r="AK228" s="144">
        <f>G190/REVENUE!G473</f>
        <v>0.088</v>
      </c>
      <c r="AL228" s="99"/>
      <c r="AM228" s="144">
        <f>I190/REVENUE!I473</f>
        <v>0.119</v>
      </c>
      <c r="AN228" s="99"/>
      <c r="AO228" s="144">
        <f>K190/REVENUE!K473</f>
        <v>0.174</v>
      </c>
      <c r="AP228" s="99"/>
      <c r="AQ228" s="144">
        <f>M190/REVENUE!M473</f>
        <v>0.178</v>
      </c>
      <c r="AR228" s="98"/>
      <c r="AS228" s="144">
        <f>O190/REVENUE!O473</f>
        <v>0.191</v>
      </c>
      <c r="AT228" s="55" t="s">
        <v>16</v>
      </c>
      <c r="AU228" s="144">
        <f>Q190/REVENUE!Q473</f>
        <v>0.193</v>
      </c>
      <c r="AV228" s="98"/>
      <c r="AW228" s="144">
        <f>S190/REVENUE!S473</f>
        <v>0.182</v>
      </c>
      <c r="AX228" s="98"/>
      <c r="AY228" s="144">
        <f>U190/REVENUE!U473</f>
        <v>0.193</v>
      </c>
      <c r="AZ228" s="98"/>
      <c r="BA228" s="144">
        <f>W190/REVENUE!W473</f>
        <v>0.21</v>
      </c>
      <c r="BB228" s="98"/>
      <c r="BC228" s="144">
        <f>Y190/REVENUE!Y473</f>
        <v>0.21</v>
      </c>
      <c r="BD228" s="98"/>
      <c r="BE228" s="142"/>
      <c r="BF228" s="142"/>
      <c r="BG228" s="142"/>
      <c r="BH228" s="142"/>
      <c r="BI228" s="142"/>
      <c r="BJ228" s="142"/>
      <c r="BK228" s="142"/>
      <c r="BL228" s="142"/>
      <c r="BM228" s="142"/>
      <c r="BN228" s="142"/>
      <c r="BO228" s="142"/>
      <c r="BP228" s="142"/>
      <c r="BQ228" s="142"/>
    </row>
    <row r="229" spans="1:69" ht="11.25" customHeight="1">
      <c r="A229" s="115"/>
      <c r="C229" s="146"/>
      <c r="E229" s="146"/>
      <c r="G229" s="146"/>
      <c r="H229" s="142"/>
      <c r="I229" s="146"/>
      <c r="J229" s="142"/>
      <c r="K229" s="146"/>
      <c r="L229" s="142"/>
      <c r="M229" s="146"/>
      <c r="N229" s="142"/>
      <c r="O229" s="146"/>
      <c r="P229" s="181"/>
      <c r="Q229" s="146"/>
      <c r="R229" s="142"/>
      <c r="S229" s="146"/>
      <c r="T229" s="142"/>
      <c r="U229" s="146"/>
      <c r="V229" s="142"/>
      <c r="W229" s="146"/>
      <c r="X229" s="142"/>
      <c r="Y229" s="146"/>
      <c r="Z229" s="142"/>
      <c r="AA229" s="142"/>
      <c r="AE229" s="115"/>
      <c r="AG229" s="146"/>
      <c r="AH229" s="142"/>
      <c r="AI229" s="146"/>
      <c r="AJ229" s="142"/>
      <c r="AK229" s="146"/>
      <c r="AL229" s="142"/>
      <c r="AM229" s="146"/>
      <c r="AN229" s="142"/>
      <c r="AO229" s="146"/>
      <c r="AP229" s="142"/>
      <c r="AQ229" s="146"/>
      <c r="AR229" s="142"/>
      <c r="AS229" s="146"/>
      <c r="AT229" s="142"/>
      <c r="AU229" s="146"/>
      <c r="AV229" s="142"/>
      <c r="AW229" s="146"/>
      <c r="AX229" s="142"/>
      <c r="AY229" s="146"/>
      <c r="AZ229" s="142"/>
      <c r="BA229" s="146"/>
      <c r="BB229" s="142"/>
      <c r="BC229" s="146"/>
      <c r="BD229" s="142"/>
      <c r="BE229" s="142"/>
      <c r="BF229" s="142"/>
      <c r="BG229" s="142"/>
      <c r="BH229" s="142"/>
      <c r="BI229" s="142"/>
      <c r="BJ229" s="142"/>
      <c r="BK229" s="142"/>
      <c r="BL229" s="142"/>
      <c r="BM229" s="142"/>
      <c r="BN229" s="142"/>
      <c r="BO229" s="142"/>
      <c r="BP229" s="142"/>
      <c r="BQ229" s="142"/>
    </row>
    <row r="230" spans="1:36" ht="11.25" customHeight="1">
      <c r="A230" s="123" t="s">
        <v>48</v>
      </c>
      <c r="C230" s="126"/>
      <c r="D230" s="173"/>
      <c r="E230" s="70"/>
      <c r="N230" s="142"/>
      <c r="AE230"/>
      <c r="AH230" s="173"/>
      <c r="AI230" s="70"/>
      <c r="AJ230" s="142"/>
    </row>
    <row r="231" spans="1:36" ht="11.25" customHeight="1">
      <c r="A231" s="123" t="s">
        <v>94</v>
      </c>
      <c r="AE231" s="123" t="s">
        <v>48</v>
      </c>
      <c r="AH231" s="142"/>
      <c r="AJ231" s="142"/>
    </row>
    <row r="232" ht="11.25" customHeight="1">
      <c r="AE232" s="123" t="s">
        <v>94</v>
      </c>
    </row>
    <row r="233" ht="11.25" customHeight="1">
      <c r="A233" s="115" t="s">
        <v>0</v>
      </c>
    </row>
    <row r="234" ht="11.25" customHeight="1">
      <c r="A234" s="131" t="s">
        <v>80</v>
      </c>
    </row>
    <row r="235" spans="1:5" ht="11.25" customHeight="1">
      <c r="A235" s="119" t="str">
        <f>A3</f>
        <v>1978-1989</v>
      </c>
      <c r="B235" s="140"/>
      <c r="C235" s="140"/>
      <c r="D235" s="140"/>
      <c r="E235" s="140"/>
    </row>
    <row r="236" spans="1:3" ht="11.25" customHeight="1">
      <c r="A236" s="115" t="s">
        <v>2</v>
      </c>
      <c r="B236" s="126"/>
      <c r="C236" s="115"/>
    </row>
    <row r="237" ht="11.25" customHeight="1">
      <c r="A237"/>
    </row>
    <row r="238" ht="11.25" customHeight="1">
      <c r="A238" s="123"/>
    </row>
    <row r="239" ht="11.25" customHeight="1">
      <c r="A239" s="123"/>
    </row>
    <row r="240" spans="3:26" ht="11.25" customHeight="1">
      <c r="C240" s="125" t="s">
        <v>3</v>
      </c>
      <c r="E240" s="125" t="s">
        <v>4</v>
      </c>
      <c r="G240" s="125" t="s">
        <v>5</v>
      </c>
      <c r="H240" s="142"/>
      <c r="I240" s="125" t="s">
        <v>6</v>
      </c>
      <c r="J240" s="142"/>
      <c r="K240" s="125" t="s">
        <v>81</v>
      </c>
      <c r="L240" s="142"/>
      <c r="M240" s="125" t="s">
        <v>82</v>
      </c>
      <c r="N240" s="142"/>
      <c r="O240" s="124" t="s">
        <v>9</v>
      </c>
      <c r="P240" s="181"/>
      <c r="Q240" s="124" t="s">
        <v>10</v>
      </c>
      <c r="R240" s="142"/>
      <c r="S240" s="124" t="s">
        <v>11</v>
      </c>
      <c r="T240" s="142"/>
      <c r="U240" s="124" t="s">
        <v>12</v>
      </c>
      <c r="V240" s="142"/>
      <c r="W240" s="124" t="s">
        <v>13</v>
      </c>
      <c r="X240" s="142"/>
      <c r="Y240" s="124" t="s">
        <v>14</v>
      </c>
      <c r="Z240" s="142"/>
    </row>
    <row r="241" ht="11.25" customHeight="1">
      <c r="T241" s="142"/>
    </row>
    <row r="242" spans="1:26" ht="11.25" customHeight="1">
      <c r="A242" s="115" t="s">
        <v>15</v>
      </c>
      <c r="C242" s="63"/>
      <c r="D242" s="138"/>
      <c r="E242" s="63"/>
      <c r="F242" s="130"/>
      <c r="G242" s="63"/>
      <c r="H242" s="63"/>
      <c r="I242" s="63"/>
      <c r="J242" s="63"/>
      <c r="K242" s="63"/>
      <c r="L242" s="63"/>
      <c r="M242" s="63"/>
      <c r="N242" s="14"/>
      <c r="O242" s="226">
        <v>12384</v>
      </c>
      <c r="P242" s="52"/>
      <c r="Q242" s="137">
        <v>15915</v>
      </c>
      <c r="R242" s="14"/>
      <c r="S242" s="137">
        <v>10657</v>
      </c>
      <c r="T242" s="137"/>
      <c r="U242" s="137">
        <v>7910</v>
      </c>
      <c r="V242" s="137"/>
      <c r="W242" s="137">
        <v>17031</v>
      </c>
      <c r="X242" s="137"/>
      <c r="Y242" s="137">
        <v>7422</v>
      </c>
      <c r="Z242" s="53" t="s">
        <v>83</v>
      </c>
    </row>
    <row r="243" spans="3:13" ht="11.25" customHeight="1">
      <c r="C243" s="63"/>
      <c r="D243" s="135"/>
      <c r="E243" s="63"/>
      <c r="F243" s="130"/>
      <c r="G243" s="63"/>
      <c r="H243" s="63"/>
      <c r="I243" s="63"/>
      <c r="J243" s="128"/>
      <c r="K243" s="128"/>
      <c r="L243" s="128"/>
      <c r="M243" s="128"/>
    </row>
    <row r="244" spans="1:26" ht="11.25" customHeight="1">
      <c r="A244" s="115" t="s">
        <v>17</v>
      </c>
      <c r="C244" s="63"/>
      <c r="D244" s="130"/>
      <c r="E244" s="63"/>
      <c r="F244" s="130"/>
      <c r="G244" s="63"/>
      <c r="H244" s="63"/>
      <c r="I244" s="63"/>
      <c r="J244" s="63"/>
      <c r="K244" s="127">
        <v>10654</v>
      </c>
      <c r="L244" s="63"/>
      <c r="M244" s="127">
        <v>15082</v>
      </c>
      <c r="N244" s="14"/>
      <c r="O244" s="216">
        <v>10748</v>
      </c>
      <c r="P244" s="15" t="s">
        <v>92</v>
      </c>
      <c r="Q244" s="63">
        <v>16079</v>
      </c>
      <c r="R244" s="14"/>
      <c r="S244" s="14">
        <v>22595</v>
      </c>
      <c r="T244" s="14"/>
      <c r="U244" s="14">
        <v>22000</v>
      </c>
      <c r="V244" s="14"/>
      <c r="W244" s="14">
        <v>21300</v>
      </c>
      <c r="X244" s="14"/>
      <c r="Y244" s="14">
        <v>20118</v>
      </c>
      <c r="Z244" s="14"/>
    </row>
    <row r="245" spans="3:26" ht="11.25" customHeight="1">
      <c r="C245" s="63"/>
      <c r="D245" s="130"/>
      <c r="E245" s="63"/>
      <c r="F245" s="130"/>
      <c r="G245" s="63"/>
      <c r="H245" s="63"/>
      <c r="I245" s="63"/>
      <c r="J245" s="63"/>
      <c r="K245" s="63"/>
      <c r="L245" s="63"/>
      <c r="M245" s="63"/>
      <c r="N245" s="14"/>
      <c r="O245" s="224"/>
      <c r="P245" s="52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1.25" customHeight="1">
      <c r="A246" s="115" t="s">
        <v>18</v>
      </c>
      <c r="C246" s="63"/>
      <c r="D246" s="130"/>
      <c r="E246" s="63"/>
      <c r="F246" s="130"/>
      <c r="G246" s="63"/>
      <c r="H246" s="63"/>
      <c r="I246" s="63"/>
      <c r="J246" s="63"/>
      <c r="K246" s="63"/>
      <c r="L246" s="63"/>
      <c r="M246" s="63">
        <v>12999</v>
      </c>
      <c r="N246" s="14"/>
      <c r="O246" s="224">
        <v>11971</v>
      </c>
      <c r="P246" s="52"/>
      <c r="Q246" s="14">
        <v>12267</v>
      </c>
      <c r="R246" s="14"/>
      <c r="S246" s="14">
        <v>13413</v>
      </c>
      <c r="T246" s="14"/>
      <c r="U246" s="14">
        <v>22146</v>
      </c>
      <c r="V246" s="14"/>
      <c r="W246" s="14">
        <v>20313</v>
      </c>
      <c r="X246" s="14"/>
      <c r="Y246" s="14">
        <v>17518</v>
      </c>
      <c r="Z246" s="14"/>
    </row>
    <row r="247" spans="3:26" ht="11.25" customHeight="1">
      <c r="C247" s="63"/>
      <c r="D247" s="130"/>
      <c r="E247" s="63"/>
      <c r="F247" s="130"/>
      <c r="G247" s="63"/>
      <c r="H247" s="63"/>
      <c r="I247" s="63"/>
      <c r="J247" s="63"/>
      <c r="K247" s="63"/>
      <c r="L247" s="63"/>
      <c r="M247" s="63"/>
      <c r="N247" s="14"/>
      <c r="O247" s="224"/>
      <c r="P247" s="52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1.25" customHeight="1">
      <c r="A248" s="115" t="s">
        <v>19</v>
      </c>
      <c r="C248" s="63"/>
      <c r="D248" s="130"/>
      <c r="E248" s="63"/>
      <c r="F248" s="130"/>
      <c r="G248" s="63"/>
      <c r="H248" s="63"/>
      <c r="I248" s="63"/>
      <c r="J248" s="63"/>
      <c r="K248" s="63">
        <v>7732</v>
      </c>
      <c r="L248" s="63"/>
      <c r="M248" s="63">
        <v>15886</v>
      </c>
      <c r="N248" s="14"/>
      <c r="O248" s="224">
        <v>17458</v>
      </c>
      <c r="P248" s="52"/>
      <c r="Q248" s="14">
        <v>20599</v>
      </c>
      <c r="R248" s="14"/>
      <c r="S248" s="14">
        <v>21269</v>
      </c>
      <c r="T248" s="14"/>
      <c r="U248" s="14">
        <v>23308</v>
      </c>
      <c r="V248" s="14"/>
      <c r="W248" s="14">
        <v>29291</v>
      </c>
      <c r="X248" s="14"/>
      <c r="Y248" s="14">
        <v>25201</v>
      </c>
      <c r="Z248" s="14"/>
    </row>
    <row r="249" spans="3:26" ht="11.25" customHeight="1">
      <c r="C249" s="63"/>
      <c r="D249" s="130"/>
      <c r="E249" s="63"/>
      <c r="F249" s="130"/>
      <c r="G249" s="63"/>
      <c r="H249" s="63"/>
      <c r="I249" s="63"/>
      <c r="J249" s="63"/>
      <c r="K249" s="63"/>
      <c r="L249" s="63"/>
      <c r="M249" s="63"/>
      <c r="N249" s="14"/>
      <c r="O249" s="224"/>
      <c r="P249" s="52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1.25" customHeight="1">
      <c r="A250" s="131" t="s">
        <v>20</v>
      </c>
      <c r="C250" s="63"/>
      <c r="D250" s="130"/>
      <c r="E250" s="63"/>
      <c r="F250" s="130"/>
      <c r="G250" s="63"/>
      <c r="H250" s="63"/>
      <c r="I250" s="63"/>
      <c r="J250" s="63"/>
      <c r="K250" s="63">
        <v>11502</v>
      </c>
      <c r="L250" s="63"/>
      <c r="M250" s="63">
        <v>11788</v>
      </c>
      <c r="N250" s="15"/>
      <c r="O250" s="224">
        <v>14083</v>
      </c>
      <c r="P250" s="52"/>
      <c r="Q250" s="14">
        <v>12410</v>
      </c>
      <c r="R250" s="14"/>
      <c r="S250" s="14">
        <v>10904</v>
      </c>
      <c r="T250" s="14"/>
      <c r="U250" s="14">
        <v>12545</v>
      </c>
      <c r="V250" s="14"/>
      <c r="W250" s="14">
        <v>13710</v>
      </c>
      <c r="X250" s="14"/>
      <c r="Y250" s="14">
        <v>13440</v>
      </c>
      <c r="Z250" s="14"/>
    </row>
    <row r="251" spans="3:26" ht="11.25" customHeight="1">
      <c r="C251" s="63"/>
      <c r="D251" s="130"/>
      <c r="E251" s="63"/>
      <c r="F251" s="130"/>
      <c r="G251" s="63"/>
      <c r="H251" s="63"/>
      <c r="I251" s="63"/>
      <c r="J251" s="63"/>
      <c r="K251" s="63"/>
      <c r="L251" s="63"/>
      <c r="M251" s="63"/>
      <c r="N251" s="14"/>
      <c r="O251" s="224"/>
      <c r="P251" s="52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1.25" customHeight="1">
      <c r="A252" s="115" t="s">
        <v>21</v>
      </c>
      <c r="C252" s="63"/>
      <c r="D252" s="130"/>
      <c r="E252" s="63"/>
      <c r="F252" s="130"/>
      <c r="G252" s="63"/>
      <c r="H252" s="63"/>
      <c r="I252" s="63"/>
      <c r="J252" s="63"/>
      <c r="K252" s="63">
        <v>6516</v>
      </c>
      <c r="L252" s="63"/>
      <c r="M252" s="63">
        <v>5532</v>
      </c>
      <c r="N252" s="14"/>
      <c r="O252" s="224">
        <v>13314</v>
      </c>
      <c r="P252" s="52"/>
      <c r="Q252" s="14">
        <v>12343</v>
      </c>
      <c r="R252" s="14"/>
      <c r="S252" s="14">
        <v>12677</v>
      </c>
      <c r="T252" s="14"/>
      <c r="U252" s="14">
        <v>10180</v>
      </c>
      <c r="V252" s="14"/>
      <c r="W252" s="14">
        <v>8807</v>
      </c>
      <c r="X252" s="14"/>
      <c r="Y252" s="14">
        <v>9997</v>
      </c>
      <c r="Z252" s="14"/>
    </row>
    <row r="253" spans="3:26" ht="11.25" customHeight="1">
      <c r="C253" s="63"/>
      <c r="D253" s="130"/>
      <c r="E253" s="63"/>
      <c r="F253" s="130"/>
      <c r="G253" s="63"/>
      <c r="H253" s="63"/>
      <c r="I253" s="63"/>
      <c r="J253" s="63"/>
      <c r="K253" s="63"/>
      <c r="L253" s="63"/>
      <c r="M253" s="63"/>
      <c r="N253" s="14"/>
      <c r="O253" s="224"/>
      <c r="P253" s="52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1.25" customHeight="1">
      <c r="A254" s="115" t="s">
        <v>22</v>
      </c>
      <c r="C254" s="63"/>
      <c r="D254" s="63"/>
      <c r="E254" s="63"/>
      <c r="F254" s="63"/>
      <c r="G254" s="63"/>
      <c r="H254" s="63"/>
      <c r="I254" s="63"/>
      <c r="J254" s="63"/>
      <c r="K254" s="63">
        <v>14615</v>
      </c>
      <c r="L254" s="63"/>
      <c r="M254" s="63">
        <v>18498</v>
      </c>
      <c r="N254" s="14"/>
      <c r="O254" s="224">
        <v>16482</v>
      </c>
      <c r="P254" s="52"/>
      <c r="Q254" s="14">
        <v>16524</v>
      </c>
      <c r="R254" s="14"/>
      <c r="S254" s="14">
        <v>18633</v>
      </c>
      <c r="T254" s="14"/>
      <c r="U254" s="14">
        <v>21708</v>
      </c>
      <c r="V254" s="14"/>
      <c r="W254" s="14">
        <v>28697</v>
      </c>
      <c r="X254" s="14"/>
      <c r="Y254" s="14">
        <v>26591</v>
      </c>
      <c r="Z254" s="14"/>
    </row>
    <row r="255" spans="3:26" ht="11.25" customHeight="1">
      <c r="C255" s="63"/>
      <c r="D255" s="130"/>
      <c r="E255" s="63"/>
      <c r="F255" s="130"/>
      <c r="G255" s="63"/>
      <c r="H255" s="63"/>
      <c r="I255" s="63"/>
      <c r="J255" s="63"/>
      <c r="K255" s="63"/>
      <c r="L255" s="63"/>
      <c r="M255" s="63"/>
      <c r="N255" s="14"/>
      <c r="O255" s="224"/>
      <c r="P255" s="52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1.25" customHeight="1">
      <c r="A256" s="115" t="s">
        <v>23</v>
      </c>
      <c r="C256" s="63"/>
      <c r="D256" s="63"/>
      <c r="E256" s="63"/>
      <c r="F256" s="63"/>
      <c r="G256" s="63"/>
      <c r="H256" s="63"/>
      <c r="I256" s="63"/>
      <c r="J256" s="63"/>
      <c r="K256" s="63">
        <v>6950</v>
      </c>
      <c r="L256" s="63"/>
      <c r="M256" s="63">
        <v>10263</v>
      </c>
      <c r="N256" s="14"/>
      <c r="O256" s="224">
        <v>17212</v>
      </c>
      <c r="P256" s="52"/>
      <c r="Q256" s="14">
        <v>14861</v>
      </c>
      <c r="R256" s="14"/>
      <c r="S256" s="14">
        <v>12995</v>
      </c>
      <c r="T256" s="14"/>
      <c r="U256" s="14">
        <v>15843</v>
      </c>
      <c r="V256" s="14"/>
      <c r="W256" s="14">
        <v>18566</v>
      </c>
      <c r="X256" s="14"/>
      <c r="Y256" s="14">
        <v>19837</v>
      </c>
      <c r="Z256" s="14"/>
    </row>
    <row r="257" spans="3:26" ht="11.25" customHeight="1">
      <c r="C257" s="63"/>
      <c r="D257" s="130"/>
      <c r="E257" s="63"/>
      <c r="F257" s="130"/>
      <c r="G257" s="63"/>
      <c r="H257" s="63"/>
      <c r="I257" s="63"/>
      <c r="J257" s="63"/>
      <c r="K257" s="63"/>
      <c r="L257" s="63"/>
      <c r="M257" s="63"/>
      <c r="N257" s="14"/>
      <c r="O257" s="224"/>
      <c r="P257" s="52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1.25" customHeight="1">
      <c r="A258" s="115" t="s">
        <v>24</v>
      </c>
      <c r="C258" s="63"/>
      <c r="D258" s="130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216"/>
      <c r="P258" s="52"/>
      <c r="Q258" s="63"/>
      <c r="R258" s="52"/>
      <c r="S258" s="52"/>
      <c r="T258" s="14"/>
      <c r="U258" s="14">
        <v>13867</v>
      </c>
      <c r="V258" s="14"/>
      <c r="W258" s="14">
        <v>24127</v>
      </c>
      <c r="X258" s="14"/>
      <c r="Y258" s="14">
        <v>32076</v>
      </c>
      <c r="Z258" s="14"/>
    </row>
    <row r="259" spans="3:26" ht="11.25" customHeight="1">
      <c r="C259" s="63"/>
      <c r="D259" s="130"/>
      <c r="E259" s="63"/>
      <c r="F259" s="130"/>
      <c r="G259" s="63"/>
      <c r="H259" s="63"/>
      <c r="I259" s="63"/>
      <c r="J259" s="63"/>
      <c r="K259" s="63"/>
      <c r="L259" s="63"/>
      <c r="M259" s="63"/>
      <c r="N259" s="14"/>
      <c r="O259" s="224"/>
      <c r="P259" s="52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1.25" customHeight="1">
      <c r="A260" s="131" t="s">
        <v>25</v>
      </c>
      <c r="C260" s="63"/>
      <c r="D260" s="63"/>
      <c r="E260" s="63"/>
      <c r="F260" s="63"/>
      <c r="G260" s="63"/>
      <c r="H260" s="63"/>
      <c r="I260" s="63"/>
      <c r="J260" s="63"/>
      <c r="K260" s="63">
        <v>14397</v>
      </c>
      <c r="L260" s="63"/>
      <c r="M260" s="63">
        <v>27924</v>
      </c>
      <c r="N260" s="14"/>
      <c r="O260" s="224">
        <v>28061</v>
      </c>
      <c r="P260" s="52"/>
      <c r="Q260" s="14">
        <v>18075</v>
      </c>
      <c r="R260" s="14"/>
      <c r="S260" s="14">
        <v>19638</v>
      </c>
      <c r="T260" s="14"/>
      <c r="U260" s="14">
        <v>23357</v>
      </c>
      <c r="V260" s="14"/>
      <c r="W260" s="14">
        <v>34893</v>
      </c>
      <c r="X260" s="14"/>
      <c r="Y260" s="14">
        <v>36096</v>
      </c>
      <c r="Z260" s="14"/>
    </row>
    <row r="261" spans="3:26" ht="11.25" customHeight="1">
      <c r="C261" s="63"/>
      <c r="D261" s="130"/>
      <c r="E261" s="63"/>
      <c r="F261" s="130"/>
      <c r="G261" s="63"/>
      <c r="H261" s="63"/>
      <c r="I261" s="63"/>
      <c r="J261" s="63"/>
      <c r="K261" s="63"/>
      <c r="L261" s="63"/>
      <c r="M261" s="63"/>
      <c r="N261" s="14"/>
      <c r="O261" s="224"/>
      <c r="P261" s="52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1.25" customHeight="1">
      <c r="A262" s="115" t="s">
        <v>45</v>
      </c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52"/>
      <c r="O262" s="241"/>
      <c r="P262" s="52"/>
      <c r="Q262" s="14">
        <v>5777</v>
      </c>
      <c r="R262" s="14"/>
      <c r="S262" s="14">
        <v>15506</v>
      </c>
      <c r="T262" s="14"/>
      <c r="U262" s="14">
        <v>23116</v>
      </c>
      <c r="V262" s="14"/>
      <c r="W262" s="14">
        <v>24100</v>
      </c>
      <c r="X262" s="14"/>
      <c r="Y262" s="14">
        <v>25018</v>
      </c>
      <c r="Z262" s="14"/>
    </row>
    <row r="263" spans="3:26" ht="11.25" customHeight="1">
      <c r="C263" s="63"/>
      <c r="D263" s="130"/>
      <c r="E263" s="63"/>
      <c r="F263" s="130"/>
      <c r="G263" s="63"/>
      <c r="H263" s="63"/>
      <c r="I263" s="63"/>
      <c r="J263" s="63"/>
      <c r="K263" s="63"/>
      <c r="L263" s="63"/>
      <c r="M263" s="63"/>
      <c r="N263" s="14"/>
      <c r="O263" s="224"/>
      <c r="P263" s="52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7" ht="11.25" customHeight="1">
      <c r="A264" s="115" t="s">
        <v>26</v>
      </c>
      <c r="C264" s="133"/>
      <c r="D264" s="130"/>
      <c r="E264" s="133"/>
      <c r="F264" s="130"/>
      <c r="G264" s="133"/>
      <c r="H264" s="130"/>
      <c r="I264" s="133"/>
      <c r="J264" s="130"/>
      <c r="K264" s="133"/>
      <c r="L264" s="130"/>
      <c r="M264" s="133"/>
      <c r="N264" s="98"/>
      <c r="O264" s="225">
        <v>3996</v>
      </c>
      <c r="P264" s="210"/>
      <c r="Q264" s="149">
        <v>16011</v>
      </c>
      <c r="R264" s="98"/>
      <c r="S264" s="149">
        <v>17380</v>
      </c>
      <c r="T264" s="98"/>
      <c r="U264" s="149">
        <v>22720</v>
      </c>
      <c r="V264" s="98"/>
      <c r="W264" s="149">
        <v>24813</v>
      </c>
      <c r="X264" s="98"/>
      <c r="Y264" s="149">
        <v>23784</v>
      </c>
      <c r="Z264" s="98"/>
      <c r="AA264" s="142"/>
    </row>
    <row r="265" spans="3:26" ht="11.25" customHeight="1">
      <c r="C265" s="195"/>
      <c r="D265" s="130"/>
      <c r="E265" s="195"/>
      <c r="F265" s="130"/>
      <c r="G265" s="195"/>
      <c r="H265" s="130"/>
      <c r="I265" s="195"/>
      <c r="J265" s="130"/>
      <c r="K265" s="195"/>
      <c r="L265" s="130"/>
      <c r="M265" s="195"/>
      <c r="N265" s="98"/>
      <c r="O265" s="53"/>
      <c r="P265" s="210"/>
      <c r="Q265" s="53"/>
      <c r="R265" s="98"/>
      <c r="S265" s="53"/>
      <c r="T265" s="98"/>
      <c r="U265" s="53"/>
      <c r="V265" s="98"/>
      <c r="W265" s="53"/>
      <c r="X265" s="98"/>
      <c r="Y265" s="53"/>
      <c r="Z265" s="98"/>
    </row>
    <row r="266" spans="1:26" s="196" customFormat="1" ht="11.25" customHeight="1" thickBot="1">
      <c r="A266" s="115" t="s">
        <v>38</v>
      </c>
      <c r="C266" s="197" t="s">
        <v>30</v>
      </c>
      <c r="D266" s="198"/>
      <c r="E266" s="197" t="s">
        <v>30</v>
      </c>
      <c r="F266" s="198"/>
      <c r="G266" s="197" t="s">
        <v>30</v>
      </c>
      <c r="H266" s="198"/>
      <c r="I266" s="197" t="s">
        <v>30</v>
      </c>
      <c r="J266" s="198"/>
      <c r="K266" s="197">
        <f>SUM(K242:K264)</f>
        <v>72366</v>
      </c>
      <c r="L266" s="198"/>
      <c r="M266" s="197">
        <f>SUM(M242:M264)</f>
        <v>117972</v>
      </c>
      <c r="N266" s="199"/>
      <c r="O266" s="240">
        <f>SUM(O242:O264)</f>
        <v>145709</v>
      </c>
      <c r="P266" s="239" t="s">
        <v>92</v>
      </c>
      <c r="Q266" s="197">
        <f>SUM(Q242:Q264)</f>
        <v>160861</v>
      </c>
      <c r="R266" s="199"/>
      <c r="S266" s="197">
        <f>SUM(S242:S264)</f>
        <v>175667</v>
      </c>
      <c r="T266" s="199"/>
      <c r="U266" s="197">
        <f>SUM(U242:U264)</f>
        <v>218700</v>
      </c>
      <c r="V266" s="199"/>
      <c r="W266" s="197">
        <f>SUM(W242:W264)</f>
        <v>265648</v>
      </c>
      <c r="X266" s="199"/>
      <c r="Y266" s="197">
        <f>SUM(Y242:Y264)</f>
        <v>257098</v>
      </c>
      <c r="Z266" s="199"/>
    </row>
    <row r="267" spans="3:26" ht="11.25" customHeight="1" thickTop="1">
      <c r="C267" s="131"/>
      <c r="D267" s="141"/>
      <c r="E267" s="131"/>
      <c r="F267" s="141"/>
      <c r="G267" s="131"/>
      <c r="H267" s="141"/>
      <c r="I267" s="131"/>
      <c r="J267" s="141"/>
      <c r="K267" s="131"/>
      <c r="L267" s="141"/>
      <c r="M267" s="131"/>
      <c r="N267" s="141"/>
      <c r="O267" s="131"/>
      <c r="P267" s="212"/>
      <c r="Q267" s="131"/>
      <c r="R267" s="141"/>
      <c r="S267" s="131"/>
      <c r="T267" s="141"/>
      <c r="U267" s="131"/>
      <c r="V267" s="141"/>
      <c r="W267" s="131"/>
      <c r="X267" s="141"/>
      <c r="Y267" s="131"/>
      <c r="Z267" s="141"/>
    </row>
    <row r="268" spans="1:5" ht="11.25" customHeight="1">
      <c r="A268" s="123" t="s">
        <v>84</v>
      </c>
      <c r="C268" s="126"/>
      <c r="D268" s="173"/>
      <c r="E268" s="70"/>
    </row>
    <row r="269" spans="1:5" ht="11.25" customHeight="1">
      <c r="A269" s="123" t="s">
        <v>85</v>
      </c>
      <c r="C269" s="126"/>
      <c r="D269" s="173"/>
      <c r="E269" s="70"/>
    </row>
    <row r="270" spans="1:5" ht="11.25" customHeight="1">
      <c r="A270" s="123" t="s">
        <v>86</v>
      </c>
      <c r="C270" s="126"/>
      <c r="D270" s="173"/>
      <c r="E270" s="70"/>
    </row>
    <row r="271" ht="11.25" customHeight="1">
      <c r="A271" s="123" t="s">
        <v>96</v>
      </c>
    </row>
    <row r="273" ht="11.25" customHeight="1">
      <c r="A273" s="115" t="s">
        <v>0</v>
      </c>
    </row>
    <row r="274" ht="11.25" customHeight="1">
      <c r="A274" s="115" t="s">
        <v>87</v>
      </c>
    </row>
    <row r="275" spans="1:9" ht="11.25" customHeight="1">
      <c r="A275" s="119" t="str">
        <f>A3</f>
        <v>1978-1989</v>
      </c>
      <c r="B275" s="140"/>
      <c r="C275" s="140"/>
      <c r="D275" s="140"/>
      <c r="E275" s="140"/>
      <c r="F275" s="140"/>
      <c r="G275" s="140"/>
      <c r="H275" s="140"/>
      <c r="I275" s="140"/>
    </row>
    <row r="276" spans="1:3" ht="11.25" customHeight="1">
      <c r="A276" s="115"/>
      <c r="B276" s="126"/>
      <c r="C276" s="115"/>
    </row>
    <row r="277" ht="11.25" customHeight="1">
      <c r="A277" s="123"/>
    </row>
    <row r="279" spans="1:26" ht="11.25" customHeight="1">
      <c r="A279" s="115"/>
      <c r="C279" s="124" t="s">
        <v>3</v>
      </c>
      <c r="E279" s="124" t="s">
        <v>4</v>
      </c>
      <c r="G279" s="124" t="s">
        <v>5</v>
      </c>
      <c r="H279" s="142"/>
      <c r="I279" s="124" t="s">
        <v>6</v>
      </c>
      <c r="J279" s="142"/>
      <c r="K279" s="124" t="s">
        <v>7</v>
      </c>
      <c r="L279" s="142"/>
      <c r="M279" s="124" t="s">
        <v>8</v>
      </c>
      <c r="N279" s="142"/>
      <c r="O279" s="124" t="s">
        <v>9</v>
      </c>
      <c r="P279" s="181"/>
      <c r="Q279" s="124" t="s">
        <v>10</v>
      </c>
      <c r="R279" s="142"/>
      <c r="S279" s="124" t="s">
        <v>11</v>
      </c>
      <c r="T279" s="142"/>
      <c r="U279" s="124" t="s">
        <v>12</v>
      </c>
      <c r="V279" s="142"/>
      <c r="W279" s="124" t="s">
        <v>13</v>
      </c>
      <c r="X279" s="142"/>
      <c r="Y279" s="124" t="s">
        <v>14</v>
      </c>
      <c r="Z279" s="142"/>
    </row>
    <row r="280" spans="1:26" ht="11.25" customHeight="1">
      <c r="A280" s="115"/>
      <c r="C280" s="200"/>
      <c r="E280" s="200"/>
      <c r="G280" s="200"/>
      <c r="H280" s="142"/>
      <c r="I280" s="200"/>
      <c r="J280" s="142"/>
      <c r="K280" s="200"/>
      <c r="L280" s="142"/>
      <c r="M280" s="200"/>
      <c r="N280" s="142"/>
      <c r="O280" s="200"/>
      <c r="P280" s="181"/>
      <c r="Q280" s="200"/>
      <c r="R280" s="142"/>
      <c r="S280" s="200"/>
      <c r="T280" s="142"/>
      <c r="U280" s="200"/>
      <c r="V280" s="142"/>
      <c r="W280" s="200"/>
      <c r="X280" s="142"/>
      <c r="Y280" s="200"/>
      <c r="Z280" s="142"/>
    </row>
    <row r="282" spans="1:26" ht="11.25" customHeight="1">
      <c r="A282" s="115" t="s">
        <v>15</v>
      </c>
      <c r="C282" s="144"/>
      <c r="D282" s="17"/>
      <c r="E282" s="144"/>
      <c r="F282" s="144"/>
      <c r="G282" s="144"/>
      <c r="H282" s="144"/>
      <c r="I282" s="144"/>
      <c r="J282" s="144"/>
      <c r="K282" s="144"/>
      <c r="L282" s="144"/>
      <c r="M282" s="144"/>
      <c r="N282" s="17"/>
      <c r="O282" s="144">
        <f>O242/REVENUE!O10</f>
        <v>0.074</v>
      </c>
      <c r="P282" s="46"/>
      <c r="Q282" s="144">
        <f>Q242/REVENUE!Q10</f>
        <v>0.103</v>
      </c>
      <c r="R282" s="144"/>
      <c r="S282" s="144">
        <f>S242/REVENUE!S10</f>
        <v>0.087</v>
      </c>
      <c r="T282" s="144"/>
      <c r="U282" s="144">
        <f>U242/REVENUE!U10</f>
        <v>0.088</v>
      </c>
      <c r="V282" s="144"/>
      <c r="W282" s="144">
        <f>W242/REVENUE!W10</f>
        <v>0.172</v>
      </c>
      <c r="X282" s="144"/>
      <c r="Y282" s="144">
        <f>Y242/REVENUE!Y10</f>
        <v>0.2</v>
      </c>
      <c r="Z282" s="63" t="s">
        <v>46</v>
      </c>
    </row>
    <row r="283" spans="3:26" ht="11.25" customHeight="1">
      <c r="C283" s="143"/>
      <c r="E283" s="143"/>
      <c r="F283" s="135"/>
      <c r="G283" s="144"/>
      <c r="H283" s="128"/>
      <c r="I283" s="144"/>
      <c r="J283" s="128"/>
      <c r="K283" s="144"/>
      <c r="L283" s="128"/>
      <c r="M283" s="144"/>
      <c r="O283" s="144"/>
      <c r="Q283" s="144"/>
      <c r="R283" s="128"/>
      <c r="S283" s="144"/>
      <c r="T283" s="128"/>
      <c r="U283" s="144"/>
      <c r="V283" s="128"/>
      <c r="W283" s="144"/>
      <c r="X283" s="128"/>
      <c r="Y283" s="144"/>
      <c r="Z283" s="128"/>
    </row>
    <row r="284" spans="1:26" ht="11.25" customHeight="1">
      <c r="A284" s="115" t="s">
        <v>17</v>
      </c>
      <c r="C284" s="144"/>
      <c r="D284" s="98"/>
      <c r="E284" s="144"/>
      <c r="F284" s="144"/>
      <c r="G284" s="144"/>
      <c r="H284" s="63"/>
      <c r="I284" s="144"/>
      <c r="J284" s="63"/>
      <c r="K284" s="144">
        <f>K244/REVENUE!K12</f>
        <v>0.051</v>
      </c>
      <c r="L284" s="63"/>
      <c r="M284" s="144">
        <f>M244/REVENUE!M12</f>
        <v>0.052</v>
      </c>
      <c r="N284" s="14"/>
      <c r="O284" s="144">
        <f>O244/REVENUE!O12</f>
        <v>0.055</v>
      </c>
      <c r="P284" s="15" t="s">
        <v>16</v>
      </c>
      <c r="Q284" s="144">
        <f>Q244/REVENUE!Q12</f>
        <v>0.061</v>
      </c>
      <c r="R284" s="63"/>
      <c r="S284" s="144">
        <f>S244/REVENUE!S12</f>
        <v>0.083</v>
      </c>
      <c r="T284" s="63"/>
      <c r="U284" s="144">
        <f>U244/REVENUE!U12</f>
        <v>0.082</v>
      </c>
      <c r="V284" s="63"/>
      <c r="W284" s="144">
        <f>W244/REVENUE!W12</f>
        <v>0.086</v>
      </c>
      <c r="X284" s="63"/>
      <c r="Y284" s="144">
        <f>Y244/REVENUE!Y12</f>
        <v>0.085</v>
      </c>
      <c r="Z284" s="144"/>
    </row>
    <row r="285" spans="3:26" ht="11.25" customHeight="1">
      <c r="C285" s="144"/>
      <c r="D285" s="98"/>
      <c r="E285" s="144"/>
      <c r="F285" s="130"/>
      <c r="G285" s="144"/>
      <c r="H285" s="63"/>
      <c r="I285" s="144"/>
      <c r="J285" s="63"/>
      <c r="K285" s="144"/>
      <c r="L285" s="63"/>
      <c r="M285" s="144"/>
      <c r="N285" s="14"/>
      <c r="O285" s="144"/>
      <c r="P285" s="52"/>
      <c r="Q285" s="144"/>
      <c r="R285" s="63"/>
      <c r="S285" s="144"/>
      <c r="T285" s="63"/>
      <c r="U285" s="144"/>
      <c r="V285" s="63"/>
      <c r="W285" s="144"/>
      <c r="X285" s="63"/>
      <c r="Y285" s="144"/>
      <c r="Z285" s="63"/>
    </row>
    <row r="286" spans="1:26" ht="11.25" customHeight="1">
      <c r="A286" s="115" t="s">
        <v>18</v>
      </c>
      <c r="C286" s="144"/>
      <c r="D286" s="17"/>
      <c r="E286" s="144"/>
      <c r="F286" s="144"/>
      <c r="G286" s="144"/>
      <c r="H286" s="63"/>
      <c r="I286" s="144"/>
      <c r="J286" s="63"/>
      <c r="K286" s="144">
        <f>K246/REVENUE!K14</f>
        <v>0</v>
      </c>
      <c r="L286" s="63"/>
      <c r="M286" s="144">
        <f>M246/REVENUE!M14</f>
        <v>0.049</v>
      </c>
      <c r="N286" s="14"/>
      <c r="O286" s="144">
        <f>O246/REVENUE!O14</f>
        <v>0.044</v>
      </c>
      <c r="P286" s="52"/>
      <c r="Q286" s="144">
        <f>Q246/REVENUE!Q14</f>
        <v>0.048</v>
      </c>
      <c r="R286" s="63"/>
      <c r="S286" s="144">
        <f>S246/REVENUE!S14</f>
        <v>0.052</v>
      </c>
      <c r="T286" s="63"/>
      <c r="U286" s="144">
        <f>U246/REVENUE!U14</f>
        <v>0.078</v>
      </c>
      <c r="V286" s="63"/>
      <c r="W286" s="144">
        <f>W246/REVENUE!W14</f>
        <v>0.067</v>
      </c>
      <c r="X286" s="63"/>
      <c r="Y286" s="144">
        <f>Y246/REVENUE!Y14</f>
        <v>0.054</v>
      </c>
      <c r="Z286" s="63"/>
    </row>
    <row r="287" spans="3:26" ht="11.25" customHeight="1">
      <c r="C287" s="144"/>
      <c r="D287" s="98"/>
      <c r="E287" s="144"/>
      <c r="F287" s="130"/>
      <c r="G287" s="144"/>
      <c r="H287" s="63"/>
      <c r="I287" s="144"/>
      <c r="J287" s="63"/>
      <c r="K287" s="144"/>
      <c r="L287" s="63"/>
      <c r="M287" s="144"/>
      <c r="N287" s="14"/>
      <c r="O287" s="144"/>
      <c r="P287" s="52"/>
      <c r="Q287" s="144"/>
      <c r="R287" s="63"/>
      <c r="S287" s="144"/>
      <c r="T287" s="63"/>
      <c r="U287" s="144"/>
      <c r="V287" s="63"/>
      <c r="W287" s="144"/>
      <c r="X287" s="63"/>
      <c r="Y287" s="144"/>
      <c r="Z287" s="63"/>
    </row>
    <row r="288" spans="1:26" ht="11.25" customHeight="1">
      <c r="A288" s="115" t="s">
        <v>19</v>
      </c>
      <c r="C288" s="144"/>
      <c r="D288" s="17"/>
      <c r="E288" s="144"/>
      <c r="F288" s="144"/>
      <c r="G288" s="144"/>
      <c r="H288" s="63"/>
      <c r="I288" s="144"/>
      <c r="J288" s="63"/>
      <c r="K288" s="144">
        <f>K248/REVENUE!K16</f>
        <v>0.036</v>
      </c>
      <c r="L288" s="63"/>
      <c r="M288" s="144">
        <f>M248/REVENUE!M16</f>
        <v>0.067</v>
      </c>
      <c r="N288" s="14"/>
      <c r="O288" s="144">
        <f>O248/REVENUE!O16</f>
        <v>0.069</v>
      </c>
      <c r="P288" s="52"/>
      <c r="Q288" s="144">
        <f>Q248/REVENUE!Q16</f>
        <v>0.073</v>
      </c>
      <c r="R288" s="63"/>
      <c r="S288" s="144">
        <f>S248/REVENUE!S16</f>
        <v>0.073</v>
      </c>
      <c r="T288" s="63"/>
      <c r="U288" s="144">
        <f>U248/REVENUE!U16</f>
        <v>0.073</v>
      </c>
      <c r="V288" s="63"/>
      <c r="W288" s="144">
        <f>W248/REVENUE!W16</f>
        <v>0.086</v>
      </c>
      <c r="X288" s="63"/>
      <c r="Y288" s="144">
        <f>Y248/REVENUE!Y16</f>
        <v>0.076</v>
      </c>
      <c r="Z288" s="63"/>
    </row>
    <row r="289" spans="3:26" ht="11.25" customHeight="1">
      <c r="C289" s="144"/>
      <c r="D289" s="98"/>
      <c r="E289" s="144"/>
      <c r="F289" s="130"/>
      <c r="G289" s="144"/>
      <c r="H289" s="63"/>
      <c r="I289" s="144"/>
      <c r="J289" s="63"/>
      <c r="K289" s="144"/>
      <c r="L289" s="63"/>
      <c r="M289" s="144"/>
      <c r="N289" s="14"/>
      <c r="O289" s="144"/>
      <c r="P289" s="52"/>
      <c r="Q289" s="144"/>
      <c r="R289" s="63"/>
      <c r="S289" s="144"/>
      <c r="T289" s="63"/>
      <c r="U289" s="144"/>
      <c r="V289" s="63"/>
      <c r="W289" s="144"/>
      <c r="X289" s="63"/>
      <c r="Y289" s="144"/>
      <c r="Z289" s="63"/>
    </row>
    <row r="290" spans="1:26" ht="11.25" customHeight="1">
      <c r="A290" s="131" t="s">
        <v>20</v>
      </c>
      <c r="C290" s="144"/>
      <c r="D290" s="17"/>
      <c r="E290" s="144"/>
      <c r="F290" s="144"/>
      <c r="G290" s="144"/>
      <c r="H290" s="63"/>
      <c r="I290" s="144"/>
      <c r="J290" s="63"/>
      <c r="K290" s="144">
        <f>K250/REVENUE!K18</f>
        <v>0.107</v>
      </c>
      <c r="L290" s="63"/>
      <c r="M290" s="144">
        <f>M250/REVENUE!M18</f>
        <v>0.092</v>
      </c>
      <c r="N290" s="15"/>
      <c r="O290" s="144">
        <f>O250/REVENUE!O18</f>
        <v>0.099</v>
      </c>
      <c r="P290" s="52"/>
      <c r="Q290" s="144">
        <f>Q250/REVENUE!Q18</f>
        <v>0.088</v>
      </c>
      <c r="R290" s="63"/>
      <c r="S290" s="144">
        <f>S250/REVENUE!S18</f>
        <v>0.079</v>
      </c>
      <c r="T290" s="63"/>
      <c r="U290" s="144">
        <f>U250/REVENUE!U18</f>
        <v>0.087</v>
      </c>
      <c r="V290" s="63"/>
      <c r="W290" s="144">
        <f>W250/REVENUE!W18</f>
        <v>0.09</v>
      </c>
      <c r="X290" s="63"/>
      <c r="Y290" s="144">
        <f>Y250/REVENUE!Y18</f>
        <v>0.09</v>
      </c>
      <c r="Z290" s="63"/>
    </row>
    <row r="291" spans="3:26" ht="11.25" customHeight="1">
      <c r="C291" s="144"/>
      <c r="D291" s="98"/>
      <c r="E291" s="144"/>
      <c r="F291" s="130"/>
      <c r="G291" s="144"/>
      <c r="H291" s="63"/>
      <c r="I291" s="144"/>
      <c r="J291" s="63"/>
      <c r="K291" s="144"/>
      <c r="L291" s="63"/>
      <c r="M291" s="144"/>
      <c r="N291" s="14"/>
      <c r="O291" s="144"/>
      <c r="P291" s="52"/>
      <c r="Q291" s="144"/>
      <c r="R291" s="63"/>
      <c r="S291" s="144"/>
      <c r="T291" s="63"/>
      <c r="U291" s="144"/>
      <c r="V291" s="63"/>
      <c r="W291" s="144"/>
      <c r="X291" s="63"/>
      <c r="Y291" s="144"/>
      <c r="Z291" s="63"/>
    </row>
    <row r="292" spans="1:26" ht="11.25" customHeight="1">
      <c r="A292" s="115" t="s">
        <v>21</v>
      </c>
      <c r="C292" s="144"/>
      <c r="D292" s="17"/>
      <c r="E292" s="144"/>
      <c r="F292" s="144"/>
      <c r="G292" s="144"/>
      <c r="H292" s="63"/>
      <c r="I292" s="144"/>
      <c r="J292" s="63"/>
      <c r="K292" s="144">
        <f>K252/REVENUE!K20</f>
        <v>0.032</v>
      </c>
      <c r="L292" s="63"/>
      <c r="M292" s="144">
        <f>M252/REVENUE!M20</f>
        <v>0.024</v>
      </c>
      <c r="N292" s="14"/>
      <c r="O292" s="144">
        <f>O252/REVENUE!O20</f>
        <v>0.055</v>
      </c>
      <c r="P292" s="52"/>
      <c r="Q292" s="144">
        <f>Q252/REVENUE!Q20</f>
        <v>0.05</v>
      </c>
      <c r="R292" s="63"/>
      <c r="S292" s="144">
        <f>S252/REVENUE!S20</f>
        <v>0.046</v>
      </c>
      <c r="T292" s="63"/>
      <c r="U292" s="144">
        <f>U252/REVENUE!U20</f>
        <v>0.036</v>
      </c>
      <c r="V292" s="63"/>
      <c r="W292" s="144">
        <f>W252/REVENUE!W20</f>
        <v>0.028</v>
      </c>
      <c r="X292" s="63"/>
      <c r="Y292" s="144">
        <f>Y252/REVENUE!Y20</f>
        <v>0.031</v>
      </c>
      <c r="Z292" s="63"/>
    </row>
    <row r="293" spans="3:26" ht="11.25" customHeight="1">
      <c r="C293" s="144"/>
      <c r="D293" s="98"/>
      <c r="E293" s="144"/>
      <c r="F293" s="130"/>
      <c r="G293" s="144"/>
      <c r="H293" s="63"/>
      <c r="I293" s="144"/>
      <c r="J293" s="63"/>
      <c r="K293" s="144"/>
      <c r="L293" s="63"/>
      <c r="M293" s="144"/>
      <c r="N293" s="14"/>
      <c r="O293" s="144"/>
      <c r="P293" s="52"/>
      <c r="Q293" s="144"/>
      <c r="R293" s="63"/>
      <c r="S293" s="144"/>
      <c r="T293" s="63"/>
      <c r="U293" s="144"/>
      <c r="V293" s="63"/>
      <c r="W293" s="144"/>
      <c r="X293" s="63"/>
      <c r="Y293" s="144"/>
      <c r="Z293" s="63"/>
    </row>
    <row r="294" spans="1:26" ht="11.25" customHeight="1">
      <c r="A294" s="115" t="s">
        <v>22</v>
      </c>
      <c r="C294" s="144"/>
      <c r="D294" s="17"/>
      <c r="E294" s="144"/>
      <c r="F294" s="144"/>
      <c r="G294" s="144"/>
      <c r="H294" s="63"/>
      <c r="I294" s="144"/>
      <c r="J294" s="63"/>
      <c r="K294" s="144">
        <f>K254/REVENUE!K22</f>
        <v>0.058</v>
      </c>
      <c r="L294" s="63"/>
      <c r="M294" s="144">
        <f>M254/REVENUE!M22</f>
        <v>0.064</v>
      </c>
      <c r="N294" s="14"/>
      <c r="O294" s="144">
        <f>O254/REVENUE!O22</f>
        <v>0.057</v>
      </c>
      <c r="P294" s="52"/>
      <c r="Q294" s="144">
        <f>Q254/REVENUE!Q22</f>
        <v>0.061</v>
      </c>
      <c r="R294" s="63"/>
      <c r="S294" s="144">
        <f>S254/REVENUE!S22</f>
        <v>0.07</v>
      </c>
      <c r="T294" s="63"/>
      <c r="U294" s="144">
        <f>U254/REVENUE!U22</f>
        <v>0.08</v>
      </c>
      <c r="V294" s="63"/>
      <c r="W294" s="144">
        <f>W254/REVENUE!W22</f>
        <v>0.105</v>
      </c>
      <c r="X294" s="63"/>
      <c r="Y294" s="144">
        <f>Y254/REVENUE!Y22</f>
        <v>0.104</v>
      </c>
      <c r="Z294" s="63"/>
    </row>
    <row r="295" spans="3:26" ht="11.25" customHeight="1">
      <c r="C295" s="144"/>
      <c r="D295" s="98"/>
      <c r="E295" s="144"/>
      <c r="F295" s="130"/>
      <c r="G295" s="144"/>
      <c r="H295" s="63"/>
      <c r="I295" s="144"/>
      <c r="J295" s="63"/>
      <c r="K295" s="144"/>
      <c r="L295" s="63"/>
      <c r="M295" s="144"/>
      <c r="N295" s="14"/>
      <c r="O295" s="144"/>
      <c r="P295" s="52"/>
      <c r="Q295" s="144"/>
      <c r="R295" s="63"/>
      <c r="S295" s="144"/>
      <c r="T295" s="63"/>
      <c r="U295" s="144"/>
      <c r="V295" s="63"/>
      <c r="W295" s="144"/>
      <c r="X295" s="63"/>
      <c r="Y295" s="144"/>
      <c r="Z295" s="63"/>
    </row>
    <row r="296" spans="1:26" ht="11.25" customHeight="1">
      <c r="A296" s="115" t="s">
        <v>23</v>
      </c>
      <c r="C296" s="144"/>
      <c r="D296" s="17"/>
      <c r="E296" s="144"/>
      <c r="F296" s="144"/>
      <c r="G296" s="144"/>
      <c r="H296" s="63"/>
      <c r="I296" s="144"/>
      <c r="J296" s="63"/>
      <c r="K296" s="144">
        <f>K256/REVENUE!K24</f>
        <v>0.043</v>
      </c>
      <c r="L296" s="63"/>
      <c r="M296" s="144">
        <f>M256/REVENUE!M24</f>
        <v>0.058</v>
      </c>
      <c r="N296" s="14"/>
      <c r="O296" s="144">
        <f>O256/REVENUE!O24</f>
        <v>0.099</v>
      </c>
      <c r="P296" s="52"/>
      <c r="Q296" s="144">
        <f>Q256/REVENUE!Q24</f>
        <v>0.077</v>
      </c>
      <c r="R296" s="63"/>
      <c r="S296" s="144">
        <f>S256/REVENUE!S24</f>
        <v>0.063</v>
      </c>
      <c r="T296" s="63"/>
      <c r="U296" s="144">
        <f>U256/REVENUE!U24</f>
        <v>0.075</v>
      </c>
      <c r="V296" s="63"/>
      <c r="W296" s="144">
        <f>W256/REVENUE!W24</f>
        <v>0.083</v>
      </c>
      <c r="X296" s="63"/>
      <c r="Y296" s="144">
        <f>Y256/REVENUE!Y24</f>
        <v>0.082</v>
      </c>
      <c r="Z296" s="63"/>
    </row>
    <row r="297" spans="3:26" ht="11.25" customHeight="1">
      <c r="C297" s="144"/>
      <c r="D297" s="98"/>
      <c r="E297" s="144"/>
      <c r="F297" s="130"/>
      <c r="G297" s="144"/>
      <c r="H297" s="63"/>
      <c r="I297" s="144"/>
      <c r="J297" s="63"/>
      <c r="K297" s="144"/>
      <c r="L297" s="63"/>
      <c r="M297" s="144"/>
      <c r="N297" s="14"/>
      <c r="O297" s="144"/>
      <c r="P297" s="52"/>
      <c r="Q297" s="144"/>
      <c r="R297" s="63"/>
      <c r="S297" s="144"/>
      <c r="T297" s="63"/>
      <c r="U297" s="144"/>
      <c r="V297" s="63"/>
      <c r="W297" s="144"/>
      <c r="X297" s="63"/>
      <c r="Y297" s="144"/>
      <c r="Z297" s="63"/>
    </row>
    <row r="298" spans="1:26" ht="11.25" customHeight="1">
      <c r="A298" s="115" t="s">
        <v>24</v>
      </c>
      <c r="C298" s="144"/>
      <c r="D298" s="17"/>
      <c r="E298" s="144"/>
      <c r="F298" s="144"/>
      <c r="G298" s="144"/>
      <c r="H298" s="144"/>
      <c r="I298" s="144"/>
      <c r="J298" s="144"/>
      <c r="K298" s="144"/>
      <c r="L298" s="144"/>
      <c r="M298" s="144"/>
      <c r="N298" s="17"/>
      <c r="O298" s="144"/>
      <c r="P298" s="46"/>
      <c r="Q298" s="144"/>
      <c r="R298" s="144"/>
      <c r="S298" s="144"/>
      <c r="T298" s="144"/>
      <c r="U298" s="144">
        <f>U258/REVENUE!U26</f>
        <v>0.079</v>
      </c>
      <c r="V298" s="63"/>
      <c r="W298" s="144">
        <f>W258/REVENUE!W26</f>
        <v>0.1</v>
      </c>
      <c r="X298" s="63"/>
      <c r="Y298" s="144">
        <f>Y258/REVENUE!Y26</f>
        <v>0.111</v>
      </c>
      <c r="Z298" s="63"/>
    </row>
    <row r="299" spans="3:26" ht="11.25" customHeight="1">
      <c r="C299" s="144"/>
      <c r="D299" s="98"/>
      <c r="E299" s="144"/>
      <c r="F299" s="130"/>
      <c r="G299" s="144"/>
      <c r="H299" s="63"/>
      <c r="I299" s="144"/>
      <c r="J299" s="63"/>
      <c r="K299" s="144"/>
      <c r="L299" s="63"/>
      <c r="M299" s="144"/>
      <c r="N299" s="14"/>
      <c r="O299" s="144"/>
      <c r="P299" s="52"/>
      <c r="Q299" s="144"/>
      <c r="R299" s="63"/>
      <c r="S299" s="144"/>
      <c r="T299" s="63"/>
      <c r="U299" s="144"/>
      <c r="V299" s="63"/>
      <c r="W299" s="144"/>
      <c r="X299" s="63"/>
      <c r="Y299" s="144"/>
      <c r="Z299" s="63"/>
    </row>
    <row r="300" spans="1:26" ht="11.25" customHeight="1">
      <c r="A300" s="131" t="s">
        <v>25</v>
      </c>
      <c r="C300" s="144"/>
      <c r="D300" s="17"/>
      <c r="E300" s="144"/>
      <c r="F300" s="144"/>
      <c r="G300" s="144"/>
      <c r="H300" s="144"/>
      <c r="I300" s="144"/>
      <c r="J300" s="63"/>
      <c r="K300" s="144">
        <f>K260/REVENUE!K28</f>
        <v>0.084</v>
      </c>
      <c r="L300" s="63"/>
      <c r="M300" s="144">
        <f>M260/REVENUE!M28</f>
        <v>0.124</v>
      </c>
      <c r="N300" s="14"/>
      <c r="O300" s="144">
        <f>O260/REVENUE!O28</f>
        <v>0.114</v>
      </c>
      <c r="P300" s="52"/>
      <c r="Q300" s="144">
        <f>Q260/REVENUE!Q28</f>
        <v>0.077</v>
      </c>
      <c r="R300" s="63"/>
      <c r="S300" s="144">
        <f>S260/REVENUE!S28</f>
        <v>0.082</v>
      </c>
      <c r="T300" s="63"/>
      <c r="U300" s="144">
        <f>U260/REVENUE!U28</f>
        <v>0.1</v>
      </c>
      <c r="V300" s="63"/>
      <c r="W300" s="144">
        <f>W260/REVENUE!W28</f>
        <v>0.136</v>
      </c>
      <c r="X300" s="63"/>
      <c r="Y300" s="144">
        <f>Y260/REVENUE!Y28</f>
        <v>0.111</v>
      </c>
      <c r="Z300" s="63"/>
    </row>
    <row r="301" spans="3:26" ht="11.25" customHeight="1">
      <c r="C301" s="144"/>
      <c r="D301" s="98"/>
      <c r="E301" s="144"/>
      <c r="F301" s="130"/>
      <c r="G301" s="144"/>
      <c r="H301" s="63"/>
      <c r="I301" s="144"/>
      <c r="J301" s="63"/>
      <c r="K301" s="144"/>
      <c r="L301" s="63"/>
      <c r="M301" s="144"/>
      <c r="N301" s="14"/>
      <c r="O301" s="144"/>
      <c r="P301" s="52"/>
      <c r="Q301" s="144"/>
      <c r="R301" s="63"/>
      <c r="S301" s="144"/>
      <c r="T301" s="63"/>
      <c r="U301" s="144"/>
      <c r="V301" s="63"/>
      <c r="W301" s="144"/>
      <c r="X301" s="63"/>
      <c r="Y301" s="144"/>
      <c r="Z301" s="63"/>
    </row>
    <row r="302" spans="1:26" ht="11.25" customHeight="1">
      <c r="A302" s="115" t="s">
        <v>45</v>
      </c>
      <c r="C302" s="144"/>
      <c r="D302" s="17"/>
      <c r="E302" s="144"/>
      <c r="F302" s="144"/>
      <c r="G302" s="144"/>
      <c r="H302" s="144"/>
      <c r="I302" s="144"/>
      <c r="J302" s="144"/>
      <c r="K302" s="144"/>
      <c r="L302" s="144"/>
      <c r="M302" s="144"/>
      <c r="N302" s="14"/>
      <c r="O302" s="144"/>
      <c r="P302" s="52"/>
      <c r="Q302" s="144">
        <f>Q262/REVENUE!Q30</f>
        <v>0.045</v>
      </c>
      <c r="R302" s="63"/>
      <c r="S302" s="144">
        <f>S262/REVENUE!S30</f>
        <v>0.062</v>
      </c>
      <c r="T302" s="63"/>
      <c r="U302" s="144">
        <f>U262/REVENUE!U30</f>
        <v>0.086</v>
      </c>
      <c r="V302" s="63"/>
      <c r="W302" s="144">
        <f>W262/REVENUE!W30</f>
        <v>0.087</v>
      </c>
      <c r="X302" s="63"/>
      <c r="Y302" s="144">
        <f>Y262/REVENUE!Y30</f>
        <v>0.085</v>
      </c>
      <c r="Z302" s="63"/>
    </row>
    <row r="303" spans="3:26" ht="11.25" customHeight="1">
      <c r="C303" s="144"/>
      <c r="D303" s="98"/>
      <c r="E303" s="144"/>
      <c r="F303" s="130"/>
      <c r="G303" s="144"/>
      <c r="H303" s="63"/>
      <c r="I303" s="144"/>
      <c r="J303" s="63"/>
      <c r="K303" s="144"/>
      <c r="L303" s="63"/>
      <c r="M303" s="144"/>
      <c r="N303" s="14"/>
      <c r="O303" s="144"/>
      <c r="P303" s="52"/>
      <c r="Q303" s="144"/>
      <c r="R303" s="63"/>
      <c r="S303" s="144"/>
      <c r="T303" s="63"/>
      <c r="U303" s="144"/>
      <c r="V303" s="63"/>
      <c r="W303" s="144"/>
      <c r="X303" s="63"/>
      <c r="Y303" s="144"/>
      <c r="Z303" s="63"/>
    </row>
    <row r="304" spans="1:26" ht="11.25" customHeight="1">
      <c r="A304" s="115" t="s">
        <v>26</v>
      </c>
      <c r="C304" s="144"/>
      <c r="D304" s="17"/>
      <c r="E304" s="144"/>
      <c r="F304" s="144"/>
      <c r="G304" s="144"/>
      <c r="H304" s="144"/>
      <c r="I304" s="144"/>
      <c r="J304" s="144"/>
      <c r="K304" s="144"/>
      <c r="L304" s="144"/>
      <c r="M304" s="144"/>
      <c r="N304" s="14"/>
      <c r="O304" s="144">
        <f>O264/REVENUE!O32</f>
        <v>0.028</v>
      </c>
      <c r="P304" s="52"/>
      <c r="Q304" s="144">
        <f>Q264/REVENUE!Q32</f>
        <v>0.069</v>
      </c>
      <c r="R304" s="63"/>
      <c r="S304" s="144">
        <f>S264/REVENUE!S32</f>
        <v>0.07</v>
      </c>
      <c r="T304" s="63"/>
      <c r="U304" s="144">
        <f>U264/REVENUE!U32</f>
        <v>0.082</v>
      </c>
      <c r="V304" s="63"/>
      <c r="W304" s="144">
        <f>W264/REVENUE!W32</f>
        <v>0.071</v>
      </c>
      <c r="X304" s="63"/>
      <c r="Y304" s="144">
        <f>Y264/REVENUE!Y32</f>
        <v>0.068</v>
      </c>
      <c r="Z304" s="63"/>
    </row>
    <row r="305" spans="3:31" ht="11.25" customHeight="1">
      <c r="C305" s="201"/>
      <c r="D305" s="98"/>
      <c r="E305" s="201"/>
      <c r="F305" s="130"/>
      <c r="G305" s="201"/>
      <c r="H305" s="130"/>
      <c r="I305" s="201"/>
      <c r="J305" s="130"/>
      <c r="K305" s="144"/>
      <c r="L305" s="130"/>
      <c r="M305" s="144"/>
      <c r="N305" s="98"/>
      <c r="O305" s="144"/>
      <c r="P305" s="210"/>
      <c r="Q305" s="144"/>
      <c r="R305" s="130"/>
      <c r="S305" s="144"/>
      <c r="T305" s="130"/>
      <c r="U305" s="144"/>
      <c r="V305" s="130"/>
      <c r="W305" s="144"/>
      <c r="X305" s="130"/>
      <c r="Y305" s="144"/>
      <c r="Z305" s="130"/>
      <c r="AA305" s="142"/>
      <c r="AB305" s="142"/>
      <c r="AC305" s="142"/>
      <c r="AD305" s="142"/>
      <c r="AE305" s="142"/>
    </row>
    <row r="306" spans="1:31" ht="11.25" customHeight="1">
      <c r="A306" s="115" t="s">
        <v>38</v>
      </c>
      <c r="C306" s="145"/>
      <c r="D306" s="98"/>
      <c r="E306" s="145"/>
      <c r="F306" s="130"/>
      <c r="G306" s="145"/>
      <c r="H306" s="130"/>
      <c r="I306" s="144"/>
      <c r="J306" s="130"/>
      <c r="K306" s="144">
        <f>K266/REVENUE!K34</f>
        <v>0.042</v>
      </c>
      <c r="L306" s="130"/>
      <c r="M306" s="144">
        <f>M266/REVENUE!M34</f>
        <v>0.059</v>
      </c>
      <c r="N306" s="98"/>
      <c r="O306" s="144">
        <f>O266/REVENUE!O34</f>
        <v>0.068</v>
      </c>
      <c r="P306" s="55" t="s">
        <v>16</v>
      </c>
      <c r="Q306" s="144">
        <f>Q266/REVENUE!Q34</f>
        <v>0.067</v>
      </c>
      <c r="R306" s="130"/>
      <c r="S306" s="144">
        <f>S266/REVENUE!S34</f>
        <v>0.068</v>
      </c>
      <c r="T306" s="130"/>
      <c r="U306" s="144">
        <f>U266/REVENUE!U34</f>
        <v>0.077</v>
      </c>
      <c r="V306" s="130"/>
      <c r="W306" s="144">
        <f>W266/REVENUE!W34</f>
        <v>0.086</v>
      </c>
      <c r="X306" s="130"/>
      <c r="Y306" s="144">
        <f>Y266/REVENUE!Y34</f>
        <v>0.081</v>
      </c>
      <c r="Z306" s="130"/>
      <c r="AA306" s="142"/>
      <c r="AB306" s="142"/>
      <c r="AC306" s="142"/>
      <c r="AD306" s="142"/>
      <c r="AE306" s="142"/>
    </row>
    <row r="307" spans="3:31" ht="11.25" customHeight="1">
      <c r="C307" s="146"/>
      <c r="E307" s="146"/>
      <c r="G307" s="146"/>
      <c r="H307" s="142"/>
      <c r="I307" s="146"/>
      <c r="J307" s="142"/>
      <c r="K307" s="146"/>
      <c r="L307" s="142"/>
      <c r="M307" s="146"/>
      <c r="N307" s="142"/>
      <c r="O307" s="146"/>
      <c r="P307" s="181"/>
      <c r="Q307" s="146"/>
      <c r="R307" s="142"/>
      <c r="S307" s="146"/>
      <c r="T307" s="142"/>
      <c r="U307" s="146"/>
      <c r="V307" s="142"/>
      <c r="W307" s="146"/>
      <c r="X307" s="142"/>
      <c r="Y307" s="146"/>
      <c r="Z307" s="142"/>
      <c r="AA307" s="142"/>
      <c r="AB307" s="142"/>
      <c r="AC307" s="142"/>
      <c r="AD307" s="142"/>
      <c r="AE307" s="142"/>
    </row>
    <row r="308" spans="1:31" ht="11.25" customHeight="1">
      <c r="A308" s="123" t="s">
        <v>48</v>
      </c>
      <c r="C308" s="146"/>
      <c r="D308" s="173"/>
      <c r="E308" s="191"/>
      <c r="G308" s="142"/>
      <c r="H308" s="142"/>
      <c r="I308" s="142"/>
      <c r="J308" s="142"/>
      <c r="K308" s="142"/>
      <c r="L308" s="142"/>
      <c r="M308" s="142"/>
      <c r="N308" s="142"/>
      <c r="O308" s="142"/>
      <c r="P308" s="181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  <c r="AA308" s="142"/>
      <c r="AB308" s="142"/>
      <c r="AC308" s="142"/>
      <c r="AD308" s="142"/>
      <c r="AE308" s="142"/>
    </row>
    <row r="309" spans="1:31" ht="11.25" customHeight="1">
      <c r="A309" s="123" t="s">
        <v>94</v>
      </c>
      <c r="C309" s="142"/>
      <c r="E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81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  <c r="AA309" s="142"/>
      <c r="AB309" s="142"/>
      <c r="AC309" s="142"/>
      <c r="AD309" s="142"/>
      <c r="AE309" s="142"/>
    </row>
    <row r="311" spans="1:16" s="142" customFormat="1" ht="11.25" customHeight="1">
      <c r="A311" s="132"/>
      <c r="P311" s="181"/>
    </row>
    <row r="312" spans="1:16" s="142" customFormat="1" ht="11.25" customHeight="1">
      <c r="A312" s="141"/>
      <c r="P312" s="181"/>
    </row>
    <row r="313" spans="1:16" s="142" customFormat="1" ht="11.25" customHeight="1">
      <c r="A313" s="141"/>
      <c r="P313" s="181"/>
    </row>
    <row r="314" spans="1:16" s="142" customFormat="1" ht="11.25" customHeight="1">
      <c r="A314" s="132"/>
      <c r="B314" s="146"/>
      <c r="C314" s="132"/>
      <c r="P314" s="181"/>
    </row>
    <row r="315" spans="1:16" s="142" customFormat="1" ht="11.25" customHeight="1">
      <c r="A315" s="202"/>
      <c r="P315" s="181"/>
    </row>
    <row r="316" spans="1:16" s="142" customFormat="1" ht="11.25" customHeight="1">
      <c r="A316" s="202"/>
      <c r="P316" s="181"/>
    </row>
    <row r="317" spans="3:25" s="142" customFormat="1" ht="11.25" customHeight="1">
      <c r="C317" s="200"/>
      <c r="E317" s="200"/>
      <c r="G317" s="200"/>
      <c r="I317" s="200"/>
      <c r="K317" s="200"/>
      <c r="M317" s="200"/>
      <c r="O317" s="200"/>
      <c r="P317" s="181"/>
      <c r="Q317" s="200"/>
      <c r="S317" s="200"/>
      <c r="U317" s="200"/>
      <c r="W317" s="200"/>
      <c r="Y317" s="200"/>
    </row>
    <row r="318" spans="3:25" s="142" customFormat="1" ht="11.25" customHeight="1">
      <c r="C318" s="146"/>
      <c r="E318" s="146"/>
      <c r="G318" s="146"/>
      <c r="I318" s="146"/>
      <c r="K318" s="146"/>
      <c r="M318" s="146"/>
      <c r="O318" s="146"/>
      <c r="P318" s="181"/>
      <c r="Q318" s="146"/>
      <c r="S318" s="146"/>
      <c r="U318" s="146"/>
      <c r="W318" s="146"/>
      <c r="Y318" s="146"/>
    </row>
    <row r="319" s="142" customFormat="1" ht="11.25" customHeight="1">
      <c r="P319" s="181"/>
    </row>
    <row r="320" spans="1:26" s="142" customFormat="1" ht="11.25" customHeight="1">
      <c r="A320" s="132"/>
      <c r="C320" s="152"/>
      <c r="D320" s="152"/>
      <c r="E320" s="152"/>
      <c r="F320" s="152"/>
      <c r="G320" s="152"/>
      <c r="H320" s="152"/>
      <c r="I320" s="98"/>
      <c r="J320" s="98"/>
      <c r="K320" s="98"/>
      <c r="L320" s="98"/>
      <c r="M320" s="98"/>
      <c r="N320" s="98"/>
      <c r="O320" s="98"/>
      <c r="P320" s="210"/>
      <c r="Q320" s="98"/>
      <c r="R320" s="98"/>
      <c r="S320" s="98"/>
      <c r="T320" s="98"/>
      <c r="U320" s="98"/>
      <c r="V320" s="98"/>
      <c r="W320" s="98"/>
      <c r="X320" s="98"/>
      <c r="Y320" s="98"/>
      <c r="Z320" s="55"/>
    </row>
    <row r="321" s="142" customFormat="1" ht="11.25" customHeight="1">
      <c r="P321" s="181"/>
    </row>
    <row r="322" spans="1:26" s="142" customFormat="1" ht="11.25" customHeight="1">
      <c r="A322" s="132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210"/>
      <c r="Q322" s="98"/>
      <c r="R322" s="98"/>
      <c r="S322" s="98"/>
      <c r="T322" s="98"/>
      <c r="U322" s="98"/>
      <c r="V322" s="98"/>
      <c r="W322" s="98"/>
      <c r="X322" s="98"/>
      <c r="Y322" s="98"/>
      <c r="Z322" s="98"/>
    </row>
    <row r="323" spans="3:26" s="142" customFormat="1" ht="11.25" customHeight="1"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210"/>
      <c r="Q323" s="98"/>
      <c r="R323" s="98"/>
      <c r="S323" s="98"/>
      <c r="T323" s="98"/>
      <c r="U323" s="98"/>
      <c r="V323" s="98"/>
      <c r="W323" s="98"/>
      <c r="X323" s="98"/>
      <c r="Y323" s="98"/>
      <c r="Z323" s="98"/>
    </row>
    <row r="324" spans="1:26" s="142" customFormat="1" ht="11.25" customHeight="1">
      <c r="A324" s="132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210"/>
      <c r="Q324" s="98"/>
      <c r="R324" s="98"/>
      <c r="S324" s="98"/>
      <c r="T324" s="98"/>
      <c r="U324" s="98"/>
      <c r="V324" s="98"/>
      <c r="W324" s="98"/>
      <c r="X324" s="98"/>
      <c r="Y324" s="98"/>
      <c r="Z324" s="98"/>
    </row>
    <row r="325" spans="3:26" s="142" customFormat="1" ht="11.25" customHeight="1"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210"/>
      <c r="Q325" s="98"/>
      <c r="R325" s="98"/>
      <c r="S325" s="98"/>
      <c r="T325" s="98"/>
      <c r="U325" s="98"/>
      <c r="V325" s="98"/>
      <c r="W325" s="98"/>
      <c r="X325" s="98"/>
      <c r="Y325" s="98"/>
      <c r="Z325" s="98"/>
    </row>
    <row r="326" spans="1:26" s="142" customFormat="1" ht="11.25" customHeight="1">
      <c r="A326" s="132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210"/>
      <c r="Q326" s="98"/>
      <c r="R326" s="98"/>
      <c r="S326" s="98"/>
      <c r="T326" s="98"/>
      <c r="U326" s="98"/>
      <c r="V326" s="98"/>
      <c r="W326" s="98"/>
      <c r="X326" s="98"/>
      <c r="Y326" s="98"/>
      <c r="Z326" s="98"/>
    </row>
    <row r="327" spans="3:26" s="142" customFormat="1" ht="11.25" customHeight="1"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210"/>
      <c r="Q327" s="98"/>
      <c r="R327" s="98"/>
      <c r="S327" s="98"/>
      <c r="T327" s="98"/>
      <c r="U327" s="98"/>
      <c r="V327" s="98"/>
      <c r="W327" s="98"/>
      <c r="X327" s="98"/>
      <c r="Y327" s="98"/>
      <c r="Z327" s="98"/>
    </row>
    <row r="328" spans="1:26" s="142" customFormat="1" ht="11.25" customHeight="1">
      <c r="A328" s="132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55"/>
      <c r="O328" s="98"/>
      <c r="P328" s="210"/>
      <c r="Q328" s="98"/>
      <c r="R328" s="98"/>
      <c r="S328" s="98"/>
      <c r="T328" s="98"/>
      <c r="U328" s="98"/>
      <c r="V328" s="98"/>
      <c r="W328" s="98"/>
      <c r="X328" s="98"/>
      <c r="Y328" s="98"/>
      <c r="Z328" s="98"/>
    </row>
    <row r="329" spans="3:26" s="142" customFormat="1" ht="11.25" customHeight="1"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210"/>
      <c r="Q329" s="98"/>
      <c r="R329" s="98"/>
      <c r="S329" s="98"/>
      <c r="T329" s="98"/>
      <c r="U329" s="98"/>
      <c r="V329" s="98"/>
      <c r="W329" s="98"/>
      <c r="X329" s="98"/>
      <c r="Y329" s="98"/>
      <c r="Z329" s="98"/>
    </row>
    <row r="330" spans="1:26" s="142" customFormat="1" ht="11.25" customHeight="1">
      <c r="A330" s="132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210"/>
      <c r="Q330" s="98"/>
      <c r="R330" s="98"/>
      <c r="S330" s="98"/>
      <c r="T330" s="98"/>
      <c r="U330" s="98"/>
      <c r="V330" s="98"/>
      <c r="W330" s="98"/>
      <c r="X330" s="98"/>
      <c r="Y330" s="98"/>
      <c r="Z330" s="98"/>
    </row>
    <row r="331" spans="3:26" s="142" customFormat="1" ht="11.25" customHeight="1"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210"/>
      <c r="Q331" s="98"/>
      <c r="R331" s="98"/>
      <c r="S331" s="98"/>
      <c r="T331" s="98"/>
      <c r="U331" s="98"/>
      <c r="V331" s="98"/>
      <c r="W331" s="98"/>
      <c r="X331" s="98"/>
      <c r="Y331" s="98"/>
      <c r="Z331" s="98"/>
    </row>
    <row r="332" spans="1:26" s="142" customFormat="1" ht="11.25" customHeight="1">
      <c r="A332" s="132"/>
      <c r="C332" s="98"/>
      <c r="D332" s="98"/>
      <c r="E332" s="98"/>
      <c r="F332" s="55"/>
      <c r="G332" s="98"/>
      <c r="H332" s="55"/>
      <c r="I332" s="98"/>
      <c r="J332" s="55"/>
      <c r="K332" s="98"/>
      <c r="L332" s="98"/>
      <c r="M332" s="98"/>
      <c r="N332" s="98"/>
      <c r="O332" s="98"/>
      <c r="P332" s="210"/>
      <c r="Q332" s="98"/>
      <c r="R332" s="98"/>
      <c r="S332" s="98"/>
      <c r="T332" s="98"/>
      <c r="U332" s="98"/>
      <c r="V332" s="98"/>
      <c r="W332" s="98"/>
      <c r="X332" s="98"/>
      <c r="Y332" s="98"/>
      <c r="Z332" s="98"/>
    </row>
    <row r="333" spans="3:26" s="142" customFormat="1" ht="11.25" customHeight="1"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210"/>
      <c r="Q333" s="98"/>
      <c r="R333" s="98"/>
      <c r="S333" s="98"/>
      <c r="T333" s="98"/>
      <c r="U333" s="98"/>
      <c r="V333" s="98"/>
      <c r="W333" s="98"/>
      <c r="X333" s="98"/>
      <c r="Y333" s="98"/>
      <c r="Z333" s="98"/>
    </row>
    <row r="334" spans="1:26" s="142" customFormat="1" ht="11.25" customHeight="1">
      <c r="A334" s="132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210"/>
      <c r="Q334" s="98"/>
      <c r="R334" s="98"/>
      <c r="S334" s="98"/>
      <c r="T334" s="98"/>
      <c r="U334" s="98"/>
      <c r="V334" s="98"/>
      <c r="W334" s="98"/>
      <c r="X334" s="98"/>
      <c r="Y334" s="98"/>
      <c r="Z334" s="98"/>
    </row>
    <row r="335" spans="3:26" s="142" customFormat="1" ht="11.25" customHeight="1"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210"/>
      <c r="Q335" s="98"/>
      <c r="R335" s="98"/>
      <c r="S335" s="98"/>
      <c r="T335" s="98"/>
      <c r="U335" s="98"/>
      <c r="V335" s="98"/>
      <c r="W335" s="98"/>
      <c r="X335" s="98"/>
      <c r="Y335" s="98"/>
      <c r="Z335" s="98"/>
    </row>
    <row r="336" spans="1:26" s="142" customFormat="1" ht="11.25" customHeight="1">
      <c r="A336" s="132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210"/>
      <c r="Q336" s="98"/>
      <c r="R336" s="98"/>
      <c r="S336" s="98"/>
      <c r="T336" s="98"/>
      <c r="U336" s="98"/>
      <c r="V336" s="98"/>
      <c r="W336" s="98"/>
      <c r="X336" s="98"/>
      <c r="Y336" s="98"/>
      <c r="Z336" s="98"/>
    </row>
    <row r="337" spans="3:26" s="142" customFormat="1" ht="11.25" customHeight="1"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210"/>
      <c r="Q337" s="98"/>
      <c r="R337" s="98"/>
      <c r="S337" s="98"/>
      <c r="T337" s="98"/>
      <c r="U337" s="98"/>
      <c r="V337" s="98"/>
      <c r="W337" s="98"/>
      <c r="X337" s="98"/>
      <c r="Y337" s="98"/>
      <c r="Z337" s="98"/>
    </row>
    <row r="338" spans="1:26" s="142" customFormat="1" ht="11.25" customHeight="1">
      <c r="A338" s="132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210"/>
      <c r="Q338" s="98"/>
      <c r="R338" s="98"/>
      <c r="S338" s="98"/>
      <c r="T338" s="98"/>
      <c r="U338" s="98"/>
      <c r="V338" s="98"/>
      <c r="W338" s="98"/>
      <c r="X338" s="98"/>
      <c r="Y338" s="98"/>
      <c r="Z338" s="98"/>
    </row>
    <row r="339" spans="3:26" s="142" customFormat="1" ht="11.25" customHeight="1"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210"/>
      <c r="Q339" s="98"/>
      <c r="R339" s="98"/>
      <c r="S339" s="98"/>
      <c r="T339" s="98"/>
      <c r="U339" s="98"/>
      <c r="V339" s="98"/>
      <c r="W339" s="98"/>
      <c r="X339" s="98"/>
      <c r="Y339" s="98"/>
      <c r="Z339" s="98"/>
    </row>
    <row r="340" spans="1:26" s="142" customFormat="1" ht="11.25" customHeight="1">
      <c r="A340" s="132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210"/>
      <c r="Q340" s="98"/>
      <c r="R340" s="98"/>
      <c r="S340" s="98"/>
      <c r="T340" s="98"/>
      <c r="U340" s="98"/>
      <c r="V340" s="98"/>
      <c r="W340" s="98"/>
      <c r="X340" s="98"/>
      <c r="Y340" s="98"/>
      <c r="Z340" s="98"/>
    </row>
    <row r="341" spans="3:26" s="142" customFormat="1" ht="11.25" customHeight="1"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210"/>
      <c r="Q341" s="98"/>
      <c r="R341" s="98"/>
      <c r="S341" s="98"/>
      <c r="T341" s="98"/>
      <c r="U341" s="98"/>
      <c r="V341" s="98"/>
      <c r="W341" s="98"/>
      <c r="X341" s="98"/>
      <c r="Y341" s="98"/>
      <c r="Z341" s="98"/>
    </row>
    <row r="342" spans="1:26" s="142" customFormat="1" ht="11.25" customHeight="1">
      <c r="A342" s="132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210"/>
      <c r="Q342" s="98"/>
      <c r="R342" s="98"/>
      <c r="S342" s="98"/>
      <c r="T342" s="98"/>
      <c r="U342" s="98"/>
      <c r="V342" s="98"/>
      <c r="W342" s="98"/>
      <c r="X342" s="98"/>
      <c r="Y342" s="98"/>
      <c r="Z342" s="98"/>
    </row>
    <row r="343" spans="3:26" s="142" customFormat="1" ht="11.25" customHeight="1"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210"/>
      <c r="Q343" s="98"/>
      <c r="R343" s="98"/>
      <c r="S343" s="98"/>
      <c r="T343" s="98"/>
      <c r="U343" s="98"/>
      <c r="V343" s="98"/>
      <c r="W343" s="98"/>
      <c r="X343" s="98"/>
      <c r="Y343" s="98"/>
      <c r="Z343" s="98"/>
    </row>
    <row r="344" spans="1:26" s="142" customFormat="1" ht="11.25" customHeight="1">
      <c r="A344" s="132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210"/>
      <c r="Q344" s="98"/>
      <c r="R344" s="98"/>
      <c r="S344" s="98"/>
      <c r="T344" s="98"/>
      <c r="U344" s="98"/>
      <c r="V344" s="98"/>
      <c r="W344" s="98"/>
      <c r="X344" s="98"/>
      <c r="Y344" s="98"/>
      <c r="Z344" s="98"/>
    </row>
    <row r="345" spans="3:26" s="142" customFormat="1" ht="11.25" customHeight="1">
      <c r="C345" s="150"/>
      <c r="D345" s="98"/>
      <c r="E345" s="150"/>
      <c r="F345" s="98"/>
      <c r="G345" s="150"/>
      <c r="H345" s="98"/>
      <c r="I345" s="150"/>
      <c r="J345" s="98"/>
      <c r="K345" s="150"/>
      <c r="L345" s="98"/>
      <c r="M345" s="150"/>
      <c r="N345" s="98"/>
      <c r="O345" s="150"/>
      <c r="P345" s="210"/>
      <c r="Q345" s="150"/>
      <c r="R345" s="98"/>
      <c r="S345" s="150"/>
      <c r="T345" s="98"/>
      <c r="U345" s="150"/>
      <c r="V345" s="98"/>
      <c r="W345" s="150"/>
      <c r="X345" s="98"/>
      <c r="Y345" s="150"/>
      <c r="Z345" s="98"/>
    </row>
    <row r="346" spans="1:26" s="142" customFormat="1" ht="11.25" customHeight="1">
      <c r="A346" s="132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210"/>
      <c r="Q346" s="98"/>
      <c r="R346" s="98"/>
      <c r="S346" s="98"/>
      <c r="T346" s="98"/>
      <c r="U346" s="98"/>
      <c r="V346" s="98"/>
      <c r="W346" s="98"/>
      <c r="X346" s="98"/>
      <c r="Y346" s="98"/>
      <c r="Z346" s="98"/>
    </row>
    <row r="347" spans="3:25" s="142" customFormat="1" ht="11.25" customHeight="1">
      <c r="C347" s="146"/>
      <c r="E347" s="146"/>
      <c r="G347" s="146"/>
      <c r="I347" s="146"/>
      <c r="K347" s="146"/>
      <c r="M347" s="146"/>
      <c r="O347" s="146"/>
      <c r="P347" s="181"/>
      <c r="Q347" s="146"/>
      <c r="S347" s="146"/>
      <c r="U347" s="146"/>
      <c r="W347" s="146"/>
      <c r="Y347" s="146"/>
    </row>
    <row r="348" s="142" customFormat="1" ht="11.25" customHeight="1">
      <c r="P348" s="181"/>
    </row>
    <row r="349" s="142" customFormat="1" ht="11.25" customHeight="1">
      <c r="P349" s="181"/>
    </row>
    <row r="350" s="142" customFormat="1" ht="11.25" customHeight="1">
      <c r="P350" s="181"/>
    </row>
    <row r="351" s="142" customFormat="1" ht="11.25" customHeight="1">
      <c r="P351" s="181"/>
    </row>
    <row r="352" s="142" customFormat="1" ht="11.25" customHeight="1">
      <c r="P352" s="181"/>
    </row>
    <row r="353" s="142" customFormat="1" ht="11.25" customHeight="1">
      <c r="P353" s="181"/>
    </row>
    <row r="354" s="142" customFormat="1" ht="11.25" customHeight="1">
      <c r="P354" s="181"/>
    </row>
    <row r="355" s="142" customFormat="1" ht="11.25" customHeight="1">
      <c r="P355" s="181"/>
    </row>
    <row r="356" spans="3:25" s="142" customFormat="1" ht="11.25" customHeight="1">
      <c r="C356" s="200"/>
      <c r="E356" s="200"/>
      <c r="G356" s="200"/>
      <c r="I356" s="200"/>
      <c r="K356" s="200"/>
      <c r="M356" s="200"/>
      <c r="O356" s="200"/>
      <c r="P356" s="181"/>
      <c r="Q356" s="200"/>
      <c r="S356" s="200"/>
      <c r="U356" s="200"/>
      <c r="W356" s="200"/>
      <c r="Y356" s="200"/>
    </row>
    <row r="357" spans="3:25" s="142" customFormat="1" ht="11.25" customHeight="1">
      <c r="C357" s="146"/>
      <c r="E357" s="146"/>
      <c r="G357" s="146"/>
      <c r="I357" s="146"/>
      <c r="K357" s="146"/>
      <c r="M357" s="146"/>
      <c r="O357" s="146"/>
      <c r="P357" s="181"/>
      <c r="Q357" s="146"/>
      <c r="S357" s="146"/>
      <c r="U357" s="146"/>
      <c r="W357" s="146"/>
      <c r="Y357" s="146"/>
    </row>
    <row r="358" s="142" customFormat="1" ht="11.25" customHeight="1">
      <c r="P358" s="181"/>
    </row>
    <row r="359" spans="3:26" s="142" customFormat="1" ht="11.25" customHeight="1">
      <c r="C359" s="152"/>
      <c r="D359" s="152"/>
      <c r="E359" s="152"/>
      <c r="F359" s="152"/>
      <c r="G359" s="152"/>
      <c r="H359" s="152"/>
      <c r="I359" s="98"/>
      <c r="J359" s="98"/>
      <c r="K359" s="98"/>
      <c r="L359" s="98"/>
      <c r="M359" s="98"/>
      <c r="N359" s="98"/>
      <c r="O359" s="98"/>
      <c r="P359" s="210"/>
      <c r="Q359" s="98"/>
      <c r="R359" s="98"/>
      <c r="S359" s="98"/>
      <c r="T359" s="98"/>
      <c r="U359" s="98"/>
      <c r="V359" s="98"/>
      <c r="W359" s="98"/>
      <c r="X359" s="98"/>
      <c r="Y359" s="98"/>
      <c r="Z359" s="55"/>
    </row>
    <row r="360" s="142" customFormat="1" ht="11.25" customHeight="1">
      <c r="P360" s="181"/>
    </row>
    <row r="361" spans="3:26" s="142" customFormat="1" ht="11.25" customHeight="1"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210"/>
      <c r="Q361" s="98"/>
      <c r="R361" s="98"/>
      <c r="S361" s="98"/>
      <c r="T361" s="98"/>
      <c r="U361" s="98"/>
      <c r="V361" s="98"/>
      <c r="W361" s="98"/>
      <c r="X361" s="98"/>
      <c r="Y361" s="98"/>
      <c r="Z361" s="98"/>
    </row>
    <row r="362" spans="3:26" s="142" customFormat="1" ht="11.25" customHeight="1"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210"/>
      <c r="Q362" s="98"/>
      <c r="R362" s="98"/>
      <c r="S362" s="98"/>
      <c r="T362" s="98"/>
      <c r="U362" s="98"/>
      <c r="V362" s="98"/>
      <c r="W362" s="98"/>
      <c r="X362" s="98"/>
      <c r="Y362" s="98"/>
      <c r="Z362" s="98"/>
    </row>
    <row r="363" spans="3:26" s="142" customFormat="1" ht="11.25" customHeight="1"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210"/>
      <c r="Q363" s="98"/>
      <c r="R363" s="98"/>
      <c r="S363" s="98"/>
      <c r="T363" s="98"/>
      <c r="U363" s="98"/>
      <c r="V363" s="98"/>
      <c r="W363" s="98"/>
      <c r="X363" s="98"/>
      <c r="Y363" s="98"/>
      <c r="Z363" s="98"/>
    </row>
    <row r="364" spans="3:26" s="142" customFormat="1" ht="11.25" customHeight="1"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210"/>
      <c r="Q364" s="98"/>
      <c r="R364" s="98"/>
      <c r="S364" s="98"/>
      <c r="T364" s="98"/>
      <c r="U364" s="98"/>
      <c r="V364" s="98"/>
      <c r="W364" s="98"/>
      <c r="X364" s="98"/>
      <c r="Y364" s="98"/>
      <c r="Z364" s="98"/>
    </row>
    <row r="365" spans="3:26" s="142" customFormat="1" ht="11.25" customHeight="1"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210"/>
      <c r="Q365" s="98"/>
      <c r="R365" s="98"/>
      <c r="S365" s="98"/>
      <c r="T365" s="98"/>
      <c r="U365" s="98"/>
      <c r="V365" s="98"/>
      <c r="W365" s="98"/>
      <c r="X365" s="98"/>
      <c r="Y365" s="98"/>
      <c r="Z365" s="98"/>
    </row>
    <row r="366" spans="3:26" s="142" customFormat="1" ht="11.25" customHeight="1"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210"/>
      <c r="Q366" s="98"/>
      <c r="R366" s="98"/>
      <c r="S366" s="98"/>
      <c r="T366" s="98"/>
      <c r="U366" s="98"/>
      <c r="V366" s="98"/>
      <c r="W366" s="98"/>
      <c r="X366" s="98"/>
      <c r="Y366" s="98"/>
      <c r="Z366" s="98"/>
    </row>
    <row r="367" spans="3:26" s="142" customFormat="1" ht="11.25" customHeight="1"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55"/>
      <c r="O367" s="98"/>
      <c r="P367" s="210"/>
      <c r="Q367" s="98"/>
      <c r="R367" s="98"/>
      <c r="S367" s="98"/>
      <c r="T367" s="98"/>
      <c r="U367" s="98"/>
      <c r="V367" s="98"/>
      <c r="W367" s="98"/>
      <c r="X367" s="98"/>
      <c r="Y367" s="98"/>
      <c r="Z367" s="98"/>
    </row>
    <row r="368" spans="3:26" s="142" customFormat="1" ht="11.25" customHeight="1"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210"/>
      <c r="Q368" s="98"/>
      <c r="R368" s="98"/>
      <c r="S368" s="98"/>
      <c r="T368" s="98"/>
      <c r="U368" s="98"/>
      <c r="V368" s="98"/>
      <c r="W368" s="98"/>
      <c r="X368" s="98"/>
      <c r="Y368" s="98"/>
      <c r="Z368" s="98"/>
    </row>
    <row r="369" spans="3:26" s="142" customFormat="1" ht="11.25" customHeight="1"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210"/>
      <c r="Q369" s="98"/>
      <c r="R369" s="98"/>
      <c r="S369" s="98"/>
      <c r="T369" s="98"/>
      <c r="U369" s="98"/>
      <c r="V369" s="98"/>
      <c r="W369" s="98"/>
      <c r="X369" s="98"/>
      <c r="Y369" s="98"/>
      <c r="Z369" s="98"/>
    </row>
    <row r="370" spans="3:26" s="142" customFormat="1" ht="11.25" customHeight="1"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210"/>
      <c r="Q370" s="98"/>
      <c r="R370" s="98"/>
      <c r="S370" s="98"/>
      <c r="T370" s="98"/>
      <c r="U370" s="98"/>
      <c r="V370" s="98"/>
      <c r="W370" s="98"/>
      <c r="X370" s="98"/>
      <c r="Y370" s="98"/>
      <c r="Z370" s="98"/>
    </row>
    <row r="371" spans="3:26" s="142" customFormat="1" ht="11.25" customHeight="1">
      <c r="C371" s="98"/>
      <c r="D371" s="98"/>
      <c r="E371" s="98"/>
      <c r="F371" s="55"/>
      <c r="G371" s="98"/>
      <c r="H371" s="55"/>
      <c r="I371" s="98"/>
      <c r="J371" s="55"/>
      <c r="K371" s="98"/>
      <c r="L371" s="98"/>
      <c r="M371" s="98"/>
      <c r="N371" s="98"/>
      <c r="O371" s="98"/>
      <c r="P371" s="210"/>
      <c r="Q371" s="98"/>
      <c r="R371" s="98"/>
      <c r="S371" s="98"/>
      <c r="T371" s="98"/>
      <c r="U371" s="98"/>
      <c r="V371" s="98"/>
      <c r="W371" s="98"/>
      <c r="X371" s="98"/>
      <c r="Y371" s="98"/>
      <c r="Z371" s="98"/>
    </row>
    <row r="372" spans="3:26" s="142" customFormat="1" ht="11.25" customHeight="1"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210"/>
      <c r="Q372" s="98"/>
      <c r="R372" s="98"/>
      <c r="S372" s="98"/>
      <c r="T372" s="98"/>
      <c r="U372" s="98"/>
      <c r="V372" s="98"/>
      <c r="W372" s="98"/>
      <c r="X372" s="98"/>
      <c r="Y372" s="98"/>
      <c r="Z372" s="98"/>
    </row>
    <row r="373" spans="3:26" s="142" customFormat="1" ht="11.25" customHeight="1"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210"/>
      <c r="Q373" s="98"/>
      <c r="R373" s="98"/>
      <c r="S373" s="98"/>
      <c r="T373" s="98"/>
      <c r="U373" s="98"/>
      <c r="V373" s="98"/>
      <c r="W373" s="98"/>
      <c r="X373" s="98"/>
      <c r="Y373" s="98"/>
      <c r="Z373" s="98"/>
    </row>
    <row r="374" spans="3:26" s="142" customFormat="1" ht="11.25" customHeight="1"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210"/>
      <c r="Q374" s="98"/>
      <c r="R374" s="98"/>
      <c r="S374" s="98"/>
      <c r="T374" s="98"/>
      <c r="U374" s="98"/>
      <c r="V374" s="98"/>
      <c r="W374" s="98"/>
      <c r="X374" s="98"/>
      <c r="Y374" s="98"/>
      <c r="Z374" s="98"/>
    </row>
    <row r="375" spans="3:26" s="142" customFormat="1" ht="11.25" customHeight="1"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210"/>
      <c r="Q375" s="98"/>
      <c r="R375" s="98"/>
      <c r="S375" s="98"/>
      <c r="T375" s="98"/>
      <c r="U375" s="98"/>
      <c r="V375" s="98"/>
      <c r="W375" s="98"/>
      <c r="X375" s="98"/>
      <c r="Y375" s="98"/>
      <c r="Z375" s="98"/>
    </row>
    <row r="376" spans="3:26" s="142" customFormat="1" ht="11.25" customHeight="1"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210"/>
      <c r="Q376" s="98"/>
      <c r="R376" s="98"/>
      <c r="S376" s="98"/>
      <c r="T376" s="98"/>
      <c r="U376" s="98"/>
      <c r="V376" s="98"/>
      <c r="W376" s="98"/>
      <c r="X376" s="98"/>
      <c r="Y376" s="98"/>
      <c r="Z376" s="98"/>
    </row>
    <row r="377" spans="3:26" s="142" customFormat="1" ht="11.25" customHeight="1"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210"/>
      <c r="Q377" s="98"/>
      <c r="R377" s="98"/>
      <c r="S377" s="98"/>
      <c r="T377" s="98"/>
      <c r="U377" s="98"/>
      <c r="V377" s="98"/>
      <c r="W377" s="98"/>
      <c r="X377" s="98"/>
      <c r="Y377" s="98"/>
      <c r="Z377" s="98"/>
    </row>
    <row r="378" spans="3:26" s="142" customFormat="1" ht="11.25" customHeight="1"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210"/>
      <c r="Q378" s="98"/>
      <c r="R378" s="98"/>
      <c r="S378" s="98"/>
      <c r="T378" s="98"/>
      <c r="U378" s="98"/>
      <c r="V378" s="98"/>
      <c r="W378" s="98"/>
      <c r="X378" s="98"/>
      <c r="Y378" s="98"/>
      <c r="Z378" s="98"/>
    </row>
    <row r="379" spans="3:26" s="142" customFormat="1" ht="11.25" customHeight="1"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210"/>
      <c r="Q379" s="98"/>
      <c r="R379" s="98"/>
      <c r="S379" s="98"/>
      <c r="T379" s="98"/>
      <c r="U379" s="98"/>
      <c r="V379" s="98"/>
      <c r="W379" s="98"/>
      <c r="X379" s="98"/>
      <c r="Y379" s="98"/>
      <c r="Z379" s="98"/>
    </row>
    <row r="380" spans="3:26" s="142" customFormat="1" ht="11.25" customHeight="1"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210"/>
      <c r="Q380" s="98"/>
      <c r="R380" s="98"/>
      <c r="S380" s="98"/>
      <c r="T380" s="98"/>
      <c r="U380" s="98"/>
      <c r="V380" s="98"/>
      <c r="W380" s="98"/>
      <c r="X380" s="98"/>
      <c r="Y380" s="98"/>
      <c r="Z380" s="98"/>
    </row>
    <row r="381" spans="3:26" s="142" customFormat="1" ht="11.25" customHeight="1"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210"/>
      <c r="Q381" s="98"/>
      <c r="R381" s="98"/>
      <c r="S381" s="98"/>
      <c r="T381" s="98"/>
      <c r="U381" s="98"/>
      <c r="V381" s="98"/>
      <c r="W381" s="98"/>
      <c r="X381" s="98"/>
      <c r="Y381" s="98"/>
      <c r="Z381" s="98"/>
    </row>
    <row r="382" spans="3:26" s="142" customFormat="1" ht="11.25" customHeight="1"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210"/>
      <c r="Q382" s="98"/>
      <c r="R382" s="98"/>
      <c r="S382" s="98"/>
      <c r="T382" s="98"/>
      <c r="U382" s="98"/>
      <c r="V382" s="98"/>
      <c r="W382" s="98"/>
      <c r="X382" s="98"/>
      <c r="Y382" s="98"/>
      <c r="Z382" s="98"/>
    </row>
    <row r="383" spans="3:26" s="142" customFormat="1" ht="11.25" customHeight="1"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210"/>
      <c r="Q383" s="98"/>
      <c r="R383" s="98"/>
      <c r="S383" s="98"/>
      <c r="T383" s="98"/>
      <c r="U383" s="98"/>
      <c r="V383" s="98"/>
      <c r="W383" s="98"/>
      <c r="X383" s="98"/>
      <c r="Y383" s="98"/>
      <c r="Z383" s="98"/>
    </row>
    <row r="384" spans="3:26" s="142" customFormat="1" ht="11.25" customHeight="1">
      <c r="C384" s="150"/>
      <c r="D384" s="98"/>
      <c r="E384" s="150"/>
      <c r="F384" s="98"/>
      <c r="G384" s="150"/>
      <c r="H384" s="98"/>
      <c r="I384" s="150"/>
      <c r="J384" s="98"/>
      <c r="K384" s="150"/>
      <c r="L384" s="98"/>
      <c r="M384" s="150"/>
      <c r="N384" s="98"/>
      <c r="O384" s="150"/>
      <c r="P384" s="210"/>
      <c r="Q384" s="150"/>
      <c r="R384" s="98"/>
      <c r="S384" s="150"/>
      <c r="T384" s="98"/>
      <c r="U384" s="150"/>
      <c r="V384" s="98"/>
      <c r="W384" s="150"/>
      <c r="X384" s="98"/>
      <c r="Y384" s="150"/>
      <c r="Z384" s="98"/>
    </row>
    <row r="385" spans="3:26" s="142" customFormat="1" ht="11.25" customHeight="1"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210"/>
      <c r="Q385" s="98"/>
      <c r="R385" s="98"/>
      <c r="S385" s="98"/>
      <c r="T385" s="98"/>
      <c r="U385" s="98"/>
      <c r="V385" s="98"/>
      <c r="W385" s="98"/>
      <c r="X385" s="98"/>
      <c r="Y385" s="98"/>
      <c r="Z385" s="98"/>
    </row>
    <row r="386" spans="3:25" s="142" customFormat="1" ht="11.25" customHeight="1">
      <c r="C386" s="146"/>
      <c r="E386" s="146"/>
      <c r="G386" s="146"/>
      <c r="I386" s="146"/>
      <c r="K386" s="146"/>
      <c r="M386" s="146"/>
      <c r="O386" s="146"/>
      <c r="P386" s="181"/>
      <c r="Q386" s="146"/>
      <c r="S386" s="146"/>
      <c r="U386" s="146"/>
      <c r="W386" s="146"/>
      <c r="Y386" s="146"/>
    </row>
    <row r="387" spans="1:16" s="142" customFormat="1" ht="11.25" customHeight="1">
      <c r="A387" s="203"/>
      <c r="P387" s="181"/>
    </row>
    <row r="388" spans="1:26" s="142" customFormat="1" ht="11.25" customHeight="1">
      <c r="A388" s="56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213"/>
      <c r="Q388" s="57"/>
      <c r="R388" s="57"/>
      <c r="S388" s="57"/>
      <c r="T388" s="57"/>
      <c r="U388" s="57"/>
      <c r="V388" s="57"/>
      <c r="W388" s="57"/>
      <c r="X388" s="57"/>
      <c r="Y388" s="57"/>
      <c r="Z388" s="57"/>
    </row>
    <row r="389" spans="1:16" s="142" customFormat="1" ht="11.25" customHeight="1">
      <c r="A389" s="132"/>
      <c r="P389" s="181"/>
    </row>
    <row r="390" spans="1:16" s="142" customFormat="1" ht="11.25" customHeight="1">
      <c r="A390" s="141"/>
      <c r="P390" s="181"/>
    </row>
    <row r="391" spans="1:16" s="142" customFormat="1" ht="11.25" customHeight="1">
      <c r="A391" s="141"/>
      <c r="P391" s="181"/>
    </row>
    <row r="392" spans="1:16" s="142" customFormat="1" ht="11.25" customHeight="1">
      <c r="A392" s="132"/>
      <c r="B392" s="146"/>
      <c r="C392" s="146"/>
      <c r="P392" s="181"/>
    </row>
    <row r="393" spans="1:16" s="142" customFormat="1" ht="11.25" customHeight="1">
      <c r="A393" s="173"/>
      <c r="P393" s="181"/>
    </row>
    <row r="394" spans="1:16" s="142" customFormat="1" ht="11.25" customHeight="1">
      <c r="A394" s="202"/>
      <c r="P394" s="181"/>
    </row>
    <row r="395" spans="1:16" s="142" customFormat="1" ht="11.25" customHeight="1">
      <c r="A395" s="202"/>
      <c r="P395" s="181"/>
    </row>
    <row r="396" spans="3:25" s="142" customFormat="1" ht="11.25" customHeight="1">
      <c r="C396" s="200"/>
      <c r="E396" s="200"/>
      <c r="G396" s="200"/>
      <c r="I396" s="200"/>
      <c r="K396" s="200"/>
      <c r="M396" s="200"/>
      <c r="O396" s="200"/>
      <c r="P396" s="181"/>
      <c r="Q396" s="200"/>
      <c r="S396" s="200"/>
      <c r="U396" s="200"/>
      <c r="W396" s="200"/>
      <c r="Y396" s="200"/>
    </row>
    <row r="397" spans="3:25" s="142" customFormat="1" ht="11.25" customHeight="1">
      <c r="C397" s="146"/>
      <c r="E397" s="146"/>
      <c r="G397" s="146"/>
      <c r="I397" s="146"/>
      <c r="K397" s="146"/>
      <c r="M397" s="146"/>
      <c r="O397" s="146"/>
      <c r="P397" s="181"/>
      <c r="Q397" s="146"/>
      <c r="S397" s="146"/>
      <c r="U397" s="146"/>
      <c r="W397" s="146"/>
      <c r="Y397" s="146"/>
    </row>
    <row r="398" s="142" customFormat="1" ht="11.25" customHeight="1">
      <c r="P398" s="181"/>
    </row>
    <row r="399" spans="1:26" s="142" customFormat="1" ht="11.25" customHeight="1">
      <c r="A399" s="132"/>
      <c r="C399" s="152"/>
      <c r="D399" s="152"/>
      <c r="E399" s="152"/>
      <c r="F399" s="152"/>
      <c r="G399" s="152"/>
      <c r="H399" s="152"/>
      <c r="I399" s="98"/>
      <c r="J399" s="98"/>
      <c r="K399" s="98"/>
      <c r="L399" s="98"/>
      <c r="M399" s="98"/>
      <c r="N399" s="98"/>
      <c r="O399" s="98"/>
      <c r="P399" s="210"/>
      <c r="Q399" s="98"/>
      <c r="R399" s="98"/>
      <c r="S399" s="98"/>
      <c r="T399" s="98"/>
      <c r="U399" s="98"/>
      <c r="V399" s="98"/>
      <c r="W399" s="98"/>
      <c r="X399" s="98"/>
      <c r="Y399" s="98"/>
      <c r="Z399" s="55"/>
    </row>
    <row r="400" s="142" customFormat="1" ht="11.25" customHeight="1">
      <c r="P400" s="181"/>
    </row>
    <row r="401" spans="1:26" s="142" customFormat="1" ht="11.25" customHeight="1">
      <c r="A401" s="132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210"/>
      <c r="Q401" s="98"/>
      <c r="R401" s="98"/>
      <c r="S401" s="98"/>
      <c r="T401" s="98"/>
      <c r="U401" s="98"/>
      <c r="V401" s="98"/>
      <c r="W401" s="98"/>
      <c r="X401" s="98"/>
      <c r="Y401" s="98"/>
      <c r="Z401" s="98"/>
    </row>
    <row r="402" spans="3:26" s="142" customFormat="1" ht="11.25" customHeight="1"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210"/>
      <c r="Q402" s="98"/>
      <c r="R402" s="98"/>
      <c r="S402" s="98"/>
      <c r="T402" s="98"/>
      <c r="U402" s="98"/>
      <c r="V402" s="98"/>
      <c r="W402" s="98"/>
      <c r="X402" s="98"/>
      <c r="Y402" s="98"/>
      <c r="Z402" s="98"/>
    </row>
    <row r="403" spans="1:26" s="142" customFormat="1" ht="11.25" customHeight="1">
      <c r="A403" s="132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210"/>
      <c r="Q403" s="98"/>
      <c r="R403" s="98"/>
      <c r="S403" s="98"/>
      <c r="T403" s="98"/>
      <c r="U403" s="98"/>
      <c r="V403" s="98"/>
      <c r="W403" s="98"/>
      <c r="X403" s="98"/>
      <c r="Y403" s="98"/>
      <c r="Z403" s="98"/>
    </row>
    <row r="404" spans="3:26" s="142" customFormat="1" ht="11.25" customHeight="1"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210"/>
      <c r="Q404" s="98"/>
      <c r="R404" s="98"/>
      <c r="S404" s="98"/>
      <c r="T404" s="98"/>
      <c r="U404" s="98"/>
      <c r="V404" s="98"/>
      <c r="W404" s="98"/>
      <c r="X404" s="98"/>
      <c r="Y404" s="98"/>
      <c r="Z404" s="98"/>
    </row>
    <row r="405" spans="1:16" s="142" customFormat="1" ht="11.25" customHeight="1">
      <c r="A405" s="132"/>
      <c r="P405" s="181"/>
    </row>
    <row r="406" spans="1:16" s="142" customFormat="1" ht="11.25" customHeight="1">
      <c r="A406" s="141"/>
      <c r="P406" s="181"/>
    </row>
    <row r="407" spans="1:16" s="142" customFormat="1" ht="11.25" customHeight="1">
      <c r="A407" s="141"/>
      <c r="P407" s="181"/>
    </row>
    <row r="408" spans="1:16" s="142" customFormat="1" ht="11.25" customHeight="1">
      <c r="A408" s="132"/>
      <c r="B408" s="146"/>
      <c r="C408" s="132"/>
      <c r="P408" s="181"/>
    </row>
    <row r="409" spans="1:16" s="142" customFormat="1" ht="11.25" customHeight="1">
      <c r="A409" s="173"/>
      <c r="P409" s="181"/>
    </row>
    <row r="410" spans="1:16" s="142" customFormat="1" ht="11.25" customHeight="1">
      <c r="A410" s="202"/>
      <c r="P410" s="181"/>
    </row>
    <row r="411" spans="1:16" s="142" customFormat="1" ht="11.25" customHeight="1">
      <c r="A411" s="202"/>
      <c r="P411" s="181"/>
    </row>
    <row r="412" spans="3:25" s="142" customFormat="1" ht="11.25" customHeight="1">
      <c r="C412" s="200"/>
      <c r="E412" s="200"/>
      <c r="G412" s="200"/>
      <c r="I412" s="200"/>
      <c r="K412" s="200"/>
      <c r="M412" s="200"/>
      <c r="O412" s="200"/>
      <c r="P412" s="181"/>
      <c r="Q412" s="200"/>
      <c r="S412" s="200"/>
      <c r="U412" s="200"/>
      <c r="W412" s="200"/>
      <c r="Y412" s="200"/>
    </row>
    <row r="413" spans="3:25" s="142" customFormat="1" ht="11.25" customHeight="1">
      <c r="C413" s="146"/>
      <c r="E413" s="146"/>
      <c r="G413" s="146"/>
      <c r="I413" s="146"/>
      <c r="K413" s="146"/>
      <c r="M413" s="146"/>
      <c r="O413" s="146"/>
      <c r="P413" s="181"/>
      <c r="Q413" s="146"/>
      <c r="S413" s="146"/>
      <c r="U413" s="146"/>
      <c r="W413" s="146"/>
      <c r="Y413" s="146"/>
    </row>
    <row r="414" s="142" customFormat="1" ht="11.25" customHeight="1">
      <c r="P414" s="181"/>
    </row>
    <row r="415" spans="1:26" s="142" customFormat="1" ht="11.25" customHeight="1">
      <c r="A415" s="132"/>
      <c r="C415" s="152"/>
      <c r="D415" s="152"/>
      <c r="E415" s="152"/>
      <c r="F415" s="152"/>
      <c r="G415" s="152"/>
      <c r="H415" s="152"/>
      <c r="I415" s="98"/>
      <c r="J415" s="98"/>
      <c r="K415" s="98"/>
      <c r="L415" s="98"/>
      <c r="M415" s="98"/>
      <c r="N415" s="98"/>
      <c r="O415" s="98"/>
      <c r="P415" s="210"/>
      <c r="Q415" s="98"/>
      <c r="R415" s="98"/>
      <c r="S415" s="98"/>
      <c r="T415" s="98"/>
      <c r="U415" s="98"/>
      <c r="V415" s="98"/>
      <c r="W415" s="98"/>
      <c r="X415" s="98"/>
      <c r="Y415" s="98"/>
      <c r="Z415" s="55"/>
    </row>
    <row r="416" s="142" customFormat="1" ht="11.25" customHeight="1">
      <c r="P416" s="181"/>
    </row>
    <row r="417" spans="1:26" s="142" customFormat="1" ht="11.25" customHeight="1">
      <c r="A417" s="132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210"/>
      <c r="Q417" s="98"/>
      <c r="R417" s="98"/>
      <c r="S417" s="98"/>
      <c r="T417" s="98"/>
      <c r="U417" s="98"/>
      <c r="V417" s="98"/>
      <c r="W417" s="98"/>
      <c r="X417" s="98"/>
      <c r="Y417" s="98"/>
      <c r="Z417" s="98"/>
    </row>
    <row r="418" spans="3:26" s="142" customFormat="1" ht="11.25" customHeight="1"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210"/>
      <c r="Q418" s="98"/>
      <c r="R418" s="98"/>
      <c r="S418" s="98"/>
      <c r="T418" s="98"/>
      <c r="U418" s="98"/>
      <c r="V418" s="98"/>
      <c r="W418" s="98"/>
      <c r="X418" s="98"/>
      <c r="Y418" s="98"/>
      <c r="Z418" s="98"/>
    </row>
    <row r="419" spans="1:26" s="142" customFormat="1" ht="11.25" customHeight="1">
      <c r="A419" s="132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210"/>
      <c r="Q419" s="98"/>
      <c r="R419" s="98"/>
      <c r="S419" s="98"/>
      <c r="T419" s="98"/>
      <c r="U419" s="98"/>
      <c r="V419" s="98"/>
      <c r="W419" s="98"/>
      <c r="X419" s="98"/>
      <c r="Y419" s="98"/>
      <c r="Z419" s="98"/>
    </row>
    <row r="420" spans="3:26" s="142" customFormat="1" ht="11.25" customHeight="1"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210"/>
      <c r="Q420" s="98"/>
      <c r="R420" s="98"/>
      <c r="S420" s="98"/>
      <c r="T420" s="98"/>
      <c r="U420" s="98"/>
      <c r="V420" s="98"/>
      <c r="W420" s="98"/>
      <c r="X420" s="98"/>
      <c r="Y420" s="98"/>
      <c r="Z420" s="98"/>
    </row>
    <row r="421" spans="1:26" s="142" customFormat="1" ht="11.25" customHeight="1">
      <c r="A421" s="132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210"/>
      <c r="Q421" s="98"/>
      <c r="R421" s="98"/>
      <c r="S421" s="98"/>
      <c r="T421" s="98"/>
      <c r="U421" s="98"/>
      <c r="V421" s="98"/>
      <c r="W421" s="98"/>
      <c r="X421" s="98"/>
      <c r="Y421" s="98"/>
      <c r="Z421" s="98"/>
    </row>
    <row r="422" spans="3:26" s="142" customFormat="1" ht="11.25" customHeight="1"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210"/>
      <c r="Q422" s="98"/>
      <c r="R422" s="98"/>
      <c r="S422" s="98"/>
      <c r="T422" s="98"/>
      <c r="U422" s="98"/>
      <c r="V422" s="98"/>
      <c r="W422" s="98"/>
      <c r="X422" s="98"/>
      <c r="Y422" s="98"/>
      <c r="Z422" s="98"/>
    </row>
    <row r="423" spans="1:26" s="142" customFormat="1" ht="11.25" customHeight="1">
      <c r="A423" s="132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55"/>
      <c r="O423" s="98"/>
      <c r="P423" s="210"/>
      <c r="Q423" s="98"/>
      <c r="R423" s="98"/>
      <c r="S423" s="98"/>
      <c r="T423" s="98"/>
      <c r="U423" s="98"/>
      <c r="V423" s="98"/>
      <c r="W423" s="98"/>
      <c r="X423" s="98"/>
      <c r="Y423" s="98"/>
      <c r="Z423" s="98"/>
    </row>
    <row r="424" spans="3:26" s="142" customFormat="1" ht="11.25" customHeight="1"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210"/>
      <c r="Q424" s="98"/>
      <c r="R424" s="98"/>
      <c r="S424" s="98"/>
      <c r="T424" s="98"/>
      <c r="U424" s="98"/>
      <c r="V424" s="98"/>
      <c r="W424" s="98"/>
      <c r="X424" s="98"/>
      <c r="Y424" s="98"/>
      <c r="Z424" s="98"/>
    </row>
    <row r="425" spans="1:26" s="142" customFormat="1" ht="11.25" customHeight="1">
      <c r="A425" s="132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210"/>
      <c r="Q425" s="98"/>
      <c r="R425" s="98"/>
      <c r="S425" s="98"/>
      <c r="T425" s="98"/>
      <c r="U425" s="98"/>
      <c r="V425" s="98"/>
      <c r="W425" s="98"/>
      <c r="X425" s="98"/>
      <c r="Y425" s="98"/>
      <c r="Z425" s="98"/>
    </row>
    <row r="426" spans="3:26" s="142" customFormat="1" ht="11.25" customHeight="1"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210"/>
      <c r="Q426" s="98"/>
      <c r="R426" s="98"/>
      <c r="S426" s="98"/>
      <c r="T426" s="98"/>
      <c r="U426" s="98"/>
      <c r="V426" s="98"/>
      <c r="W426" s="98"/>
      <c r="X426" s="98"/>
      <c r="Y426" s="98"/>
      <c r="Z426" s="98"/>
    </row>
    <row r="427" spans="1:26" s="142" customFormat="1" ht="11.25" customHeight="1">
      <c r="A427" s="132"/>
      <c r="C427" s="98"/>
      <c r="D427" s="98"/>
      <c r="E427" s="98"/>
      <c r="F427" s="55"/>
      <c r="G427" s="98"/>
      <c r="H427" s="55"/>
      <c r="I427" s="98"/>
      <c r="J427" s="55"/>
      <c r="K427" s="98"/>
      <c r="L427" s="98"/>
      <c r="M427" s="98"/>
      <c r="N427" s="98"/>
      <c r="O427" s="98"/>
      <c r="P427" s="210"/>
      <c r="Q427" s="98"/>
      <c r="R427" s="98"/>
      <c r="S427" s="98"/>
      <c r="T427" s="98"/>
      <c r="U427" s="98"/>
      <c r="V427" s="98"/>
      <c r="W427" s="98"/>
      <c r="X427" s="98"/>
      <c r="Y427" s="98"/>
      <c r="Z427" s="98"/>
    </row>
    <row r="428" spans="3:26" s="142" customFormat="1" ht="11.25" customHeight="1"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210"/>
      <c r="Q428" s="98"/>
      <c r="R428" s="98"/>
      <c r="S428" s="98"/>
      <c r="T428" s="98"/>
      <c r="U428" s="98"/>
      <c r="V428" s="98"/>
      <c r="W428" s="98"/>
      <c r="X428" s="98"/>
      <c r="Y428" s="98"/>
      <c r="Z428" s="98"/>
    </row>
    <row r="429" spans="1:26" s="142" customFormat="1" ht="11.25" customHeight="1">
      <c r="A429" s="132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210"/>
      <c r="Q429" s="98"/>
      <c r="R429" s="98"/>
      <c r="S429" s="98"/>
      <c r="T429" s="98"/>
      <c r="U429" s="98"/>
      <c r="V429" s="98"/>
      <c r="W429" s="98"/>
      <c r="X429" s="98"/>
      <c r="Y429" s="98"/>
      <c r="Z429" s="98"/>
    </row>
    <row r="430" spans="3:26" s="142" customFormat="1" ht="11.25" customHeight="1"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210"/>
      <c r="Q430" s="98"/>
      <c r="R430" s="98"/>
      <c r="S430" s="98"/>
      <c r="T430" s="98"/>
      <c r="U430" s="98"/>
      <c r="V430" s="98"/>
      <c r="W430" s="98"/>
      <c r="X430" s="98"/>
      <c r="Y430" s="98"/>
      <c r="Z430" s="98"/>
    </row>
    <row r="431" spans="1:26" s="142" customFormat="1" ht="11.25" customHeight="1">
      <c r="A431" s="132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210"/>
      <c r="Q431" s="98"/>
      <c r="R431" s="98"/>
      <c r="S431" s="98"/>
      <c r="T431" s="98"/>
      <c r="U431" s="98"/>
      <c r="V431" s="98"/>
      <c r="W431" s="98"/>
      <c r="X431" s="98"/>
      <c r="Y431" s="98"/>
      <c r="Z431" s="98"/>
    </row>
    <row r="432" spans="3:26" s="142" customFormat="1" ht="11.25" customHeight="1"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210"/>
      <c r="Q432" s="98"/>
      <c r="R432" s="98"/>
      <c r="S432" s="98"/>
      <c r="T432" s="98"/>
      <c r="U432" s="98"/>
      <c r="V432" s="98"/>
      <c r="W432" s="98"/>
      <c r="X432" s="98"/>
      <c r="Y432" s="98"/>
      <c r="Z432" s="98"/>
    </row>
    <row r="433" spans="1:26" s="142" customFormat="1" ht="11.25" customHeight="1">
      <c r="A433" s="132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210"/>
      <c r="Q433" s="98"/>
      <c r="R433" s="98"/>
      <c r="S433" s="98"/>
      <c r="T433" s="98"/>
      <c r="U433" s="98"/>
      <c r="V433" s="98"/>
      <c r="W433" s="98"/>
      <c r="X433" s="98"/>
      <c r="Y433" s="98"/>
      <c r="Z433" s="98"/>
    </row>
    <row r="434" spans="3:26" s="142" customFormat="1" ht="11.25" customHeight="1"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210"/>
      <c r="Q434" s="98"/>
      <c r="R434" s="98"/>
      <c r="S434" s="98"/>
      <c r="T434" s="98"/>
      <c r="U434" s="98"/>
      <c r="V434" s="98"/>
      <c r="W434" s="98"/>
      <c r="X434" s="98"/>
      <c r="Y434" s="98"/>
      <c r="Z434" s="98"/>
    </row>
    <row r="435" spans="1:26" s="142" customFormat="1" ht="11.25" customHeight="1">
      <c r="A435" s="132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210"/>
      <c r="Q435" s="98"/>
      <c r="R435" s="98"/>
      <c r="S435" s="98"/>
      <c r="T435" s="98"/>
      <c r="U435" s="98"/>
      <c r="V435" s="98"/>
      <c r="W435" s="98"/>
      <c r="X435" s="98"/>
      <c r="Y435" s="98"/>
      <c r="Z435" s="98"/>
    </row>
    <row r="436" spans="3:26" s="142" customFormat="1" ht="11.25" customHeight="1"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210"/>
      <c r="Q436" s="98"/>
      <c r="R436" s="98"/>
      <c r="S436" s="98"/>
      <c r="T436" s="98"/>
      <c r="U436" s="98"/>
      <c r="V436" s="98"/>
      <c r="W436" s="98"/>
      <c r="X436" s="98"/>
      <c r="Y436" s="98"/>
      <c r="Z436" s="98"/>
    </row>
    <row r="437" spans="1:26" s="142" customFormat="1" ht="11.25" customHeight="1">
      <c r="A437" s="132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210"/>
      <c r="Q437" s="98"/>
      <c r="R437" s="98"/>
      <c r="S437" s="98"/>
      <c r="T437" s="98"/>
      <c r="U437" s="98"/>
      <c r="V437" s="98"/>
      <c r="W437" s="98"/>
      <c r="X437" s="98"/>
      <c r="Y437" s="98"/>
      <c r="Z437" s="98"/>
    </row>
    <row r="438" spans="3:26" s="142" customFormat="1" ht="11.25" customHeight="1"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210"/>
      <c r="Q438" s="98"/>
      <c r="R438" s="98"/>
      <c r="S438" s="98"/>
      <c r="T438" s="98"/>
      <c r="U438" s="98"/>
      <c r="V438" s="98"/>
      <c r="W438" s="98"/>
      <c r="X438" s="98"/>
      <c r="Y438" s="98"/>
      <c r="Z438" s="98"/>
    </row>
    <row r="439" spans="1:26" s="142" customFormat="1" ht="11.25" customHeight="1">
      <c r="A439" s="132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210"/>
      <c r="Q439" s="98"/>
      <c r="R439" s="98"/>
      <c r="S439" s="98"/>
      <c r="T439" s="98"/>
      <c r="U439" s="98"/>
      <c r="V439" s="98"/>
      <c r="W439" s="98"/>
      <c r="X439" s="98"/>
      <c r="Y439" s="98"/>
      <c r="Z439" s="98"/>
    </row>
    <row r="440" spans="3:26" s="142" customFormat="1" ht="11.25" customHeight="1">
      <c r="C440" s="150"/>
      <c r="D440" s="98"/>
      <c r="E440" s="150"/>
      <c r="F440" s="98"/>
      <c r="G440" s="150"/>
      <c r="H440" s="98"/>
      <c r="I440" s="150"/>
      <c r="J440" s="98"/>
      <c r="K440" s="150"/>
      <c r="L440" s="98"/>
      <c r="M440" s="150"/>
      <c r="N440" s="98"/>
      <c r="O440" s="150"/>
      <c r="P440" s="210"/>
      <c r="Q440" s="150"/>
      <c r="R440" s="98"/>
      <c r="S440" s="150"/>
      <c r="T440" s="98"/>
      <c r="U440" s="150"/>
      <c r="V440" s="98"/>
      <c r="W440" s="150"/>
      <c r="X440" s="98"/>
      <c r="Y440" s="150"/>
      <c r="Z440" s="98"/>
    </row>
    <row r="441" spans="1:26" s="142" customFormat="1" ht="11.25" customHeight="1">
      <c r="A441" s="132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210"/>
      <c r="Q441" s="98"/>
      <c r="R441" s="98"/>
      <c r="S441" s="98"/>
      <c r="T441" s="98"/>
      <c r="U441" s="98"/>
      <c r="V441" s="98"/>
      <c r="W441" s="98"/>
      <c r="X441" s="98"/>
      <c r="Y441" s="98"/>
      <c r="Z441" s="98"/>
    </row>
    <row r="442" spans="3:25" s="142" customFormat="1" ht="11.25" customHeight="1">
      <c r="C442" s="146"/>
      <c r="E442" s="146"/>
      <c r="G442" s="146"/>
      <c r="I442" s="146"/>
      <c r="K442" s="146"/>
      <c r="M442" s="146"/>
      <c r="O442" s="146"/>
      <c r="P442" s="181"/>
      <c r="Q442" s="146"/>
      <c r="S442" s="146"/>
      <c r="U442" s="146"/>
      <c r="W442" s="146"/>
      <c r="Y442" s="146"/>
    </row>
    <row r="443" spans="1:20" s="142" customFormat="1" ht="11.25" customHeight="1">
      <c r="A443" s="132"/>
      <c r="P443" s="181"/>
      <c r="T443" s="132"/>
    </row>
    <row r="444" spans="1:16" s="142" customFormat="1" ht="11.25" customHeight="1">
      <c r="A444" s="132"/>
      <c r="P444" s="181"/>
    </row>
    <row r="445" spans="1:16" s="142" customFormat="1" ht="11.25" customHeight="1">
      <c r="A445" s="132"/>
      <c r="B445" s="146"/>
      <c r="C445" s="146"/>
      <c r="P445" s="181"/>
    </row>
    <row r="446" spans="1:16" s="142" customFormat="1" ht="11.25" customHeight="1">
      <c r="A446" s="173"/>
      <c r="P446" s="181"/>
    </row>
    <row r="447" s="142" customFormat="1" ht="11.25" customHeight="1">
      <c r="P447" s="181"/>
    </row>
    <row r="448" spans="3:25" s="142" customFormat="1" ht="11.25" customHeight="1">
      <c r="C448" s="200"/>
      <c r="E448" s="200"/>
      <c r="G448" s="200"/>
      <c r="I448" s="200"/>
      <c r="K448" s="200"/>
      <c r="M448" s="200"/>
      <c r="O448" s="200"/>
      <c r="P448" s="181"/>
      <c r="Q448" s="200"/>
      <c r="S448" s="200"/>
      <c r="U448" s="200"/>
      <c r="W448" s="200"/>
      <c r="Y448" s="200"/>
    </row>
    <row r="449" spans="3:25" s="142" customFormat="1" ht="11.25" customHeight="1">
      <c r="C449" s="146"/>
      <c r="E449" s="146"/>
      <c r="G449" s="146"/>
      <c r="I449" s="146"/>
      <c r="K449" s="146"/>
      <c r="M449" s="146"/>
      <c r="O449" s="146"/>
      <c r="P449" s="181"/>
      <c r="Q449" s="146"/>
      <c r="S449" s="146"/>
      <c r="U449" s="146"/>
      <c r="W449" s="146"/>
      <c r="Y449" s="146"/>
    </row>
    <row r="450" s="142" customFormat="1" ht="11.25" customHeight="1">
      <c r="P450" s="181"/>
    </row>
    <row r="451" spans="1:30" s="142" customFormat="1" ht="11.25" customHeight="1">
      <c r="A451" s="132"/>
      <c r="C451" s="152"/>
      <c r="D451" s="152"/>
      <c r="E451" s="152"/>
      <c r="F451" s="152"/>
      <c r="G451" s="152"/>
      <c r="H451" s="152"/>
      <c r="I451" s="98"/>
      <c r="J451" s="98"/>
      <c r="K451" s="98"/>
      <c r="L451" s="98"/>
      <c r="M451" s="98"/>
      <c r="N451" s="98"/>
      <c r="O451" s="98"/>
      <c r="P451" s="210"/>
      <c r="Q451" s="98"/>
      <c r="R451" s="98"/>
      <c r="S451" s="98"/>
      <c r="T451" s="98"/>
      <c r="U451" s="98"/>
      <c r="V451" s="98"/>
      <c r="W451" s="98"/>
      <c r="X451" s="98"/>
      <c r="Y451" s="98"/>
      <c r="Z451" s="55"/>
      <c r="AA451" s="98"/>
      <c r="AB451" s="98"/>
      <c r="AC451" s="98"/>
      <c r="AD451" s="98"/>
    </row>
    <row r="452" s="142" customFormat="1" ht="11.25" customHeight="1">
      <c r="P452" s="181"/>
    </row>
    <row r="453" spans="1:26" s="142" customFormat="1" ht="11.25" customHeight="1">
      <c r="A453" s="132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210"/>
      <c r="Q453" s="98"/>
      <c r="R453" s="98"/>
      <c r="S453" s="98"/>
      <c r="T453" s="98"/>
      <c r="U453" s="98"/>
      <c r="V453" s="98"/>
      <c r="W453" s="98"/>
      <c r="X453" s="98"/>
      <c r="Y453" s="98"/>
      <c r="Z453" s="98"/>
    </row>
    <row r="454" spans="3:26" s="142" customFormat="1" ht="11.25" customHeight="1"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210"/>
      <c r="Q454" s="98"/>
      <c r="R454" s="98"/>
      <c r="S454" s="98"/>
      <c r="T454" s="98"/>
      <c r="U454" s="98"/>
      <c r="V454" s="98"/>
      <c r="W454" s="98"/>
      <c r="X454" s="98"/>
      <c r="Y454" s="98"/>
      <c r="Z454" s="98"/>
    </row>
    <row r="455" spans="1:26" s="142" customFormat="1" ht="11.25" customHeight="1">
      <c r="A455" s="132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210"/>
      <c r="Q455" s="98"/>
      <c r="R455" s="98"/>
      <c r="S455" s="98"/>
      <c r="T455" s="98"/>
      <c r="U455" s="98"/>
      <c r="V455" s="98"/>
      <c r="W455" s="98"/>
      <c r="X455" s="98"/>
      <c r="Y455" s="98"/>
      <c r="Z455" s="98"/>
    </row>
    <row r="456" spans="3:26" s="142" customFormat="1" ht="11.25" customHeight="1"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210"/>
      <c r="Q456" s="98"/>
      <c r="R456" s="98"/>
      <c r="S456" s="98"/>
      <c r="T456" s="98"/>
      <c r="U456" s="98"/>
      <c r="V456" s="98"/>
      <c r="W456" s="98"/>
      <c r="X456" s="98"/>
      <c r="Y456" s="98"/>
      <c r="Z456" s="98"/>
    </row>
    <row r="457" spans="1:26" s="142" customFormat="1" ht="11.25" customHeight="1">
      <c r="A457" s="132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210"/>
      <c r="Q457" s="98"/>
      <c r="R457" s="98"/>
      <c r="S457" s="98"/>
      <c r="T457" s="98"/>
      <c r="U457" s="98"/>
      <c r="V457" s="98"/>
      <c r="W457" s="98"/>
      <c r="X457" s="98"/>
      <c r="Y457" s="98"/>
      <c r="Z457" s="98"/>
    </row>
    <row r="458" spans="3:26" s="142" customFormat="1" ht="11.25" customHeight="1"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210"/>
      <c r="Q458" s="98"/>
      <c r="R458" s="98"/>
      <c r="S458" s="98"/>
      <c r="T458" s="98"/>
      <c r="U458" s="98"/>
      <c r="V458" s="98"/>
      <c r="W458" s="98"/>
      <c r="X458" s="98"/>
      <c r="Y458" s="98"/>
      <c r="Z458" s="98"/>
    </row>
    <row r="459" spans="1:26" s="142" customFormat="1" ht="11.25" customHeight="1">
      <c r="A459" s="141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55"/>
      <c r="O459" s="98"/>
      <c r="P459" s="210"/>
      <c r="Q459" s="98"/>
      <c r="R459" s="98"/>
      <c r="S459" s="98"/>
      <c r="T459" s="98"/>
      <c r="U459" s="98"/>
      <c r="V459" s="98"/>
      <c r="W459" s="98"/>
      <c r="X459" s="98"/>
      <c r="Y459" s="98"/>
      <c r="Z459" s="98"/>
    </row>
    <row r="460" spans="3:26" s="142" customFormat="1" ht="11.25" customHeight="1"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210"/>
      <c r="Q460" s="98"/>
      <c r="R460" s="98"/>
      <c r="S460" s="98"/>
      <c r="T460" s="98"/>
      <c r="U460" s="98"/>
      <c r="V460" s="98"/>
      <c r="W460" s="98"/>
      <c r="X460" s="98"/>
      <c r="Y460" s="98"/>
      <c r="Z460" s="98"/>
    </row>
    <row r="461" spans="1:26" s="142" customFormat="1" ht="11.25" customHeight="1">
      <c r="A461" s="132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210"/>
      <c r="Q461" s="98"/>
      <c r="R461" s="98"/>
      <c r="S461" s="98"/>
      <c r="T461" s="98"/>
      <c r="U461" s="98"/>
      <c r="V461" s="98"/>
      <c r="W461" s="98"/>
      <c r="X461" s="98"/>
      <c r="Y461" s="98"/>
      <c r="Z461" s="98"/>
    </row>
    <row r="462" spans="3:26" s="142" customFormat="1" ht="11.25" customHeight="1"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210"/>
      <c r="Q462" s="98"/>
      <c r="R462" s="98"/>
      <c r="S462" s="98"/>
      <c r="T462" s="98"/>
      <c r="U462" s="98"/>
      <c r="V462" s="98"/>
      <c r="W462" s="98"/>
      <c r="X462" s="98"/>
      <c r="Y462" s="98"/>
      <c r="Z462" s="98"/>
    </row>
    <row r="463" spans="1:26" s="142" customFormat="1" ht="11.25" customHeight="1">
      <c r="A463" s="132"/>
      <c r="C463" s="98"/>
      <c r="D463" s="98"/>
      <c r="E463" s="98"/>
      <c r="F463" s="55"/>
      <c r="G463" s="98"/>
      <c r="H463" s="55"/>
      <c r="I463" s="98"/>
      <c r="J463" s="55"/>
      <c r="K463" s="98"/>
      <c r="L463" s="98"/>
      <c r="M463" s="98"/>
      <c r="N463" s="98"/>
      <c r="O463" s="98"/>
      <c r="P463" s="210"/>
      <c r="Q463" s="98"/>
      <c r="R463" s="98"/>
      <c r="S463" s="98"/>
      <c r="T463" s="98"/>
      <c r="U463" s="98"/>
      <c r="V463" s="98"/>
      <c r="W463" s="98"/>
      <c r="X463" s="98"/>
      <c r="Y463" s="98"/>
      <c r="Z463" s="98"/>
    </row>
    <row r="464" spans="3:26" s="142" customFormat="1" ht="11.25" customHeight="1"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210"/>
      <c r="Q464" s="98"/>
      <c r="R464" s="98"/>
      <c r="S464" s="98"/>
      <c r="T464" s="98"/>
      <c r="U464" s="98"/>
      <c r="V464" s="98"/>
      <c r="W464" s="98"/>
      <c r="X464" s="98"/>
      <c r="Y464" s="98"/>
      <c r="Z464" s="98"/>
    </row>
    <row r="465" spans="1:26" s="142" customFormat="1" ht="11.25" customHeight="1">
      <c r="A465" s="132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210"/>
      <c r="Q465" s="98"/>
      <c r="R465" s="98"/>
      <c r="S465" s="98"/>
      <c r="T465" s="98"/>
      <c r="U465" s="98"/>
      <c r="V465" s="98"/>
      <c r="W465" s="98"/>
      <c r="X465" s="98"/>
      <c r="Y465" s="98"/>
      <c r="Z465" s="98"/>
    </row>
    <row r="466" spans="3:26" s="142" customFormat="1" ht="11.25" customHeight="1"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210"/>
      <c r="Q466" s="98"/>
      <c r="R466" s="98"/>
      <c r="S466" s="98"/>
      <c r="T466" s="98"/>
      <c r="U466" s="98"/>
      <c r="V466" s="98"/>
      <c r="W466" s="98"/>
      <c r="X466" s="98"/>
      <c r="Y466" s="98"/>
      <c r="Z466" s="98"/>
    </row>
    <row r="467" spans="1:26" s="142" customFormat="1" ht="11.25" customHeight="1">
      <c r="A467" s="132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210"/>
      <c r="Q467" s="98"/>
      <c r="R467" s="98"/>
      <c r="S467" s="98"/>
      <c r="T467" s="98"/>
      <c r="U467" s="98"/>
      <c r="V467" s="98"/>
      <c r="W467" s="98"/>
      <c r="X467" s="98"/>
      <c r="Y467" s="98"/>
      <c r="Z467" s="98"/>
    </row>
    <row r="468" spans="3:26" s="142" customFormat="1" ht="11.25" customHeight="1"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210"/>
      <c r="Q468" s="98"/>
      <c r="R468" s="98"/>
      <c r="S468" s="98"/>
      <c r="T468" s="98"/>
      <c r="U468" s="98"/>
      <c r="V468" s="98"/>
      <c r="W468" s="98"/>
      <c r="X468" s="98"/>
      <c r="Y468" s="98"/>
      <c r="Z468" s="98"/>
    </row>
    <row r="469" spans="1:26" s="142" customFormat="1" ht="11.25" customHeight="1">
      <c r="A469" s="132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210"/>
      <c r="Q469" s="98"/>
      <c r="R469" s="98"/>
      <c r="S469" s="98"/>
      <c r="T469" s="98"/>
      <c r="U469" s="98"/>
      <c r="V469" s="98"/>
      <c r="W469" s="98"/>
      <c r="X469" s="98"/>
      <c r="Y469" s="98"/>
      <c r="Z469" s="98"/>
    </row>
    <row r="470" spans="3:26" s="142" customFormat="1" ht="11.25" customHeight="1"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210"/>
      <c r="Q470" s="98"/>
      <c r="R470" s="98"/>
      <c r="S470" s="98"/>
      <c r="T470" s="98"/>
      <c r="U470" s="98"/>
      <c r="V470" s="98"/>
      <c r="W470" s="98"/>
      <c r="X470" s="98"/>
      <c r="Y470" s="98"/>
      <c r="Z470" s="98"/>
    </row>
    <row r="471" spans="1:26" s="142" customFormat="1" ht="11.25" customHeight="1">
      <c r="A471" s="132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210"/>
      <c r="Q471" s="98"/>
      <c r="R471" s="98"/>
      <c r="S471" s="98"/>
      <c r="T471" s="98"/>
      <c r="U471" s="98"/>
      <c r="V471" s="98"/>
      <c r="W471" s="98"/>
      <c r="X471" s="98"/>
      <c r="Y471" s="98"/>
      <c r="Z471" s="98"/>
    </row>
    <row r="472" spans="3:26" s="142" customFormat="1" ht="11.25" customHeight="1"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210"/>
      <c r="Q472" s="98"/>
      <c r="R472" s="98"/>
      <c r="S472" s="98"/>
      <c r="T472" s="98"/>
      <c r="U472" s="98"/>
      <c r="V472" s="98"/>
      <c r="W472" s="98"/>
      <c r="X472" s="98"/>
      <c r="Y472" s="98"/>
      <c r="Z472" s="98"/>
    </row>
    <row r="473" spans="1:26" s="142" customFormat="1" ht="11.25" customHeight="1">
      <c r="A473" s="132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210"/>
      <c r="Q473" s="98"/>
      <c r="R473" s="98"/>
      <c r="S473" s="98"/>
      <c r="T473" s="98"/>
      <c r="U473" s="98"/>
      <c r="V473" s="98"/>
      <c r="W473" s="98"/>
      <c r="X473" s="98"/>
      <c r="Y473" s="98"/>
      <c r="Z473" s="98"/>
    </row>
    <row r="474" spans="3:26" s="142" customFormat="1" ht="11.25" customHeight="1"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210"/>
      <c r="Q474" s="98"/>
      <c r="R474" s="98"/>
      <c r="S474" s="98"/>
      <c r="T474" s="98"/>
      <c r="U474" s="98"/>
      <c r="V474" s="98"/>
      <c r="W474" s="98"/>
      <c r="X474" s="98"/>
      <c r="Y474" s="98"/>
      <c r="Z474" s="98"/>
    </row>
    <row r="475" spans="1:26" s="142" customFormat="1" ht="11.25" customHeight="1">
      <c r="A475" s="132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210"/>
      <c r="Q475" s="98"/>
      <c r="R475" s="98"/>
      <c r="S475" s="98"/>
      <c r="T475" s="98"/>
      <c r="U475" s="98"/>
      <c r="V475" s="98"/>
      <c r="W475" s="98"/>
      <c r="X475" s="98"/>
      <c r="Y475" s="98"/>
      <c r="Z475" s="98"/>
    </row>
    <row r="476" spans="3:25" s="142" customFormat="1" ht="11.25" customHeight="1">
      <c r="C476" s="146"/>
      <c r="E476" s="146"/>
      <c r="G476" s="146"/>
      <c r="I476" s="146"/>
      <c r="K476" s="146"/>
      <c r="M476" s="146"/>
      <c r="O476" s="146"/>
      <c r="P476" s="181"/>
      <c r="Q476" s="146"/>
      <c r="S476" s="146"/>
      <c r="U476" s="146"/>
      <c r="W476" s="146"/>
      <c r="Y476" s="146"/>
    </row>
    <row r="477" spans="1:26" s="142" customFormat="1" ht="11.25" customHeight="1">
      <c r="A477" s="132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210"/>
      <c r="Q477" s="98"/>
      <c r="R477" s="98"/>
      <c r="S477" s="98"/>
      <c r="T477" s="98"/>
      <c r="U477" s="98"/>
      <c r="V477" s="98"/>
      <c r="W477" s="98"/>
      <c r="X477" s="98"/>
      <c r="Y477" s="98"/>
      <c r="Z477" s="98"/>
    </row>
    <row r="478" spans="3:25" s="142" customFormat="1" ht="11.25" customHeight="1">
      <c r="C478" s="146"/>
      <c r="E478" s="146"/>
      <c r="G478" s="146"/>
      <c r="I478" s="146"/>
      <c r="K478" s="146"/>
      <c r="M478" s="146"/>
      <c r="O478" s="146"/>
      <c r="P478" s="181"/>
      <c r="Q478" s="146"/>
      <c r="S478" s="146"/>
      <c r="U478" s="146"/>
      <c r="W478" s="146"/>
      <c r="Y478" s="146"/>
    </row>
    <row r="479" spans="3:25" s="142" customFormat="1" ht="11.25" customHeight="1">
      <c r="C479" s="146"/>
      <c r="E479" s="146"/>
      <c r="G479" s="146"/>
      <c r="I479" s="146"/>
      <c r="K479" s="146"/>
      <c r="M479" s="146"/>
      <c r="O479" s="146"/>
      <c r="P479" s="181"/>
      <c r="Q479" s="146"/>
      <c r="S479" s="146"/>
      <c r="U479" s="146"/>
      <c r="W479" s="146"/>
      <c r="Y479" s="146"/>
    </row>
    <row r="480" s="142" customFormat="1" ht="11.25" customHeight="1">
      <c r="P480" s="181"/>
    </row>
    <row r="481" s="142" customFormat="1" ht="11.25" customHeight="1">
      <c r="P481" s="181"/>
    </row>
    <row r="482" s="142" customFormat="1" ht="11.25" customHeight="1">
      <c r="P482" s="181"/>
    </row>
    <row r="483" s="142" customFormat="1" ht="11.25" customHeight="1">
      <c r="P483" s="181"/>
    </row>
    <row r="484" s="142" customFormat="1" ht="11.25" customHeight="1">
      <c r="P484" s="181"/>
    </row>
    <row r="485" s="142" customFormat="1" ht="11.25" customHeight="1">
      <c r="P485" s="181"/>
    </row>
    <row r="486" s="142" customFormat="1" ht="11.25" customHeight="1">
      <c r="P486" s="181"/>
    </row>
    <row r="487" s="142" customFormat="1" ht="11.25" customHeight="1">
      <c r="P487" s="181"/>
    </row>
    <row r="488" s="142" customFormat="1" ht="11.25" customHeight="1">
      <c r="P488" s="181"/>
    </row>
    <row r="489" s="142" customFormat="1" ht="11.25" customHeight="1">
      <c r="P489" s="181"/>
    </row>
    <row r="490" s="142" customFormat="1" ht="11.25" customHeight="1">
      <c r="P490" s="181"/>
    </row>
    <row r="491" s="142" customFormat="1" ht="11.25" customHeight="1">
      <c r="P491" s="181"/>
    </row>
    <row r="492" s="142" customFormat="1" ht="11.25" customHeight="1">
      <c r="P492" s="181"/>
    </row>
    <row r="493" s="142" customFormat="1" ht="11.25" customHeight="1">
      <c r="P493" s="181"/>
    </row>
    <row r="494" s="142" customFormat="1" ht="11.25" customHeight="1">
      <c r="P494" s="181"/>
    </row>
    <row r="495" s="142" customFormat="1" ht="11.25" customHeight="1">
      <c r="P495" s="181"/>
    </row>
    <row r="496" s="142" customFormat="1" ht="11.25" customHeight="1">
      <c r="P496" s="181"/>
    </row>
    <row r="497" s="142" customFormat="1" ht="11.25" customHeight="1">
      <c r="P497" s="181"/>
    </row>
    <row r="498" s="142" customFormat="1" ht="11.25" customHeight="1">
      <c r="P498" s="181"/>
    </row>
    <row r="499" s="142" customFormat="1" ht="11.25" customHeight="1">
      <c r="P499" s="181"/>
    </row>
    <row r="500" s="142" customFormat="1" ht="11.25" customHeight="1">
      <c r="P500" s="181"/>
    </row>
    <row r="501" s="142" customFormat="1" ht="11.25" customHeight="1">
      <c r="P501" s="181"/>
    </row>
    <row r="502" s="142" customFormat="1" ht="11.25" customHeight="1">
      <c r="P502" s="181"/>
    </row>
    <row r="503" s="142" customFormat="1" ht="11.25" customHeight="1">
      <c r="P503" s="181"/>
    </row>
    <row r="504" s="142" customFormat="1" ht="11.25" customHeight="1">
      <c r="P504" s="181"/>
    </row>
    <row r="505" s="142" customFormat="1" ht="11.25" customHeight="1">
      <c r="P505" s="181"/>
    </row>
    <row r="506" s="142" customFormat="1" ht="11.25" customHeight="1">
      <c r="P506" s="181"/>
    </row>
    <row r="507" s="142" customFormat="1" ht="11.25" customHeight="1">
      <c r="P507" s="181"/>
    </row>
    <row r="508" s="142" customFormat="1" ht="11.25" customHeight="1">
      <c r="P508" s="181"/>
    </row>
    <row r="509" s="142" customFormat="1" ht="11.25" customHeight="1">
      <c r="P509" s="181"/>
    </row>
    <row r="510" s="142" customFormat="1" ht="11.25" customHeight="1">
      <c r="P510" s="181"/>
    </row>
    <row r="511" s="142" customFormat="1" ht="11.25" customHeight="1">
      <c r="P511" s="181"/>
    </row>
    <row r="512" s="142" customFormat="1" ht="11.25" customHeight="1">
      <c r="P512" s="181"/>
    </row>
    <row r="513" s="142" customFormat="1" ht="11.25" customHeight="1">
      <c r="P513" s="181"/>
    </row>
    <row r="514" s="142" customFormat="1" ht="11.25" customHeight="1">
      <c r="P514" s="181"/>
    </row>
    <row r="515" s="142" customFormat="1" ht="11.25" customHeight="1">
      <c r="P515" s="181"/>
    </row>
    <row r="516" s="142" customFormat="1" ht="11.25" customHeight="1">
      <c r="P516" s="181"/>
    </row>
    <row r="517" s="142" customFormat="1" ht="11.25" customHeight="1">
      <c r="P517" s="181"/>
    </row>
    <row r="518" s="142" customFormat="1" ht="11.25" customHeight="1">
      <c r="P518" s="181"/>
    </row>
    <row r="519" s="142" customFormat="1" ht="11.25" customHeight="1">
      <c r="P519" s="181"/>
    </row>
    <row r="520" s="142" customFormat="1" ht="11.25" customHeight="1">
      <c r="P520" s="181"/>
    </row>
    <row r="521" s="142" customFormat="1" ht="11.25" customHeight="1">
      <c r="P521" s="181"/>
    </row>
    <row r="522" s="142" customFormat="1" ht="11.25" customHeight="1">
      <c r="P522" s="181"/>
    </row>
    <row r="523" s="142" customFormat="1" ht="11.25" customHeight="1">
      <c r="P523" s="181"/>
    </row>
    <row r="524" s="142" customFormat="1" ht="11.25" customHeight="1">
      <c r="P524" s="181"/>
    </row>
    <row r="525" s="142" customFormat="1" ht="11.25" customHeight="1">
      <c r="P525" s="181"/>
    </row>
    <row r="526" s="142" customFormat="1" ht="11.25" customHeight="1">
      <c r="P526" s="181"/>
    </row>
    <row r="527" s="142" customFormat="1" ht="11.25" customHeight="1">
      <c r="P527" s="181"/>
    </row>
    <row r="528" s="142" customFormat="1" ht="11.25" customHeight="1">
      <c r="P528" s="181"/>
    </row>
    <row r="529" s="142" customFormat="1" ht="11.25" customHeight="1">
      <c r="P529" s="181"/>
    </row>
    <row r="530" s="142" customFormat="1" ht="11.25" customHeight="1">
      <c r="P530" s="181"/>
    </row>
    <row r="531" s="142" customFormat="1" ht="11.25" customHeight="1">
      <c r="P531" s="181"/>
    </row>
    <row r="532" s="142" customFormat="1" ht="11.25" customHeight="1">
      <c r="P532" s="181"/>
    </row>
    <row r="533" s="142" customFormat="1" ht="11.25" customHeight="1">
      <c r="P533" s="181"/>
    </row>
    <row r="534" s="142" customFormat="1" ht="11.25" customHeight="1">
      <c r="P534" s="181"/>
    </row>
    <row r="535" s="142" customFormat="1" ht="11.25" customHeight="1">
      <c r="P535" s="181"/>
    </row>
    <row r="536" s="142" customFormat="1" ht="11.25" customHeight="1">
      <c r="P536" s="181"/>
    </row>
    <row r="537" s="142" customFormat="1" ht="11.25" customHeight="1">
      <c r="P537" s="181"/>
    </row>
    <row r="538" s="142" customFormat="1" ht="11.25" customHeight="1">
      <c r="P538" s="181"/>
    </row>
    <row r="539" s="142" customFormat="1" ht="11.25" customHeight="1">
      <c r="P539" s="181"/>
    </row>
    <row r="540" s="142" customFormat="1" ht="11.25" customHeight="1">
      <c r="P540" s="181"/>
    </row>
    <row r="541" s="142" customFormat="1" ht="11.25" customHeight="1">
      <c r="P541" s="181"/>
    </row>
    <row r="542" s="142" customFormat="1" ht="11.25" customHeight="1">
      <c r="P542" s="181"/>
    </row>
    <row r="543" s="142" customFormat="1" ht="11.25" customHeight="1">
      <c r="P543" s="181"/>
    </row>
    <row r="544" s="142" customFormat="1" ht="11.25" customHeight="1">
      <c r="P544" s="181"/>
    </row>
    <row r="545" s="142" customFormat="1" ht="11.25" customHeight="1">
      <c r="P545" s="181"/>
    </row>
    <row r="546" s="142" customFormat="1" ht="11.25" customHeight="1">
      <c r="P546" s="181"/>
    </row>
    <row r="547" s="142" customFormat="1" ht="11.25" customHeight="1">
      <c r="P547" s="181"/>
    </row>
    <row r="548" s="142" customFormat="1" ht="11.25" customHeight="1">
      <c r="P548" s="181"/>
    </row>
    <row r="549" s="142" customFormat="1" ht="11.25" customHeight="1">
      <c r="P549" s="181"/>
    </row>
    <row r="550" s="142" customFormat="1" ht="11.25" customHeight="1">
      <c r="P550" s="181"/>
    </row>
    <row r="551" s="142" customFormat="1" ht="11.25" customHeight="1">
      <c r="P551" s="181"/>
    </row>
    <row r="552" s="142" customFormat="1" ht="11.25" customHeight="1">
      <c r="P552" s="181"/>
    </row>
    <row r="553" s="142" customFormat="1" ht="11.25" customHeight="1">
      <c r="P553" s="181"/>
    </row>
    <row r="554" s="142" customFormat="1" ht="11.25" customHeight="1">
      <c r="P554" s="181"/>
    </row>
    <row r="555" s="142" customFormat="1" ht="11.25" customHeight="1">
      <c r="P555" s="181"/>
    </row>
    <row r="556" s="142" customFormat="1" ht="11.25" customHeight="1">
      <c r="P556" s="181"/>
    </row>
    <row r="557" s="142" customFormat="1" ht="11.25" customHeight="1">
      <c r="P557" s="181"/>
    </row>
    <row r="558" s="142" customFormat="1" ht="11.25" customHeight="1">
      <c r="P558" s="181"/>
    </row>
    <row r="559" s="142" customFormat="1" ht="11.25" customHeight="1">
      <c r="P559" s="181"/>
    </row>
    <row r="560" s="142" customFormat="1" ht="11.25" customHeight="1">
      <c r="P560" s="181"/>
    </row>
    <row r="561" s="142" customFormat="1" ht="11.25" customHeight="1">
      <c r="P561" s="181"/>
    </row>
    <row r="562" s="142" customFormat="1" ht="11.25" customHeight="1">
      <c r="P562" s="181"/>
    </row>
    <row r="563" s="142" customFormat="1" ht="11.25" customHeight="1">
      <c r="P563" s="181"/>
    </row>
    <row r="564" s="142" customFormat="1" ht="11.25" customHeight="1">
      <c r="P564" s="181"/>
    </row>
    <row r="565" s="142" customFormat="1" ht="11.25" customHeight="1">
      <c r="P565" s="181"/>
    </row>
    <row r="566" s="142" customFormat="1" ht="11.25" customHeight="1">
      <c r="P566" s="181"/>
    </row>
    <row r="567" s="142" customFormat="1" ht="11.25" customHeight="1">
      <c r="P567" s="181"/>
    </row>
    <row r="568" s="142" customFormat="1" ht="11.25" customHeight="1">
      <c r="P568" s="181"/>
    </row>
    <row r="569" s="142" customFormat="1" ht="11.25" customHeight="1">
      <c r="P569" s="181"/>
    </row>
    <row r="570" s="142" customFormat="1" ht="11.25" customHeight="1">
      <c r="P570" s="181"/>
    </row>
    <row r="571" s="142" customFormat="1" ht="11.25" customHeight="1">
      <c r="P571" s="181"/>
    </row>
    <row r="572" s="142" customFormat="1" ht="11.25" customHeight="1">
      <c r="P572" s="181"/>
    </row>
    <row r="573" s="142" customFormat="1" ht="11.25" customHeight="1">
      <c r="P573" s="181"/>
    </row>
    <row r="574" s="142" customFormat="1" ht="11.25" customHeight="1">
      <c r="P574" s="181"/>
    </row>
    <row r="575" s="142" customFormat="1" ht="11.25" customHeight="1">
      <c r="P575" s="181"/>
    </row>
    <row r="576" s="142" customFormat="1" ht="11.25" customHeight="1">
      <c r="P576" s="181"/>
    </row>
    <row r="577" s="142" customFormat="1" ht="11.25" customHeight="1">
      <c r="P577" s="181"/>
    </row>
    <row r="578" s="142" customFormat="1" ht="11.25" customHeight="1">
      <c r="P578" s="181"/>
    </row>
    <row r="579" s="142" customFormat="1" ht="11.25" customHeight="1">
      <c r="P579" s="181"/>
    </row>
    <row r="580" s="142" customFormat="1" ht="11.25" customHeight="1">
      <c r="P580" s="181"/>
    </row>
    <row r="581" s="142" customFormat="1" ht="11.25" customHeight="1">
      <c r="P581" s="181"/>
    </row>
    <row r="582" s="142" customFormat="1" ht="11.25" customHeight="1">
      <c r="P582" s="181"/>
    </row>
    <row r="583" s="142" customFormat="1" ht="11.25" customHeight="1">
      <c r="P583" s="181"/>
    </row>
    <row r="584" s="142" customFormat="1" ht="11.25" customHeight="1">
      <c r="P584" s="181"/>
    </row>
    <row r="585" s="142" customFormat="1" ht="11.25" customHeight="1">
      <c r="P585" s="181"/>
    </row>
    <row r="586" s="142" customFormat="1" ht="11.25" customHeight="1">
      <c r="P586" s="181"/>
    </row>
    <row r="587" s="142" customFormat="1" ht="11.25" customHeight="1">
      <c r="P587" s="181"/>
    </row>
    <row r="588" s="142" customFormat="1" ht="11.25" customHeight="1">
      <c r="P588" s="181"/>
    </row>
    <row r="589" s="142" customFormat="1" ht="11.25" customHeight="1">
      <c r="P589" s="181"/>
    </row>
    <row r="590" s="142" customFormat="1" ht="11.25" customHeight="1">
      <c r="P590" s="181"/>
    </row>
    <row r="591" s="142" customFormat="1" ht="11.25" customHeight="1">
      <c r="P591" s="181"/>
    </row>
    <row r="592" s="142" customFormat="1" ht="11.25" customHeight="1">
      <c r="P592" s="181"/>
    </row>
    <row r="593" s="142" customFormat="1" ht="11.25" customHeight="1">
      <c r="P593" s="181"/>
    </row>
    <row r="594" s="142" customFormat="1" ht="11.25" customHeight="1">
      <c r="P594" s="181"/>
    </row>
    <row r="595" s="142" customFormat="1" ht="11.25" customHeight="1">
      <c r="P595" s="181"/>
    </row>
    <row r="596" s="142" customFormat="1" ht="11.25" customHeight="1">
      <c r="P596" s="181"/>
    </row>
    <row r="597" s="142" customFormat="1" ht="11.25" customHeight="1">
      <c r="P597" s="181"/>
    </row>
    <row r="598" s="142" customFormat="1" ht="11.25" customHeight="1">
      <c r="P598" s="181"/>
    </row>
    <row r="599" s="142" customFormat="1" ht="11.25" customHeight="1">
      <c r="P599" s="181"/>
    </row>
    <row r="600" s="142" customFormat="1" ht="11.25" customHeight="1">
      <c r="P600" s="181"/>
    </row>
    <row r="601" s="142" customFormat="1" ht="11.25" customHeight="1">
      <c r="P601" s="181"/>
    </row>
    <row r="602" s="142" customFormat="1" ht="11.25" customHeight="1">
      <c r="P602" s="181"/>
    </row>
    <row r="603" s="142" customFormat="1" ht="11.25" customHeight="1">
      <c r="P603" s="181"/>
    </row>
    <row r="604" s="142" customFormat="1" ht="11.25" customHeight="1">
      <c r="P604" s="181"/>
    </row>
    <row r="605" s="142" customFormat="1" ht="11.25" customHeight="1">
      <c r="P605" s="181"/>
    </row>
    <row r="606" s="142" customFormat="1" ht="11.25" customHeight="1">
      <c r="P606" s="181"/>
    </row>
    <row r="607" s="142" customFormat="1" ht="11.25" customHeight="1">
      <c r="P607" s="181"/>
    </row>
    <row r="608" s="142" customFormat="1" ht="11.25" customHeight="1">
      <c r="P608" s="181"/>
    </row>
    <row r="609" s="142" customFormat="1" ht="11.25" customHeight="1">
      <c r="P609" s="181"/>
    </row>
    <row r="610" s="142" customFormat="1" ht="11.25" customHeight="1">
      <c r="P610" s="181"/>
    </row>
    <row r="611" s="142" customFormat="1" ht="11.25" customHeight="1">
      <c r="P611" s="181"/>
    </row>
    <row r="612" s="142" customFormat="1" ht="11.25" customHeight="1">
      <c r="P612" s="181"/>
    </row>
    <row r="613" s="142" customFormat="1" ht="11.25" customHeight="1">
      <c r="P613" s="181"/>
    </row>
    <row r="614" s="142" customFormat="1" ht="11.25" customHeight="1">
      <c r="P614" s="181"/>
    </row>
    <row r="615" s="142" customFormat="1" ht="11.25" customHeight="1">
      <c r="P615" s="181"/>
    </row>
    <row r="616" s="142" customFormat="1" ht="11.25" customHeight="1">
      <c r="P616" s="181"/>
    </row>
    <row r="617" s="142" customFormat="1" ht="11.25" customHeight="1">
      <c r="P617" s="181"/>
    </row>
    <row r="618" s="142" customFormat="1" ht="11.25" customHeight="1">
      <c r="P618" s="181"/>
    </row>
    <row r="619" s="142" customFormat="1" ht="11.25" customHeight="1">
      <c r="P619" s="181"/>
    </row>
    <row r="620" s="142" customFormat="1" ht="11.25" customHeight="1">
      <c r="P620" s="181"/>
    </row>
    <row r="621" s="142" customFormat="1" ht="11.25" customHeight="1">
      <c r="P621" s="181"/>
    </row>
    <row r="622" s="142" customFormat="1" ht="11.25" customHeight="1">
      <c r="P622" s="181"/>
    </row>
    <row r="623" s="142" customFormat="1" ht="11.25" customHeight="1">
      <c r="P623" s="181"/>
    </row>
    <row r="624" s="142" customFormat="1" ht="11.25" customHeight="1">
      <c r="P624" s="181"/>
    </row>
    <row r="625" s="142" customFormat="1" ht="11.25" customHeight="1">
      <c r="P625" s="181"/>
    </row>
    <row r="626" s="142" customFormat="1" ht="11.25" customHeight="1">
      <c r="P626" s="181"/>
    </row>
    <row r="627" s="142" customFormat="1" ht="11.25" customHeight="1">
      <c r="P627" s="181"/>
    </row>
    <row r="628" s="142" customFormat="1" ht="11.25" customHeight="1">
      <c r="P628" s="181"/>
    </row>
    <row r="629" s="142" customFormat="1" ht="11.25" customHeight="1">
      <c r="P629" s="181"/>
    </row>
    <row r="630" s="142" customFormat="1" ht="11.25" customHeight="1">
      <c r="P630" s="181"/>
    </row>
    <row r="631" s="142" customFormat="1" ht="11.25" customHeight="1">
      <c r="P631" s="181"/>
    </row>
    <row r="632" s="142" customFormat="1" ht="11.25" customHeight="1">
      <c r="P632" s="181"/>
    </row>
    <row r="633" s="142" customFormat="1" ht="11.25" customHeight="1">
      <c r="P633" s="181"/>
    </row>
    <row r="634" s="142" customFormat="1" ht="11.25" customHeight="1">
      <c r="P634" s="181"/>
    </row>
    <row r="635" s="142" customFormat="1" ht="11.25" customHeight="1">
      <c r="P635" s="181"/>
    </row>
    <row r="636" s="142" customFormat="1" ht="11.25" customHeight="1">
      <c r="P636" s="181"/>
    </row>
    <row r="637" s="142" customFormat="1" ht="11.25" customHeight="1">
      <c r="P637" s="181"/>
    </row>
    <row r="638" s="142" customFormat="1" ht="11.25" customHeight="1">
      <c r="P638" s="181"/>
    </row>
    <row r="639" s="142" customFormat="1" ht="11.25" customHeight="1">
      <c r="P639" s="181"/>
    </row>
    <row r="640" s="142" customFormat="1" ht="11.25" customHeight="1">
      <c r="P640" s="181"/>
    </row>
    <row r="641" s="142" customFormat="1" ht="11.25" customHeight="1">
      <c r="P641" s="181"/>
    </row>
    <row r="642" s="142" customFormat="1" ht="11.25" customHeight="1">
      <c r="P642" s="181"/>
    </row>
    <row r="643" s="142" customFormat="1" ht="11.25" customHeight="1">
      <c r="P643" s="181"/>
    </row>
    <row r="644" s="142" customFormat="1" ht="11.25" customHeight="1">
      <c r="P644" s="181"/>
    </row>
    <row r="645" s="142" customFormat="1" ht="11.25" customHeight="1">
      <c r="P645" s="181"/>
    </row>
    <row r="646" s="142" customFormat="1" ht="11.25" customHeight="1">
      <c r="P646" s="181"/>
    </row>
    <row r="647" s="142" customFormat="1" ht="11.25" customHeight="1">
      <c r="P647" s="181"/>
    </row>
    <row r="648" s="142" customFormat="1" ht="11.25" customHeight="1">
      <c r="P648" s="181"/>
    </row>
    <row r="649" s="142" customFormat="1" ht="11.25" customHeight="1">
      <c r="P649" s="181"/>
    </row>
    <row r="650" s="142" customFormat="1" ht="11.25" customHeight="1">
      <c r="P650" s="181"/>
    </row>
    <row r="651" s="142" customFormat="1" ht="11.25" customHeight="1">
      <c r="P651" s="181"/>
    </row>
    <row r="652" s="142" customFormat="1" ht="11.25" customHeight="1">
      <c r="P652" s="181"/>
    </row>
    <row r="653" s="142" customFormat="1" ht="11.25" customHeight="1">
      <c r="P653" s="181"/>
    </row>
    <row r="654" s="142" customFormat="1" ht="11.25" customHeight="1">
      <c r="P654" s="181"/>
    </row>
    <row r="655" s="142" customFormat="1" ht="11.25" customHeight="1">
      <c r="P655" s="181"/>
    </row>
    <row r="656" s="142" customFormat="1" ht="11.25" customHeight="1">
      <c r="P656" s="181"/>
    </row>
    <row r="657" s="142" customFormat="1" ht="11.25" customHeight="1">
      <c r="P657" s="181"/>
    </row>
    <row r="658" s="142" customFormat="1" ht="11.25" customHeight="1">
      <c r="P658" s="181"/>
    </row>
    <row r="659" s="142" customFormat="1" ht="11.25" customHeight="1">
      <c r="P659" s="181"/>
    </row>
    <row r="660" s="142" customFormat="1" ht="11.25" customHeight="1">
      <c r="P660" s="181"/>
    </row>
    <row r="661" s="142" customFormat="1" ht="11.25" customHeight="1">
      <c r="P661" s="181"/>
    </row>
    <row r="662" s="142" customFormat="1" ht="11.25" customHeight="1">
      <c r="P662" s="181"/>
    </row>
    <row r="663" s="142" customFormat="1" ht="11.25" customHeight="1">
      <c r="P663" s="181"/>
    </row>
    <row r="664" s="142" customFormat="1" ht="11.25" customHeight="1">
      <c r="P664" s="181"/>
    </row>
    <row r="665" s="142" customFormat="1" ht="11.25" customHeight="1">
      <c r="P665" s="181"/>
    </row>
    <row r="666" s="142" customFormat="1" ht="11.25" customHeight="1">
      <c r="P666" s="181"/>
    </row>
    <row r="667" s="142" customFormat="1" ht="11.25" customHeight="1">
      <c r="P667" s="181"/>
    </row>
    <row r="668" s="142" customFormat="1" ht="11.25" customHeight="1">
      <c r="P668" s="181"/>
    </row>
    <row r="669" s="142" customFormat="1" ht="11.25" customHeight="1">
      <c r="P669" s="181"/>
    </row>
    <row r="670" s="142" customFormat="1" ht="11.25" customHeight="1">
      <c r="P670" s="181"/>
    </row>
    <row r="671" s="142" customFormat="1" ht="11.25" customHeight="1">
      <c r="P671" s="181"/>
    </row>
    <row r="672" s="142" customFormat="1" ht="11.25" customHeight="1">
      <c r="P672" s="181"/>
    </row>
    <row r="673" s="142" customFormat="1" ht="11.25" customHeight="1">
      <c r="P673" s="181"/>
    </row>
    <row r="674" s="142" customFormat="1" ht="11.25" customHeight="1">
      <c r="P674" s="181"/>
    </row>
    <row r="675" s="142" customFormat="1" ht="11.25" customHeight="1">
      <c r="P675" s="181"/>
    </row>
    <row r="676" s="142" customFormat="1" ht="11.25" customHeight="1">
      <c r="P676" s="181"/>
    </row>
    <row r="677" s="142" customFormat="1" ht="11.25" customHeight="1">
      <c r="P677" s="181"/>
    </row>
    <row r="678" s="142" customFormat="1" ht="11.25" customHeight="1">
      <c r="P678" s="181"/>
    </row>
    <row r="679" s="142" customFormat="1" ht="11.25" customHeight="1">
      <c r="P679" s="181"/>
    </row>
    <row r="680" s="142" customFormat="1" ht="11.25" customHeight="1">
      <c r="P680" s="181"/>
    </row>
    <row r="681" s="142" customFormat="1" ht="11.25" customHeight="1">
      <c r="P681" s="181"/>
    </row>
    <row r="682" s="142" customFormat="1" ht="11.25" customHeight="1">
      <c r="P682" s="181"/>
    </row>
    <row r="683" s="142" customFormat="1" ht="11.25" customHeight="1">
      <c r="P683" s="181"/>
    </row>
    <row r="684" s="142" customFormat="1" ht="11.25" customHeight="1">
      <c r="P684" s="181"/>
    </row>
    <row r="685" s="142" customFormat="1" ht="11.25" customHeight="1">
      <c r="P685" s="181"/>
    </row>
    <row r="686" s="142" customFormat="1" ht="11.25" customHeight="1">
      <c r="P686" s="181"/>
    </row>
    <row r="687" s="142" customFormat="1" ht="11.25" customHeight="1">
      <c r="P687" s="181"/>
    </row>
    <row r="688" s="142" customFormat="1" ht="11.25" customHeight="1">
      <c r="P688" s="181"/>
    </row>
    <row r="689" s="142" customFormat="1" ht="11.25" customHeight="1">
      <c r="P689" s="181"/>
    </row>
    <row r="690" s="142" customFormat="1" ht="11.25" customHeight="1">
      <c r="P690" s="181"/>
    </row>
    <row r="691" s="142" customFormat="1" ht="11.25" customHeight="1">
      <c r="P691" s="181"/>
    </row>
    <row r="692" s="142" customFormat="1" ht="11.25" customHeight="1">
      <c r="P692" s="181"/>
    </row>
    <row r="693" s="142" customFormat="1" ht="11.25" customHeight="1">
      <c r="P693" s="181"/>
    </row>
    <row r="694" s="142" customFormat="1" ht="11.25" customHeight="1">
      <c r="P694" s="181"/>
    </row>
    <row r="695" s="142" customFormat="1" ht="11.25" customHeight="1">
      <c r="P695" s="181"/>
    </row>
    <row r="696" s="142" customFormat="1" ht="11.25" customHeight="1">
      <c r="P696" s="181"/>
    </row>
    <row r="697" s="142" customFormat="1" ht="11.25" customHeight="1">
      <c r="P697" s="181"/>
    </row>
    <row r="698" s="142" customFormat="1" ht="11.25" customHeight="1">
      <c r="P698" s="181"/>
    </row>
    <row r="699" s="142" customFormat="1" ht="11.25" customHeight="1">
      <c r="P699" s="181"/>
    </row>
    <row r="700" s="142" customFormat="1" ht="11.25" customHeight="1">
      <c r="P700" s="181"/>
    </row>
    <row r="701" s="142" customFormat="1" ht="11.25" customHeight="1">
      <c r="P701" s="181"/>
    </row>
    <row r="702" s="142" customFormat="1" ht="11.25" customHeight="1">
      <c r="P702" s="181"/>
    </row>
    <row r="703" s="142" customFormat="1" ht="11.25" customHeight="1">
      <c r="P703" s="181"/>
    </row>
    <row r="704" s="142" customFormat="1" ht="11.25" customHeight="1">
      <c r="P704" s="181"/>
    </row>
    <row r="705" s="142" customFormat="1" ht="11.25" customHeight="1">
      <c r="P705" s="181"/>
    </row>
    <row r="706" s="142" customFormat="1" ht="11.25" customHeight="1">
      <c r="P706" s="181"/>
    </row>
    <row r="707" s="142" customFormat="1" ht="11.25" customHeight="1">
      <c r="P707" s="181"/>
    </row>
    <row r="708" s="142" customFormat="1" ht="11.25" customHeight="1">
      <c r="P708" s="181"/>
    </row>
    <row r="709" s="142" customFormat="1" ht="11.25" customHeight="1">
      <c r="P709" s="181"/>
    </row>
    <row r="710" s="142" customFormat="1" ht="11.25" customHeight="1">
      <c r="P710" s="181"/>
    </row>
    <row r="711" s="142" customFormat="1" ht="11.25" customHeight="1">
      <c r="P711" s="181"/>
    </row>
    <row r="712" s="142" customFormat="1" ht="11.25" customHeight="1">
      <c r="P712" s="181"/>
    </row>
    <row r="713" s="142" customFormat="1" ht="11.25" customHeight="1">
      <c r="P713" s="181"/>
    </row>
    <row r="714" s="142" customFormat="1" ht="11.25" customHeight="1">
      <c r="P714" s="181"/>
    </row>
    <row r="715" s="142" customFormat="1" ht="11.25" customHeight="1">
      <c r="P715" s="181"/>
    </row>
    <row r="716" s="142" customFormat="1" ht="11.25" customHeight="1">
      <c r="P716" s="181"/>
    </row>
    <row r="717" s="142" customFormat="1" ht="11.25" customHeight="1">
      <c r="P717" s="181"/>
    </row>
    <row r="718" s="142" customFormat="1" ht="11.25" customHeight="1">
      <c r="P718" s="181"/>
    </row>
    <row r="719" s="142" customFormat="1" ht="11.25" customHeight="1">
      <c r="P719" s="181"/>
    </row>
    <row r="720" s="142" customFormat="1" ht="11.25" customHeight="1">
      <c r="P720" s="181"/>
    </row>
    <row r="721" s="142" customFormat="1" ht="11.25" customHeight="1">
      <c r="P721" s="181"/>
    </row>
    <row r="722" s="142" customFormat="1" ht="11.25" customHeight="1">
      <c r="P722" s="181"/>
    </row>
    <row r="723" s="142" customFormat="1" ht="11.25" customHeight="1">
      <c r="P723" s="181"/>
    </row>
    <row r="724" s="142" customFormat="1" ht="11.25" customHeight="1">
      <c r="P724" s="181"/>
    </row>
    <row r="725" s="142" customFormat="1" ht="11.25" customHeight="1">
      <c r="P725" s="181"/>
    </row>
    <row r="726" s="142" customFormat="1" ht="11.25" customHeight="1">
      <c r="P726" s="181"/>
    </row>
    <row r="727" s="142" customFormat="1" ht="11.25" customHeight="1">
      <c r="P727" s="181"/>
    </row>
    <row r="728" s="142" customFormat="1" ht="11.25" customHeight="1">
      <c r="P728" s="181"/>
    </row>
    <row r="729" s="142" customFormat="1" ht="11.25" customHeight="1">
      <c r="P729" s="181"/>
    </row>
    <row r="730" s="142" customFormat="1" ht="11.25" customHeight="1">
      <c r="P730" s="181"/>
    </row>
    <row r="731" s="142" customFormat="1" ht="11.25" customHeight="1">
      <c r="P731" s="181"/>
    </row>
    <row r="732" s="142" customFormat="1" ht="11.25" customHeight="1">
      <c r="P732" s="181"/>
    </row>
    <row r="733" s="142" customFormat="1" ht="11.25" customHeight="1">
      <c r="P733" s="181"/>
    </row>
    <row r="734" s="142" customFormat="1" ht="11.25" customHeight="1">
      <c r="P734" s="181"/>
    </row>
    <row r="735" s="142" customFormat="1" ht="11.25" customHeight="1">
      <c r="P735" s="181"/>
    </row>
    <row r="736" s="142" customFormat="1" ht="11.25" customHeight="1">
      <c r="P736" s="181"/>
    </row>
    <row r="737" s="142" customFormat="1" ht="11.25" customHeight="1">
      <c r="P737" s="181"/>
    </row>
    <row r="738" s="142" customFormat="1" ht="11.25" customHeight="1">
      <c r="P738" s="181"/>
    </row>
    <row r="739" s="142" customFormat="1" ht="11.25" customHeight="1">
      <c r="P739" s="181"/>
    </row>
    <row r="740" s="142" customFormat="1" ht="11.25" customHeight="1">
      <c r="P740" s="181"/>
    </row>
    <row r="741" s="142" customFormat="1" ht="11.25" customHeight="1">
      <c r="P741" s="181"/>
    </row>
    <row r="742" s="142" customFormat="1" ht="11.25" customHeight="1">
      <c r="P742" s="181"/>
    </row>
    <row r="743" s="142" customFormat="1" ht="11.25" customHeight="1">
      <c r="P743" s="181"/>
    </row>
    <row r="744" s="142" customFormat="1" ht="11.25" customHeight="1">
      <c r="P744" s="181"/>
    </row>
    <row r="745" s="142" customFormat="1" ht="11.25" customHeight="1">
      <c r="P745" s="181"/>
    </row>
    <row r="746" s="142" customFormat="1" ht="11.25" customHeight="1">
      <c r="P746" s="181"/>
    </row>
    <row r="747" s="142" customFormat="1" ht="11.25" customHeight="1">
      <c r="P747" s="181"/>
    </row>
    <row r="748" s="142" customFormat="1" ht="11.25" customHeight="1">
      <c r="P748" s="181"/>
    </row>
    <row r="749" s="142" customFormat="1" ht="11.25" customHeight="1">
      <c r="P749" s="181"/>
    </row>
    <row r="750" s="142" customFormat="1" ht="11.25" customHeight="1">
      <c r="P750" s="181"/>
    </row>
    <row r="751" s="142" customFormat="1" ht="11.25" customHeight="1">
      <c r="P751" s="181"/>
    </row>
    <row r="752" s="142" customFormat="1" ht="11.25" customHeight="1">
      <c r="P752" s="181"/>
    </row>
    <row r="753" s="142" customFormat="1" ht="11.25" customHeight="1">
      <c r="P753" s="181"/>
    </row>
    <row r="754" s="142" customFormat="1" ht="11.25" customHeight="1">
      <c r="P754" s="181"/>
    </row>
    <row r="755" s="142" customFormat="1" ht="11.25" customHeight="1">
      <c r="P755" s="181"/>
    </row>
    <row r="756" s="142" customFormat="1" ht="11.25" customHeight="1">
      <c r="P756" s="181"/>
    </row>
    <row r="757" s="142" customFormat="1" ht="11.25" customHeight="1">
      <c r="P757" s="181"/>
    </row>
    <row r="758" s="142" customFormat="1" ht="11.25" customHeight="1">
      <c r="P758" s="181"/>
    </row>
    <row r="759" s="142" customFormat="1" ht="11.25" customHeight="1">
      <c r="P759" s="181"/>
    </row>
    <row r="760" s="142" customFormat="1" ht="11.25" customHeight="1">
      <c r="P760" s="181"/>
    </row>
    <row r="761" s="142" customFormat="1" ht="11.25" customHeight="1">
      <c r="P761" s="181"/>
    </row>
    <row r="762" s="142" customFormat="1" ht="11.25" customHeight="1">
      <c r="P762" s="181"/>
    </row>
    <row r="763" s="142" customFormat="1" ht="11.25" customHeight="1">
      <c r="P763" s="181"/>
    </row>
    <row r="764" s="142" customFormat="1" ht="11.25" customHeight="1">
      <c r="P764" s="181"/>
    </row>
    <row r="765" s="142" customFormat="1" ht="11.25" customHeight="1">
      <c r="P765" s="181"/>
    </row>
    <row r="766" s="142" customFormat="1" ht="11.25" customHeight="1">
      <c r="P766" s="181"/>
    </row>
    <row r="767" s="142" customFormat="1" ht="11.25" customHeight="1">
      <c r="P767" s="181"/>
    </row>
    <row r="768" s="142" customFormat="1" ht="11.25" customHeight="1">
      <c r="P768" s="181"/>
    </row>
    <row r="769" s="142" customFormat="1" ht="11.25" customHeight="1">
      <c r="P769" s="181"/>
    </row>
    <row r="770" s="142" customFormat="1" ht="11.25" customHeight="1">
      <c r="P770" s="181"/>
    </row>
    <row r="771" s="142" customFormat="1" ht="11.25" customHeight="1">
      <c r="P771" s="181"/>
    </row>
    <row r="772" s="142" customFormat="1" ht="11.25" customHeight="1">
      <c r="P772" s="181"/>
    </row>
    <row r="773" s="142" customFormat="1" ht="11.25" customHeight="1">
      <c r="P773" s="181"/>
    </row>
    <row r="774" s="142" customFormat="1" ht="11.25" customHeight="1">
      <c r="P774" s="181"/>
    </row>
    <row r="775" s="142" customFormat="1" ht="11.25" customHeight="1">
      <c r="P775" s="181"/>
    </row>
    <row r="776" s="142" customFormat="1" ht="11.25" customHeight="1">
      <c r="P776" s="181"/>
    </row>
    <row r="777" s="142" customFormat="1" ht="11.25" customHeight="1">
      <c r="P777" s="181"/>
    </row>
    <row r="778" s="142" customFormat="1" ht="11.25" customHeight="1">
      <c r="P778" s="181"/>
    </row>
    <row r="779" s="142" customFormat="1" ht="11.25" customHeight="1">
      <c r="P779" s="181"/>
    </row>
    <row r="780" s="142" customFormat="1" ht="11.25" customHeight="1">
      <c r="P780" s="181"/>
    </row>
    <row r="781" s="142" customFormat="1" ht="11.25" customHeight="1">
      <c r="P781" s="181"/>
    </row>
    <row r="782" s="142" customFormat="1" ht="11.25" customHeight="1">
      <c r="P782" s="181"/>
    </row>
    <row r="783" s="142" customFormat="1" ht="11.25" customHeight="1">
      <c r="P783" s="181"/>
    </row>
    <row r="784" s="142" customFormat="1" ht="11.25" customHeight="1">
      <c r="P784" s="181"/>
    </row>
    <row r="785" s="142" customFormat="1" ht="11.25" customHeight="1">
      <c r="P785" s="181"/>
    </row>
    <row r="786" s="142" customFormat="1" ht="11.25" customHeight="1">
      <c r="P786" s="181"/>
    </row>
    <row r="787" s="142" customFormat="1" ht="11.25" customHeight="1">
      <c r="P787" s="181"/>
    </row>
    <row r="788" s="142" customFormat="1" ht="11.25" customHeight="1">
      <c r="P788" s="181"/>
    </row>
    <row r="789" s="142" customFormat="1" ht="11.25" customHeight="1">
      <c r="P789" s="181"/>
    </row>
    <row r="790" s="142" customFormat="1" ht="11.25" customHeight="1">
      <c r="P790" s="181"/>
    </row>
    <row r="791" s="142" customFormat="1" ht="11.25" customHeight="1">
      <c r="P791" s="181"/>
    </row>
    <row r="792" s="142" customFormat="1" ht="11.25" customHeight="1">
      <c r="P792" s="181"/>
    </row>
    <row r="793" s="142" customFormat="1" ht="11.25" customHeight="1">
      <c r="P793" s="181"/>
    </row>
    <row r="794" s="142" customFormat="1" ht="11.25" customHeight="1">
      <c r="P794" s="181"/>
    </row>
    <row r="795" s="142" customFormat="1" ht="11.25" customHeight="1">
      <c r="P795" s="181"/>
    </row>
    <row r="796" s="142" customFormat="1" ht="11.25" customHeight="1">
      <c r="P796" s="181"/>
    </row>
    <row r="797" s="142" customFormat="1" ht="11.25" customHeight="1">
      <c r="P797" s="181"/>
    </row>
    <row r="798" s="142" customFormat="1" ht="11.25" customHeight="1">
      <c r="P798" s="181"/>
    </row>
    <row r="799" s="142" customFormat="1" ht="11.25" customHeight="1">
      <c r="P799" s="181"/>
    </row>
    <row r="800" s="142" customFormat="1" ht="11.25" customHeight="1">
      <c r="P800" s="181"/>
    </row>
    <row r="801" s="142" customFormat="1" ht="11.25" customHeight="1">
      <c r="P801" s="181"/>
    </row>
    <row r="802" s="142" customFormat="1" ht="11.25" customHeight="1">
      <c r="P802" s="181"/>
    </row>
    <row r="803" s="142" customFormat="1" ht="11.25" customHeight="1">
      <c r="P803" s="181"/>
    </row>
    <row r="804" s="142" customFormat="1" ht="11.25" customHeight="1">
      <c r="P804" s="181"/>
    </row>
    <row r="805" s="142" customFormat="1" ht="11.25" customHeight="1">
      <c r="P805" s="181"/>
    </row>
    <row r="806" s="142" customFormat="1" ht="11.25" customHeight="1">
      <c r="P806" s="181"/>
    </row>
    <row r="807" s="142" customFormat="1" ht="11.25" customHeight="1">
      <c r="P807" s="181"/>
    </row>
    <row r="808" s="142" customFormat="1" ht="11.25" customHeight="1">
      <c r="P808" s="181"/>
    </row>
    <row r="809" s="142" customFormat="1" ht="11.25" customHeight="1">
      <c r="P809" s="181"/>
    </row>
    <row r="810" s="142" customFormat="1" ht="11.25" customHeight="1">
      <c r="P810" s="181"/>
    </row>
    <row r="811" s="142" customFormat="1" ht="11.25" customHeight="1">
      <c r="P811" s="181"/>
    </row>
    <row r="812" s="142" customFormat="1" ht="11.25" customHeight="1">
      <c r="P812" s="181"/>
    </row>
    <row r="813" s="142" customFormat="1" ht="11.25" customHeight="1">
      <c r="P813" s="181"/>
    </row>
    <row r="814" s="142" customFormat="1" ht="11.25" customHeight="1">
      <c r="P814" s="181"/>
    </row>
    <row r="815" s="142" customFormat="1" ht="11.25" customHeight="1">
      <c r="P815" s="181"/>
    </row>
    <row r="816" s="142" customFormat="1" ht="11.25" customHeight="1">
      <c r="P816" s="181"/>
    </row>
    <row r="817" s="142" customFormat="1" ht="11.25" customHeight="1">
      <c r="P817" s="181"/>
    </row>
    <row r="818" s="142" customFormat="1" ht="11.25" customHeight="1">
      <c r="P818" s="181"/>
    </row>
    <row r="819" s="142" customFormat="1" ht="11.25" customHeight="1">
      <c r="P819" s="181"/>
    </row>
    <row r="820" s="142" customFormat="1" ht="11.25" customHeight="1">
      <c r="P820" s="181"/>
    </row>
    <row r="821" s="142" customFormat="1" ht="11.25" customHeight="1">
      <c r="P821" s="181"/>
    </row>
    <row r="822" s="142" customFormat="1" ht="11.25" customHeight="1">
      <c r="P822" s="181"/>
    </row>
    <row r="823" s="142" customFormat="1" ht="11.25" customHeight="1">
      <c r="P823" s="181"/>
    </row>
    <row r="824" s="142" customFormat="1" ht="11.25" customHeight="1">
      <c r="P824" s="181"/>
    </row>
    <row r="825" s="142" customFormat="1" ht="11.25" customHeight="1">
      <c r="P825" s="181"/>
    </row>
    <row r="826" s="142" customFormat="1" ht="11.25" customHeight="1">
      <c r="P826" s="181"/>
    </row>
    <row r="827" s="142" customFormat="1" ht="11.25" customHeight="1">
      <c r="P827" s="181"/>
    </row>
    <row r="828" s="142" customFormat="1" ht="11.25" customHeight="1">
      <c r="P828" s="181"/>
    </row>
    <row r="829" s="142" customFormat="1" ht="11.25" customHeight="1">
      <c r="P829" s="181"/>
    </row>
    <row r="830" s="142" customFormat="1" ht="11.25" customHeight="1">
      <c r="P830" s="181"/>
    </row>
    <row r="831" s="142" customFormat="1" ht="11.25" customHeight="1">
      <c r="P831" s="181"/>
    </row>
    <row r="832" s="142" customFormat="1" ht="11.25" customHeight="1">
      <c r="P832" s="181"/>
    </row>
    <row r="833" s="142" customFormat="1" ht="11.25" customHeight="1">
      <c r="P833" s="181"/>
    </row>
    <row r="834" s="142" customFormat="1" ht="11.25" customHeight="1">
      <c r="P834" s="181"/>
    </row>
    <row r="835" s="142" customFormat="1" ht="11.25" customHeight="1">
      <c r="P835" s="181"/>
    </row>
    <row r="836" s="142" customFormat="1" ht="11.25" customHeight="1">
      <c r="P836" s="181"/>
    </row>
    <row r="837" s="142" customFormat="1" ht="11.25" customHeight="1">
      <c r="P837" s="181"/>
    </row>
    <row r="838" s="142" customFormat="1" ht="11.25" customHeight="1">
      <c r="P838" s="181"/>
    </row>
    <row r="839" s="142" customFormat="1" ht="11.25" customHeight="1">
      <c r="P839" s="181"/>
    </row>
    <row r="840" s="142" customFormat="1" ht="11.25" customHeight="1">
      <c r="P840" s="181"/>
    </row>
    <row r="841" s="142" customFormat="1" ht="11.25" customHeight="1">
      <c r="P841" s="181"/>
    </row>
    <row r="842" s="142" customFormat="1" ht="11.25" customHeight="1">
      <c r="P842" s="181"/>
    </row>
    <row r="843" s="142" customFormat="1" ht="11.25" customHeight="1">
      <c r="P843" s="181"/>
    </row>
    <row r="844" s="142" customFormat="1" ht="11.25" customHeight="1">
      <c r="P844" s="181"/>
    </row>
    <row r="845" s="142" customFormat="1" ht="11.25" customHeight="1">
      <c r="P845" s="181"/>
    </row>
    <row r="846" s="142" customFormat="1" ht="11.25" customHeight="1">
      <c r="P846" s="181"/>
    </row>
    <row r="847" s="142" customFormat="1" ht="11.25" customHeight="1">
      <c r="P847" s="181"/>
    </row>
    <row r="848" s="142" customFormat="1" ht="11.25" customHeight="1">
      <c r="P848" s="181"/>
    </row>
    <row r="849" s="142" customFormat="1" ht="11.25" customHeight="1">
      <c r="P849" s="181"/>
    </row>
    <row r="850" s="142" customFormat="1" ht="11.25" customHeight="1">
      <c r="P850" s="181"/>
    </row>
    <row r="851" s="142" customFormat="1" ht="11.25" customHeight="1">
      <c r="P851" s="181"/>
    </row>
    <row r="852" s="142" customFormat="1" ht="11.25" customHeight="1">
      <c r="P852" s="181"/>
    </row>
    <row r="853" s="142" customFormat="1" ht="11.25" customHeight="1">
      <c r="P853" s="181"/>
    </row>
    <row r="854" s="142" customFormat="1" ht="11.25" customHeight="1">
      <c r="P854" s="181"/>
    </row>
    <row r="855" s="142" customFormat="1" ht="11.25" customHeight="1">
      <c r="P855" s="181"/>
    </row>
    <row r="856" s="142" customFormat="1" ht="11.25" customHeight="1">
      <c r="P856" s="181"/>
    </row>
    <row r="857" s="142" customFormat="1" ht="11.25" customHeight="1">
      <c r="P857" s="181"/>
    </row>
    <row r="858" s="142" customFormat="1" ht="11.25" customHeight="1">
      <c r="P858" s="181"/>
    </row>
    <row r="859" s="142" customFormat="1" ht="11.25" customHeight="1">
      <c r="P859" s="181"/>
    </row>
    <row r="860" s="142" customFormat="1" ht="11.25" customHeight="1">
      <c r="P860" s="181"/>
    </row>
    <row r="861" s="142" customFormat="1" ht="11.25" customHeight="1">
      <c r="P861" s="181"/>
    </row>
    <row r="862" s="142" customFormat="1" ht="11.25" customHeight="1">
      <c r="P862" s="181"/>
    </row>
    <row r="863" s="142" customFormat="1" ht="11.25" customHeight="1">
      <c r="P863" s="181"/>
    </row>
    <row r="864" s="142" customFormat="1" ht="11.25" customHeight="1">
      <c r="P864" s="181"/>
    </row>
    <row r="865" s="142" customFormat="1" ht="11.25" customHeight="1">
      <c r="P865" s="181"/>
    </row>
    <row r="866" s="142" customFormat="1" ht="11.25" customHeight="1">
      <c r="P866" s="181"/>
    </row>
    <row r="867" s="142" customFormat="1" ht="11.25" customHeight="1">
      <c r="P867" s="181"/>
    </row>
    <row r="868" s="142" customFormat="1" ht="11.25" customHeight="1">
      <c r="P868" s="181"/>
    </row>
    <row r="869" s="142" customFormat="1" ht="11.25" customHeight="1">
      <c r="P869" s="181"/>
    </row>
    <row r="870" s="142" customFormat="1" ht="11.25" customHeight="1">
      <c r="P870" s="181"/>
    </row>
    <row r="871" s="142" customFormat="1" ht="11.25" customHeight="1">
      <c r="P871" s="181"/>
    </row>
    <row r="872" s="142" customFormat="1" ht="11.25" customHeight="1">
      <c r="P872" s="181"/>
    </row>
    <row r="873" s="142" customFormat="1" ht="11.25" customHeight="1">
      <c r="P873" s="181"/>
    </row>
    <row r="874" s="142" customFormat="1" ht="11.25" customHeight="1">
      <c r="P874" s="181"/>
    </row>
    <row r="875" s="142" customFormat="1" ht="11.25" customHeight="1">
      <c r="P875" s="181"/>
    </row>
    <row r="876" s="142" customFormat="1" ht="11.25" customHeight="1">
      <c r="P876" s="181"/>
    </row>
    <row r="877" s="142" customFormat="1" ht="11.25" customHeight="1">
      <c r="P877" s="181"/>
    </row>
    <row r="878" s="142" customFormat="1" ht="11.25" customHeight="1">
      <c r="P878" s="181"/>
    </row>
    <row r="879" s="142" customFormat="1" ht="11.25" customHeight="1">
      <c r="P879" s="181"/>
    </row>
    <row r="880" s="142" customFormat="1" ht="11.25" customHeight="1">
      <c r="P880" s="181"/>
    </row>
    <row r="881" s="142" customFormat="1" ht="11.25" customHeight="1">
      <c r="P881" s="181"/>
    </row>
    <row r="882" s="142" customFormat="1" ht="11.25" customHeight="1">
      <c r="P882" s="181"/>
    </row>
    <row r="883" s="142" customFormat="1" ht="11.25" customHeight="1">
      <c r="P883" s="181"/>
    </row>
    <row r="884" s="142" customFormat="1" ht="11.25" customHeight="1">
      <c r="P884" s="181"/>
    </row>
    <row r="885" s="142" customFormat="1" ht="11.25" customHeight="1">
      <c r="P885" s="181"/>
    </row>
    <row r="886" s="142" customFormat="1" ht="11.25" customHeight="1">
      <c r="P886" s="181"/>
    </row>
    <row r="887" s="142" customFormat="1" ht="11.25" customHeight="1">
      <c r="P887" s="181"/>
    </row>
    <row r="888" s="142" customFormat="1" ht="11.25" customHeight="1">
      <c r="P888" s="181"/>
    </row>
    <row r="889" s="142" customFormat="1" ht="11.25" customHeight="1">
      <c r="P889" s="181"/>
    </row>
    <row r="890" s="142" customFormat="1" ht="11.25" customHeight="1">
      <c r="P890" s="181"/>
    </row>
    <row r="891" s="142" customFormat="1" ht="11.25" customHeight="1">
      <c r="P891" s="181"/>
    </row>
    <row r="892" s="142" customFormat="1" ht="11.25" customHeight="1">
      <c r="P892" s="181"/>
    </row>
    <row r="893" s="142" customFormat="1" ht="11.25" customHeight="1">
      <c r="P893" s="181"/>
    </row>
    <row r="894" s="142" customFormat="1" ht="11.25" customHeight="1">
      <c r="P894" s="181"/>
    </row>
    <row r="895" s="142" customFormat="1" ht="11.25" customHeight="1">
      <c r="P895" s="181"/>
    </row>
    <row r="896" s="142" customFormat="1" ht="11.25" customHeight="1">
      <c r="P896" s="181"/>
    </row>
    <row r="897" s="142" customFormat="1" ht="11.25" customHeight="1">
      <c r="P897" s="181"/>
    </row>
    <row r="898" s="142" customFormat="1" ht="11.25" customHeight="1">
      <c r="P898" s="181"/>
    </row>
    <row r="899" s="142" customFormat="1" ht="11.25" customHeight="1">
      <c r="P899" s="181"/>
    </row>
    <row r="900" s="142" customFormat="1" ht="11.25" customHeight="1">
      <c r="P900" s="181"/>
    </row>
    <row r="901" s="142" customFormat="1" ht="11.25" customHeight="1">
      <c r="P901" s="181"/>
    </row>
    <row r="902" s="142" customFormat="1" ht="11.25" customHeight="1">
      <c r="P902" s="181"/>
    </row>
    <row r="903" s="142" customFormat="1" ht="11.25" customHeight="1">
      <c r="P903" s="181"/>
    </row>
    <row r="904" s="142" customFormat="1" ht="11.25" customHeight="1">
      <c r="P904" s="181"/>
    </row>
    <row r="905" s="142" customFormat="1" ht="11.25" customHeight="1">
      <c r="P905" s="181"/>
    </row>
    <row r="906" s="142" customFormat="1" ht="11.25" customHeight="1">
      <c r="P906" s="181"/>
    </row>
    <row r="907" s="142" customFormat="1" ht="11.25" customHeight="1">
      <c r="P907" s="181"/>
    </row>
    <row r="908" s="142" customFormat="1" ht="11.25" customHeight="1">
      <c r="P908" s="181"/>
    </row>
    <row r="909" s="142" customFormat="1" ht="11.25" customHeight="1">
      <c r="P909" s="181"/>
    </row>
    <row r="910" s="142" customFormat="1" ht="11.25" customHeight="1">
      <c r="P910" s="181"/>
    </row>
    <row r="911" s="142" customFormat="1" ht="11.25" customHeight="1">
      <c r="P911" s="181"/>
    </row>
    <row r="912" s="142" customFormat="1" ht="11.25" customHeight="1">
      <c r="P912" s="181"/>
    </row>
    <row r="913" s="142" customFormat="1" ht="11.25" customHeight="1">
      <c r="P913" s="181"/>
    </row>
    <row r="914" s="142" customFormat="1" ht="11.25" customHeight="1">
      <c r="P914" s="181"/>
    </row>
    <row r="915" s="142" customFormat="1" ht="11.25" customHeight="1">
      <c r="P915" s="181"/>
    </row>
    <row r="916" s="142" customFormat="1" ht="11.25" customHeight="1">
      <c r="P916" s="181"/>
    </row>
    <row r="917" s="142" customFormat="1" ht="11.25" customHeight="1">
      <c r="P917" s="181"/>
    </row>
    <row r="918" s="142" customFormat="1" ht="11.25" customHeight="1">
      <c r="P918" s="181"/>
    </row>
    <row r="919" s="142" customFormat="1" ht="11.25" customHeight="1">
      <c r="P919" s="181"/>
    </row>
    <row r="920" s="142" customFormat="1" ht="11.25" customHeight="1">
      <c r="P920" s="181"/>
    </row>
    <row r="921" s="142" customFormat="1" ht="11.25" customHeight="1">
      <c r="P921" s="181"/>
    </row>
    <row r="922" s="142" customFormat="1" ht="11.25" customHeight="1">
      <c r="P922" s="181"/>
    </row>
    <row r="923" s="142" customFormat="1" ht="11.25" customHeight="1">
      <c r="P923" s="181"/>
    </row>
    <row r="924" s="142" customFormat="1" ht="11.25" customHeight="1">
      <c r="P924" s="181"/>
    </row>
    <row r="925" s="142" customFormat="1" ht="11.25" customHeight="1">
      <c r="P925" s="181"/>
    </row>
    <row r="926" s="142" customFormat="1" ht="11.25" customHeight="1">
      <c r="P926" s="181"/>
    </row>
    <row r="927" s="142" customFormat="1" ht="11.25" customHeight="1">
      <c r="P927" s="181"/>
    </row>
    <row r="928" s="142" customFormat="1" ht="11.25" customHeight="1">
      <c r="P928" s="181"/>
    </row>
    <row r="929" s="142" customFormat="1" ht="11.25" customHeight="1">
      <c r="P929" s="181"/>
    </row>
    <row r="930" s="142" customFormat="1" ht="11.25" customHeight="1">
      <c r="P930" s="181"/>
    </row>
    <row r="931" s="142" customFormat="1" ht="11.25" customHeight="1">
      <c r="P931" s="181"/>
    </row>
    <row r="932" s="142" customFormat="1" ht="11.25" customHeight="1">
      <c r="P932" s="181"/>
    </row>
    <row r="933" s="142" customFormat="1" ht="11.25" customHeight="1">
      <c r="P933" s="181"/>
    </row>
    <row r="934" s="142" customFormat="1" ht="11.25" customHeight="1">
      <c r="P934" s="181"/>
    </row>
    <row r="935" s="142" customFormat="1" ht="11.25" customHeight="1">
      <c r="P935" s="181"/>
    </row>
    <row r="936" s="142" customFormat="1" ht="11.25" customHeight="1">
      <c r="P936" s="181"/>
    </row>
    <row r="937" s="142" customFormat="1" ht="11.25" customHeight="1">
      <c r="P937" s="181"/>
    </row>
    <row r="938" s="142" customFormat="1" ht="11.25" customHeight="1">
      <c r="P938" s="181"/>
    </row>
    <row r="939" s="142" customFormat="1" ht="11.25" customHeight="1">
      <c r="P939" s="181"/>
    </row>
    <row r="940" s="142" customFormat="1" ht="11.25" customHeight="1">
      <c r="P940" s="181"/>
    </row>
    <row r="941" s="142" customFormat="1" ht="11.25" customHeight="1">
      <c r="P941" s="181"/>
    </row>
    <row r="942" s="142" customFormat="1" ht="11.25" customHeight="1">
      <c r="P942" s="181"/>
    </row>
    <row r="943" s="142" customFormat="1" ht="11.25" customHeight="1">
      <c r="P943" s="181"/>
    </row>
    <row r="944" s="142" customFormat="1" ht="11.25" customHeight="1">
      <c r="P944" s="181"/>
    </row>
    <row r="945" s="142" customFormat="1" ht="11.25" customHeight="1">
      <c r="P945" s="181"/>
    </row>
    <row r="946" s="142" customFormat="1" ht="11.25" customHeight="1">
      <c r="P946" s="181"/>
    </row>
    <row r="947" s="142" customFormat="1" ht="11.25" customHeight="1">
      <c r="P947" s="181"/>
    </row>
    <row r="948" s="142" customFormat="1" ht="11.25" customHeight="1">
      <c r="P948" s="181"/>
    </row>
    <row r="949" s="142" customFormat="1" ht="11.25" customHeight="1">
      <c r="P949" s="181"/>
    </row>
    <row r="950" s="142" customFormat="1" ht="11.25" customHeight="1">
      <c r="P950" s="181"/>
    </row>
    <row r="951" s="142" customFormat="1" ht="11.25" customHeight="1">
      <c r="P951" s="181"/>
    </row>
    <row r="952" s="142" customFormat="1" ht="11.25" customHeight="1">
      <c r="P952" s="181"/>
    </row>
    <row r="953" s="142" customFormat="1" ht="11.25" customHeight="1">
      <c r="P953" s="181"/>
    </row>
    <row r="954" s="142" customFormat="1" ht="11.25" customHeight="1">
      <c r="P954" s="181"/>
    </row>
    <row r="955" s="142" customFormat="1" ht="11.25" customHeight="1">
      <c r="P955" s="181"/>
    </row>
    <row r="956" s="142" customFormat="1" ht="11.25" customHeight="1">
      <c r="P956" s="181"/>
    </row>
    <row r="957" s="142" customFormat="1" ht="11.25" customHeight="1">
      <c r="P957" s="181"/>
    </row>
    <row r="958" s="142" customFormat="1" ht="11.25" customHeight="1">
      <c r="P958" s="181"/>
    </row>
    <row r="959" s="142" customFormat="1" ht="11.25" customHeight="1">
      <c r="P959" s="181"/>
    </row>
    <row r="960" s="142" customFormat="1" ht="11.25" customHeight="1">
      <c r="P960" s="181"/>
    </row>
    <row r="961" s="142" customFormat="1" ht="11.25" customHeight="1">
      <c r="P961" s="181"/>
    </row>
    <row r="962" s="142" customFormat="1" ht="11.25" customHeight="1">
      <c r="P962" s="181"/>
    </row>
    <row r="963" s="142" customFormat="1" ht="11.25" customHeight="1">
      <c r="P963" s="181"/>
    </row>
    <row r="964" s="142" customFormat="1" ht="11.25" customHeight="1">
      <c r="P964" s="181"/>
    </row>
    <row r="965" s="142" customFormat="1" ht="11.25" customHeight="1">
      <c r="P965" s="181"/>
    </row>
    <row r="966" s="142" customFormat="1" ht="11.25" customHeight="1">
      <c r="P966" s="181"/>
    </row>
    <row r="967" s="142" customFormat="1" ht="11.25" customHeight="1">
      <c r="P967" s="181"/>
    </row>
    <row r="968" s="142" customFormat="1" ht="11.25" customHeight="1">
      <c r="P968" s="181"/>
    </row>
    <row r="969" s="142" customFormat="1" ht="11.25" customHeight="1">
      <c r="P969" s="181"/>
    </row>
    <row r="970" s="142" customFormat="1" ht="11.25" customHeight="1">
      <c r="P970" s="181"/>
    </row>
    <row r="971" s="142" customFormat="1" ht="11.25" customHeight="1">
      <c r="P971" s="181"/>
    </row>
    <row r="972" s="142" customFormat="1" ht="11.25" customHeight="1">
      <c r="P972" s="181"/>
    </row>
    <row r="973" s="142" customFormat="1" ht="11.25" customHeight="1">
      <c r="P973" s="181"/>
    </row>
    <row r="974" s="142" customFormat="1" ht="11.25" customHeight="1">
      <c r="P974" s="181"/>
    </row>
    <row r="975" s="142" customFormat="1" ht="11.25" customHeight="1">
      <c r="P975" s="181"/>
    </row>
    <row r="976" s="142" customFormat="1" ht="11.25" customHeight="1">
      <c r="P976" s="181"/>
    </row>
    <row r="977" s="142" customFormat="1" ht="11.25" customHeight="1">
      <c r="P977" s="181"/>
    </row>
    <row r="978" s="142" customFormat="1" ht="11.25" customHeight="1">
      <c r="P978" s="181"/>
    </row>
    <row r="979" s="142" customFormat="1" ht="11.25" customHeight="1">
      <c r="P979" s="181"/>
    </row>
    <row r="980" s="142" customFormat="1" ht="11.25" customHeight="1">
      <c r="P980" s="181"/>
    </row>
    <row r="981" s="142" customFormat="1" ht="11.25" customHeight="1">
      <c r="P981" s="181"/>
    </row>
    <row r="982" s="142" customFormat="1" ht="11.25" customHeight="1">
      <c r="P982" s="181"/>
    </row>
    <row r="983" s="142" customFormat="1" ht="11.25" customHeight="1">
      <c r="P983" s="181"/>
    </row>
    <row r="984" s="142" customFormat="1" ht="11.25" customHeight="1">
      <c r="P984" s="181"/>
    </row>
    <row r="985" s="142" customFormat="1" ht="11.25" customHeight="1">
      <c r="P985" s="181"/>
    </row>
    <row r="986" s="142" customFormat="1" ht="11.25" customHeight="1">
      <c r="P986" s="181"/>
    </row>
    <row r="987" s="142" customFormat="1" ht="11.25" customHeight="1">
      <c r="P987" s="181"/>
    </row>
    <row r="988" s="142" customFormat="1" ht="11.25" customHeight="1">
      <c r="P988" s="181"/>
    </row>
    <row r="989" s="142" customFormat="1" ht="11.25" customHeight="1">
      <c r="P989" s="181"/>
    </row>
    <row r="990" s="142" customFormat="1" ht="11.25" customHeight="1">
      <c r="P990" s="181"/>
    </row>
    <row r="991" s="142" customFormat="1" ht="11.25" customHeight="1">
      <c r="P991" s="181"/>
    </row>
    <row r="992" s="142" customFormat="1" ht="11.25" customHeight="1">
      <c r="P992" s="181"/>
    </row>
    <row r="993" s="142" customFormat="1" ht="11.25" customHeight="1">
      <c r="P993" s="181"/>
    </row>
    <row r="994" s="142" customFormat="1" ht="11.25" customHeight="1">
      <c r="P994" s="181"/>
    </row>
    <row r="995" s="142" customFormat="1" ht="11.25" customHeight="1">
      <c r="P995" s="181"/>
    </row>
    <row r="996" s="142" customFormat="1" ht="11.25" customHeight="1">
      <c r="P996" s="181"/>
    </row>
    <row r="997" s="142" customFormat="1" ht="11.25" customHeight="1">
      <c r="P997" s="181"/>
    </row>
    <row r="998" s="142" customFormat="1" ht="11.25" customHeight="1">
      <c r="P998" s="181"/>
    </row>
    <row r="999" s="142" customFormat="1" ht="11.25" customHeight="1">
      <c r="P999" s="181"/>
    </row>
    <row r="1000" s="142" customFormat="1" ht="11.25" customHeight="1">
      <c r="P1000" s="181"/>
    </row>
    <row r="1001" s="142" customFormat="1" ht="11.25" customHeight="1">
      <c r="P1001" s="181"/>
    </row>
  </sheetData>
  <printOptions/>
  <pageMargins left="0.93" right="0.5" top="1" bottom="0.5" header="0.5" footer="0.5"/>
  <pageSetup fitToHeight="0" fitToWidth="1" horizontalDpi="360" verticalDpi="360" orientation="landscape" paperSize="5" r:id="rId1"/>
  <rowBreaks count="11" manualBreakCount="11">
    <brk id="40" max="26" man="1"/>
    <brk id="78" min="30" max="54" man="1"/>
    <brk id="80" max="26" man="1"/>
    <brk id="119" max="26" man="1"/>
    <brk id="119" min="30" max="54" man="1"/>
    <brk id="154" min="30" max="54" man="1"/>
    <brk id="156" max="26" man="1"/>
    <brk id="195" min="30" max="54" man="1"/>
    <brk id="196" max="26" man="1"/>
    <brk id="232" max="26" man="1"/>
    <brk id="27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NJCCC</cp:lastModifiedBy>
  <cp:lastPrinted>2002-01-15T19:40:47Z</cp:lastPrinted>
  <dcterms:created xsi:type="dcterms:W3CDTF">1998-07-14T19:29:00Z</dcterms:created>
  <dcterms:modified xsi:type="dcterms:W3CDTF">2007-09-06T14:42:27Z</dcterms:modified>
  <cp:category/>
  <cp:version/>
  <cp:contentType/>
  <cp:contentStatus/>
</cp:coreProperties>
</file>