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778" activeTab="0"/>
  </bookViews>
  <sheets>
    <sheet name="Instructions" sheetId="1" r:id="rId1"/>
    <sheet name="EE Contracts if Entity Invests" sheetId="2" r:id="rId2"/>
    <sheet name="EE Contract if NO Entity Invest" sheetId="3" r:id="rId3"/>
    <sheet name="RE Contract" sheetId="4" r:id="rId4"/>
    <sheet name="Calculations" sheetId="5" r:id="rId5"/>
  </sheets>
  <definedNames/>
  <calcPr fullCalcOnLoad="1"/>
</workbook>
</file>

<file path=xl/sharedStrings.xml><?xml version="1.0" encoding="utf-8"?>
<sst xmlns="http://schemas.openxmlformats.org/spreadsheetml/2006/main" count="147" uniqueCount="99">
  <si>
    <t>Energy Efficiency Contracts (If the Public Entity Invests Capital)</t>
  </si>
  <si>
    <t>Total</t>
  </si>
  <si>
    <t>Tax Credits Per Unit ($)</t>
  </si>
  <si>
    <t>Incentives Paid Per Unit ($)</t>
  </si>
  <si>
    <t>Participant Costs (Per Unit)</t>
  </si>
  <si>
    <t>Yearly Incremental Costs</t>
  </si>
  <si>
    <t>Discount Rate</t>
  </si>
  <si>
    <t>Baseline Usage (MMBtu)</t>
  </si>
  <si>
    <t>Efficiency Measure Usage (MMBtu)</t>
  </si>
  <si>
    <t>Number of Measures Installed</t>
  </si>
  <si>
    <t>Retail Electricity Rate ($/kWh)</t>
  </si>
  <si>
    <t>Retail Natural Gas Rate ($/MMBtu)</t>
  </si>
  <si>
    <t>Total Incentives Recieved ($)</t>
  </si>
  <si>
    <t>Inputs</t>
  </si>
  <si>
    <t>Outputs</t>
  </si>
  <si>
    <t>Lifetime of Measures</t>
  </si>
  <si>
    <t>Participant Benefits</t>
  </si>
  <si>
    <t>Electricity Cost Savings</t>
  </si>
  <si>
    <t>Natural Gas Cost Savings</t>
  </si>
  <si>
    <t>Participant Costs</t>
  </si>
  <si>
    <t>Natural Gas Savings</t>
  </si>
  <si>
    <t>Year</t>
  </si>
  <si>
    <t>Avg. Price</t>
  </si>
  <si>
    <t>MMBTU Conserved</t>
  </si>
  <si>
    <t>Present Value</t>
  </si>
  <si>
    <t>Yearly Natural Gas Savings</t>
  </si>
  <si>
    <t>Yearly Electricity Savings</t>
  </si>
  <si>
    <t>kWh Saved</t>
  </si>
  <si>
    <t>Baseline Usage (kWh)</t>
  </si>
  <si>
    <t>Efficiency Measure Usage (kWh)</t>
  </si>
  <si>
    <t>Yearly Participant Benefits</t>
  </si>
  <si>
    <t>Tax Credits</t>
  </si>
  <si>
    <t>Incentives Received</t>
  </si>
  <si>
    <t>Capital Incremental Costs</t>
  </si>
  <si>
    <t>Capital Incremental Costs ($)</t>
  </si>
  <si>
    <t>Yearly Participant Costs</t>
  </si>
  <si>
    <t>Participant Cost Test</t>
  </si>
  <si>
    <t>Benefit-Cost Ratio</t>
  </si>
  <si>
    <t>Energy Efficiency Contracts (If the Public Entity Does Not Invests Capital)</t>
  </si>
  <si>
    <t>Power Purchase Agreement Rate ($/kWh)</t>
  </si>
  <si>
    <t>Electricity Purchased Through Power Purchase Agreement (kWh)</t>
  </si>
  <si>
    <t>Length of Power Purchase Agreement (Years)</t>
  </si>
  <si>
    <t>Energy Cost Savings</t>
  </si>
  <si>
    <t>Renewable Energy Contracts</t>
  </si>
  <si>
    <t>Retail Rate</t>
  </si>
  <si>
    <t>PPA Rate</t>
  </si>
  <si>
    <t xml:space="preserve">Measure Description:  </t>
  </si>
  <si>
    <t>Results</t>
  </si>
  <si>
    <t>Total Electricity Saved by Program per year (kWh)</t>
  </si>
  <si>
    <t>Electricity Savings per year (Per Unit)</t>
  </si>
  <si>
    <t>Total Natural Gas Savings Program per year (MMBtu)</t>
  </si>
  <si>
    <t>Natural Gas Savings per year (Per Unit)</t>
  </si>
  <si>
    <t>Notes:</t>
  </si>
  <si>
    <t>Yearly Incremental Costs/Savings ($)</t>
  </si>
  <si>
    <t>1.)  Green cells require user input.</t>
  </si>
  <si>
    <t>3.)  If Yearly Incremental Savings are achieved, insert the value as a negavite number.</t>
  </si>
  <si>
    <t>2.)  Red cells should be left unaltered.</t>
  </si>
  <si>
    <t>ESC Yearly Elec Bought</t>
  </si>
  <si>
    <t>PPA Yearly Elec. Bought</t>
  </si>
  <si>
    <t>The following spreadsheet tabs include calcualtions to determine the energy cost savings and cost effectiveness of energy efficiency and renewable energy contracts.</t>
  </si>
  <si>
    <t>Instructions below walk the Program Administrator through the tabs of the Workbook to determine savings.</t>
  </si>
  <si>
    <t xml:space="preserve">Energy efficiency contracts where the public entity invests capital are projects that are completely financed by the public entity.  </t>
  </si>
  <si>
    <t>Below are instructions for the information needed in each cell of the worksheet:</t>
  </si>
  <si>
    <t>2. Lifetime of Measures:  The amount of time, in years, that the measure will be in service.</t>
  </si>
  <si>
    <t>3. Estimated Electricity Savings per year (Per Unit)</t>
  </si>
  <si>
    <t>4. Estimated Total Electricity Saved by Program per Year (kWh):  The total amount of electricity that will be saved by the program per year.  The total amount of electricity saved is the difference between the baseline and efficiency measure usage per unit, multiplied by the number of units.</t>
  </si>
  <si>
    <t>5. Retail Electricity Rate ($/kWh):  The rate at which the public entity pays for electricity.</t>
  </si>
  <si>
    <t>6. Estimated Natural Gas Savings per year (Per Unit)</t>
  </si>
  <si>
    <t>Baseline Usage (kWh):  The amount of yearly natural gas that is used by the measure being replaced.</t>
  </si>
  <si>
    <t>Efficiency Measure Usage (kWh):  The amount of yearly natural gas that is used by the efficient measure being installed.</t>
  </si>
  <si>
    <t>7. Estimated Total Natural Gas Saved by Program (MMBtu):  The total amount of natural gas that will be saved by the program per year.  The total amount of natural gas saved is the difference between the baseline and efficiency measure usage per unit, multiplied by the number of units.</t>
  </si>
  <si>
    <t>8. Retail Natural Gas Rate ($/MMBtu):  The rate at which the public entity pays for natural gas.</t>
  </si>
  <si>
    <t>9. Tax Credits Per Unit ($):  The total amount of tax credits received by the public entity for each measure installed.</t>
  </si>
  <si>
    <t>10. Total Incentives Received ($):  The total amount of rebates and incentives received by the public entity.</t>
  </si>
  <si>
    <t>11. Incentives Received Per Unit ($):  The amount of rebates and incentives received by the public entity per measure installed.</t>
  </si>
  <si>
    <t>12. Estimated Participant Costs (Per Unit)</t>
  </si>
  <si>
    <t>13. Discount Rate:  A nominal discount rate of 8% will be used.</t>
  </si>
  <si>
    <t xml:space="preserve">1. Number of Measures Installed:  The total number of measures that are being installed in the facility. For example, if it is a lighting project and there are 30 lighting units being installed, the number of measures will be 30. </t>
  </si>
  <si>
    <t>1.) 'EE Contracts if Entity Invest' Tab</t>
  </si>
  <si>
    <t xml:space="preserve">Energy efficiency contracts where the public entity does not invest capital are projects that are financed by a third party and the public entity negotiates a energy savings contract where they agree to purchase a specific amount of energy at a reduced rate while using specified energy efficiency measures.  </t>
  </si>
  <si>
    <t>1. Length of Energy Savings Contract (Years):  The total amount of time that the power purchase agreement spans.</t>
  </si>
  <si>
    <t>2. Retail Electricity Rate ($/kWh):  The rate at which the public entity pays for electricity.</t>
  </si>
  <si>
    <t>3. Energy Savings Contract Rate ($/kWh):  The rate at which the public entity agrees to pays for electricity through the power purchase agreement.</t>
  </si>
  <si>
    <t>4. Electricity Purchased Through Energy Savings Contract  (kWh):  The amount of electricity purchased through the power purchase agreement power year.</t>
  </si>
  <si>
    <t>5. Discount Rate:  A nominal discount rate of 8% will be used.</t>
  </si>
  <si>
    <t xml:space="preserve">Renewable energy contracts are projects that are financed by a third party and the public entity negotiates a power purchase agreement where they agree to purchase a specific amount of energy at a reduced rate while using specified renewable energy measures.  </t>
  </si>
  <si>
    <t>1. Length of Power Purchase Agreement (Years):  This is the total amount of time that the power purchase agreement spans.</t>
  </si>
  <si>
    <t>2. Retail Electricity Rate ($/kWh):  This is the rate at which the public entity pays for electricity.</t>
  </si>
  <si>
    <t>3. Power Purchase Agreement Rate ($/kWh):  This is the rate at which the public entity agrees to pays for electricity through the power purchase agreement.</t>
  </si>
  <si>
    <t>4. Electricity Purchased Through Power Purchase Agreement (kWh):  This is the amount of electricity purchased through the power purchase agreement power year.</t>
  </si>
  <si>
    <t>5. Discount Rate:  a nominal discount rate of 8% will be used.</t>
  </si>
  <si>
    <t>2.) 'EE Contracts if NO Entity Invest' Tab</t>
  </si>
  <si>
    <t>3.) 'RE Contract' Tab</t>
  </si>
  <si>
    <t>4.) 'Calculations' Tab</t>
  </si>
  <si>
    <t>This tab calculates the savings and cost-effectiveness of the progams and should not be altered.</t>
  </si>
  <si>
    <t xml:space="preserve">            b.) Efficiency Measure Usage (kWh):  The amount of yearly electricity that is used by the efficient measure being installed.</t>
  </si>
  <si>
    <t xml:space="preserve">            a.)  Baseline Usage (kWh):  The amount of yearly electricity that is used by the measure being replaced.</t>
  </si>
  <si>
    <t xml:space="preserve">            a.) Capital Incremental Costs ($):  The total additional upfront cost of purchasing the efficiency measures.  For example, if a standard light bulb costs $1 and an efficient light bulb costs $5, the incremental cost for the efficient light bulb is $4.</t>
  </si>
  <si>
    <t xml:space="preserve">            b.)Yearly Incremental Costs ($):  The total additional yearly cost, or savings, of operating and maintaining the efficiency measures.  For example, an efficient HVAC system requires additional maintenance time compared to a standard system, which must be accounted for and monetized.  Also, efficient lighting may require less cleaning than regular lighting, so this must be accounted for and entered as a negative cost.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</si>
</sst>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0.0000_)"/>
    <numFmt numFmtId="168" formatCode="0.00_)"/>
    <numFmt numFmtId="169" formatCode="&quot;Yes&quot;;&quot;Yes&quot;;&quot;No&quot;"/>
    <numFmt numFmtId="170" formatCode="&quot;True&quot;;&quot;True&quot;;&quot;False&quot;"/>
    <numFmt numFmtId="171" formatCode="&quot;On&quot;;&quot;On&quot;;&quot;Off&quot;"/>
    <numFmt numFmtId="172" formatCode="[$€-2]\ #,##0.00_);[Red]\([$€-2]\ #,##0.00\)"/>
  </numFmts>
  <fonts count="8">
    <font>
      <sz val="10"/>
      <name val="Arial"/>
      <family val="0"/>
    </font>
    <font>
      <b/>
      <u val="single"/>
      <sz val="10"/>
      <name val="Arial"/>
      <family val="2"/>
    </font>
    <font>
      <sz val="8"/>
      <name val="Arial"/>
      <family val="0"/>
    </font>
    <font>
      <sz val="14"/>
      <name val="Arial"/>
      <family val="0"/>
    </font>
    <font>
      <b/>
      <u val="single"/>
      <sz val="12"/>
      <name val="Arial"/>
      <family val="2"/>
    </font>
    <font>
      <b/>
      <sz val="12"/>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s>
  <borders count="9">
    <border>
      <left/>
      <right/>
      <top/>
      <bottom/>
      <diagonal/>
    </border>
    <border>
      <left style="medium"/>
      <right>
        <color indexed="63"/>
      </right>
      <top>
        <color indexed="63"/>
      </top>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3" fontId="0" fillId="0" borderId="0" xfId="0" applyNumberFormat="1" applyAlignment="1">
      <alignment/>
    </xf>
    <xf numFmtId="0" fontId="0" fillId="0" borderId="0" xfId="0" applyAlignment="1">
      <alignment horizontal="center" vertical="center" wrapText="1"/>
    </xf>
    <xf numFmtId="2" fontId="0" fillId="0" borderId="0" xfId="0" applyNumberFormat="1" applyAlignment="1">
      <alignment/>
    </xf>
    <xf numFmtId="8" fontId="0" fillId="0" borderId="0" xfId="0" applyNumberFormat="1" applyAlignment="1">
      <alignment/>
    </xf>
    <xf numFmtId="0" fontId="3" fillId="0" borderId="0" xfId="0" applyFont="1" applyAlignment="1">
      <alignment/>
    </xf>
    <xf numFmtId="0" fontId="0" fillId="0" borderId="1" xfId="0" applyBorder="1" applyAlignment="1">
      <alignment/>
    </xf>
    <xf numFmtId="3" fontId="0" fillId="2" borderId="2" xfId="0" applyNumberFormat="1" applyFill="1" applyBorder="1" applyAlignment="1">
      <alignment horizontal="center"/>
    </xf>
    <xf numFmtId="3" fontId="0" fillId="0" borderId="3" xfId="0" applyNumberFormat="1" applyBorder="1" applyAlignment="1">
      <alignment/>
    </xf>
    <xf numFmtId="0" fontId="0" fillId="0" borderId="1" xfId="0" applyBorder="1" applyAlignment="1">
      <alignment horizontal="right"/>
    </xf>
    <xf numFmtId="0" fontId="0" fillId="0" borderId="1" xfId="0" applyBorder="1" applyAlignment="1">
      <alignment horizontal="left"/>
    </xf>
    <xf numFmtId="3" fontId="0" fillId="0" borderId="3" xfId="0" applyNumberFormat="1" applyBorder="1" applyAlignment="1">
      <alignment horizontal="center"/>
    </xf>
    <xf numFmtId="0" fontId="0" fillId="0" borderId="1" xfId="0" applyFill="1" applyBorder="1" applyAlignment="1">
      <alignment horizontal="right"/>
    </xf>
    <xf numFmtId="166" fontId="0" fillId="2" borderId="2" xfId="0" applyNumberFormat="1" applyFill="1" applyBorder="1" applyAlignment="1">
      <alignment horizontal="center"/>
    </xf>
    <xf numFmtId="3" fontId="0" fillId="0" borderId="3" xfId="0" applyNumberFormat="1" applyFill="1" applyBorder="1" applyAlignment="1">
      <alignment horizontal="center"/>
    </xf>
    <xf numFmtId="0" fontId="0" fillId="0" borderId="4" xfId="0" applyBorder="1" applyAlignment="1">
      <alignment/>
    </xf>
    <xf numFmtId="8" fontId="0" fillId="3" borderId="2" xfId="0" applyNumberFormat="1" applyFont="1" applyFill="1" applyBorder="1" applyAlignment="1">
      <alignment/>
    </xf>
    <xf numFmtId="8" fontId="0" fillId="3" borderId="5" xfId="0" applyNumberFormat="1" applyFont="1" applyFill="1" applyBorder="1" applyAlignment="1">
      <alignment/>
    </xf>
    <xf numFmtId="0" fontId="5" fillId="0" borderId="1" xfId="0" applyFont="1" applyBorder="1" applyAlignment="1">
      <alignment/>
    </xf>
    <xf numFmtId="0" fontId="5" fillId="0" borderId="4" xfId="0" applyFont="1" applyBorder="1" applyAlignment="1">
      <alignment/>
    </xf>
    <xf numFmtId="8" fontId="5" fillId="0" borderId="3" xfId="0" applyNumberFormat="1" applyFont="1" applyFill="1" applyBorder="1" applyAlignment="1">
      <alignment/>
    </xf>
    <xf numFmtId="8" fontId="5" fillId="0" borderId="6" xfId="0" applyNumberFormat="1" applyFont="1" applyFill="1" applyBorder="1" applyAlignment="1">
      <alignment/>
    </xf>
    <xf numFmtId="2" fontId="5" fillId="0" borderId="6" xfId="0" applyNumberFormat="1" applyFont="1" applyFill="1" applyBorder="1" applyAlignment="1">
      <alignment/>
    </xf>
    <xf numFmtId="4" fontId="0" fillId="2" borderId="2" xfId="0" applyNumberFormat="1" applyFill="1" applyBorder="1" applyAlignment="1">
      <alignment horizontal="center"/>
    </xf>
    <xf numFmtId="0" fontId="1" fillId="4" borderId="7" xfId="0" applyFont="1" applyFill="1" applyBorder="1" applyAlignment="1">
      <alignment horizontal="center" wrapText="1"/>
    </xf>
    <xf numFmtId="0" fontId="1" fillId="4" borderId="8" xfId="0" applyFont="1" applyFill="1" applyBorder="1" applyAlignment="1">
      <alignment horizontal="center"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0" fillId="2" borderId="0" xfId="0" applyFill="1" applyAlignment="1">
      <alignment horizontal="center" vertical="center"/>
    </xf>
    <xf numFmtId="0" fontId="0" fillId="0" borderId="0" xfId="0" applyAlignment="1">
      <alignment/>
    </xf>
    <xf numFmtId="0" fontId="0" fillId="5" borderId="0" xfId="0" applyFill="1" applyAlignment="1">
      <alignment horizontal="center" vertical="center"/>
    </xf>
    <xf numFmtId="165" fontId="0" fillId="5" borderId="5" xfId="0" applyNumberFormat="1" applyFill="1" applyBorder="1" applyAlignment="1">
      <alignment horizontal="center"/>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55"/>
  <sheetViews>
    <sheetView tabSelected="1" workbookViewId="0" topLeftCell="A1">
      <selection activeCell="A1" sqref="A1"/>
    </sheetView>
  </sheetViews>
  <sheetFormatPr defaultColWidth="9.140625" defaultRowHeight="12.75"/>
  <cols>
    <col min="2" max="2" width="116.00390625" style="0" customWidth="1"/>
  </cols>
  <sheetData>
    <row r="1" ht="12.75">
      <c r="A1" t="s">
        <v>59</v>
      </c>
    </row>
    <row r="3" ht="12.75">
      <c r="A3" t="s">
        <v>60</v>
      </c>
    </row>
    <row r="5" ht="18">
      <c r="A5" s="5" t="s">
        <v>78</v>
      </c>
    </row>
    <row r="6" ht="12.75">
      <c r="B6" s="35" t="s">
        <v>61</v>
      </c>
    </row>
    <row r="8" ht="12.75">
      <c r="B8" t="s">
        <v>62</v>
      </c>
    </row>
    <row r="10" ht="25.5">
      <c r="B10" s="36" t="s">
        <v>77</v>
      </c>
    </row>
    <row r="11" ht="12.75">
      <c r="B11" s="36" t="s">
        <v>63</v>
      </c>
    </row>
    <row r="12" ht="12.75">
      <c r="B12" s="36" t="s">
        <v>64</v>
      </c>
    </row>
    <row r="13" ht="12.75">
      <c r="B13" s="36" t="s">
        <v>96</v>
      </c>
    </row>
    <row r="14" ht="12.75">
      <c r="B14" s="36" t="s">
        <v>95</v>
      </c>
    </row>
    <row r="15" ht="38.25">
      <c r="B15" s="36" t="s">
        <v>65</v>
      </c>
    </row>
    <row r="16" ht="12.75">
      <c r="B16" s="36" t="s">
        <v>66</v>
      </c>
    </row>
    <row r="17" ht="12.75">
      <c r="B17" s="36" t="s">
        <v>67</v>
      </c>
    </row>
    <row r="18" ht="12.75">
      <c r="B18" s="36" t="s">
        <v>68</v>
      </c>
    </row>
    <row r="19" ht="12.75">
      <c r="B19" s="36" t="s">
        <v>69</v>
      </c>
    </row>
    <row r="20" ht="38.25">
      <c r="B20" s="36" t="s">
        <v>70</v>
      </c>
    </row>
    <row r="21" ht="12.75">
      <c r="B21" s="36" t="s">
        <v>71</v>
      </c>
    </row>
    <row r="22" ht="12.75">
      <c r="B22" s="36" t="s">
        <v>72</v>
      </c>
    </row>
    <row r="23" ht="12.75">
      <c r="B23" s="36" t="s">
        <v>73</v>
      </c>
    </row>
    <row r="24" ht="12.75">
      <c r="B24" s="36" t="s">
        <v>74</v>
      </c>
    </row>
    <row r="25" ht="12.75">
      <c r="B25" s="36" t="s">
        <v>75</v>
      </c>
    </row>
    <row r="26" ht="25.5">
      <c r="B26" s="36" t="s">
        <v>97</v>
      </c>
    </row>
    <row r="27" ht="51">
      <c r="B27" s="36" t="s">
        <v>98</v>
      </c>
    </row>
    <row r="28" ht="12.75">
      <c r="B28" s="36" t="s">
        <v>76</v>
      </c>
    </row>
    <row r="30" ht="18">
      <c r="A30" s="5" t="s">
        <v>91</v>
      </c>
    </row>
    <row r="31" ht="38.25">
      <c r="B31" s="37" t="s">
        <v>79</v>
      </c>
    </row>
    <row r="32" ht="12.75">
      <c r="B32" s="37"/>
    </row>
    <row r="33" ht="12.75">
      <c r="B33" s="37" t="s">
        <v>62</v>
      </c>
    </row>
    <row r="34" ht="12.75">
      <c r="B34" s="37"/>
    </row>
    <row r="35" ht="12.75">
      <c r="B35" s="36" t="s">
        <v>80</v>
      </c>
    </row>
    <row r="36" ht="12.75">
      <c r="B36" s="36" t="s">
        <v>81</v>
      </c>
    </row>
    <row r="37" ht="25.5">
      <c r="B37" s="36" t="s">
        <v>82</v>
      </c>
    </row>
    <row r="38" ht="25.5">
      <c r="B38" s="36" t="s">
        <v>83</v>
      </c>
    </row>
    <row r="39" ht="12.75">
      <c r="B39" s="36" t="s">
        <v>84</v>
      </c>
    </row>
    <row r="42" ht="18">
      <c r="A42" s="5" t="s">
        <v>92</v>
      </c>
    </row>
    <row r="43" ht="38.25">
      <c r="B43" s="37" t="s">
        <v>85</v>
      </c>
    </row>
    <row r="44" ht="12.75">
      <c r="B44" s="37"/>
    </row>
    <row r="45" ht="12.75">
      <c r="B45" s="37" t="s">
        <v>62</v>
      </c>
    </row>
    <row r="46" ht="12.75">
      <c r="B46" s="37"/>
    </row>
    <row r="47" ht="12.75">
      <c r="B47" s="36" t="s">
        <v>86</v>
      </c>
    </row>
    <row r="48" ht="12.75">
      <c r="B48" s="36" t="s">
        <v>87</v>
      </c>
    </row>
    <row r="49" ht="25.5">
      <c r="B49" s="36" t="s">
        <v>88</v>
      </c>
    </row>
    <row r="50" ht="25.5">
      <c r="B50" s="36" t="s">
        <v>89</v>
      </c>
    </row>
    <row r="51" ht="12.75">
      <c r="B51" s="36" t="s">
        <v>90</v>
      </c>
    </row>
    <row r="54" ht="18">
      <c r="A54" s="5" t="s">
        <v>93</v>
      </c>
    </row>
    <row r="55" ht="12.75">
      <c r="B55" t="s">
        <v>94</v>
      </c>
    </row>
  </sheetData>
  <printOptions gridLines="1"/>
  <pageMargins left="0.75" right="0.75" top="1" bottom="1" header="0.5" footer="0.5"/>
  <pageSetup fitToHeight="1" fitToWidth="1" horizontalDpi="600" verticalDpi="600" orientation="portrait" scale="67" r:id="rId1"/>
  <headerFooter alignWithMargins="0">
    <oddHeader>&amp;CDRAFT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G21" sqref="G21"/>
    </sheetView>
  </sheetViews>
  <sheetFormatPr defaultColWidth="9.140625" defaultRowHeight="12.75"/>
  <cols>
    <col min="1" max="1" width="55.00390625" style="0" bestFit="1" customWidth="1"/>
    <col min="2" max="2" width="15.57421875" style="0" bestFit="1" customWidth="1"/>
    <col min="4" max="4" width="22.7109375" style="0" bestFit="1" customWidth="1"/>
  </cols>
  <sheetData>
    <row r="1" ht="18">
      <c r="A1" s="5" t="s">
        <v>0</v>
      </c>
    </row>
    <row r="3" ht="12.75">
      <c r="A3" t="s">
        <v>46</v>
      </c>
    </row>
    <row r="4" ht="13.5" thickBot="1"/>
    <row r="5" spans="1:5" ht="12.75">
      <c r="A5" s="24" t="s">
        <v>13</v>
      </c>
      <c r="B5" s="25"/>
      <c r="D5" s="24" t="s">
        <v>14</v>
      </c>
      <c r="E5" s="25"/>
    </row>
    <row r="6" spans="1:5" ht="12.75">
      <c r="A6" s="6" t="s">
        <v>9</v>
      </c>
      <c r="B6" s="7"/>
      <c r="D6" s="6" t="s">
        <v>16</v>
      </c>
      <c r="E6" s="16">
        <f>Calculations!$D$59</f>
        <v>0</v>
      </c>
    </row>
    <row r="7" spans="1:5" ht="12.75">
      <c r="A7" s="6" t="s">
        <v>15</v>
      </c>
      <c r="B7" s="7"/>
      <c r="D7" s="6" t="s">
        <v>17</v>
      </c>
      <c r="E7" s="16">
        <f>Calculations!$D$26</f>
        <v>0</v>
      </c>
    </row>
    <row r="8" spans="1:5" ht="12.75">
      <c r="A8" s="6" t="s">
        <v>48</v>
      </c>
      <c r="B8" s="7"/>
      <c r="D8" s="6" t="s">
        <v>18</v>
      </c>
      <c r="E8" s="16">
        <f>Calculations!$D$52</f>
        <v>0</v>
      </c>
    </row>
    <row r="9" spans="1:5" ht="13.5" thickBot="1">
      <c r="A9" s="6" t="s">
        <v>49</v>
      </c>
      <c r="B9" s="8"/>
      <c r="D9" s="15" t="s">
        <v>19</v>
      </c>
      <c r="E9" s="17">
        <f>Calculations!$D$85</f>
        <v>0</v>
      </c>
    </row>
    <row r="10" spans="1:2" ht="12.75">
      <c r="A10" s="9" t="s">
        <v>28</v>
      </c>
      <c r="B10" s="7"/>
    </row>
    <row r="11" spans="1:2" ht="12.75">
      <c r="A11" s="9" t="s">
        <v>29</v>
      </c>
      <c r="B11" s="7"/>
    </row>
    <row r="12" spans="1:2" ht="12.75">
      <c r="A12" s="10" t="s">
        <v>10</v>
      </c>
      <c r="B12" s="23"/>
    </row>
    <row r="13" spans="1:2" ht="12.75">
      <c r="A13" s="6" t="s">
        <v>50</v>
      </c>
      <c r="B13" s="7"/>
    </row>
    <row r="14" spans="1:2" ht="12.75">
      <c r="A14" s="6" t="s">
        <v>51</v>
      </c>
      <c r="B14" s="11"/>
    </row>
    <row r="15" spans="1:2" ht="12.75">
      <c r="A15" s="12" t="s">
        <v>7</v>
      </c>
      <c r="B15" s="7"/>
    </row>
    <row r="16" spans="1:2" ht="12.75">
      <c r="A16" s="9" t="s">
        <v>8</v>
      </c>
      <c r="B16" s="7"/>
    </row>
    <row r="17" spans="1:2" ht="12.75">
      <c r="A17" s="10" t="s">
        <v>11</v>
      </c>
      <c r="B17" s="23"/>
    </row>
    <row r="18" spans="1:2" ht="12.75">
      <c r="A18" s="6" t="s">
        <v>2</v>
      </c>
      <c r="B18" s="13"/>
    </row>
    <row r="19" spans="1:2" ht="12.75">
      <c r="A19" s="6" t="s">
        <v>12</v>
      </c>
      <c r="B19" s="7"/>
    </row>
    <row r="20" spans="1:2" ht="12.75">
      <c r="A20" s="6" t="s">
        <v>3</v>
      </c>
      <c r="B20" s="13"/>
    </row>
    <row r="21" spans="1:2" ht="12.75">
      <c r="A21" s="6" t="s">
        <v>4</v>
      </c>
      <c r="B21" s="14"/>
    </row>
    <row r="22" spans="1:2" ht="12.75">
      <c r="A22" s="9" t="s">
        <v>34</v>
      </c>
      <c r="B22" s="13"/>
    </row>
    <row r="23" spans="1:2" ht="12.75">
      <c r="A23" s="9" t="s">
        <v>53</v>
      </c>
      <c r="B23" s="13"/>
    </row>
    <row r="24" spans="1:2" ht="13.5" thickBot="1">
      <c r="A24" s="15" t="s">
        <v>6</v>
      </c>
      <c r="B24" s="31">
        <v>0.08</v>
      </c>
    </row>
    <row r="26" ht="13.5" thickBot="1"/>
    <row r="27" spans="1:2" ht="15.75">
      <c r="A27" s="26" t="s">
        <v>47</v>
      </c>
      <c r="B27" s="27"/>
    </row>
    <row r="28" spans="1:2" ht="15.75">
      <c r="A28" s="18" t="s">
        <v>36</v>
      </c>
      <c r="B28" s="20">
        <f>($E$6+$E$7+$E$8)-$E$9</f>
        <v>0</v>
      </c>
    </row>
    <row r="29" spans="1:2" ht="16.5" thickBot="1">
      <c r="A29" s="19" t="s">
        <v>37</v>
      </c>
      <c r="B29" s="22" t="e">
        <f>($E$6+$E$7+$E$8)/$E$9</f>
        <v>#DIV/0!</v>
      </c>
    </row>
    <row r="31" ht="12.75">
      <c r="A31" t="s">
        <v>52</v>
      </c>
    </row>
    <row r="32" ht="12.75">
      <c r="A32" t="s">
        <v>54</v>
      </c>
    </row>
    <row r="33" ht="12.75">
      <c r="A33" t="s">
        <v>56</v>
      </c>
    </row>
    <row r="34" ht="12.75">
      <c r="A34" t="s">
        <v>55</v>
      </c>
    </row>
  </sheetData>
  <mergeCells count="3">
    <mergeCell ref="A5:B5"/>
    <mergeCell ref="D5:E5"/>
    <mergeCell ref="A27:B27"/>
  </mergeCells>
  <printOptions/>
  <pageMargins left="0.75" right="0.75" top="1" bottom="1" header="0.5" footer="0.5"/>
  <pageSetup fitToHeight="1" fitToWidth="1" horizontalDpi="600" verticalDpi="600" orientation="landscape" r:id="rId1"/>
  <headerFooter alignWithMargins="0">
    <oddHeader>&amp;CDRAFT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17"/>
  <sheetViews>
    <sheetView workbookViewId="0" topLeftCell="A1">
      <selection activeCell="A21" sqref="A21"/>
    </sheetView>
  </sheetViews>
  <sheetFormatPr defaultColWidth="9.140625" defaultRowHeight="12.75"/>
  <cols>
    <col min="1" max="1" width="55.421875" style="0" customWidth="1"/>
    <col min="2" max="2" width="10.57421875" style="0" customWidth="1"/>
  </cols>
  <sheetData>
    <row r="1" ht="18">
      <c r="A1" s="5" t="s">
        <v>38</v>
      </c>
    </row>
    <row r="2" ht="13.5" thickBot="1"/>
    <row r="3" spans="1:2" ht="12.75">
      <c r="A3" s="24" t="s">
        <v>13</v>
      </c>
      <c r="B3" s="25"/>
    </row>
    <row r="4" spans="1:2" ht="12.75">
      <c r="A4" s="10" t="s">
        <v>41</v>
      </c>
      <c r="B4" s="7"/>
    </row>
    <row r="5" spans="1:2" ht="12.75">
      <c r="A5" s="10" t="s">
        <v>10</v>
      </c>
      <c r="B5" s="23"/>
    </row>
    <row r="6" spans="1:2" ht="12.75">
      <c r="A6" s="6" t="s">
        <v>39</v>
      </c>
      <c r="B6" s="23"/>
    </row>
    <row r="7" spans="1:2" ht="12.75">
      <c r="A7" s="6" t="s">
        <v>40</v>
      </c>
      <c r="B7" s="13"/>
    </row>
    <row r="8" spans="1:2" ht="13.5" thickBot="1">
      <c r="A8" s="15" t="s">
        <v>6</v>
      </c>
      <c r="B8" s="31">
        <v>0.08</v>
      </c>
    </row>
    <row r="10" ht="13.5" thickBot="1"/>
    <row r="11" spans="1:2" ht="15.75">
      <c r="A11" s="26" t="s">
        <v>47</v>
      </c>
      <c r="B11" s="27"/>
    </row>
    <row r="12" spans="1:2" ht="16.5" thickBot="1">
      <c r="A12" s="19" t="s">
        <v>42</v>
      </c>
      <c r="B12" s="21">
        <f>Calculations!$J$26</f>
        <v>0</v>
      </c>
    </row>
    <row r="15" ht="12.75">
      <c r="A15" t="s">
        <v>52</v>
      </c>
    </row>
    <row r="16" ht="12.75">
      <c r="A16" t="s">
        <v>54</v>
      </c>
    </row>
    <row r="17" ht="12.75">
      <c r="A17" t="s">
        <v>56</v>
      </c>
    </row>
  </sheetData>
  <mergeCells count="2">
    <mergeCell ref="A11:B11"/>
    <mergeCell ref="A3:B3"/>
  </mergeCells>
  <printOptions/>
  <pageMargins left="0.75" right="0.75" top="1" bottom="1" header="0.5" footer="0.5"/>
  <pageSetup fitToHeight="1" fitToWidth="1" horizontalDpi="600" verticalDpi="600" orientation="portrait" r:id="rId1"/>
  <headerFooter alignWithMargins="0">
    <oddHeader>&amp;CDRAFT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17"/>
  <sheetViews>
    <sheetView workbookViewId="0" topLeftCell="A1">
      <selection activeCell="B21" sqref="B21"/>
    </sheetView>
  </sheetViews>
  <sheetFormatPr defaultColWidth="9.140625" defaultRowHeight="12.75"/>
  <cols>
    <col min="1" max="1" width="55.140625" style="0" customWidth="1"/>
    <col min="2" max="2" width="10.57421875" style="0" customWidth="1"/>
  </cols>
  <sheetData>
    <row r="1" ht="18">
      <c r="A1" s="5" t="s">
        <v>43</v>
      </c>
    </row>
    <row r="2" ht="13.5" thickBot="1"/>
    <row r="3" spans="1:2" ht="12.75">
      <c r="A3" s="24" t="s">
        <v>13</v>
      </c>
      <c r="B3" s="25"/>
    </row>
    <row r="4" spans="1:2" ht="12.75">
      <c r="A4" s="10" t="s">
        <v>41</v>
      </c>
      <c r="B4" s="7"/>
    </row>
    <row r="5" spans="1:2" ht="12.75">
      <c r="A5" s="10" t="s">
        <v>10</v>
      </c>
      <c r="B5" s="23"/>
    </row>
    <row r="6" spans="1:2" ht="12.75">
      <c r="A6" s="6" t="s">
        <v>39</v>
      </c>
      <c r="B6" s="23"/>
    </row>
    <row r="7" spans="1:2" ht="12.75">
      <c r="A7" s="6" t="s">
        <v>40</v>
      </c>
      <c r="B7" s="13"/>
    </row>
    <row r="8" spans="1:2" ht="13.5" thickBot="1">
      <c r="A8" s="15" t="s">
        <v>6</v>
      </c>
      <c r="B8" s="31">
        <v>0.08</v>
      </c>
    </row>
    <row r="10" ht="13.5" thickBot="1"/>
    <row r="11" spans="1:2" ht="15.75">
      <c r="A11" s="26" t="s">
        <v>47</v>
      </c>
      <c r="B11" s="27"/>
    </row>
    <row r="12" spans="1:2" ht="16.5" thickBot="1">
      <c r="A12" s="19" t="s">
        <v>42</v>
      </c>
      <c r="B12" s="21">
        <f>Calculations!$P$26</f>
        <v>0</v>
      </c>
    </row>
    <row r="15" ht="12.75">
      <c r="A15" t="s">
        <v>52</v>
      </c>
    </row>
    <row r="16" ht="12.75">
      <c r="A16" t="s">
        <v>54</v>
      </c>
    </row>
    <row r="17" ht="12.75">
      <c r="A17" t="s">
        <v>56</v>
      </c>
    </row>
  </sheetData>
  <mergeCells count="2">
    <mergeCell ref="A3:B3"/>
    <mergeCell ref="A11:B11"/>
  </mergeCells>
  <printOptions/>
  <pageMargins left="0.75" right="0.75" top="1" bottom="1" header="0.5" footer="0.5"/>
  <pageSetup fitToHeight="1" fitToWidth="1" horizontalDpi="600" verticalDpi="600" orientation="portrait" r:id="rId1"/>
  <headerFooter alignWithMargins="0">
    <oddHeader>&amp;CDRAFT</oddHeader>
  </headerFooter>
</worksheet>
</file>

<file path=xl/worksheets/sheet5.xml><?xml version="1.0" encoding="utf-8"?>
<worksheet xmlns="http://schemas.openxmlformats.org/spreadsheetml/2006/main" xmlns:r="http://schemas.openxmlformats.org/officeDocument/2006/relationships">
  <sheetPr>
    <tabColor indexed="10"/>
  </sheetPr>
  <dimension ref="A1:P85"/>
  <sheetViews>
    <sheetView workbookViewId="0" topLeftCell="A1">
      <selection activeCell="H42" sqref="H42"/>
    </sheetView>
  </sheetViews>
  <sheetFormatPr defaultColWidth="9.140625" defaultRowHeight="12.75"/>
  <cols>
    <col min="2" max="2" width="9.421875" style="0" bestFit="1" customWidth="1"/>
    <col min="3" max="3" width="12.7109375" style="0" bestFit="1" customWidth="1"/>
    <col min="4" max="4" width="22.57421875" style="0" bestFit="1" customWidth="1"/>
    <col min="9" max="9" width="12.28125" style="0" customWidth="1"/>
    <col min="15" max="15" width="12.00390625" style="0" customWidth="1"/>
  </cols>
  <sheetData>
    <row r="1" spans="1:16" s="32" customFormat="1" ht="60.75" customHeight="1">
      <c r="A1" s="33" t="s">
        <v>0</v>
      </c>
      <c r="B1" s="34"/>
      <c r="C1" s="34"/>
      <c r="D1" s="34"/>
      <c r="F1" s="33" t="s">
        <v>38</v>
      </c>
      <c r="G1" s="34"/>
      <c r="H1" s="34"/>
      <c r="I1" s="34"/>
      <c r="J1" s="34"/>
      <c r="L1" s="33" t="s">
        <v>43</v>
      </c>
      <c r="M1" s="34"/>
      <c r="N1" s="34"/>
      <c r="O1" s="34"/>
      <c r="P1" s="34"/>
    </row>
    <row r="2" spans="1:16" ht="12.75">
      <c r="A2" s="28" t="s">
        <v>17</v>
      </c>
      <c r="B2" s="29"/>
      <c r="C2" s="29"/>
      <c r="D2" s="29"/>
      <c r="F2" s="28" t="s">
        <v>42</v>
      </c>
      <c r="G2" s="28"/>
      <c r="H2" s="28"/>
      <c r="I2" s="28"/>
      <c r="J2" s="28"/>
      <c r="L2" s="28" t="s">
        <v>42</v>
      </c>
      <c r="M2" s="28"/>
      <c r="N2" s="28"/>
      <c r="O2" s="28"/>
      <c r="P2" s="28"/>
    </row>
    <row r="3" spans="1:16" ht="38.25">
      <c r="A3" s="2" t="s">
        <v>21</v>
      </c>
      <c r="B3" s="2" t="s">
        <v>22</v>
      </c>
      <c r="C3" s="2" t="s">
        <v>27</v>
      </c>
      <c r="D3" s="2" t="s">
        <v>26</v>
      </c>
      <c r="F3" s="2" t="s">
        <v>21</v>
      </c>
      <c r="G3" s="2" t="s">
        <v>44</v>
      </c>
      <c r="H3" s="2" t="s">
        <v>45</v>
      </c>
      <c r="I3" s="2" t="s">
        <v>57</v>
      </c>
      <c r="J3" s="2" t="s">
        <v>26</v>
      </c>
      <c r="L3" s="2" t="s">
        <v>21</v>
      </c>
      <c r="M3" s="2" t="s">
        <v>44</v>
      </c>
      <c r="N3" s="2" t="s">
        <v>45</v>
      </c>
      <c r="O3" s="2" t="s">
        <v>58</v>
      </c>
      <c r="P3" s="2" t="s">
        <v>26</v>
      </c>
    </row>
    <row r="4" spans="1:16" ht="12.75">
      <c r="A4">
        <v>2009</v>
      </c>
      <c r="B4" s="3">
        <f>'EE Contracts if Entity Invests'!$B$12</f>
        <v>0</v>
      </c>
      <c r="C4" s="1">
        <f>('EE Contracts if Entity Invests'!$B$10-'EE Contracts if Entity Invests'!$B$11)*'EE Contracts if Entity Invests'!$B$6</f>
        <v>0</v>
      </c>
      <c r="D4">
        <f>IF('EE Contracts if Entity Invests'!$B$7&gt;0,C4*B4,0)</f>
        <v>0</v>
      </c>
      <c r="F4">
        <v>2009</v>
      </c>
      <c r="G4" s="3">
        <f>'EE Contract if NO Entity Invest'!$B$5</f>
        <v>0</v>
      </c>
      <c r="H4" s="1">
        <f>'EE Contract if NO Entity Invest'!$B$6</f>
        <v>0</v>
      </c>
      <c r="I4" s="1">
        <f>'EE Contract if NO Entity Invest'!$B$7</f>
        <v>0</v>
      </c>
      <c r="J4">
        <f>IF('EE Contract if NO Entity Invest'!$B$4&gt;0,"=(G4-H4)*I4",0)</f>
        <v>0</v>
      </c>
      <c r="L4">
        <v>2009</v>
      </c>
      <c r="M4" s="3">
        <f>'RE Contract'!$B$5</f>
        <v>0</v>
      </c>
      <c r="N4" s="1">
        <f>'RE Contract'!$B$6</f>
        <v>0</v>
      </c>
      <c r="O4" s="1">
        <f>'RE Contract'!$B$7</f>
        <v>0</v>
      </c>
      <c r="P4">
        <f>IF('RE Contract'!$B$4&gt;0,(M4-N4)*O4,0)</f>
        <v>0</v>
      </c>
    </row>
    <row r="5" spans="1:16" ht="12.75">
      <c r="A5">
        <v>2010</v>
      </c>
      <c r="B5" s="3">
        <f>B4*1.022</f>
        <v>0</v>
      </c>
      <c r="C5" s="1">
        <f>('EE Contracts if Entity Invests'!$B$10-'EE Contracts if Entity Invests'!$B$11)*'EE Contracts if Entity Invests'!$B$6</f>
        <v>0</v>
      </c>
      <c r="D5">
        <f>IF('EE Contracts if Entity Invests'!$B$7&gt;1,C5*B5,0)</f>
        <v>0</v>
      </c>
      <c r="F5">
        <v>2010</v>
      </c>
      <c r="G5" s="3">
        <f>G4*1.022</f>
        <v>0</v>
      </c>
      <c r="H5" s="1">
        <f>'EE Contract if NO Entity Invest'!$B$6</f>
        <v>0</v>
      </c>
      <c r="I5" s="1">
        <f>'EE Contract if NO Entity Invest'!$B$7</f>
        <v>0</v>
      </c>
      <c r="J5">
        <f>IF('EE Contract if NO Entity Invest'!$B$4&gt;1,"=(G4-H4)*I4",0)</f>
        <v>0</v>
      </c>
      <c r="L5">
        <v>2010</v>
      </c>
      <c r="M5" s="3">
        <f>M4*1.022</f>
        <v>0</v>
      </c>
      <c r="N5" s="1">
        <f>'RE Contract'!$B$6</f>
        <v>0</v>
      </c>
      <c r="O5" s="1">
        <f>'RE Contract'!$B$7</f>
        <v>0</v>
      </c>
      <c r="P5">
        <f>IF('RE Contract'!$B$4&gt;1,(M5-N5)*O5,0)</f>
        <v>0</v>
      </c>
    </row>
    <row r="6" spans="1:16" ht="12.75">
      <c r="A6">
        <v>2011</v>
      </c>
      <c r="B6" s="3">
        <f aca="true" t="shared" si="0" ref="B6:B23">B5*1.022</f>
        <v>0</v>
      </c>
      <c r="C6" s="1">
        <f>('EE Contracts if Entity Invests'!$B$10-'EE Contracts if Entity Invests'!$B$11)*'EE Contracts if Entity Invests'!$B$6</f>
        <v>0</v>
      </c>
      <c r="D6">
        <f>IF('EE Contracts if Entity Invests'!$B$7&gt;2,C6*B6,0)</f>
        <v>0</v>
      </c>
      <c r="F6">
        <v>2011</v>
      </c>
      <c r="G6" s="3">
        <f aca="true" t="shared" si="1" ref="G6:G23">G5*1.022</f>
        <v>0</v>
      </c>
      <c r="H6" s="1">
        <f>'EE Contract if NO Entity Invest'!$B$6</f>
        <v>0</v>
      </c>
      <c r="I6" s="1">
        <f>'EE Contract if NO Entity Invest'!$B$7</f>
        <v>0</v>
      </c>
      <c r="J6">
        <f>IF('EE Contract if NO Entity Invest'!$B$4&gt;2,"=(G4-H4)*I4",0)</f>
        <v>0</v>
      </c>
      <c r="L6">
        <v>2011</v>
      </c>
      <c r="M6" s="3">
        <f aca="true" t="shared" si="2" ref="M6:M23">M5*1.022</f>
        <v>0</v>
      </c>
      <c r="N6" s="1">
        <f>'RE Contract'!$B$6</f>
        <v>0</v>
      </c>
      <c r="O6" s="1">
        <f>'RE Contract'!$B$7</f>
        <v>0</v>
      </c>
      <c r="P6">
        <f>IF('RE Contract'!$B$4&gt;2,(M6-N6)*O6,0)</f>
        <v>0</v>
      </c>
    </row>
    <row r="7" spans="1:16" ht="12.75">
      <c r="A7">
        <v>2012</v>
      </c>
      <c r="B7" s="3">
        <f t="shared" si="0"/>
        <v>0</v>
      </c>
      <c r="C7" s="1">
        <f>('EE Contracts if Entity Invests'!$B$10-'EE Contracts if Entity Invests'!$B$11)*'EE Contracts if Entity Invests'!$B$6</f>
        <v>0</v>
      </c>
      <c r="D7">
        <f>IF('EE Contracts if Entity Invests'!$B$7&gt;3,C7*B7,0)</f>
        <v>0</v>
      </c>
      <c r="F7">
        <v>2012</v>
      </c>
      <c r="G7" s="3">
        <f t="shared" si="1"/>
        <v>0</v>
      </c>
      <c r="H7" s="1">
        <f>'EE Contract if NO Entity Invest'!$B$6</f>
        <v>0</v>
      </c>
      <c r="I7" s="1">
        <f>'EE Contract if NO Entity Invest'!$B$7</f>
        <v>0</v>
      </c>
      <c r="J7">
        <f>IF('EE Contract if NO Entity Invest'!$B$4&gt;3,"=(G4-H4)*I4",0)</f>
        <v>0</v>
      </c>
      <c r="L7">
        <v>2012</v>
      </c>
      <c r="M7" s="3">
        <f t="shared" si="2"/>
        <v>0</v>
      </c>
      <c r="N7" s="1">
        <f>'RE Contract'!$B$6</f>
        <v>0</v>
      </c>
      <c r="O7" s="1">
        <f>'RE Contract'!$B$7</f>
        <v>0</v>
      </c>
      <c r="P7">
        <f>IF('RE Contract'!$B$4&gt;3,(M7-N7)*O7,0)</f>
        <v>0</v>
      </c>
    </row>
    <row r="8" spans="1:16" ht="12.75">
      <c r="A8">
        <v>2013</v>
      </c>
      <c r="B8" s="3">
        <f t="shared" si="0"/>
        <v>0</v>
      </c>
      <c r="C8" s="1">
        <f>('EE Contracts if Entity Invests'!$B$10-'EE Contracts if Entity Invests'!$B$11)*'EE Contracts if Entity Invests'!$B$6</f>
        <v>0</v>
      </c>
      <c r="D8">
        <f>IF('EE Contracts if Entity Invests'!$B$7&gt;4,C8*B8,0)</f>
        <v>0</v>
      </c>
      <c r="F8">
        <v>2013</v>
      </c>
      <c r="G8" s="3">
        <f t="shared" si="1"/>
        <v>0</v>
      </c>
      <c r="H8" s="1">
        <f>'EE Contract if NO Entity Invest'!$B$6</f>
        <v>0</v>
      </c>
      <c r="I8" s="1">
        <f>'EE Contract if NO Entity Invest'!$B$7</f>
        <v>0</v>
      </c>
      <c r="J8">
        <f>IF('EE Contract if NO Entity Invest'!$B$4&gt;4,"=(G4-H4)*I4",0)</f>
        <v>0</v>
      </c>
      <c r="L8">
        <v>2013</v>
      </c>
      <c r="M8" s="3">
        <f t="shared" si="2"/>
        <v>0</v>
      </c>
      <c r="N8" s="1">
        <f>'RE Contract'!$B$6</f>
        <v>0</v>
      </c>
      <c r="O8" s="1">
        <f>'RE Contract'!$B$7</f>
        <v>0</v>
      </c>
      <c r="P8">
        <f>IF('RE Contract'!$B$4&gt;4,(M8-N8)*O8,0)</f>
        <v>0</v>
      </c>
    </row>
    <row r="9" spans="1:16" ht="12.75">
      <c r="A9">
        <v>2014</v>
      </c>
      <c r="B9" s="3">
        <f t="shared" si="0"/>
        <v>0</v>
      </c>
      <c r="C9" s="1">
        <f>('EE Contracts if Entity Invests'!$B$10-'EE Contracts if Entity Invests'!$B$11)*'EE Contracts if Entity Invests'!$B$6</f>
        <v>0</v>
      </c>
      <c r="D9">
        <f>IF('EE Contracts if Entity Invests'!$B$7&gt;5,C9*B9,0)</f>
        <v>0</v>
      </c>
      <c r="F9">
        <v>2014</v>
      </c>
      <c r="G9" s="3">
        <f t="shared" si="1"/>
        <v>0</v>
      </c>
      <c r="H9" s="1">
        <f>'EE Contract if NO Entity Invest'!$B$6</f>
        <v>0</v>
      </c>
      <c r="I9" s="1">
        <f>'EE Contract if NO Entity Invest'!$B$7</f>
        <v>0</v>
      </c>
      <c r="J9">
        <f>IF('EE Contract if NO Entity Invest'!$B$4&gt;5,"=(G4-H4)*I4",0)</f>
        <v>0</v>
      </c>
      <c r="L9">
        <v>2014</v>
      </c>
      <c r="M9" s="3">
        <f t="shared" si="2"/>
        <v>0</v>
      </c>
      <c r="N9" s="1">
        <f>'RE Contract'!$B$6</f>
        <v>0</v>
      </c>
      <c r="O9" s="1">
        <f>'RE Contract'!$B$7</f>
        <v>0</v>
      </c>
      <c r="P9">
        <f>IF('RE Contract'!$B$4&gt;5,(M9-N9)*O9,0)</f>
        <v>0</v>
      </c>
    </row>
    <row r="10" spans="1:16" ht="12.75">
      <c r="A10">
        <v>2015</v>
      </c>
      <c r="B10" s="3">
        <f t="shared" si="0"/>
        <v>0</v>
      </c>
      <c r="C10" s="1">
        <f>('EE Contracts if Entity Invests'!$B$10-'EE Contracts if Entity Invests'!$B$11)*'EE Contracts if Entity Invests'!$B$6</f>
        <v>0</v>
      </c>
      <c r="D10">
        <f>IF('EE Contracts if Entity Invests'!$B$7&gt;6,C10*B10,0)</f>
        <v>0</v>
      </c>
      <c r="F10">
        <v>2015</v>
      </c>
      <c r="G10" s="3">
        <f t="shared" si="1"/>
        <v>0</v>
      </c>
      <c r="H10" s="1">
        <f>'EE Contract if NO Entity Invest'!$B$6</f>
        <v>0</v>
      </c>
      <c r="I10" s="1">
        <f>'EE Contract if NO Entity Invest'!$B$7</f>
        <v>0</v>
      </c>
      <c r="J10">
        <f>IF('EE Contract if NO Entity Invest'!$B$4&gt;6,"=(G4-H4)*I4",0)</f>
        <v>0</v>
      </c>
      <c r="L10">
        <v>2015</v>
      </c>
      <c r="M10" s="3">
        <f t="shared" si="2"/>
        <v>0</v>
      </c>
      <c r="N10" s="1">
        <f>'RE Contract'!$B$6</f>
        <v>0</v>
      </c>
      <c r="O10" s="1">
        <f>'RE Contract'!$B$7</f>
        <v>0</v>
      </c>
      <c r="P10">
        <f>IF('RE Contract'!$B$4&gt;6,(M10-N10)*O10,0)</f>
        <v>0</v>
      </c>
    </row>
    <row r="11" spans="1:16" ht="12.75">
      <c r="A11">
        <v>2016</v>
      </c>
      <c r="B11" s="3">
        <f t="shared" si="0"/>
        <v>0</v>
      </c>
      <c r="C11" s="1">
        <f>('EE Contracts if Entity Invests'!$B$10-'EE Contracts if Entity Invests'!$B$11)*'EE Contracts if Entity Invests'!$B$6</f>
        <v>0</v>
      </c>
      <c r="D11">
        <f>IF('EE Contracts if Entity Invests'!$B$7&gt;7,C11*B11,0)</f>
        <v>0</v>
      </c>
      <c r="F11">
        <v>2016</v>
      </c>
      <c r="G11" s="3">
        <f t="shared" si="1"/>
        <v>0</v>
      </c>
      <c r="H11" s="1">
        <f>'EE Contract if NO Entity Invest'!$B$6</f>
        <v>0</v>
      </c>
      <c r="I11" s="1">
        <f>'EE Contract if NO Entity Invest'!$B$7</f>
        <v>0</v>
      </c>
      <c r="J11">
        <f>IF('EE Contract if NO Entity Invest'!$B$4&gt;7,"=(G4-H4)*I4",0)</f>
        <v>0</v>
      </c>
      <c r="L11">
        <v>2016</v>
      </c>
      <c r="M11" s="3">
        <f t="shared" si="2"/>
        <v>0</v>
      </c>
      <c r="N11" s="1">
        <f>'RE Contract'!$B$6</f>
        <v>0</v>
      </c>
      <c r="O11" s="1">
        <f>'RE Contract'!$B$7</f>
        <v>0</v>
      </c>
      <c r="P11">
        <f>IF('RE Contract'!$B$4&gt;7,(M11-N11)*O11,0)</f>
        <v>0</v>
      </c>
    </row>
    <row r="12" spans="1:16" ht="12.75">
      <c r="A12">
        <v>2017</v>
      </c>
      <c r="B12" s="3">
        <f t="shared" si="0"/>
        <v>0</v>
      </c>
      <c r="C12" s="1">
        <f>('EE Contracts if Entity Invests'!$B$10-'EE Contracts if Entity Invests'!$B$11)*'EE Contracts if Entity Invests'!$B$6</f>
        <v>0</v>
      </c>
      <c r="D12">
        <f>IF('EE Contracts if Entity Invests'!$B$7&gt;8,C12*B12,0)</f>
        <v>0</v>
      </c>
      <c r="F12">
        <v>2017</v>
      </c>
      <c r="G12" s="3">
        <f t="shared" si="1"/>
        <v>0</v>
      </c>
      <c r="H12" s="1">
        <f>'EE Contract if NO Entity Invest'!$B$6</f>
        <v>0</v>
      </c>
      <c r="I12" s="1">
        <f>'EE Contract if NO Entity Invest'!$B$7</f>
        <v>0</v>
      </c>
      <c r="J12">
        <f>IF('EE Contract if NO Entity Invest'!$B$4&gt;8,"=(G4-H4)*I4",0)</f>
        <v>0</v>
      </c>
      <c r="L12">
        <v>2017</v>
      </c>
      <c r="M12" s="3">
        <f t="shared" si="2"/>
        <v>0</v>
      </c>
      <c r="N12" s="1">
        <f>'RE Contract'!$B$6</f>
        <v>0</v>
      </c>
      <c r="O12" s="1">
        <f>'RE Contract'!$B$7</f>
        <v>0</v>
      </c>
      <c r="P12">
        <f>IF('RE Contract'!$B$4&gt;8,(M12-N12)*O12,0)</f>
        <v>0</v>
      </c>
    </row>
    <row r="13" spans="1:16" ht="12.75">
      <c r="A13">
        <v>2018</v>
      </c>
      <c r="B13" s="3">
        <f t="shared" si="0"/>
        <v>0</v>
      </c>
      <c r="C13" s="1">
        <f>('EE Contracts if Entity Invests'!$B$10-'EE Contracts if Entity Invests'!$B$11)*'EE Contracts if Entity Invests'!$B$6</f>
        <v>0</v>
      </c>
      <c r="D13">
        <f>IF('EE Contracts if Entity Invests'!$B$7&gt;9,C13*B13,0)</f>
        <v>0</v>
      </c>
      <c r="F13">
        <v>2018</v>
      </c>
      <c r="G13" s="3">
        <f t="shared" si="1"/>
        <v>0</v>
      </c>
      <c r="H13" s="1">
        <f>'EE Contract if NO Entity Invest'!$B$6</f>
        <v>0</v>
      </c>
      <c r="I13" s="1">
        <f>'EE Contract if NO Entity Invest'!$B$7</f>
        <v>0</v>
      </c>
      <c r="J13">
        <f>IF('EE Contract if NO Entity Invest'!$B$4&gt;9,"=(G4-H4)*I4",0)</f>
        <v>0</v>
      </c>
      <c r="L13">
        <v>2018</v>
      </c>
      <c r="M13" s="3">
        <f t="shared" si="2"/>
        <v>0</v>
      </c>
      <c r="N13" s="1">
        <f>'RE Contract'!$B$6</f>
        <v>0</v>
      </c>
      <c r="O13" s="1">
        <f>'RE Contract'!$B$7</f>
        <v>0</v>
      </c>
      <c r="P13">
        <f>IF('RE Contract'!$B$4&gt;9,(M13-N13)*O13,0)</f>
        <v>0</v>
      </c>
    </row>
    <row r="14" spans="1:16" ht="12.75">
      <c r="A14">
        <v>2019</v>
      </c>
      <c r="B14" s="3">
        <f t="shared" si="0"/>
        <v>0</v>
      </c>
      <c r="C14" s="1">
        <f>('EE Contracts if Entity Invests'!$B$10-'EE Contracts if Entity Invests'!$B$11)*'EE Contracts if Entity Invests'!$B$6</f>
        <v>0</v>
      </c>
      <c r="D14">
        <f>IF('EE Contracts if Entity Invests'!$B$7&gt;10,C14*B14,0)</f>
        <v>0</v>
      </c>
      <c r="F14">
        <v>2019</v>
      </c>
      <c r="G14" s="3">
        <f t="shared" si="1"/>
        <v>0</v>
      </c>
      <c r="H14" s="1">
        <f>'EE Contract if NO Entity Invest'!$B$6</f>
        <v>0</v>
      </c>
      <c r="I14" s="1">
        <f>'EE Contract if NO Entity Invest'!$B$7</f>
        <v>0</v>
      </c>
      <c r="J14">
        <f>IF('EE Contract if NO Entity Invest'!$B$4&gt;10,"=(G4-H4)*I4",0)</f>
        <v>0</v>
      </c>
      <c r="L14">
        <v>2019</v>
      </c>
      <c r="M14" s="3">
        <f t="shared" si="2"/>
        <v>0</v>
      </c>
      <c r="N14" s="1">
        <f>'RE Contract'!$B$6</f>
        <v>0</v>
      </c>
      <c r="O14" s="1">
        <f>'RE Contract'!$B$7</f>
        <v>0</v>
      </c>
      <c r="P14">
        <f>IF('RE Contract'!$B$4&gt;10,(M14-N14)*O14,0)</f>
        <v>0</v>
      </c>
    </row>
    <row r="15" spans="1:16" ht="12.75">
      <c r="A15">
        <v>2020</v>
      </c>
      <c r="B15" s="3">
        <f t="shared" si="0"/>
        <v>0</v>
      </c>
      <c r="C15" s="1">
        <f>('EE Contracts if Entity Invests'!$B$10-'EE Contracts if Entity Invests'!$B$11)*'EE Contracts if Entity Invests'!$B$6</f>
        <v>0</v>
      </c>
      <c r="D15">
        <f>IF('EE Contracts if Entity Invests'!$B$7&gt;11,C15*B15,0)</f>
        <v>0</v>
      </c>
      <c r="F15">
        <v>2020</v>
      </c>
      <c r="G15" s="3">
        <f t="shared" si="1"/>
        <v>0</v>
      </c>
      <c r="H15" s="1">
        <f>'EE Contract if NO Entity Invest'!$B$6</f>
        <v>0</v>
      </c>
      <c r="I15" s="1">
        <f>'EE Contract if NO Entity Invest'!$B$7</f>
        <v>0</v>
      </c>
      <c r="J15">
        <f>IF('EE Contract if NO Entity Invest'!$B$4&gt;11,"=(G4-H4)*I4",0)</f>
        <v>0</v>
      </c>
      <c r="L15">
        <v>2020</v>
      </c>
      <c r="M15" s="3">
        <f t="shared" si="2"/>
        <v>0</v>
      </c>
      <c r="N15" s="1">
        <f>'RE Contract'!$B$6</f>
        <v>0</v>
      </c>
      <c r="O15" s="1">
        <f>'RE Contract'!$B$7</f>
        <v>0</v>
      </c>
      <c r="P15">
        <f>IF('RE Contract'!$B$4&gt;11,(M15-N15)*O15,0)</f>
        <v>0</v>
      </c>
    </row>
    <row r="16" spans="1:16" ht="12.75">
      <c r="A16">
        <v>2021</v>
      </c>
      <c r="B16" s="3">
        <f t="shared" si="0"/>
        <v>0</v>
      </c>
      <c r="C16" s="1">
        <f>('EE Contracts if Entity Invests'!$B$10-'EE Contracts if Entity Invests'!$B$11)*'EE Contracts if Entity Invests'!$B$6</f>
        <v>0</v>
      </c>
      <c r="D16">
        <f>IF('EE Contracts if Entity Invests'!$B$7&gt;12,C16*B16,0)</f>
        <v>0</v>
      </c>
      <c r="F16">
        <v>2021</v>
      </c>
      <c r="G16" s="3">
        <f t="shared" si="1"/>
        <v>0</v>
      </c>
      <c r="H16" s="1">
        <f>'EE Contract if NO Entity Invest'!$B$6</f>
        <v>0</v>
      </c>
      <c r="I16" s="1">
        <f>'EE Contract if NO Entity Invest'!$B$7</f>
        <v>0</v>
      </c>
      <c r="J16">
        <f>IF('EE Contract if NO Entity Invest'!$B$4&gt;12,"=(G4-H4)*I4",0)</f>
        <v>0</v>
      </c>
      <c r="L16">
        <v>2021</v>
      </c>
      <c r="M16" s="3">
        <f t="shared" si="2"/>
        <v>0</v>
      </c>
      <c r="N16" s="1">
        <f>'RE Contract'!$B$6</f>
        <v>0</v>
      </c>
      <c r="O16" s="1">
        <f>'RE Contract'!$B$7</f>
        <v>0</v>
      </c>
      <c r="P16">
        <f>IF('RE Contract'!$B$4&gt;12,(M16-N16)*O16,0)</f>
        <v>0</v>
      </c>
    </row>
    <row r="17" spans="1:16" ht="12.75">
      <c r="A17">
        <v>2022</v>
      </c>
      <c r="B17" s="3">
        <f t="shared" si="0"/>
        <v>0</v>
      </c>
      <c r="C17" s="1">
        <f>('EE Contracts if Entity Invests'!$B$10-'EE Contracts if Entity Invests'!$B$11)*'EE Contracts if Entity Invests'!$B$6</f>
        <v>0</v>
      </c>
      <c r="D17">
        <f>IF('EE Contracts if Entity Invests'!$B$7&gt;13,C17*B17,0)</f>
        <v>0</v>
      </c>
      <c r="F17">
        <v>2022</v>
      </c>
      <c r="G17" s="3">
        <f t="shared" si="1"/>
        <v>0</v>
      </c>
      <c r="H17" s="1">
        <f>'EE Contract if NO Entity Invest'!$B$6</f>
        <v>0</v>
      </c>
      <c r="I17" s="1">
        <f>'EE Contract if NO Entity Invest'!$B$7</f>
        <v>0</v>
      </c>
      <c r="J17">
        <f>IF('EE Contract if NO Entity Invest'!$B$4&gt;13,"=(G4-H4)*I4",0)</f>
        <v>0</v>
      </c>
      <c r="L17">
        <v>2022</v>
      </c>
      <c r="M17" s="3">
        <f t="shared" si="2"/>
        <v>0</v>
      </c>
      <c r="N17" s="1">
        <f>'RE Contract'!$B$6</f>
        <v>0</v>
      </c>
      <c r="O17" s="1">
        <f>'RE Contract'!$B$7</f>
        <v>0</v>
      </c>
      <c r="P17">
        <f>IF('RE Contract'!$B$4&gt;13,(M17-N17)*O17,0)</f>
        <v>0</v>
      </c>
    </row>
    <row r="18" spans="1:16" ht="12.75">
      <c r="A18">
        <v>2023</v>
      </c>
      <c r="B18" s="3">
        <f t="shared" si="0"/>
        <v>0</v>
      </c>
      <c r="C18" s="1">
        <f>('EE Contracts if Entity Invests'!$B$10-'EE Contracts if Entity Invests'!$B$11)*'EE Contracts if Entity Invests'!$B$6</f>
        <v>0</v>
      </c>
      <c r="D18">
        <f>IF('EE Contracts if Entity Invests'!$B$7&gt;14,C18*B18,0)</f>
        <v>0</v>
      </c>
      <c r="F18">
        <v>2023</v>
      </c>
      <c r="G18" s="3">
        <f t="shared" si="1"/>
        <v>0</v>
      </c>
      <c r="H18" s="1">
        <f>'EE Contract if NO Entity Invest'!$B$6</f>
        <v>0</v>
      </c>
      <c r="I18" s="1">
        <f>'EE Contract if NO Entity Invest'!$B$7</f>
        <v>0</v>
      </c>
      <c r="J18">
        <f>IF('EE Contract if NO Entity Invest'!$B$4&gt;14,"=(G4-H4)*I4",0)</f>
        <v>0</v>
      </c>
      <c r="L18">
        <v>2023</v>
      </c>
      <c r="M18" s="3">
        <f t="shared" si="2"/>
        <v>0</v>
      </c>
      <c r="N18" s="1">
        <f>'RE Contract'!$B$6</f>
        <v>0</v>
      </c>
      <c r="O18" s="1">
        <f>'RE Contract'!$B$7</f>
        <v>0</v>
      </c>
      <c r="P18">
        <f>IF('RE Contract'!$B$4&gt;14,(M18-N18)*O18,0)</f>
        <v>0</v>
      </c>
    </row>
    <row r="19" spans="1:16" ht="12.75">
      <c r="A19">
        <v>2024</v>
      </c>
      <c r="B19" s="3">
        <f t="shared" si="0"/>
        <v>0</v>
      </c>
      <c r="C19" s="1">
        <f>('EE Contracts if Entity Invests'!$B$10-'EE Contracts if Entity Invests'!$B$11)*'EE Contracts if Entity Invests'!$B$6</f>
        <v>0</v>
      </c>
      <c r="D19">
        <f>IF('EE Contracts if Entity Invests'!$B$7&gt;15,C19*B19,0)</f>
        <v>0</v>
      </c>
      <c r="F19">
        <v>2024</v>
      </c>
      <c r="G19" s="3">
        <f t="shared" si="1"/>
        <v>0</v>
      </c>
      <c r="H19" s="1">
        <f>'EE Contract if NO Entity Invest'!$B$6</f>
        <v>0</v>
      </c>
      <c r="I19" s="1">
        <f>'EE Contract if NO Entity Invest'!$B$7</f>
        <v>0</v>
      </c>
      <c r="J19">
        <f>IF('EE Contract if NO Entity Invest'!$B$4&gt;15,"=(G4-H4)*I4",0)</f>
        <v>0</v>
      </c>
      <c r="L19">
        <v>2024</v>
      </c>
      <c r="M19" s="3">
        <f t="shared" si="2"/>
        <v>0</v>
      </c>
      <c r="N19" s="1">
        <f>'RE Contract'!$B$6</f>
        <v>0</v>
      </c>
      <c r="O19" s="1">
        <f>'RE Contract'!$B$7</f>
        <v>0</v>
      </c>
      <c r="P19">
        <f>IF('RE Contract'!$B$4&gt;15,(M19-N19)*O19,0)</f>
        <v>0</v>
      </c>
    </row>
    <row r="20" spans="1:16" ht="12.75">
      <c r="A20">
        <v>2025</v>
      </c>
      <c r="B20" s="3">
        <f t="shared" si="0"/>
        <v>0</v>
      </c>
      <c r="C20" s="1">
        <f>('EE Contracts if Entity Invests'!$B$10-'EE Contracts if Entity Invests'!$B$11)*'EE Contracts if Entity Invests'!$B$6</f>
        <v>0</v>
      </c>
      <c r="D20">
        <f>IF('EE Contracts if Entity Invests'!$B$7&gt;16,C20*B20,0)</f>
        <v>0</v>
      </c>
      <c r="F20">
        <v>2025</v>
      </c>
      <c r="G20" s="3">
        <f t="shared" si="1"/>
        <v>0</v>
      </c>
      <c r="H20" s="1">
        <f>'EE Contract if NO Entity Invest'!$B$6</f>
        <v>0</v>
      </c>
      <c r="I20" s="1">
        <f>'EE Contract if NO Entity Invest'!$B$7</f>
        <v>0</v>
      </c>
      <c r="J20">
        <f>IF('EE Contract if NO Entity Invest'!$B$4&gt;16,"=(G4-H4)*I4",0)</f>
        <v>0</v>
      </c>
      <c r="L20">
        <v>2025</v>
      </c>
      <c r="M20" s="3">
        <f t="shared" si="2"/>
        <v>0</v>
      </c>
      <c r="N20" s="1">
        <f>'RE Contract'!$B$6</f>
        <v>0</v>
      </c>
      <c r="O20" s="1">
        <f>'RE Contract'!$B$7</f>
        <v>0</v>
      </c>
      <c r="P20">
        <f>IF('RE Contract'!$B$4&gt;16,(M20-N20)*O20,0)</f>
        <v>0</v>
      </c>
    </row>
    <row r="21" spans="1:16" ht="12.75">
      <c r="A21">
        <v>2026</v>
      </c>
      <c r="B21" s="3">
        <f t="shared" si="0"/>
        <v>0</v>
      </c>
      <c r="C21" s="1">
        <f>('EE Contracts if Entity Invests'!$B$10-'EE Contracts if Entity Invests'!$B$11)*'EE Contracts if Entity Invests'!$B$6</f>
        <v>0</v>
      </c>
      <c r="D21">
        <f>IF('EE Contracts if Entity Invests'!$B$7&gt;17,C21*B21,0)</f>
        <v>0</v>
      </c>
      <c r="F21">
        <v>2026</v>
      </c>
      <c r="G21" s="3">
        <f t="shared" si="1"/>
        <v>0</v>
      </c>
      <c r="H21" s="1">
        <f>'EE Contract if NO Entity Invest'!$B$6</f>
        <v>0</v>
      </c>
      <c r="I21" s="1">
        <f>'EE Contract if NO Entity Invest'!$B$7</f>
        <v>0</v>
      </c>
      <c r="J21">
        <f>IF('EE Contract if NO Entity Invest'!$B$4&gt;17,"=(G4-H4)*I4",0)</f>
        <v>0</v>
      </c>
      <c r="L21">
        <v>2026</v>
      </c>
      <c r="M21" s="3">
        <f t="shared" si="2"/>
        <v>0</v>
      </c>
      <c r="N21" s="1">
        <f>'RE Contract'!$B$6</f>
        <v>0</v>
      </c>
      <c r="O21" s="1">
        <f>'RE Contract'!$B$7</f>
        <v>0</v>
      </c>
      <c r="P21">
        <f>IF('RE Contract'!$B$4&gt;17,(M21-N21)*O21,0)</f>
        <v>0</v>
      </c>
    </row>
    <row r="22" spans="1:16" ht="12.75">
      <c r="A22">
        <v>2027</v>
      </c>
      <c r="B22" s="3">
        <f t="shared" si="0"/>
        <v>0</v>
      </c>
      <c r="C22" s="1">
        <f>('EE Contracts if Entity Invests'!$B$10-'EE Contracts if Entity Invests'!$B$11)*'EE Contracts if Entity Invests'!$B$6</f>
        <v>0</v>
      </c>
      <c r="D22">
        <f>IF('EE Contracts if Entity Invests'!$B$7&gt;18,C22*B22,0)</f>
        <v>0</v>
      </c>
      <c r="F22">
        <v>2027</v>
      </c>
      <c r="G22" s="3">
        <f t="shared" si="1"/>
        <v>0</v>
      </c>
      <c r="H22" s="1">
        <f>'EE Contract if NO Entity Invest'!$B$6</f>
        <v>0</v>
      </c>
      <c r="I22" s="1">
        <f>'EE Contract if NO Entity Invest'!$B$7</f>
        <v>0</v>
      </c>
      <c r="J22">
        <f>IF('EE Contract if NO Entity Invest'!$B$4&gt;18,"=(G4-H4)*I4",0)</f>
        <v>0</v>
      </c>
      <c r="L22">
        <v>2027</v>
      </c>
      <c r="M22" s="3">
        <f t="shared" si="2"/>
        <v>0</v>
      </c>
      <c r="N22" s="1">
        <f>'RE Contract'!$B$6</f>
        <v>0</v>
      </c>
      <c r="O22" s="1">
        <f>'RE Contract'!$B$7</f>
        <v>0</v>
      </c>
      <c r="P22">
        <f>IF('RE Contract'!$B$4&gt;18,(M22-N22)*O22,0)</f>
        <v>0</v>
      </c>
    </row>
    <row r="23" spans="1:16" ht="12.75">
      <c r="A23">
        <v>2028</v>
      </c>
      <c r="B23" s="3">
        <f t="shared" si="0"/>
        <v>0</v>
      </c>
      <c r="C23" s="1">
        <f>('EE Contracts if Entity Invests'!$B$10-'EE Contracts if Entity Invests'!$B$11)*'EE Contracts if Entity Invests'!$B$6</f>
        <v>0</v>
      </c>
      <c r="D23">
        <f>IF('EE Contracts if Entity Invests'!$B$7&gt;19,C23*B23,0)</f>
        <v>0</v>
      </c>
      <c r="F23">
        <v>2028</v>
      </c>
      <c r="G23" s="3">
        <f t="shared" si="1"/>
        <v>0</v>
      </c>
      <c r="H23" s="1">
        <f>'EE Contract if NO Entity Invest'!$B$6</f>
        <v>0</v>
      </c>
      <c r="I23" s="1">
        <f>'EE Contract if NO Entity Invest'!$B$7</f>
        <v>0</v>
      </c>
      <c r="J23">
        <f>IF('EE Contract if NO Entity Invest'!$B$4&gt;19,"=(G4-H4)*I4",0)</f>
        <v>0</v>
      </c>
      <c r="L23">
        <v>2028</v>
      </c>
      <c r="M23" s="3">
        <f t="shared" si="2"/>
        <v>0</v>
      </c>
      <c r="N23" s="1">
        <f>'RE Contract'!$B$6</f>
        <v>0</v>
      </c>
      <c r="O23" s="1">
        <f>'RE Contract'!$B$7</f>
        <v>0</v>
      </c>
      <c r="P23">
        <f>IF('RE Contract'!$B$4&gt;19,(M23-N23)*O23,0)</f>
        <v>0</v>
      </c>
    </row>
    <row r="25" spans="3:16" ht="12.75">
      <c r="C25" t="s">
        <v>1</v>
      </c>
      <c r="D25">
        <f>SUM(D4:D23)</f>
        <v>0</v>
      </c>
      <c r="H25" t="s">
        <v>1</v>
      </c>
      <c r="J25">
        <f>SUM(J4:J23)</f>
        <v>0</v>
      </c>
      <c r="N25" t="s">
        <v>1</v>
      </c>
      <c r="P25">
        <f>SUM(P4:P23)</f>
        <v>0</v>
      </c>
    </row>
    <row r="26" spans="3:16" ht="12.75">
      <c r="C26" t="s">
        <v>24</v>
      </c>
      <c r="D26" s="4">
        <f>NPV('EE Contracts if Entity Invests'!$B$24,D4:D23)</f>
        <v>0</v>
      </c>
      <c r="H26" t="s">
        <v>24</v>
      </c>
      <c r="J26" s="4">
        <f>NPV('EE Contracts if Entity Invests'!$B$24,J4:J23)</f>
        <v>0</v>
      </c>
      <c r="N26" t="s">
        <v>24</v>
      </c>
      <c r="P26" s="4">
        <f>NPV('EE Contracts if Entity Invests'!$B$24,P4:P23)</f>
        <v>0</v>
      </c>
    </row>
    <row r="28" spans="1:4" ht="12.75">
      <c r="A28" s="28" t="s">
        <v>20</v>
      </c>
      <c r="B28" s="29"/>
      <c r="C28" s="29"/>
      <c r="D28" s="29"/>
    </row>
    <row r="29" spans="1:4" ht="25.5">
      <c r="A29" s="2" t="s">
        <v>21</v>
      </c>
      <c r="B29" s="2" t="s">
        <v>22</v>
      </c>
      <c r="C29" s="2" t="s">
        <v>23</v>
      </c>
      <c r="D29" s="2" t="s">
        <v>25</v>
      </c>
    </row>
    <row r="30" spans="1:4" ht="12.75">
      <c r="A30">
        <v>2009</v>
      </c>
      <c r="B30" s="3">
        <f>'EE Contracts if Entity Invests'!$B$17</f>
        <v>0</v>
      </c>
      <c r="C30" s="1">
        <f>('EE Contracts if Entity Invests'!$B$15-'EE Contracts if Entity Invests'!$B$16)*'EE Contracts if Entity Invests'!$B$6</f>
        <v>0</v>
      </c>
      <c r="D30">
        <f>IF('EE Contracts if Entity Invests'!$B$7&gt;0,C30*B30,0)</f>
        <v>0</v>
      </c>
    </row>
    <row r="31" spans="1:4" ht="12.75">
      <c r="A31">
        <v>2010</v>
      </c>
      <c r="B31" s="3">
        <f>B30*1.024</f>
        <v>0</v>
      </c>
      <c r="C31" s="1">
        <f>('EE Contracts if Entity Invests'!$B$15-'EE Contracts if Entity Invests'!$B$16)*'EE Contracts if Entity Invests'!$B$6</f>
        <v>0</v>
      </c>
      <c r="D31">
        <f>IF('EE Contracts if Entity Invests'!$B$7&gt;1,C31*B31,0)</f>
        <v>0</v>
      </c>
    </row>
    <row r="32" spans="1:4" ht="12.75">
      <c r="A32">
        <v>2011</v>
      </c>
      <c r="B32" s="3">
        <f aca="true" t="shared" si="3" ref="B32:B49">B31*1.024</f>
        <v>0</v>
      </c>
      <c r="C32" s="1">
        <f>('EE Contracts if Entity Invests'!$B$15-'EE Contracts if Entity Invests'!$B$16)*'EE Contracts if Entity Invests'!$B$6</f>
        <v>0</v>
      </c>
      <c r="D32">
        <f>IF('EE Contracts if Entity Invests'!$B$7&gt;2,C32*B32,0)</f>
        <v>0</v>
      </c>
    </row>
    <row r="33" spans="1:4" ht="12.75">
      <c r="A33">
        <v>2012</v>
      </c>
      <c r="B33" s="3">
        <f t="shared" si="3"/>
        <v>0</v>
      </c>
      <c r="C33" s="1">
        <f>('EE Contracts if Entity Invests'!$B$15-'EE Contracts if Entity Invests'!$B$16)*'EE Contracts if Entity Invests'!$B$6</f>
        <v>0</v>
      </c>
      <c r="D33">
        <f>IF('EE Contracts if Entity Invests'!$B$7&gt;3,C33*B33,0)</f>
        <v>0</v>
      </c>
    </row>
    <row r="34" spans="1:4" ht="12.75">
      <c r="A34">
        <v>2013</v>
      </c>
      <c r="B34" s="3">
        <f t="shared" si="3"/>
        <v>0</v>
      </c>
      <c r="C34" s="1">
        <f>('EE Contracts if Entity Invests'!$B$15-'EE Contracts if Entity Invests'!$B$16)*'EE Contracts if Entity Invests'!$B$6</f>
        <v>0</v>
      </c>
      <c r="D34">
        <f>IF('EE Contracts if Entity Invests'!$B$7&gt;4,C34*B34,0)</f>
        <v>0</v>
      </c>
    </row>
    <row r="35" spans="1:4" ht="12.75">
      <c r="A35">
        <v>2014</v>
      </c>
      <c r="B35" s="3">
        <f t="shared" si="3"/>
        <v>0</v>
      </c>
      <c r="C35" s="1">
        <f>('EE Contracts if Entity Invests'!$B$15-'EE Contracts if Entity Invests'!$B$16)*'EE Contracts if Entity Invests'!$B$6</f>
        <v>0</v>
      </c>
      <c r="D35">
        <f>IF('EE Contracts if Entity Invests'!$B$7&gt;5,C35*B35,0)</f>
        <v>0</v>
      </c>
    </row>
    <row r="36" spans="1:4" ht="12.75">
      <c r="A36">
        <v>2015</v>
      </c>
      <c r="B36" s="3">
        <f t="shared" si="3"/>
        <v>0</v>
      </c>
      <c r="C36" s="1">
        <f>('EE Contracts if Entity Invests'!$B$15-'EE Contracts if Entity Invests'!$B$16)*'EE Contracts if Entity Invests'!$B$6</f>
        <v>0</v>
      </c>
      <c r="D36">
        <f>IF('EE Contracts if Entity Invests'!$B$7&gt;6,C36*B36,0)</f>
        <v>0</v>
      </c>
    </row>
    <row r="37" spans="1:4" ht="12.75">
      <c r="A37">
        <v>2016</v>
      </c>
      <c r="B37" s="3">
        <f t="shared" si="3"/>
        <v>0</v>
      </c>
      <c r="C37" s="1">
        <f>('EE Contracts if Entity Invests'!$B$15-'EE Contracts if Entity Invests'!$B$16)*'EE Contracts if Entity Invests'!$B$6</f>
        <v>0</v>
      </c>
      <c r="D37">
        <f>IF('EE Contracts if Entity Invests'!$B$7&gt;7,C37*B37,0)</f>
        <v>0</v>
      </c>
    </row>
    <row r="38" spans="1:4" ht="12.75">
      <c r="A38">
        <v>2017</v>
      </c>
      <c r="B38" s="3">
        <f t="shared" si="3"/>
        <v>0</v>
      </c>
      <c r="C38" s="1">
        <f>('EE Contracts if Entity Invests'!$B$15-'EE Contracts if Entity Invests'!$B$16)*'EE Contracts if Entity Invests'!$B$6</f>
        <v>0</v>
      </c>
      <c r="D38">
        <f>IF('EE Contracts if Entity Invests'!$B$7&gt;8,C38*B38,0)</f>
        <v>0</v>
      </c>
    </row>
    <row r="39" spans="1:4" ht="12.75">
      <c r="A39">
        <v>2018</v>
      </c>
      <c r="B39" s="3">
        <f t="shared" si="3"/>
        <v>0</v>
      </c>
      <c r="C39" s="1">
        <f>('EE Contracts if Entity Invests'!$B$15-'EE Contracts if Entity Invests'!$B$16)*'EE Contracts if Entity Invests'!$B$6</f>
        <v>0</v>
      </c>
      <c r="D39">
        <f>IF('EE Contracts if Entity Invests'!$B$7&gt;9,C39*B39,0)</f>
        <v>0</v>
      </c>
    </row>
    <row r="40" spans="1:4" ht="12.75">
      <c r="A40">
        <v>2019</v>
      </c>
      <c r="B40" s="3">
        <f t="shared" si="3"/>
        <v>0</v>
      </c>
      <c r="C40" s="1">
        <f>('EE Contracts if Entity Invests'!$B$15-'EE Contracts if Entity Invests'!$B$16)*'EE Contracts if Entity Invests'!$B$6</f>
        <v>0</v>
      </c>
      <c r="D40">
        <f>IF('EE Contracts if Entity Invests'!$B$7&gt;10,C40*B40,0)</f>
        <v>0</v>
      </c>
    </row>
    <row r="41" spans="1:4" ht="12.75">
      <c r="A41">
        <v>2020</v>
      </c>
      <c r="B41" s="3">
        <f t="shared" si="3"/>
        <v>0</v>
      </c>
      <c r="C41" s="1">
        <f>('EE Contracts if Entity Invests'!$B$15-'EE Contracts if Entity Invests'!$B$16)*'EE Contracts if Entity Invests'!$B$6</f>
        <v>0</v>
      </c>
      <c r="D41">
        <f>IF('EE Contracts if Entity Invests'!$B$7&gt;11,C41*B41,0)</f>
        <v>0</v>
      </c>
    </row>
    <row r="42" spans="1:4" ht="12.75">
      <c r="A42">
        <v>2021</v>
      </c>
      <c r="B42" s="3">
        <f t="shared" si="3"/>
        <v>0</v>
      </c>
      <c r="C42" s="1">
        <f>('EE Contracts if Entity Invests'!$B$15-'EE Contracts if Entity Invests'!$B$16)*'EE Contracts if Entity Invests'!$B$6</f>
        <v>0</v>
      </c>
      <c r="D42">
        <f>IF('EE Contracts if Entity Invests'!$B$7&gt;12,C42*B42,0)</f>
        <v>0</v>
      </c>
    </row>
    <row r="43" spans="1:4" ht="12.75">
      <c r="A43">
        <v>2022</v>
      </c>
      <c r="B43" s="3">
        <f t="shared" si="3"/>
        <v>0</v>
      </c>
      <c r="C43" s="1">
        <f>('EE Contracts if Entity Invests'!$B$15-'EE Contracts if Entity Invests'!$B$16)*'EE Contracts if Entity Invests'!$B$6</f>
        <v>0</v>
      </c>
      <c r="D43">
        <f>IF('EE Contracts if Entity Invests'!$B$7&gt;13,C43*B43,0)</f>
        <v>0</v>
      </c>
    </row>
    <row r="44" spans="1:4" ht="12.75">
      <c r="A44">
        <v>2023</v>
      </c>
      <c r="B44" s="3">
        <f t="shared" si="3"/>
        <v>0</v>
      </c>
      <c r="C44" s="1">
        <f>('EE Contracts if Entity Invests'!$B$15-'EE Contracts if Entity Invests'!$B$16)*'EE Contracts if Entity Invests'!$B$6</f>
        <v>0</v>
      </c>
      <c r="D44">
        <f>IF('EE Contracts if Entity Invests'!$B$7&gt;14,C44*B44,0)</f>
        <v>0</v>
      </c>
    </row>
    <row r="45" spans="1:4" ht="12.75">
      <c r="A45">
        <v>2024</v>
      </c>
      <c r="B45" s="3">
        <f t="shared" si="3"/>
        <v>0</v>
      </c>
      <c r="C45" s="1">
        <f>('EE Contracts if Entity Invests'!$B$15-'EE Contracts if Entity Invests'!$B$16)*'EE Contracts if Entity Invests'!$B$6</f>
        <v>0</v>
      </c>
      <c r="D45">
        <f>IF('EE Contracts if Entity Invests'!$B$7&gt;15,C45*B45,0)</f>
        <v>0</v>
      </c>
    </row>
    <row r="46" spans="1:4" ht="12.75">
      <c r="A46">
        <v>2025</v>
      </c>
      <c r="B46" s="3">
        <f t="shared" si="3"/>
        <v>0</v>
      </c>
      <c r="C46" s="1">
        <f>('EE Contracts if Entity Invests'!$B$15-'EE Contracts if Entity Invests'!$B$16)*'EE Contracts if Entity Invests'!$B$6</f>
        <v>0</v>
      </c>
      <c r="D46">
        <f>IF('EE Contracts if Entity Invests'!$B$7&gt;16,C46*B46,0)</f>
        <v>0</v>
      </c>
    </row>
    <row r="47" spans="1:4" ht="12.75">
      <c r="A47">
        <v>2026</v>
      </c>
      <c r="B47" s="3">
        <f t="shared" si="3"/>
        <v>0</v>
      </c>
      <c r="C47" s="1">
        <f>('EE Contracts if Entity Invests'!$B$15-'EE Contracts if Entity Invests'!$B$16)*'EE Contracts if Entity Invests'!$B$6</f>
        <v>0</v>
      </c>
      <c r="D47">
        <f>IF('EE Contracts if Entity Invests'!$B$7&gt;17,C47*B47,0)</f>
        <v>0</v>
      </c>
    </row>
    <row r="48" spans="1:4" ht="12.75">
      <c r="A48">
        <v>2027</v>
      </c>
      <c r="B48" s="3">
        <f t="shared" si="3"/>
        <v>0</v>
      </c>
      <c r="C48" s="1">
        <f>('EE Contracts if Entity Invests'!$B$15-'EE Contracts if Entity Invests'!$B$16)*'EE Contracts if Entity Invests'!$B$6</f>
        <v>0</v>
      </c>
      <c r="D48">
        <f>IF('EE Contracts if Entity Invests'!$B$7&gt;18,C48*B48,0)</f>
        <v>0</v>
      </c>
    </row>
    <row r="49" spans="1:4" ht="12.75">
      <c r="A49">
        <v>2028</v>
      </c>
      <c r="B49" s="3">
        <f t="shared" si="3"/>
        <v>0</v>
      </c>
      <c r="C49" s="1">
        <f>('EE Contracts if Entity Invests'!$B$15-'EE Contracts if Entity Invests'!$B$16)*'EE Contracts if Entity Invests'!$B$6</f>
        <v>0</v>
      </c>
      <c r="D49">
        <f>IF('EE Contracts if Entity Invests'!$B$7&gt;19,C49*B49,0)</f>
        <v>0</v>
      </c>
    </row>
    <row r="50" ht="12.75">
      <c r="C50" s="1"/>
    </row>
    <row r="51" spans="3:4" ht="12.75">
      <c r="C51" t="s">
        <v>1</v>
      </c>
      <c r="D51">
        <f>SUM(D30:D49)</f>
        <v>0</v>
      </c>
    </row>
    <row r="52" spans="3:4" ht="12.75">
      <c r="C52" t="s">
        <v>24</v>
      </c>
      <c r="D52" s="4">
        <f>NPV('EE Contracts if Entity Invests'!$B$24,D30:D49)</f>
        <v>0</v>
      </c>
    </row>
    <row r="54" spans="1:4" ht="12.75">
      <c r="A54" s="28" t="s">
        <v>16</v>
      </c>
      <c r="B54" s="29"/>
      <c r="C54" s="29"/>
      <c r="D54" s="29"/>
    </row>
    <row r="55" spans="1:4" ht="25.5">
      <c r="A55" s="2" t="s">
        <v>21</v>
      </c>
      <c r="B55" s="2" t="s">
        <v>31</v>
      </c>
      <c r="C55" s="2" t="s">
        <v>32</v>
      </c>
      <c r="D55" s="2" t="s">
        <v>30</v>
      </c>
    </row>
    <row r="56" spans="1:4" ht="12.75">
      <c r="A56">
        <v>2009</v>
      </c>
      <c r="B56" s="3">
        <f>'EE Contracts if Entity Invests'!$B$18*'EE Contracts if Entity Invests'!$B$6</f>
        <v>0</v>
      </c>
      <c r="C56" s="1">
        <f>'EE Contracts if Entity Invests'!$B$20*'EE Contracts if Entity Invests'!$B$6</f>
        <v>0</v>
      </c>
      <c r="D56">
        <f>IF('EE Contracts if Entity Invests'!$B$7&gt;0,C56+B56,0)</f>
        <v>0</v>
      </c>
    </row>
    <row r="57" ht="12.75">
      <c r="C57" s="1"/>
    </row>
    <row r="58" spans="3:4" ht="12.75">
      <c r="C58" t="s">
        <v>1</v>
      </c>
      <c r="D58">
        <f>SUM(D56:D56)</f>
        <v>0</v>
      </c>
    </row>
    <row r="59" spans="3:4" ht="12.75">
      <c r="C59" t="s">
        <v>24</v>
      </c>
      <c r="D59" s="4">
        <f>NPV('EE Contracts if Entity Invests'!$B$24,D56:D56)</f>
        <v>0</v>
      </c>
    </row>
    <row r="61" spans="1:4" ht="12.75">
      <c r="A61" s="30" t="s">
        <v>19</v>
      </c>
      <c r="B61" s="30"/>
      <c r="C61" s="30"/>
      <c r="D61" s="30"/>
    </row>
    <row r="62" spans="1:4" ht="38.25">
      <c r="A62" s="2" t="s">
        <v>21</v>
      </c>
      <c r="B62" s="2" t="s">
        <v>5</v>
      </c>
      <c r="C62" s="2" t="s">
        <v>33</v>
      </c>
      <c r="D62" s="2" t="s">
        <v>35</v>
      </c>
    </row>
    <row r="63" spans="1:4" ht="12.75">
      <c r="A63">
        <v>2009</v>
      </c>
      <c r="B63">
        <f>'EE Contracts if Entity Invests'!$B$23*'EE Contracts if Entity Invests'!$B$6</f>
        <v>0</v>
      </c>
      <c r="C63">
        <f>'EE Contracts if Entity Invests'!$B$22*'EE Contracts if Entity Invests'!$B$6</f>
        <v>0</v>
      </c>
      <c r="D63">
        <f>IF('EE Contracts if Entity Invests'!$B$7&gt;0,C63+B63,0)</f>
        <v>0</v>
      </c>
    </row>
    <row r="64" spans="1:4" ht="12.75">
      <c r="A64">
        <v>2010</v>
      </c>
      <c r="B64">
        <f>'EE Contracts if Entity Invests'!$B$23*'EE Contracts if Entity Invests'!$B$6</f>
        <v>0</v>
      </c>
      <c r="D64">
        <f>IF('EE Contracts if Entity Invests'!$B$7&gt;1,C64+B64,0)</f>
        <v>0</v>
      </c>
    </row>
    <row r="65" spans="1:4" ht="12.75">
      <c r="A65">
        <v>2011</v>
      </c>
      <c r="B65">
        <f>'EE Contracts if Entity Invests'!$B$23*'EE Contracts if Entity Invests'!$B$6</f>
        <v>0</v>
      </c>
      <c r="D65">
        <f>IF('EE Contracts if Entity Invests'!$B$7&gt;2,C65+B65,0)</f>
        <v>0</v>
      </c>
    </row>
    <row r="66" spans="1:4" ht="12.75">
      <c r="A66">
        <v>2012</v>
      </c>
      <c r="B66">
        <f>'EE Contracts if Entity Invests'!$B$23*'EE Contracts if Entity Invests'!$B$6</f>
        <v>0</v>
      </c>
      <c r="D66">
        <f>IF('EE Contracts if Entity Invests'!$B$7&gt;3,C66+B66,0)</f>
        <v>0</v>
      </c>
    </row>
    <row r="67" spans="1:4" ht="12.75">
      <c r="A67">
        <v>2013</v>
      </c>
      <c r="B67">
        <f>'EE Contracts if Entity Invests'!$B$23*'EE Contracts if Entity Invests'!$B$6</f>
        <v>0</v>
      </c>
      <c r="D67">
        <f>IF('EE Contracts if Entity Invests'!$B$7&gt;4,C67+B67,0)</f>
        <v>0</v>
      </c>
    </row>
    <row r="68" spans="1:4" ht="12.75">
      <c r="A68">
        <v>2014</v>
      </c>
      <c r="B68">
        <f>'EE Contracts if Entity Invests'!$B$23*'EE Contracts if Entity Invests'!$B$6</f>
        <v>0</v>
      </c>
      <c r="D68">
        <f>IF('EE Contracts if Entity Invests'!$B$7&gt;5,C68+B68,0)</f>
        <v>0</v>
      </c>
    </row>
    <row r="69" spans="1:4" ht="12.75">
      <c r="A69">
        <v>2015</v>
      </c>
      <c r="B69">
        <f>'EE Contracts if Entity Invests'!$B$23*'EE Contracts if Entity Invests'!$B$6</f>
        <v>0</v>
      </c>
      <c r="D69">
        <f>IF('EE Contracts if Entity Invests'!$B$7&gt;6,C69+B69,0)</f>
        <v>0</v>
      </c>
    </row>
    <row r="70" spans="1:4" ht="12.75">
      <c r="A70">
        <v>2016</v>
      </c>
      <c r="B70">
        <f>'EE Contracts if Entity Invests'!$B$23*'EE Contracts if Entity Invests'!$B$6</f>
        <v>0</v>
      </c>
      <c r="D70">
        <f>IF('EE Contracts if Entity Invests'!$B$7&gt;7,C70+B70,0)</f>
        <v>0</v>
      </c>
    </row>
    <row r="71" spans="1:4" ht="12.75">
      <c r="A71">
        <v>2017</v>
      </c>
      <c r="B71">
        <f>'EE Contracts if Entity Invests'!$B$23*'EE Contracts if Entity Invests'!$B$6</f>
        <v>0</v>
      </c>
      <c r="D71">
        <f>IF('EE Contracts if Entity Invests'!$B$7&gt;8,C71+B71,0)</f>
        <v>0</v>
      </c>
    </row>
    <row r="72" spans="1:4" ht="12.75">
      <c r="A72">
        <v>2018</v>
      </c>
      <c r="B72">
        <f>'EE Contracts if Entity Invests'!$B$23*'EE Contracts if Entity Invests'!$B$6</f>
        <v>0</v>
      </c>
      <c r="D72">
        <f>IF('EE Contracts if Entity Invests'!$B$7&gt;9,C72+B72,0)</f>
        <v>0</v>
      </c>
    </row>
    <row r="73" spans="1:4" ht="12.75">
      <c r="A73">
        <v>2019</v>
      </c>
      <c r="B73">
        <f>'EE Contracts if Entity Invests'!$B$23*'EE Contracts if Entity Invests'!$B$6</f>
        <v>0</v>
      </c>
      <c r="D73">
        <f>IF('EE Contracts if Entity Invests'!$B$7&gt;10,C73+B73,0)</f>
        <v>0</v>
      </c>
    </row>
    <row r="74" spans="1:4" ht="12.75">
      <c r="A74">
        <v>2020</v>
      </c>
      <c r="B74">
        <f>'EE Contracts if Entity Invests'!$B$23*'EE Contracts if Entity Invests'!$B$6</f>
        <v>0</v>
      </c>
      <c r="D74">
        <f>IF('EE Contracts if Entity Invests'!$B$7&gt;11,C74+B74,0)</f>
        <v>0</v>
      </c>
    </row>
    <row r="75" spans="1:4" ht="12.75">
      <c r="A75">
        <v>2021</v>
      </c>
      <c r="B75">
        <f>'EE Contracts if Entity Invests'!$B$23*'EE Contracts if Entity Invests'!$B$6</f>
        <v>0</v>
      </c>
      <c r="D75">
        <f>IF('EE Contracts if Entity Invests'!$B$7&gt;12,C75+B75,0)</f>
        <v>0</v>
      </c>
    </row>
    <row r="76" spans="1:4" ht="12.75">
      <c r="A76">
        <v>2022</v>
      </c>
      <c r="B76">
        <f>'EE Contracts if Entity Invests'!$B$23*'EE Contracts if Entity Invests'!$B$6</f>
        <v>0</v>
      </c>
      <c r="D76">
        <f>IF('EE Contracts if Entity Invests'!$B$7&gt;13,C76+B76,0)</f>
        <v>0</v>
      </c>
    </row>
    <row r="77" spans="1:4" ht="12.75">
      <c r="A77">
        <v>2023</v>
      </c>
      <c r="B77">
        <f>'EE Contracts if Entity Invests'!$B$23*'EE Contracts if Entity Invests'!$B$6</f>
        <v>0</v>
      </c>
      <c r="D77">
        <f>IF('EE Contracts if Entity Invests'!$B$7&gt;14,C77+B77,0)</f>
        <v>0</v>
      </c>
    </row>
    <row r="78" spans="1:4" ht="12.75">
      <c r="A78">
        <v>2024</v>
      </c>
      <c r="B78">
        <f>'EE Contracts if Entity Invests'!$B$23*'EE Contracts if Entity Invests'!$B$6</f>
        <v>0</v>
      </c>
      <c r="D78">
        <f>IF('EE Contracts if Entity Invests'!$B$7&gt;15,C78+B78,0)</f>
        <v>0</v>
      </c>
    </row>
    <row r="79" spans="1:4" ht="12.75">
      <c r="A79">
        <v>2025</v>
      </c>
      <c r="B79">
        <f>'EE Contracts if Entity Invests'!$B$23*'EE Contracts if Entity Invests'!$B$6</f>
        <v>0</v>
      </c>
      <c r="D79">
        <f>IF('EE Contracts if Entity Invests'!$B$7&gt;16,C79+B79,0)</f>
        <v>0</v>
      </c>
    </row>
    <row r="80" spans="1:4" ht="12.75">
      <c r="A80">
        <v>2026</v>
      </c>
      <c r="B80">
        <f>'EE Contracts if Entity Invests'!$B$23*'EE Contracts if Entity Invests'!$B$6</f>
        <v>0</v>
      </c>
      <c r="D80">
        <f>IF('EE Contracts if Entity Invests'!$B$7&gt;17,C80+B80,0)</f>
        <v>0</v>
      </c>
    </row>
    <row r="81" spans="1:4" ht="12.75">
      <c r="A81">
        <v>2027</v>
      </c>
      <c r="B81">
        <f>'EE Contracts if Entity Invests'!$B$23*'EE Contracts if Entity Invests'!$B$6</f>
        <v>0</v>
      </c>
      <c r="D81">
        <f>IF('EE Contracts if Entity Invests'!$B$7&gt;18,C81+B81,0)</f>
        <v>0</v>
      </c>
    </row>
    <row r="82" spans="1:4" ht="12.75">
      <c r="A82">
        <v>2028</v>
      </c>
      <c r="B82">
        <f>'EE Contracts if Entity Invests'!$B$23*'EE Contracts if Entity Invests'!$B$6</f>
        <v>0</v>
      </c>
      <c r="D82">
        <f>IF('EE Contracts if Entity Invests'!$B$7&gt;19,C82+B82,0)</f>
        <v>0</v>
      </c>
    </row>
    <row r="84" spans="3:4" ht="12.75">
      <c r="C84" t="s">
        <v>1</v>
      </c>
      <c r="D84">
        <f>SUM(D63:D82)</f>
        <v>0</v>
      </c>
    </row>
    <row r="85" spans="2:4" ht="12.75">
      <c r="B85" s="4"/>
      <c r="C85" t="s">
        <v>24</v>
      </c>
      <c r="D85" s="4">
        <f>NPV('EE Contracts if Entity Invests'!$B$24,D63:D82)</f>
        <v>0</v>
      </c>
    </row>
  </sheetData>
  <mergeCells count="9">
    <mergeCell ref="A1:D1"/>
    <mergeCell ref="F1:J1"/>
    <mergeCell ref="L1:P1"/>
    <mergeCell ref="F2:J2"/>
    <mergeCell ref="L2:P2"/>
    <mergeCell ref="A28:D28"/>
    <mergeCell ref="A2:D2"/>
    <mergeCell ref="A54:D54"/>
    <mergeCell ref="A61:D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Rutgers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cottrela</dc:creator>
  <cp:keywords/>
  <dc:description/>
  <cp:lastModifiedBy>cottrela</cp:lastModifiedBy>
  <cp:lastPrinted>2009-04-20T18:09:37Z</cp:lastPrinted>
  <dcterms:created xsi:type="dcterms:W3CDTF">2009-02-25T14:10:36Z</dcterms:created>
  <dcterms:modified xsi:type="dcterms:W3CDTF">2009-04-20T18:09:40Z</dcterms:modified>
  <cp:category/>
  <cp:version/>
  <cp:contentType/>
  <cp:contentStatus/>
</cp:coreProperties>
</file>