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60" windowHeight="5952" tabRatio="894" firstSheet="1" activeTab="2"/>
  </bookViews>
  <sheets>
    <sheet name="MACROS" sheetId="1" state="hidden" r:id="rId1"/>
    <sheet name="CONTENTS" sheetId="2" r:id="rId2"/>
    <sheet name="FORM-10 (A-F)" sheetId="3" r:id="rId3"/>
    <sheet name="RFA Sheet" sheetId="4" r:id="rId4"/>
    <sheet name="Project Presentation " sheetId="5" r:id="rId5"/>
    <sheet name="SandU" sheetId="6" r:id="rId6"/>
    <sheet name="Cash Flow" sheetId="7" r:id="rId7"/>
    <sheet name="Closing Statement" sheetId="8" r:id="rId8"/>
    <sheet name="CONTENTS TC" sheetId="9" r:id="rId9"/>
    <sheet name="Signature Page" sheetId="10" r:id="rId10"/>
    <sheet name="Rent Qual. Chart" sheetId="11" r:id="rId11"/>
    <sheet name="EligBasisLimits" sheetId="12" r:id="rId12"/>
    <sheet name="Breakdown" sheetId="13" r:id="rId13"/>
    <sheet name="Carryover" sheetId="14" r:id="rId14"/>
    <sheet name="Ties" sheetId="15" r:id="rId15"/>
    <sheet name="Percentage_Limits" sheetId="16" r:id="rId16"/>
    <sheet name="OPER INCOME" sheetId="17" r:id="rId17"/>
    <sheet name="NOI" sheetId="18" r:id="rId18"/>
  </sheets>
  <externalReferences>
    <externalReference r:id="rId21"/>
    <externalReference r:id="rId22"/>
    <externalReference r:id="rId23"/>
  </externalReferences>
  <definedNames>
    <definedName name="_xlfn.IFERROR" hidden="1">#NAME?</definedName>
    <definedName name="_xlfn.SINGLE" hidden="1">#NAME?</definedName>
    <definedName name="a" localSheetId="12">'Breakdown'!$J$31:$J$32,'Breakdown'!$H$31:$H$32,'Breakdown'!$F$31:$F$32,'Breakdown'!$J$39:$J$49,'Breakdown'!$J$52:$J$61,'Breakdown'!$F$67:$F$75,'Breakdown'!$B$84:$F$90,'Breakdown'!$H$84:$H$90,'Breakdown'!$C$97:$G$97,'Breakdown'!$C$99:$D$99</definedName>
    <definedName name="a" localSheetId="13">'Breakdown'!$J$31:$J$32,'Breakdown'!$H$31:$H$32,'Breakdown'!$F$31:$F$32,'Breakdown'!$J$39:$J$49,'Breakdown'!$J$52:$J$61,'Breakdown'!$F$67:$F$75,'Breakdown'!$B$84:$F$90,'Breakdown'!$H$84:$H$90,'Breakdown'!$C$97:$G$97,'Breakdown'!$C$99:$D$99</definedName>
    <definedName name="a" localSheetId="17">'Breakdown'!$J$31:$J$32,'Breakdown'!$H$31:$H$32,'Breakdown'!$F$31:$F$32,'Breakdown'!$J$39:$J$49,'Breakdown'!$J$52:$J$61,'Breakdown'!$F$67:$F$75,'Breakdown'!$B$84:$F$90,'Breakdown'!$H$84:$H$90,'Breakdown'!$C$97:$G$97,'Breakdown'!$C$99:$D$99</definedName>
    <definedName name="a" localSheetId="16">'Breakdown'!$J$31:$J$32,'Breakdown'!$H$31:$H$32,'Breakdown'!$F$31:$F$32,'Breakdown'!$J$39:$J$49,'Breakdown'!$J$52:$J$61,'Breakdown'!$F$67:$F$75,'Breakdown'!$B$84:$F$90,'Breakdown'!$H$84:$H$90,'Breakdown'!$C$97:$G$97,'Breakdown'!$C$99:$D$99</definedName>
    <definedName name="a" localSheetId="15">'Breakdown'!$J$31:$J$32,'Breakdown'!$H$31:$H$32,'Breakdown'!$F$31:$F$32,'Breakdown'!$J$39:$J$49,'Breakdown'!$J$52:$J$61,'Breakdown'!$F$67:$F$75,'Breakdown'!$B$84:$F$90,'Breakdown'!$H$84:$H$90,'Breakdown'!$C$97:$G$97,'Breakdown'!$C$99:$D$99</definedName>
    <definedName name="a" localSheetId="9">'[2]Breakdown'!$J$30:$J$31,'[2]Breakdown'!$H$30:$H$31,'[2]Breakdown'!$F$30:$F$31,'[2]Breakdown'!$J$38:$J$47,'[2]Breakdown'!$J$50:$J$58,'[2]Breakdown'!$F$63:$F$72,'[2]Breakdown'!$B$81:$F$87,'[2]Breakdown'!$H$81:$H$87,'[2]Breakdown'!$C$94:$G$94,'[2]Breakdown'!$C$96:$D$96</definedName>
    <definedName name="a" localSheetId="14">'Breakdown'!$J$31:$J$32,'Breakdown'!$H$31:$H$32,'Breakdown'!$F$31:$F$32,'Breakdown'!$J$39:$J$49,'Breakdown'!$J$52:$J$61,'Breakdown'!$F$67:$F$75,'Breakdown'!$B$84:$F$90,'Breakdown'!$H$84:$H$90,'Breakdown'!$C$97:$G$97,'Breakdown'!$C$99:$D$99</definedName>
    <definedName name="a">#REF!,#REF!,#REF!,#REF!,#REF!,#REF!,#REF!,#REF!,#REF!,#REF!</definedName>
    <definedName name="ACREAGE" localSheetId="2">'FORM-10 (A-F)'!$E$119:$E$119</definedName>
    <definedName name="ACREAGE">#REF!</definedName>
    <definedName name="AGENCY_DEBTSERV" localSheetId="2">'FORM-10 (A-F)'!$F$468</definedName>
    <definedName name="AGENCY_DEBTSERV">#REF!</definedName>
    <definedName name="BR_1" localSheetId="2">'FORM-10 (A-F)'!$D$51:$D$51</definedName>
    <definedName name="BR_1">#REF!</definedName>
    <definedName name="BR_10" localSheetId="2">'FORM-10 (A-F)'!$D$60</definedName>
    <definedName name="BR_10">#REF!</definedName>
    <definedName name="BR_11" localSheetId="12">#REF!</definedName>
    <definedName name="BR_11" localSheetId="13">#REF!</definedName>
    <definedName name="BR_11" localSheetId="17">#REF!</definedName>
    <definedName name="BR_11" localSheetId="16">#REF!</definedName>
    <definedName name="BR_11" localSheetId="15">#REF!</definedName>
    <definedName name="BR_11" localSheetId="9">#REF!</definedName>
    <definedName name="BR_11" localSheetId="14">#REF!</definedName>
    <definedName name="BR_11">'FORM-10 (A-F)'!$D$61</definedName>
    <definedName name="BR_12" localSheetId="12">#REF!</definedName>
    <definedName name="BR_12" localSheetId="13">#REF!</definedName>
    <definedName name="BR_12" localSheetId="17">#REF!</definedName>
    <definedName name="BR_12" localSheetId="16">#REF!</definedName>
    <definedName name="BR_12" localSheetId="15">#REF!</definedName>
    <definedName name="BR_12" localSheetId="9">#REF!</definedName>
    <definedName name="BR_12" localSheetId="14">#REF!</definedName>
    <definedName name="BR_12">'FORM-10 (A-F)'!$D$62</definedName>
    <definedName name="BR_13" localSheetId="12">#REF!</definedName>
    <definedName name="BR_13" localSheetId="13">#REF!</definedName>
    <definedName name="BR_13" localSheetId="17">#REF!</definedName>
    <definedName name="BR_13" localSheetId="16">#REF!</definedName>
    <definedName name="BR_13" localSheetId="15">#REF!</definedName>
    <definedName name="BR_13" localSheetId="9">#REF!</definedName>
    <definedName name="BR_13" localSheetId="14">#REF!</definedName>
    <definedName name="BR_13">'FORM-10 (A-F)'!$D$63</definedName>
    <definedName name="BR_14" localSheetId="12">#REF!</definedName>
    <definedName name="BR_14" localSheetId="13">#REF!</definedName>
    <definedName name="BR_14" localSheetId="17">#REF!</definedName>
    <definedName name="BR_14" localSheetId="16">#REF!</definedName>
    <definedName name="BR_14" localSheetId="15">#REF!</definedName>
    <definedName name="BR_14" localSheetId="9">#REF!</definedName>
    <definedName name="BR_14" localSheetId="14">#REF!</definedName>
    <definedName name="BR_14">'FORM-10 (A-F)'!$D$64</definedName>
    <definedName name="BR_15" localSheetId="12">#REF!</definedName>
    <definedName name="BR_15" localSheetId="13">#REF!</definedName>
    <definedName name="BR_15" localSheetId="17">#REF!</definedName>
    <definedName name="BR_15" localSheetId="16">#REF!</definedName>
    <definedName name="BR_15" localSheetId="15">#REF!</definedName>
    <definedName name="BR_15" localSheetId="9">#REF!</definedName>
    <definedName name="BR_15" localSheetId="14">#REF!</definedName>
    <definedName name="BR_15">'FORM-10 (A-F)'!$D$65</definedName>
    <definedName name="BR_16" localSheetId="12">#REF!</definedName>
    <definedName name="BR_16" localSheetId="13">#REF!</definedName>
    <definedName name="BR_16" localSheetId="17">#REF!</definedName>
    <definedName name="BR_16" localSheetId="16">#REF!</definedName>
    <definedName name="BR_16" localSheetId="15">#REF!</definedName>
    <definedName name="BR_16" localSheetId="9">#REF!</definedName>
    <definedName name="BR_16" localSheetId="14">#REF!</definedName>
    <definedName name="BR_16">'FORM-10 (A-F)'!$D$66</definedName>
    <definedName name="BR_17" localSheetId="12">#REF!</definedName>
    <definedName name="BR_17" localSheetId="13">#REF!</definedName>
    <definedName name="BR_17" localSheetId="17">#REF!</definedName>
    <definedName name="BR_17" localSheetId="16">#REF!</definedName>
    <definedName name="BR_17" localSheetId="15">#REF!</definedName>
    <definedName name="BR_17" localSheetId="9">#REF!</definedName>
    <definedName name="BR_17" localSheetId="14">#REF!</definedName>
    <definedName name="BR_17">'FORM-10 (A-F)'!$D$68</definedName>
    <definedName name="BR_18" localSheetId="12">#REF!</definedName>
    <definedName name="BR_18" localSheetId="13">#REF!</definedName>
    <definedName name="BR_18" localSheetId="17">#REF!</definedName>
    <definedName name="BR_18" localSheetId="16">#REF!</definedName>
    <definedName name="BR_18" localSheetId="15">#REF!</definedName>
    <definedName name="BR_18" localSheetId="9">#REF!</definedName>
    <definedName name="BR_18" localSheetId="14">#REF!</definedName>
    <definedName name="BR_18">'FORM-10 (A-F)'!$D$69</definedName>
    <definedName name="BR_19" localSheetId="12">#REF!</definedName>
    <definedName name="BR_19" localSheetId="13">#REF!</definedName>
    <definedName name="BR_19" localSheetId="17">#REF!</definedName>
    <definedName name="BR_19" localSheetId="16">#REF!</definedName>
    <definedName name="BR_19" localSheetId="15">#REF!</definedName>
    <definedName name="BR_19" localSheetId="9">#REF!</definedName>
    <definedName name="BR_19" localSheetId="14">#REF!</definedName>
    <definedName name="BR_19">'FORM-10 (A-F)'!$D$70</definedName>
    <definedName name="BR_2" localSheetId="2">'FORM-10 (A-F)'!$D$52:$D$52</definedName>
    <definedName name="BR_2">#REF!</definedName>
    <definedName name="BR_3" localSheetId="2">'FORM-10 (A-F)'!$D$53:$D$53</definedName>
    <definedName name="BR_3">#REF!</definedName>
    <definedName name="BR_4" localSheetId="2">'FORM-10 (A-F)'!$D$54:$D$54</definedName>
    <definedName name="BR_4">#REF!</definedName>
    <definedName name="BR_5" localSheetId="2">'FORM-10 (A-F)'!$D$55:$D$55</definedName>
    <definedName name="BR_5">#REF!</definedName>
    <definedName name="BR_6" localSheetId="2">'FORM-10 (A-F)'!$D$56</definedName>
    <definedName name="BR_6">#REF!</definedName>
    <definedName name="BR_7" localSheetId="2">'FORM-10 (A-F)'!$D$57</definedName>
    <definedName name="BR_7">#REF!</definedName>
    <definedName name="BR_8" localSheetId="2">'FORM-10 (A-F)'!$D$58</definedName>
    <definedName name="BR_8">#REF!</definedName>
    <definedName name="BR_9" localSheetId="2">'FORM-10 (A-F)'!$D$59</definedName>
    <definedName name="BR_9">#REF!</definedName>
    <definedName name="CARRY_PERC" localSheetId="2">'FORM-10 (A-F)'!$C$163:$C$163</definedName>
    <definedName name="CARRY_PERC">#REF!</definedName>
    <definedName name="CASHFLOW" localSheetId="12">#REF!</definedName>
    <definedName name="CASHFLOW" localSheetId="13">#REF!</definedName>
    <definedName name="CASHFLOW" localSheetId="8">#REF!</definedName>
    <definedName name="CASHFLOW" localSheetId="17">#REF!</definedName>
    <definedName name="CASHFLOW" localSheetId="16">#REF!</definedName>
    <definedName name="CASHFLOW" localSheetId="15">#REF!</definedName>
    <definedName name="CASHFLOW" localSheetId="9">#REF!</definedName>
    <definedName name="CASHFLOW" localSheetId="14">#REF!</definedName>
    <definedName name="CASHFLOW">'Cash Flow'!$A$1:$AG$84</definedName>
    <definedName name="CLOSING" localSheetId="2">'FORM-10 (A-F)'!$A$10</definedName>
    <definedName name="CLOSING">#REF!</definedName>
    <definedName name="CNTRCTFE" localSheetId="2">'FORM-10 (A-F)'!$H$133</definedName>
    <definedName name="CNTRCTFE">#REF!</definedName>
    <definedName name="COMMIT" localSheetId="2">'FORM-10 (A-F)'!$A$7</definedName>
    <definedName name="COMMIT">#REF!</definedName>
    <definedName name="CONSTERM" localSheetId="2">'FORM-10 (A-F)'!$C$33:$C$33</definedName>
    <definedName name="CONSTERM">#REF!</definedName>
    <definedName name="CONSTR" localSheetId="12">#REF!</definedName>
    <definedName name="CONSTR" localSheetId="13">#REF!</definedName>
    <definedName name="CONSTR" localSheetId="17">#REF!</definedName>
    <definedName name="CONSTR" localSheetId="16">#REF!</definedName>
    <definedName name="CONSTR" localSheetId="15">#REF!</definedName>
    <definedName name="CONSTR" localSheetId="9">#REF!</definedName>
    <definedName name="CONSTR" localSheetId="14">#REF!</definedName>
    <definedName name="CONSTR">'FORM-10 (A-F)'!$J$136</definedName>
    <definedName name="COUNTY" localSheetId="2">'FORM-10 (A-F)'!$B$18:$B$18</definedName>
    <definedName name="COUNTY">#REF!</definedName>
    <definedName name="DATE_PRP" localSheetId="2">'FORM-10 (A-F)'!$F$8:$F$8</definedName>
    <definedName name="DATE_PRP">#REF!</definedName>
    <definedName name="DEBT_OTH" localSheetId="2">'FORM-10 (A-F)'!$F$471:$F$471</definedName>
    <definedName name="DEBT_OTH">#REF!</definedName>
    <definedName name="DEV_NAME" localSheetId="2">'FORM-10 (A-F)'!$C$12:$C$12</definedName>
    <definedName name="DEV_NAME">#REF!</definedName>
    <definedName name="DEV_STREET" localSheetId="2">'FORM-10 (A-F)'!$C$14</definedName>
    <definedName name="DEV_STREET">#REF!</definedName>
    <definedName name="DEVELOPMENT">'Cash Flow'!$A$1:$AJ$84</definedName>
    <definedName name="DEVFEE" localSheetId="12">#REF!</definedName>
    <definedName name="DEVFEE" localSheetId="13">#REF!</definedName>
    <definedName name="DEVFEE" localSheetId="1">'[1]FORM-10 (A-F)'!#REF!</definedName>
    <definedName name="DEVFEE" localSheetId="17">#REF!</definedName>
    <definedName name="DEVFEE" localSheetId="16">#REF!</definedName>
    <definedName name="DEVFEE" localSheetId="15">#REF!</definedName>
    <definedName name="DEVFEE" localSheetId="9">#REF!</definedName>
    <definedName name="DEVFEE" localSheetId="14">#REF!</definedName>
    <definedName name="DEVFEE">'FORM-10 (A-F)'!$J$174</definedName>
    <definedName name="DEVFEE_PERC" localSheetId="12">#REF!</definedName>
    <definedName name="DEVFEE_PERC" localSheetId="13">#REF!</definedName>
    <definedName name="DEVFEE_PERC" localSheetId="1">'[1]FORM-10 (A-F)'!#REF!</definedName>
    <definedName name="DEVFEE_PERC" localSheetId="8">#REF!</definedName>
    <definedName name="DEVFEE_PERC" localSheetId="17">#REF!</definedName>
    <definedName name="DEVFEE_PERC" localSheetId="16">#REF!</definedName>
    <definedName name="DEVFEE_PERC" localSheetId="15">#REF!</definedName>
    <definedName name="DEVFEE_PERC" localSheetId="9">#REF!</definedName>
    <definedName name="DEVFEE_PERC" localSheetId="14">#REF!</definedName>
    <definedName name="DEVFEE_PERC">'FORM-10 (A-F)'!#REF!</definedName>
    <definedName name="DSR" localSheetId="12">#REF!</definedName>
    <definedName name="DSR" localSheetId="13">#REF!</definedName>
    <definedName name="DSR" localSheetId="17">#REF!</definedName>
    <definedName name="DSR" localSheetId="16">#REF!</definedName>
    <definedName name="DSR" localSheetId="15">#REF!</definedName>
    <definedName name="DSR" localSheetId="9">#REF!</definedName>
    <definedName name="DSR" localSheetId="14">#REF!</definedName>
    <definedName name="DSR">'FORM-10 (A-F)'!$M$499</definedName>
    <definedName name="DSR_SOLV" localSheetId="12">#REF!</definedName>
    <definedName name="DSR_SOLV" localSheetId="13">#REF!</definedName>
    <definedName name="DSR_SOLV" localSheetId="17">#REF!</definedName>
    <definedName name="DSR_SOLV" localSheetId="16">#REF!</definedName>
    <definedName name="DSR_SOLV" localSheetId="15">#REF!</definedName>
    <definedName name="DSR_SOLV" localSheetId="9">#REF!</definedName>
    <definedName name="DSR_SOLV" localSheetId="14">#REF!</definedName>
    <definedName name="DSR_SOLV">'FORM-10 (A-F)'!$G$487</definedName>
    <definedName name="DU_1" localSheetId="2">'FORM-10 (A-F)'!$F$51:$F$51</definedName>
    <definedName name="DU_1">#REF!</definedName>
    <definedName name="DU_10" localSheetId="2">'FORM-10 (A-F)'!$F$60</definedName>
    <definedName name="DU_10">#REF!</definedName>
    <definedName name="DU_11" localSheetId="12">#REF!</definedName>
    <definedName name="DU_11" localSheetId="13">#REF!</definedName>
    <definedName name="DU_11" localSheetId="17">#REF!</definedName>
    <definedName name="DU_11" localSheetId="16">#REF!</definedName>
    <definedName name="DU_11" localSheetId="15">#REF!</definedName>
    <definedName name="DU_11" localSheetId="9">#REF!</definedName>
    <definedName name="DU_11" localSheetId="14">#REF!</definedName>
    <definedName name="DU_11">'FORM-10 (A-F)'!$F$61</definedName>
    <definedName name="DU_12" localSheetId="12">#REF!</definedName>
    <definedName name="DU_12" localSheetId="13">#REF!</definedName>
    <definedName name="DU_12" localSheetId="17">#REF!</definedName>
    <definedName name="DU_12" localSheetId="16">#REF!</definedName>
    <definedName name="DU_12" localSheetId="15">#REF!</definedName>
    <definedName name="DU_12" localSheetId="9">#REF!</definedName>
    <definedName name="DU_12" localSheetId="14">#REF!</definedName>
    <definedName name="DU_12">'FORM-10 (A-F)'!$F$62</definedName>
    <definedName name="DU_13" localSheetId="12">#REF!</definedName>
    <definedName name="DU_13" localSheetId="13">#REF!</definedName>
    <definedName name="DU_13" localSheetId="17">#REF!</definedName>
    <definedName name="DU_13" localSheetId="16">#REF!</definedName>
    <definedName name="DU_13" localSheetId="15">#REF!</definedName>
    <definedName name="DU_13" localSheetId="9">#REF!</definedName>
    <definedName name="DU_13" localSheetId="14">#REF!</definedName>
    <definedName name="DU_13">'FORM-10 (A-F)'!$F$63</definedName>
    <definedName name="DU_14" localSheetId="12">#REF!</definedName>
    <definedName name="DU_14" localSheetId="13">#REF!</definedName>
    <definedName name="DU_14" localSheetId="17">#REF!</definedName>
    <definedName name="DU_14" localSheetId="16">#REF!</definedName>
    <definedName name="DU_14" localSheetId="15">#REF!</definedName>
    <definedName name="DU_14" localSheetId="9">#REF!</definedName>
    <definedName name="DU_14" localSheetId="14">#REF!</definedName>
    <definedName name="DU_14">'FORM-10 (A-F)'!$F$64</definedName>
    <definedName name="DU_15" localSheetId="12">#REF!</definedName>
    <definedName name="DU_15" localSheetId="13">#REF!</definedName>
    <definedName name="DU_15" localSheetId="17">#REF!</definedName>
    <definedName name="DU_15" localSheetId="16">#REF!</definedName>
    <definedName name="DU_15" localSheetId="15">#REF!</definedName>
    <definedName name="DU_15" localSheetId="9">#REF!</definedName>
    <definedName name="DU_15" localSheetId="14">#REF!</definedName>
    <definedName name="DU_15">'FORM-10 (A-F)'!$F$65</definedName>
    <definedName name="DU_16" localSheetId="12">#REF!</definedName>
    <definedName name="DU_16" localSheetId="13">#REF!</definedName>
    <definedName name="DU_16" localSheetId="17">#REF!</definedName>
    <definedName name="DU_16" localSheetId="16">#REF!</definedName>
    <definedName name="DU_16" localSheetId="15">#REF!</definedName>
    <definedName name="DU_16" localSheetId="9">#REF!</definedName>
    <definedName name="DU_16" localSheetId="14">#REF!</definedName>
    <definedName name="DU_16">'FORM-10 (A-F)'!$F$66</definedName>
    <definedName name="DU_17" localSheetId="12">#REF!</definedName>
    <definedName name="DU_17" localSheetId="13">#REF!</definedName>
    <definedName name="DU_17" localSheetId="17">#REF!</definedName>
    <definedName name="DU_17" localSheetId="16">#REF!</definedName>
    <definedName name="DU_17" localSheetId="15">#REF!</definedName>
    <definedName name="DU_17" localSheetId="9">#REF!</definedName>
    <definedName name="DU_17" localSheetId="14">#REF!</definedName>
    <definedName name="DU_17">'FORM-10 (A-F)'!$F$67</definedName>
    <definedName name="DU_18" localSheetId="12">#REF!</definedName>
    <definedName name="DU_18" localSheetId="13">#REF!</definedName>
    <definedName name="DU_18" localSheetId="17">#REF!</definedName>
    <definedName name="DU_18" localSheetId="16">#REF!</definedName>
    <definedName name="DU_18" localSheetId="15">#REF!</definedName>
    <definedName name="DU_18" localSheetId="9">#REF!</definedName>
    <definedName name="DU_18" localSheetId="14">#REF!</definedName>
    <definedName name="DU_18">'FORM-10 (A-F)'!$F$68</definedName>
    <definedName name="DU_19" localSheetId="12">#REF!</definedName>
    <definedName name="DU_19" localSheetId="13">#REF!</definedName>
    <definedName name="DU_19" localSheetId="17">#REF!</definedName>
    <definedName name="DU_19" localSheetId="16">#REF!</definedName>
    <definedName name="DU_19" localSheetId="15">#REF!</definedName>
    <definedName name="DU_19" localSheetId="9">#REF!</definedName>
    <definedName name="DU_19" localSheetId="14">#REF!</definedName>
    <definedName name="DU_19">'FORM-10 (A-F)'!$F$69</definedName>
    <definedName name="DU_2" localSheetId="2">'FORM-10 (A-F)'!$F$52:$F$52</definedName>
    <definedName name="DU_2">#REF!</definedName>
    <definedName name="DU_20" localSheetId="12">#REF!</definedName>
    <definedName name="DU_20" localSheetId="13">#REF!</definedName>
    <definedName name="DU_20" localSheetId="17">#REF!</definedName>
    <definedName name="DU_20" localSheetId="16">#REF!</definedName>
    <definedName name="DU_20" localSheetId="15">#REF!</definedName>
    <definedName name="DU_20" localSheetId="9">#REF!</definedName>
    <definedName name="DU_20" localSheetId="14">#REF!</definedName>
    <definedName name="DU_20">'FORM-10 (A-F)'!$F$70</definedName>
    <definedName name="DU_3" localSheetId="2">'FORM-10 (A-F)'!$F$53:$F$53</definedName>
    <definedName name="DU_3">#REF!</definedName>
    <definedName name="DU_4" localSheetId="2">'FORM-10 (A-F)'!$F$54:$F$54</definedName>
    <definedName name="DU_4">#REF!</definedName>
    <definedName name="DU_5" localSheetId="2">'FORM-10 (A-F)'!$F$55:$F$55</definedName>
    <definedName name="DU_5">#REF!</definedName>
    <definedName name="DU_6" localSheetId="2">'FORM-10 (A-F)'!$F$56</definedName>
    <definedName name="DU_6">#REF!</definedName>
    <definedName name="DU_7" localSheetId="2">'FORM-10 (A-F)'!$F$57</definedName>
    <definedName name="DU_7">#REF!</definedName>
    <definedName name="DU_8" localSheetId="2">'FORM-10 (A-F)'!$F$58</definedName>
    <definedName name="DU_8">#REF!</definedName>
    <definedName name="DU_9" localSheetId="2">'FORM-10 (A-F)'!$F$59</definedName>
    <definedName name="DU_9">#REF!</definedName>
    <definedName name="DWELUNIT" localSheetId="2">'FORM-10 (A-F)'!$F$72:$F$72</definedName>
    <definedName name="DWELUNIT">#REF!</definedName>
    <definedName name="ERR1" localSheetId="2">'FORM-10 (A-F)'!$S$750:$S$751</definedName>
    <definedName name="ERR1">#REF!</definedName>
    <definedName name="F10A" localSheetId="12">#REF!</definedName>
    <definedName name="F10A" localSheetId="13">#REF!</definedName>
    <definedName name="F10A" localSheetId="17">#REF!</definedName>
    <definedName name="F10A" localSheetId="16">#REF!</definedName>
    <definedName name="F10A" localSheetId="15">#REF!</definedName>
    <definedName name="F10A" localSheetId="9">#REF!</definedName>
    <definedName name="F10A" localSheetId="14">#REF!</definedName>
    <definedName name="F10A">'FORM-10 (A-F)'!$A$2:$J$76</definedName>
    <definedName name="F10B" localSheetId="12">#REF!</definedName>
    <definedName name="F10B" localSheetId="13">#REF!</definedName>
    <definedName name="F10B" localSheetId="17">#REF!</definedName>
    <definedName name="F10B" localSheetId="16">#REF!</definedName>
    <definedName name="F10B" localSheetId="15">#REF!</definedName>
    <definedName name="F10B" localSheetId="9">#REF!</definedName>
    <definedName name="F10B" localSheetId="14">#REF!</definedName>
    <definedName name="F10B">'FORM-10 (A-F)'!$A$92:$J$247</definedName>
    <definedName name="F10C" localSheetId="12">#REF!</definedName>
    <definedName name="F10C" localSheetId="13">#REF!</definedName>
    <definedName name="F10C" localSheetId="17">#REF!</definedName>
    <definedName name="F10C" localSheetId="16">#REF!</definedName>
    <definedName name="F10C" localSheetId="15">#REF!</definedName>
    <definedName name="F10C" localSheetId="9">#REF!</definedName>
    <definedName name="F10C" localSheetId="14">#REF!</definedName>
    <definedName name="F10C">'FORM-10 (A-F)'!$A$250:$J$312</definedName>
    <definedName name="F10D" localSheetId="12">#REF!</definedName>
    <definedName name="F10D" localSheetId="13">#REF!</definedName>
    <definedName name="F10D" localSheetId="17">#REF!</definedName>
    <definedName name="F10D" localSheetId="16">#REF!</definedName>
    <definedName name="F10D" localSheetId="15">#REF!</definedName>
    <definedName name="F10D" localSheetId="9">#REF!</definedName>
    <definedName name="F10D" localSheetId="14">#REF!</definedName>
    <definedName name="F10D">'FORM-10 (A-F)'!$A$330:$J$406</definedName>
    <definedName name="F10E" localSheetId="12">#REF!</definedName>
    <definedName name="F10E" localSheetId="13">#REF!</definedName>
    <definedName name="F10E" localSheetId="17">#REF!</definedName>
    <definedName name="F10E" localSheetId="16">#REF!</definedName>
    <definedName name="F10E" localSheetId="15">#REF!</definedName>
    <definedName name="F10E" localSheetId="9">#REF!</definedName>
    <definedName name="F10E" localSheetId="14">#REF!</definedName>
    <definedName name="F10E">'FORM-10 (A-F)'!$A$420:$J$493</definedName>
    <definedName name="FEDERAL_LOW_INCOME_HOUSING_TAX_CREDITS">#REF!</definedName>
    <definedName name="FINANCE1" localSheetId="2">'FORM-10 (A-F)'!$C$38:$C$38</definedName>
    <definedName name="FINANCE1">#REF!</definedName>
    <definedName name="FINANCE2" localSheetId="2">'FORM-10 (A-F)'!$C$39:$C$39</definedName>
    <definedName name="FINANCE2">#REF!</definedName>
    <definedName name="FINANCE3" localSheetId="2">'FORM-10 (A-F)'!$C$40:$C$40</definedName>
    <definedName name="FINANCE3">#REF!</definedName>
    <definedName name="form10E">#REF!</definedName>
    <definedName name="form10F">#REF!</definedName>
    <definedName name="Form10G">#REF!</definedName>
    <definedName name="FUNDA_AMT" localSheetId="2">'FORM-10 (A-F)'!$J$106</definedName>
    <definedName name="FUNDA_AMT">#REF!</definedName>
    <definedName name="FUNDA_DESC" localSheetId="2">'FORM-10 (A-F)'!$B$106</definedName>
    <definedName name="FUNDA_DESC">#REF!</definedName>
    <definedName name="FUNDA_FLAG" localSheetId="2">'FORM-10 (A-F)'!$G$106</definedName>
    <definedName name="FUNDA_FLAG">#REF!</definedName>
    <definedName name="FUNDB_AMT" localSheetId="2">'FORM-10 (A-F)'!$J$107</definedName>
    <definedName name="FUNDB_AMT">#REF!</definedName>
    <definedName name="FUNDB_DESC" localSheetId="2">'FORM-10 (A-F)'!$B$107</definedName>
    <definedName name="FUNDB_DESC">#REF!</definedName>
    <definedName name="FUNDB_FLAG" localSheetId="2">'FORM-10 (A-F)'!$G$107</definedName>
    <definedName name="FUNDB_FLAG">#REF!</definedName>
    <definedName name="FUNDC_AMT" localSheetId="2">'FORM-10 (A-F)'!$J$108</definedName>
    <definedName name="FUNDC_AMT">#REF!</definedName>
    <definedName name="FUNDC_DESC" localSheetId="2">'FORM-10 (A-F)'!$B$108</definedName>
    <definedName name="FUNDC_DESC">#REF!</definedName>
    <definedName name="FUNDC_FLAG" localSheetId="2">'FORM-10 (A-F)'!$G$108</definedName>
    <definedName name="FUNDC_FLAG">#REF!</definedName>
    <definedName name="FUNDD_AMT" localSheetId="2">'FORM-10 (A-F)'!$J$109</definedName>
    <definedName name="FUNDD_AMT">#REF!</definedName>
    <definedName name="FUNDD_DESC" localSheetId="2">'FORM-10 (A-F)'!$B$109</definedName>
    <definedName name="FUNDD_DESC">#REF!</definedName>
    <definedName name="FUNDD_FLAG" localSheetId="2">'FORM-10 (A-F)'!$G$109</definedName>
    <definedName name="FUNDD_FLAG">#REF!</definedName>
    <definedName name="FUNDE_AMT" localSheetId="2">'FORM-10 (A-F)'!$J$110</definedName>
    <definedName name="FUNDE_AMT">#REF!</definedName>
    <definedName name="FUNDE_DESC" localSheetId="2">'FORM-10 (A-F)'!$B$110</definedName>
    <definedName name="FUNDE_DESC">#REF!</definedName>
    <definedName name="FUNDE_FLAG" localSheetId="2">'FORM-10 (A-F)'!$G$110</definedName>
    <definedName name="FUNDE_FLAG">#REF!</definedName>
    <definedName name="FUNDF_AMT" localSheetId="2">'FORM-10 (A-F)'!$J$111</definedName>
    <definedName name="FUNDF_AMT">#REF!</definedName>
    <definedName name="FUNDF_DESC" localSheetId="12">#REF!</definedName>
    <definedName name="FUNDF_DESC" localSheetId="13">#REF!</definedName>
    <definedName name="FUNDF_DESC" localSheetId="17">#REF!</definedName>
    <definedName name="FUNDF_DESC" localSheetId="16">#REF!</definedName>
    <definedName name="FUNDF_DESC" localSheetId="15">#REF!</definedName>
    <definedName name="FUNDF_DESC" localSheetId="9">#REF!</definedName>
    <definedName name="FUNDF_DESC" localSheetId="14">#REF!</definedName>
    <definedName name="FUNDF_DESC">'FORM-10 (A-F)'!$B$111:$E$111</definedName>
    <definedName name="FUNDF_FLAG" localSheetId="2">'FORM-10 (A-F)'!$G$111</definedName>
    <definedName name="FUNDF_FLAG">#REF!</definedName>
    <definedName name="FUNDG_AMT" localSheetId="12">#REF!</definedName>
    <definedName name="FUNDG_AMT" localSheetId="13">#REF!</definedName>
    <definedName name="FUNDG_AMT" localSheetId="17">#REF!</definedName>
    <definedName name="FUNDG_AMT" localSheetId="16">#REF!</definedName>
    <definedName name="FUNDG_AMT" localSheetId="15">#REF!</definedName>
    <definedName name="FUNDG_AMT" localSheetId="9">#REF!</definedName>
    <definedName name="FUNDG_AMT" localSheetId="14">#REF!</definedName>
    <definedName name="FUNDG_AMT">'FORM-10 (A-F)'!$J$112</definedName>
    <definedName name="FUNDG_DESC" localSheetId="12">#REF!</definedName>
    <definedName name="FUNDG_DESC" localSheetId="13">#REF!</definedName>
    <definedName name="FUNDG_DESC" localSheetId="17">#REF!</definedName>
    <definedName name="FUNDG_DESC" localSheetId="16">#REF!</definedName>
    <definedName name="FUNDG_DESC" localSheetId="15">#REF!</definedName>
    <definedName name="FUNDG_DESC" localSheetId="9">#REF!</definedName>
    <definedName name="FUNDG_DESC" localSheetId="14">#REF!</definedName>
    <definedName name="FUNDG_DESC">'FORM-10 (A-F)'!$B$112</definedName>
    <definedName name="FUNDG_FLAG" localSheetId="12">#REF!</definedName>
    <definedName name="FUNDG_FLAG" localSheetId="13">#REF!</definedName>
    <definedName name="FUNDG_FLAG" localSheetId="17">#REF!</definedName>
    <definedName name="FUNDG_FLAG" localSheetId="16">#REF!</definedName>
    <definedName name="FUNDG_FLAG" localSheetId="15">#REF!</definedName>
    <definedName name="FUNDG_FLAG" localSheetId="9">#REF!</definedName>
    <definedName name="FUNDG_FLAG" localSheetId="14">#REF!</definedName>
    <definedName name="FUNDG_FLAG">'FORM-10 (A-F)'!$G$112</definedName>
    <definedName name="FUNDH_AMT" localSheetId="12">#REF!</definedName>
    <definedName name="FUNDH_AMT" localSheetId="13">#REF!</definedName>
    <definedName name="FUNDH_AMT" localSheetId="17">#REF!</definedName>
    <definedName name="FUNDH_AMT" localSheetId="16">#REF!</definedName>
    <definedName name="FUNDH_AMT" localSheetId="15">#REF!</definedName>
    <definedName name="FUNDH_AMT" localSheetId="9">#REF!</definedName>
    <definedName name="FUNDH_AMT" localSheetId="14">#REF!</definedName>
    <definedName name="FUNDH_AMT">'FORM-10 (A-F)'!$J$113</definedName>
    <definedName name="FUNDH_DESC" localSheetId="12">#REF!</definedName>
    <definedName name="FUNDH_DESC" localSheetId="13">#REF!</definedName>
    <definedName name="FUNDH_DESC" localSheetId="17">#REF!</definedName>
    <definedName name="FUNDH_DESC" localSheetId="16">#REF!</definedName>
    <definedName name="FUNDH_DESC" localSheetId="15">#REF!</definedName>
    <definedName name="FUNDH_DESC" localSheetId="9">#REF!</definedName>
    <definedName name="FUNDH_DESC" localSheetId="14">#REF!</definedName>
    <definedName name="FUNDH_DESC">'FORM-10 (A-F)'!$B$113</definedName>
    <definedName name="FUNDH_FLAG" localSheetId="12">#REF!</definedName>
    <definedName name="FUNDH_FLAG" localSheetId="13">#REF!</definedName>
    <definedName name="FUNDH_FLAG" localSheetId="17">#REF!</definedName>
    <definedName name="FUNDH_FLAG" localSheetId="16">#REF!</definedName>
    <definedName name="FUNDH_FLAG" localSheetId="15">#REF!</definedName>
    <definedName name="FUNDH_FLAG" localSheetId="9">#REF!</definedName>
    <definedName name="FUNDH_FLAG" localSheetId="14">#REF!</definedName>
    <definedName name="FUNDH_FLAG">'FORM-10 (A-F)'!$G$113</definedName>
    <definedName name="FUNDS_ESCROWED" localSheetId="2">'FORM-10 (A-F)'!#REF!</definedName>
    <definedName name="FUNDS_ESCROWED">#REF!</definedName>
    <definedName name="GROSHELT" localSheetId="2">'FORM-10 (A-F)'!$E$307:$E$307</definedName>
    <definedName name="GROSHELT">#REF!</definedName>
    <definedName name="GROSRENT" localSheetId="2">'FORM-10 (A-F)'!$I$367:$I$367</definedName>
    <definedName name="GROSRENT">#REF!</definedName>
    <definedName name="HMFA" localSheetId="2">'FORM-10 (A-F)'!$G$7:$G$7</definedName>
    <definedName name="HMFA">#REF!</definedName>
    <definedName name="INDUCE" localSheetId="2">'FORM-10 (A-F)'!$A$6:$A$6</definedName>
    <definedName name="INDUCE">#REF!</definedName>
    <definedName name="inputEligBasisLimits" localSheetId="12">'EligBasisLimits'!$C$4:$E$4,'EligBasisLimits'!$C$5:$D$6,'EligBasisLimits'!$C$26:$C$31,'EligBasisLimits'!#REF!,'EligBasisLimits'!$H$28:$H$33,'EligBasisLimits'!$C$40:$C$45</definedName>
    <definedName name="inputEligBasisLimits" localSheetId="13">'EligBasisLimits'!$C$4:$E$4,'EligBasisLimits'!$C$5:$D$6,'EligBasisLimits'!$C$26:$C$31,'EligBasisLimits'!#REF!,'EligBasisLimits'!$H$28:$H$33,'EligBasisLimits'!$C$40:$C$45</definedName>
    <definedName name="inputEligBasisLimits" localSheetId="17">'EligBasisLimits'!$C$4:$E$4,'EligBasisLimits'!$C$5:$D$6,'EligBasisLimits'!$C$26:$C$31,'EligBasisLimits'!#REF!,'EligBasisLimits'!$H$28:$H$33,'EligBasisLimits'!$C$40:$C$45</definedName>
    <definedName name="inputEligBasisLimits" localSheetId="16">'EligBasisLimits'!$C$4:$E$4,'EligBasisLimits'!$C$5:$D$6,'EligBasisLimits'!$C$26:$C$31,'EligBasisLimits'!#REF!,'EligBasisLimits'!$H$28:$H$33,'EligBasisLimits'!$C$40:$C$45</definedName>
    <definedName name="inputEligBasisLimits" localSheetId="15">'EligBasisLimits'!$C$4:$E$4,'EligBasisLimits'!$C$5:$D$6,'EligBasisLimits'!$C$26:$C$31,'EligBasisLimits'!#REF!,'EligBasisLimits'!$H$28:$H$33,'EligBasisLimits'!$C$40:$C$45</definedName>
    <definedName name="inputEligBasisLimits" localSheetId="9">'[2]EligBasisLimits'!$C$7:$E$7,'[2]EligBasisLimits'!$C$8:$D$9,'[2]EligBasisLimits'!$C$27:$C$32,'[2]EligBasisLimits'!$H$27:$H$32,'[2]EligBasisLimits'!$H$41:$H$46,'[2]EligBasisLimits'!$C$41:$C$46</definedName>
    <definedName name="inputEligBasisLimits" localSheetId="14">'EligBasisLimits'!$C$4:$E$4,'EligBasisLimits'!$C$5:$D$6,'EligBasisLimits'!$C$26:$C$31,'EligBasisLimits'!#REF!,'EligBasisLimits'!$H$28:$H$33,'EligBasisLimits'!$C$40:$C$45</definedName>
    <definedName name="inputEligBasisLimits">#REF!,#REF!,#REF!,#REF!,#REF!,#REF!</definedName>
    <definedName name="inputTies" localSheetId="12">'Breakdown'!$C$13,'Breakdown'!$C$15,'Breakdown'!$C$17,'Breakdown'!$C$19,'Breakdown'!$C$21,'Breakdown'!$C$23,'Breakdown'!$C$44:$C$50</definedName>
    <definedName name="inputTies" localSheetId="13">'Ties'!$C$14,'Ties'!$C$16,'Ties'!$C$18,'Ties'!$C$20,'Ties'!#REF!,'Ties'!$H$13,'Ties'!$C$28:$C$33</definedName>
    <definedName name="inputTies" localSheetId="17">'Ties'!$C$14,'Ties'!$C$16,'Ties'!$C$18,'Ties'!$C$20,'Ties'!#REF!,'Ties'!$H$13,'Ties'!$C$28:$C$33</definedName>
    <definedName name="inputTies" localSheetId="16">'Ties'!$C$14,'Ties'!$C$16,'Ties'!$C$18,'Ties'!$C$20,'Ties'!#REF!,'Ties'!$H$13,'Ties'!$C$28:$C$33</definedName>
    <definedName name="inputTies" localSheetId="15">'Ties'!$C$14,'Ties'!$C$16,'Ties'!$C$18,'Ties'!$C$20,'Ties'!#REF!,'Ties'!$H$13,'Ties'!$C$28:$C$33</definedName>
    <definedName name="inputTies" localSheetId="9">'[2]Ties'!$C$13,'[2]Ties'!$C$15,'[2]Ties'!$C$17,'[2]Ties'!$C$19,'[2]Ties'!$C$21,'[2]Ties'!$C$23,'[2]Ties'!$C$43:$C$48</definedName>
    <definedName name="inputTies" localSheetId="14">'Ties'!$C$14,'Ties'!$C$16,'Ties'!$C$18,'Ties'!$C$20,'Ties'!#REF!,'Ties'!$H$13,'Ties'!$C$28:$C$33</definedName>
    <definedName name="inputTies">#REF!,#REF!,#REF!,#REF!,#REF!,#REF!,#REF!</definedName>
    <definedName name="INSUR_EX" localSheetId="2">'FORM-10 (A-F)'!$F$455:$F$455</definedName>
    <definedName name="INSUR_EX">#REF!</definedName>
    <definedName name="LOW_INC_PERC">#REF!</definedName>
    <definedName name="MANAGE_FEE_PERC" localSheetId="2">'FORM-10 (A-F)'!$D$452</definedName>
    <definedName name="MANAGE_FEE_PERC">#REF!</definedName>
    <definedName name="MAX_DEV_FEE">#REF!</definedName>
    <definedName name="MGMT_RVW" localSheetId="2">'FORM-10 (A-F)'!$G$255:$G$255</definedName>
    <definedName name="MGMT_RVW">#REF!</definedName>
    <definedName name="MIP" localSheetId="12">#REF!</definedName>
    <definedName name="MIP" localSheetId="13">#REF!</definedName>
    <definedName name="MIP" localSheetId="17">#REF!</definedName>
    <definedName name="MIP" localSheetId="16">#REF!</definedName>
    <definedName name="MIP" localSheetId="15">#REF!</definedName>
    <definedName name="MIP" localSheetId="9">#REF!</definedName>
    <definedName name="MIP" localSheetId="14">#REF!</definedName>
    <definedName name="MIP">'FORM-10 (A-F)'!$F$465</definedName>
    <definedName name="MORTG_INTEREST" localSheetId="2">'FORM-10 (A-F)'!$F$463</definedName>
    <definedName name="MORTG_INTEREST">#REF!</definedName>
    <definedName name="MORTG_RATE" localSheetId="2">'FORM-10 (A-F)'!$C$334</definedName>
    <definedName name="MORTG_RATE">#REF!</definedName>
    <definedName name="MORTG_TERM" localSheetId="2">'FORM-10 (A-F)'!$C$335</definedName>
    <definedName name="MORTG_TERM">#REF!</definedName>
    <definedName name="MORTG1_2" localSheetId="2">'FORM-10 (A-F)'!$G$163:$G$163</definedName>
    <definedName name="MORTG1_2">#REF!</definedName>
    <definedName name="MORTGAGE" localSheetId="12">#REF!</definedName>
    <definedName name="MORTGAGE" localSheetId="13">#REF!</definedName>
    <definedName name="MORTGAGE" localSheetId="17">#REF!</definedName>
    <definedName name="MORTGAGE" localSheetId="16">#REF!</definedName>
    <definedName name="MORTGAGE" localSheetId="15">#REF!</definedName>
    <definedName name="MORTGAGE" localSheetId="9">#REF!</definedName>
    <definedName name="MORTGAGE" localSheetId="14">#REF!</definedName>
    <definedName name="MORTGAGE">'FORM-10 (A-F)'!$J$225</definedName>
    <definedName name="mos._______on" localSheetId="12">#REF!</definedName>
    <definedName name="mos._______on" localSheetId="13">#REF!</definedName>
    <definedName name="mos._______on" localSheetId="17">#REF!</definedName>
    <definedName name="mos._______on" localSheetId="16">#REF!</definedName>
    <definedName name="mos._______on" localSheetId="15">#REF!</definedName>
    <definedName name="mos._______on" localSheetId="9">#REF!</definedName>
    <definedName name="mos._______on" localSheetId="14">#REF!</definedName>
    <definedName name="mos._______on">'FORM-10 (A-F)'!$G$163</definedName>
    <definedName name="MRTGandFEE_AMT" localSheetId="2">'FORM-10 (A-F)'!$F$464:$F$464</definedName>
    <definedName name="MRTGandFEE_AMT">#REF!</definedName>
    <definedName name="MRTGandFEE_PERC" localSheetId="2">'FORM-10 (A-F)'!$D$464</definedName>
    <definedName name="MRTGandFEE_PERC">#REF!</definedName>
    <definedName name="MUNICIP" localSheetId="2">'FORM-10 (A-F)'!$B$17:$B$17</definedName>
    <definedName name="MUNICIP">#REF!</definedName>
    <definedName name="NET_APT_RENTS" localSheetId="2">'FORM-10 (A-F)'!$F$430</definedName>
    <definedName name="NET_APT_RENTS">#REF!</definedName>
    <definedName name="NET_INCOME" localSheetId="2">'FORM-10 (A-F)'!$H$475</definedName>
    <definedName name="NET_INCOME">#REF!</definedName>
    <definedName name="NET_OPERATING" localSheetId="2">'FORM-10 (A-F)'!$H$461</definedName>
    <definedName name="NET_OPERATING">#REF!</definedName>
    <definedName name="NET_OTHR_RENTAL" localSheetId="2">'FORM-10 (A-F)'!$F$435</definedName>
    <definedName name="NET_OTHR_RENTAL">#REF!</definedName>
    <definedName name="NETRNTAR" localSheetId="2">'FORM-10 (A-F)'!$G$72:$G$72</definedName>
    <definedName name="NETRNTAR">#REF!</definedName>
    <definedName name="PAYMNTS_PERYEAR" localSheetId="2">'FORM-10 (A-F)'!$M$338</definedName>
    <definedName name="PAYMNTS_PERYEAR">#REF!</definedName>
    <definedName name="PREPARER" localSheetId="2">'FORM-10 (A-F)'!$G$9:$G$9</definedName>
    <definedName name="PREPARER">#REF!</definedName>
    <definedName name="_xlnm.Print_Area" localSheetId="12">'Breakdown'!$A$1:$O$104</definedName>
    <definedName name="_xlnm.Print_Area" localSheetId="13">'Carryover'!$A$1:$K$84</definedName>
    <definedName name="_xlnm.Print_Area" localSheetId="6">'Cash Flow'!$A$1:$AG$84</definedName>
    <definedName name="_xlnm.Print_Area" localSheetId="7">'Closing Statement'!$A$1:$L$102</definedName>
    <definedName name="_xlnm.Print_Area" localSheetId="11">'EligBasisLimits'!$A$1:$I$36</definedName>
    <definedName name="_xlnm.Print_Area" localSheetId="2">'FORM-10 (A-F)'!$A$1:$J$495</definedName>
    <definedName name="_xlnm.Print_Area" localSheetId="17">'NOI'!$A$1:$X$57</definedName>
    <definedName name="_xlnm.Print_Area" localSheetId="16">'OPER INCOME'!$A$1:$X$58</definedName>
    <definedName name="_xlnm.Print_Area" localSheetId="15">'Percentage_Limits'!$A$1:$M$67</definedName>
    <definedName name="_xlnm.Print_Area" localSheetId="4">'Project Presentation '!$A$1:$J$104</definedName>
    <definedName name="_xlnm.Print_Area" localSheetId="10">'Rent Qual. Chart'!$A$1:$M$59</definedName>
    <definedName name="_xlnm.Print_Area" localSheetId="3">'RFA Sheet'!$A$1:$J$56</definedName>
    <definedName name="_xlnm.Print_Area" localSheetId="5">'SandU'!$A$1:$O$47</definedName>
    <definedName name="_xlnm.Print_Area" localSheetId="14">'Ties'!$A$1:$J$41</definedName>
    <definedName name="rangeBreakdown" localSheetId="12">'Breakdown'!$A$1:$N$103</definedName>
    <definedName name="rangeBreakdown">#REF!</definedName>
    <definedName name="rangeCarryOver" localSheetId="13">'Carryover'!$A$1:$I$83</definedName>
    <definedName name="rangeCarryOver">#REF!</definedName>
    <definedName name="rangeEligBasisLimits">#REF!</definedName>
    <definedName name="rangeMFbreakdown">#REF!,#REF!</definedName>
    <definedName name="rangeNOI">#REF!</definedName>
    <definedName name="rangeOperInc" localSheetId="16">'OPER INCOME'!$A$1:$X$58</definedName>
    <definedName name="rangeOperInc">#REF!</definedName>
    <definedName name="rangePercentLimits" localSheetId="15">'Percentage_Limits'!$A$1:$N$65</definedName>
    <definedName name="rangePercentLimits">#REF!</definedName>
    <definedName name="rangeRQC">#REF!</definedName>
    <definedName name="rangeSigPage">#REF!</definedName>
    <definedName name="rangeTies" localSheetId="14">'Ties'!$A$1:$J$41</definedName>
    <definedName name="rangeTies">#REF!</definedName>
    <definedName name="RE_TAX_PERC" localSheetId="2">'FORM-10 (A-F)'!$E$309:$E$309</definedName>
    <definedName name="RE_TAX_PERC">#REF!</definedName>
    <definedName name="RE_TAXAB" localSheetId="2">'FORM-10 (A-F)'!$E$310:$E$310</definedName>
    <definedName name="RE_TAXAB">#REF!</definedName>
    <definedName name="RENT_UP" localSheetId="2">'FORM-10 (A-F)'!$C$34:$C$34</definedName>
    <definedName name="RENT_UP">#REF!</definedName>
    <definedName name="RETURN_ONEQ_AMT" localSheetId="2">'FORM-10 (A-F)'!$M$487</definedName>
    <definedName name="RETURN_ONEQ_AMT">#REF!</definedName>
    <definedName name="RETURN_ONEQUITY" localSheetId="2">'FORM-10 (A-F)'!$H$477</definedName>
    <definedName name="RETURN_ONEQUITY">#REF!</definedName>
    <definedName name="REVIEWBY" localSheetId="2">'FORM-10 (A-F)'!$G$10:$G$10</definedName>
    <definedName name="REVIEWBY">#REF!</definedName>
    <definedName name="RR_PERC" localSheetId="2">'FORM-10 (A-F)'!$C$457</definedName>
    <definedName name="RR_PERC">#REF!</definedName>
    <definedName name="S_U" localSheetId="12">#REF!</definedName>
    <definedName name="S_U" localSheetId="13">#REF!</definedName>
    <definedName name="S_U" localSheetId="8">#REF!</definedName>
    <definedName name="S_U" localSheetId="17">#REF!</definedName>
    <definedName name="S_U" localSheetId="16">#REF!</definedName>
    <definedName name="S_U" localSheetId="15">#REF!</definedName>
    <definedName name="S_U" localSheetId="9">#REF!</definedName>
    <definedName name="S_U" localSheetId="14">#REF!</definedName>
    <definedName name="S_U">#REF!</definedName>
    <definedName name="SandU">'SandU'!$A$1:$R$54</definedName>
    <definedName name="SCHEDULE_10_B___EST._DEVELOPMENT_COSTS_AND_CAPITAL_REQUIREMENTS">#REF!</definedName>
    <definedName name="SOLV1" localSheetId="12">#REF!</definedName>
    <definedName name="SOLV1" localSheetId="13">#REF!</definedName>
    <definedName name="SOLV1" localSheetId="17">#REF!</definedName>
    <definedName name="SOLV1" localSheetId="16">#REF!</definedName>
    <definedName name="SOLV1" localSheetId="15">#REF!</definedName>
    <definedName name="SOLV1" localSheetId="9">#REF!</definedName>
    <definedName name="SOLV1" localSheetId="14">#REF!</definedName>
    <definedName name="SOLV1">'FORM-10 (A-F)'!$C$494</definedName>
    <definedName name="SOLV2" localSheetId="12">#REF!</definedName>
    <definedName name="SOLV2" localSheetId="13">#REF!</definedName>
    <definedName name="SOLV2" localSheetId="17">#REF!</definedName>
    <definedName name="SOLV2" localSheetId="16">#REF!</definedName>
    <definedName name="SOLV2" localSheetId="15">#REF!</definedName>
    <definedName name="SOLV2" localSheetId="9">#REF!</definedName>
    <definedName name="SOLV2" localSheetId="14">#REF!</definedName>
    <definedName name="SOLV2">'FORM-10 (A-F)'!$M$492</definedName>
    <definedName name="solver_adj" localSheetId="0" hidden="1">'MACROS'!$J$145</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hs1" localSheetId="2" hidden="1">'FORM-10 (A-F)'!$G$487</definedName>
    <definedName name="solver_lhs10" localSheetId="2" hidden="1">'FORM-10 (A-F)'!$F$468</definedName>
    <definedName name="solver_lhs11" localSheetId="2" hidden="1">'FORM-10 (A-F)'!$G$487</definedName>
    <definedName name="solver_lhs12" localSheetId="2" hidden="1">'FORM-10 (A-F)'!$F$468</definedName>
    <definedName name="solver_lhs13" localSheetId="2" hidden="1">'FORM-10 (A-F)'!$G$487</definedName>
    <definedName name="solver_lhs14" localSheetId="2" hidden="1">'FORM-10 (A-F)'!$F$468</definedName>
    <definedName name="solver_lhs15" localSheetId="2" hidden="1">'FORM-10 (A-F)'!$G$487</definedName>
    <definedName name="solver_lhs16" localSheetId="2" hidden="1">'FORM-10 (A-F)'!$F$468</definedName>
    <definedName name="solver_lhs17" localSheetId="2" hidden="1">'FORM-10 (A-F)'!$G$487</definedName>
    <definedName name="solver_lhs18" localSheetId="2" hidden="1">'FORM-10 (A-F)'!$F$468</definedName>
    <definedName name="solver_lhs19" localSheetId="2" hidden="1">'FORM-10 (A-F)'!$G$487</definedName>
    <definedName name="solver_lhs2" localSheetId="2" hidden="1">'FORM-10 (A-F)'!$F$468</definedName>
    <definedName name="solver_lhs20" localSheetId="2" hidden="1">'FORM-10 (A-F)'!$F$468</definedName>
    <definedName name="solver_lhs21" localSheetId="2" hidden="1">'FORM-10 (A-F)'!$G$487</definedName>
    <definedName name="solver_lhs22" localSheetId="2" hidden="1">'FORM-10 (A-F)'!$F$468</definedName>
    <definedName name="solver_lhs23" localSheetId="2" hidden="1">'FORM-10 (A-F)'!$G$487</definedName>
    <definedName name="solver_lhs24" localSheetId="2" hidden="1">'FORM-10 (A-F)'!$F$468</definedName>
    <definedName name="solver_lhs25" localSheetId="2" hidden="1">'FORM-10 (A-F)'!$G$487</definedName>
    <definedName name="solver_lhs26" localSheetId="2" hidden="1">'FORM-10 (A-F)'!$F$468</definedName>
    <definedName name="solver_lhs27" localSheetId="2" hidden="1">'FORM-10 (A-F)'!$G$487</definedName>
    <definedName name="solver_lhs28" localSheetId="2" hidden="1">'FORM-10 (A-F)'!$F$468</definedName>
    <definedName name="solver_lhs29" localSheetId="2" hidden="1">'FORM-10 (A-F)'!$G$487</definedName>
    <definedName name="solver_lhs3" localSheetId="2" hidden="1">'FORM-10 (A-F)'!$G$487</definedName>
    <definedName name="solver_lhs30" localSheetId="2" hidden="1">'FORM-10 (A-F)'!$F$468</definedName>
    <definedName name="solver_lhs31" localSheetId="2" hidden="1">'FORM-10 (A-F)'!$G$487</definedName>
    <definedName name="solver_lhs32" localSheetId="2" hidden="1">'FORM-10 (A-F)'!$F$468</definedName>
    <definedName name="solver_lhs33" localSheetId="2" hidden="1">'FORM-10 (A-F)'!$G$487</definedName>
    <definedName name="solver_lhs34" localSheetId="2" hidden="1">'FORM-10 (A-F)'!$F$468</definedName>
    <definedName name="solver_lhs35" localSheetId="2" hidden="1">'FORM-10 (A-F)'!$G$487</definedName>
    <definedName name="solver_lhs36" localSheetId="2" hidden="1">'FORM-10 (A-F)'!$F$468</definedName>
    <definedName name="solver_lhs37" localSheetId="2" hidden="1">'FORM-10 (A-F)'!$G$487</definedName>
    <definedName name="solver_lhs38" localSheetId="2" hidden="1">'FORM-10 (A-F)'!$F$468</definedName>
    <definedName name="solver_lhs39" localSheetId="2" hidden="1">'FORM-10 (A-F)'!$G$487</definedName>
    <definedName name="solver_lhs4" localSheetId="2" hidden="1">'FORM-10 (A-F)'!$F$468</definedName>
    <definedName name="solver_lhs40" localSheetId="2" hidden="1">'FORM-10 (A-F)'!$F$468</definedName>
    <definedName name="solver_lhs41" localSheetId="2" hidden="1">'FORM-10 (A-F)'!$G$487</definedName>
    <definedName name="solver_lhs42" localSheetId="2" hidden="1">'FORM-10 (A-F)'!$F$468</definedName>
    <definedName name="solver_lhs43" localSheetId="2" hidden="1">'FORM-10 (A-F)'!$G$487</definedName>
    <definedName name="solver_lhs44" localSheetId="2" hidden="1">'FORM-10 (A-F)'!$F$468</definedName>
    <definedName name="solver_lhs45" localSheetId="2" hidden="1">'FORM-10 (A-F)'!$G$487</definedName>
    <definedName name="solver_lhs46" localSheetId="2" hidden="1">'FORM-10 (A-F)'!$F$468</definedName>
    <definedName name="solver_lhs47" localSheetId="2" hidden="1">'FORM-10 (A-F)'!$G$487</definedName>
    <definedName name="solver_lhs48" localSheetId="2" hidden="1">'FORM-10 (A-F)'!$F$468</definedName>
    <definedName name="solver_lhs49" localSheetId="2" hidden="1">'FORM-10 (A-F)'!$G$487</definedName>
    <definedName name="solver_lhs5" localSheetId="2" hidden="1">'FORM-10 (A-F)'!$G$487</definedName>
    <definedName name="solver_lhs50" localSheetId="2" hidden="1">'FORM-10 (A-F)'!$F$468</definedName>
    <definedName name="solver_lhs51" localSheetId="2" hidden="1">'FORM-10 (A-F)'!$G$487</definedName>
    <definedName name="solver_lhs52" localSheetId="2" hidden="1">'FORM-10 (A-F)'!$F$468</definedName>
    <definedName name="solver_lhs53" localSheetId="2" hidden="1">'FORM-10 (A-F)'!$G$487</definedName>
    <definedName name="solver_lhs54" localSheetId="2" hidden="1">'FORM-10 (A-F)'!$F$468</definedName>
    <definedName name="solver_lhs55" localSheetId="2" hidden="1">'FORM-10 (A-F)'!$G$487</definedName>
    <definedName name="solver_lhs56" localSheetId="2" hidden="1">'FORM-10 (A-F)'!$F$468</definedName>
    <definedName name="solver_lhs57" localSheetId="2" hidden="1">'FORM-10 (A-F)'!$G$487</definedName>
    <definedName name="solver_lhs58" localSheetId="2" hidden="1">'FORM-10 (A-F)'!$F$468</definedName>
    <definedName name="solver_lhs59" localSheetId="2" hidden="1">'FORM-10 (A-F)'!$G$487</definedName>
    <definedName name="solver_lhs6" localSheetId="2" hidden="1">'FORM-10 (A-F)'!$F$468</definedName>
    <definedName name="solver_lhs60" localSheetId="2" hidden="1">'FORM-10 (A-F)'!$F$468</definedName>
    <definedName name="solver_lhs61" localSheetId="2" hidden="1">'FORM-10 (A-F)'!$G$487</definedName>
    <definedName name="solver_lhs62" localSheetId="2" hidden="1">'FORM-10 (A-F)'!$F$468</definedName>
    <definedName name="solver_lhs63" localSheetId="2" hidden="1">'FORM-10 (A-F)'!$G$487</definedName>
    <definedName name="solver_lhs64" localSheetId="2" hidden="1">'FORM-10 (A-F)'!$F$468</definedName>
    <definedName name="solver_lhs65" localSheetId="2" hidden="1">'FORM-10 (A-F)'!$G$487</definedName>
    <definedName name="solver_lhs66" localSheetId="2" hidden="1">'FORM-10 (A-F)'!$F$468</definedName>
    <definedName name="solver_lhs67" localSheetId="2" hidden="1">'FORM-10 (A-F)'!$G$487</definedName>
    <definedName name="solver_lhs68" localSheetId="2" hidden="1">'FORM-10 (A-F)'!$F$468</definedName>
    <definedName name="solver_lhs69" localSheetId="2" hidden="1">'FORM-10 (A-F)'!$G$487</definedName>
    <definedName name="solver_lhs7" localSheetId="2" hidden="1">'FORM-10 (A-F)'!$G$487</definedName>
    <definedName name="solver_lhs70" localSheetId="2" hidden="1">'FORM-10 (A-F)'!$F$468</definedName>
    <definedName name="solver_lhs71" localSheetId="2" hidden="1">'FORM-10 (A-F)'!$G$487</definedName>
    <definedName name="solver_lhs72" localSheetId="2" hidden="1">'FORM-10 (A-F)'!$F$468</definedName>
    <definedName name="solver_lhs73" localSheetId="2" hidden="1">'FORM-10 (A-F)'!$G$487</definedName>
    <definedName name="solver_lhs74" localSheetId="2" hidden="1">'FORM-10 (A-F)'!$F$468</definedName>
    <definedName name="solver_lhs75" localSheetId="2" hidden="1">'FORM-10 (A-F)'!$G$487</definedName>
    <definedName name="solver_lhs76" localSheetId="2" hidden="1">'FORM-10 (A-F)'!$F$468</definedName>
    <definedName name="solver_lhs77" localSheetId="2" hidden="1">'FORM-10 (A-F)'!$G$487</definedName>
    <definedName name="solver_lhs78" localSheetId="2" hidden="1">'FORM-10 (A-F)'!$F$468</definedName>
    <definedName name="solver_lhs79" localSheetId="2" hidden="1">'FORM-10 (A-F)'!$G$487</definedName>
    <definedName name="solver_lhs8" localSheetId="2" hidden="1">'FORM-10 (A-F)'!$F$468</definedName>
    <definedName name="solver_lhs80" localSheetId="2" hidden="1">'FORM-10 (A-F)'!$F$468</definedName>
    <definedName name="solver_lhs81" localSheetId="2" hidden="1">'FORM-10 (A-F)'!$G$487</definedName>
    <definedName name="solver_lhs82" localSheetId="2" hidden="1">'FORM-10 (A-F)'!$F$468</definedName>
    <definedName name="solver_lhs83" localSheetId="2" hidden="1">'FORM-10 (A-F)'!$G$487</definedName>
    <definedName name="solver_lhs84" localSheetId="2" hidden="1">'FORM-10 (A-F)'!$F$468</definedName>
    <definedName name="solver_lhs85" localSheetId="2" hidden="1">'FORM-10 (A-F)'!$G$487</definedName>
    <definedName name="solver_lhs86" localSheetId="2" hidden="1">'FORM-10 (A-F)'!$F$468</definedName>
    <definedName name="solver_lhs87" localSheetId="2" hidden="1">'FORM-10 (A-F)'!$G$487</definedName>
    <definedName name="solver_lhs88" localSheetId="2" hidden="1">'FORM-10 (A-F)'!$F$468</definedName>
    <definedName name="solver_lhs89" localSheetId="2" hidden="1">'FORM-10 (A-F)'!$G$487</definedName>
    <definedName name="solver_lhs9" localSheetId="2" hidden="1">'FORM-10 (A-F)'!$G$487</definedName>
    <definedName name="solver_lhs90" localSheetId="2" hidden="1">'FORM-10 (A-F)'!$F$468</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0" hidden="1">'MACROS'!$G$384</definedName>
    <definedName name="solver_pre" localSheetId="2" hidden="1">0.000001</definedName>
    <definedName name="solver_rel1" localSheetId="2" hidden="1">3</definedName>
    <definedName name="solver_rel10" localSheetId="2" hidden="1">2</definedName>
    <definedName name="solver_rel11" localSheetId="2" hidden="1">3</definedName>
    <definedName name="solver_rel12" localSheetId="2" hidden="1">2</definedName>
    <definedName name="solver_rel13" localSheetId="2" hidden="1">3</definedName>
    <definedName name="solver_rel14" localSheetId="2" hidden="1">2</definedName>
    <definedName name="solver_rel15" localSheetId="2" hidden="1">3</definedName>
    <definedName name="solver_rel16" localSheetId="2" hidden="1">2</definedName>
    <definedName name="solver_rel17" localSheetId="2" hidden="1">3</definedName>
    <definedName name="solver_rel18" localSheetId="2" hidden="1">2</definedName>
    <definedName name="solver_rel19" localSheetId="2" hidden="1">3</definedName>
    <definedName name="solver_rel2" localSheetId="2" hidden="1">2</definedName>
    <definedName name="solver_rel20" localSheetId="2" hidden="1">2</definedName>
    <definedName name="solver_rel21" localSheetId="2" hidden="1">3</definedName>
    <definedName name="solver_rel22" localSheetId="2" hidden="1">2</definedName>
    <definedName name="solver_rel23" localSheetId="2" hidden="1">3</definedName>
    <definedName name="solver_rel24" localSheetId="2" hidden="1">2</definedName>
    <definedName name="solver_rel25" localSheetId="2" hidden="1">3</definedName>
    <definedName name="solver_rel26" localSheetId="2" hidden="1">2</definedName>
    <definedName name="solver_rel27" localSheetId="2" hidden="1">3</definedName>
    <definedName name="solver_rel28" localSheetId="2" hidden="1">2</definedName>
    <definedName name="solver_rel29" localSheetId="2" hidden="1">3</definedName>
    <definedName name="solver_rel3" localSheetId="2" hidden="1">3</definedName>
    <definedName name="solver_rel30" localSheetId="2" hidden="1">2</definedName>
    <definedName name="solver_rel31" localSheetId="2" hidden="1">3</definedName>
    <definedName name="solver_rel32" localSheetId="2" hidden="1">2</definedName>
    <definedName name="solver_rel33" localSheetId="2" hidden="1">3</definedName>
    <definedName name="solver_rel34" localSheetId="2" hidden="1">2</definedName>
    <definedName name="solver_rel35" localSheetId="2" hidden="1">3</definedName>
    <definedName name="solver_rel36" localSheetId="2" hidden="1">2</definedName>
    <definedName name="solver_rel37" localSheetId="2" hidden="1">3</definedName>
    <definedName name="solver_rel38" localSheetId="2" hidden="1">2</definedName>
    <definedName name="solver_rel39" localSheetId="2" hidden="1">3</definedName>
    <definedName name="solver_rel4" localSheetId="2" hidden="1">2</definedName>
    <definedName name="solver_rel40" localSheetId="2" hidden="1">2</definedName>
    <definedName name="solver_rel41" localSheetId="2" hidden="1">3</definedName>
    <definedName name="solver_rel42" localSheetId="2" hidden="1">2</definedName>
    <definedName name="solver_rel43" localSheetId="2" hidden="1">3</definedName>
    <definedName name="solver_rel44" localSheetId="2" hidden="1">2</definedName>
    <definedName name="solver_rel45" localSheetId="2" hidden="1">3</definedName>
    <definedName name="solver_rel46" localSheetId="2" hidden="1">2</definedName>
    <definedName name="solver_rel47" localSheetId="2" hidden="1">3</definedName>
    <definedName name="solver_rel48" localSheetId="2" hidden="1">2</definedName>
    <definedName name="solver_rel49" localSheetId="2" hidden="1">3</definedName>
    <definedName name="solver_rel5" localSheetId="2" hidden="1">3</definedName>
    <definedName name="solver_rel50" localSheetId="2" hidden="1">2</definedName>
    <definedName name="solver_rel51" localSheetId="2" hidden="1">3</definedName>
    <definedName name="solver_rel52" localSheetId="2" hidden="1">2</definedName>
    <definedName name="solver_rel53" localSheetId="2" hidden="1">3</definedName>
    <definedName name="solver_rel54" localSheetId="2" hidden="1">2</definedName>
    <definedName name="solver_rel55" localSheetId="2" hidden="1">3</definedName>
    <definedName name="solver_rel56" localSheetId="2" hidden="1">2</definedName>
    <definedName name="solver_rel57" localSheetId="2" hidden="1">3</definedName>
    <definedName name="solver_rel58" localSheetId="2" hidden="1">2</definedName>
    <definedName name="solver_rel59" localSheetId="2" hidden="1">3</definedName>
    <definedName name="solver_rel6" localSheetId="2" hidden="1">2</definedName>
    <definedName name="solver_rel60" localSheetId="2" hidden="1">2</definedName>
    <definedName name="solver_rel61" localSheetId="2" hidden="1">3</definedName>
    <definedName name="solver_rel62" localSheetId="2" hidden="1">2</definedName>
    <definedName name="solver_rel63" localSheetId="2" hidden="1">3</definedName>
    <definedName name="solver_rel64" localSheetId="2" hidden="1">2</definedName>
    <definedName name="solver_rel65" localSheetId="2" hidden="1">3</definedName>
    <definedName name="solver_rel66" localSheetId="2" hidden="1">2</definedName>
    <definedName name="solver_rel67" localSheetId="2" hidden="1">3</definedName>
    <definedName name="solver_rel68" localSheetId="2" hidden="1">2</definedName>
    <definedName name="solver_rel69" localSheetId="2" hidden="1">3</definedName>
    <definedName name="solver_rel7" localSheetId="2" hidden="1">3</definedName>
    <definedName name="solver_rel70" localSheetId="2" hidden="1">2</definedName>
    <definedName name="solver_rel71" localSheetId="2" hidden="1">3</definedName>
    <definedName name="solver_rel72" localSheetId="2" hidden="1">2</definedName>
    <definedName name="solver_rel73" localSheetId="2" hidden="1">3</definedName>
    <definedName name="solver_rel74" localSheetId="2" hidden="1">2</definedName>
    <definedName name="solver_rel75" localSheetId="2" hidden="1">3</definedName>
    <definedName name="solver_rel76" localSheetId="2" hidden="1">2</definedName>
    <definedName name="solver_rel77" localSheetId="2" hidden="1">3</definedName>
    <definedName name="solver_rel78" localSheetId="2" hidden="1">2</definedName>
    <definedName name="solver_rel79" localSheetId="2" hidden="1">3</definedName>
    <definedName name="solver_rel8" localSheetId="2" hidden="1">2</definedName>
    <definedName name="solver_rel80" localSheetId="2" hidden="1">2</definedName>
    <definedName name="solver_rel81" localSheetId="2" hidden="1">3</definedName>
    <definedName name="solver_rel82" localSheetId="2" hidden="1">2</definedName>
    <definedName name="solver_rel83" localSheetId="2" hidden="1">3</definedName>
    <definedName name="solver_rel84" localSheetId="2" hidden="1">2</definedName>
    <definedName name="solver_rel85" localSheetId="2" hidden="1">3</definedName>
    <definedName name="solver_rel86" localSheetId="2" hidden="1">2</definedName>
    <definedName name="solver_rel87" localSheetId="2" hidden="1">3</definedName>
    <definedName name="solver_rel88" localSheetId="2" hidden="1">2</definedName>
    <definedName name="solver_rel89" localSheetId="2" hidden="1">3</definedName>
    <definedName name="solver_rel9" localSheetId="2" hidden="1">3</definedName>
    <definedName name="solver_rel90" localSheetId="2" hidden="1">2</definedName>
    <definedName name="solver_rhs1" localSheetId="2" hidden="1">SOLV1</definedName>
    <definedName name="solver_rhs10" localSheetId="2" hidden="1">'FORM-10 (A-F)'!$M$492</definedName>
    <definedName name="solver_rhs11" localSheetId="2" hidden="1">'FORM-10 (A-F)'!$C$494</definedName>
    <definedName name="solver_rhs12" localSheetId="2" hidden="1">'FORM-10 (A-F)'!$M$492</definedName>
    <definedName name="solver_rhs13" localSheetId="2" hidden="1">'FORM-10 (A-F)'!$C$494</definedName>
    <definedName name="solver_rhs14" localSheetId="2" hidden="1">'FORM-10 (A-F)'!$M$492</definedName>
    <definedName name="solver_rhs15" localSheetId="2" hidden="1">'FORM-10 (A-F)'!$C$494</definedName>
    <definedName name="solver_rhs16" localSheetId="2" hidden="1">'FORM-10 (A-F)'!$M$492</definedName>
    <definedName name="solver_rhs17" localSheetId="2" hidden="1">'FORM-10 (A-F)'!$C$494</definedName>
    <definedName name="solver_rhs18" localSheetId="2" hidden="1">'FORM-10 (A-F)'!$M$492</definedName>
    <definedName name="solver_rhs19" localSheetId="2" hidden="1">'FORM-10 (A-F)'!$C$494</definedName>
    <definedName name="solver_rhs2" localSheetId="2" hidden="1">SOLV2</definedName>
    <definedName name="solver_rhs20" localSheetId="2" hidden="1">'FORM-10 (A-F)'!$M$492</definedName>
    <definedName name="solver_rhs21" localSheetId="2" hidden="1">'FORM-10 (A-F)'!$C$494</definedName>
    <definedName name="solver_rhs22" localSheetId="2" hidden="1">'FORM-10 (A-F)'!$M$492</definedName>
    <definedName name="solver_rhs23" localSheetId="2" hidden="1">'FORM-10 (A-F)'!$C$494</definedName>
    <definedName name="solver_rhs24" localSheetId="2" hidden="1">'FORM-10 (A-F)'!$M$492</definedName>
    <definedName name="solver_rhs25" localSheetId="2" hidden="1">'FORM-10 (A-F)'!$C$494</definedName>
    <definedName name="solver_rhs26" localSheetId="2" hidden="1">'FORM-10 (A-F)'!$M$492</definedName>
    <definedName name="solver_rhs27" localSheetId="2" hidden="1">'FORM-10 (A-F)'!$C$494</definedName>
    <definedName name="solver_rhs28" localSheetId="2" hidden="1">'FORM-10 (A-F)'!$M$492</definedName>
    <definedName name="solver_rhs29" localSheetId="2" hidden="1">'FORM-10 (A-F)'!$C$494</definedName>
    <definedName name="solver_rhs3" localSheetId="2" hidden="1">'FORM-10 (A-F)'!$C$494</definedName>
    <definedName name="solver_rhs30" localSheetId="2" hidden="1">'FORM-10 (A-F)'!$M$492</definedName>
    <definedName name="solver_rhs31" localSheetId="2" hidden="1">'FORM-10 (A-F)'!$C$494</definedName>
    <definedName name="solver_rhs32" localSheetId="2" hidden="1">'FORM-10 (A-F)'!$M$492</definedName>
    <definedName name="solver_rhs33" localSheetId="2" hidden="1">'FORM-10 (A-F)'!$C$494</definedName>
    <definedName name="solver_rhs34" localSheetId="2" hidden="1">'FORM-10 (A-F)'!$M$492</definedName>
    <definedName name="solver_rhs35" localSheetId="2" hidden="1">'FORM-10 (A-F)'!$C$494</definedName>
    <definedName name="solver_rhs36" localSheetId="2" hidden="1">'FORM-10 (A-F)'!$M$492</definedName>
    <definedName name="solver_rhs37" localSheetId="2" hidden="1">'FORM-10 (A-F)'!$C$494</definedName>
    <definedName name="solver_rhs38" localSheetId="2" hidden="1">'FORM-10 (A-F)'!$M$492</definedName>
    <definedName name="solver_rhs39" localSheetId="2" hidden="1">'FORM-10 (A-F)'!$C$494</definedName>
    <definedName name="solver_rhs4" localSheetId="2" hidden="1">'FORM-10 (A-F)'!$M$492</definedName>
    <definedName name="solver_rhs40" localSheetId="2" hidden="1">'FORM-10 (A-F)'!$M$492</definedName>
    <definedName name="solver_rhs41" localSheetId="2" hidden="1">'FORM-10 (A-F)'!$C$494</definedName>
    <definedName name="solver_rhs42" localSheetId="2" hidden="1">'FORM-10 (A-F)'!$M$492</definedName>
    <definedName name="solver_rhs43" localSheetId="2" hidden="1">'FORM-10 (A-F)'!$C$494</definedName>
    <definedName name="solver_rhs44" localSheetId="2" hidden="1">'FORM-10 (A-F)'!$M$492</definedName>
    <definedName name="solver_rhs45" localSheetId="2" hidden="1">'FORM-10 (A-F)'!$C$494</definedName>
    <definedName name="solver_rhs46" localSheetId="2" hidden="1">'FORM-10 (A-F)'!$M$492</definedName>
    <definedName name="solver_rhs47" localSheetId="2" hidden="1">'FORM-10 (A-F)'!$C$494</definedName>
    <definedName name="solver_rhs48" localSheetId="2" hidden="1">'FORM-10 (A-F)'!$M$492</definedName>
    <definedName name="solver_rhs49" localSheetId="2" hidden="1">'FORM-10 (A-F)'!$C$494</definedName>
    <definedName name="solver_rhs5" localSheetId="2" hidden="1">'FORM-10 (A-F)'!$C$494</definedName>
    <definedName name="solver_rhs50" localSheetId="2" hidden="1">'FORM-10 (A-F)'!$M$492</definedName>
    <definedName name="solver_rhs51" localSheetId="2" hidden="1">'FORM-10 (A-F)'!$C$494</definedName>
    <definedName name="solver_rhs52" localSheetId="2" hidden="1">'FORM-10 (A-F)'!$M$492</definedName>
    <definedName name="solver_rhs53" localSheetId="2" hidden="1">'FORM-10 (A-F)'!$C$494</definedName>
    <definedName name="solver_rhs54" localSheetId="2" hidden="1">'FORM-10 (A-F)'!$M$492</definedName>
    <definedName name="solver_rhs55" localSheetId="2" hidden="1">'FORM-10 (A-F)'!$C$494</definedName>
    <definedName name="solver_rhs56" localSheetId="2" hidden="1">'FORM-10 (A-F)'!$M$492</definedName>
    <definedName name="solver_rhs57" localSheetId="2" hidden="1">'FORM-10 (A-F)'!$C$494</definedName>
    <definedName name="solver_rhs58" localSheetId="2" hidden="1">'FORM-10 (A-F)'!$M$492</definedName>
    <definedName name="solver_rhs59" localSheetId="2" hidden="1">'FORM-10 (A-F)'!$C$494</definedName>
    <definedName name="solver_rhs6" localSheetId="2" hidden="1">'FORM-10 (A-F)'!$M$492</definedName>
    <definedName name="solver_rhs60" localSheetId="2" hidden="1">'FORM-10 (A-F)'!$M$492</definedName>
    <definedName name="solver_rhs61" localSheetId="2" hidden="1">'FORM-10 (A-F)'!$C$494</definedName>
    <definedName name="solver_rhs62" localSheetId="2" hidden="1">'FORM-10 (A-F)'!$M$492</definedName>
    <definedName name="solver_rhs63" localSheetId="2" hidden="1">'FORM-10 (A-F)'!$C$494</definedName>
    <definedName name="solver_rhs64" localSheetId="2" hidden="1">'FORM-10 (A-F)'!$M$492</definedName>
    <definedName name="solver_rhs65" localSheetId="2" hidden="1">'FORM-10 (A-F)'!$C$494</definedName>
    <definedName name="solver_rhs66" localSheetId="2" hidden="1">'FORM-10 (A-F)'!$M$492</definedName>
    <definedName name="solver_rhs67" localSheetId="2" hidden="1">'FORM-10 (A-F)'!$C$494</definedName>
    <definedName name="solver_rhs68" localSheetId="2" hidden="1">'FORM-10 (A-F)'!$M$492</definedName>
    <definedName name="solver_rhs69" localSheetId="2" hidden="1">'FORM-10 (A-F)'!$C$494</definedName>
    <definedName name="solver_rhs7" localSheetId="2" hidden="1">'FORM-10 (A-F)'!$C$494</definedName>
    <definedName name="solver_rhs70" localSheetId="2" hidden="1">'FORM-10 (A-F)'!$M$492</definedName>
    <definedName name="solver_rhs71" localSheetId="2" hidden="1">'FORM-10 (A-F)'!$C$494</definedName>
    <definedName name="solver_rhs72" localSheetId="2" hidden="1">'FORM-10 (A-F)'!$M$492</definedName>
    <definedName name="solver_rhs73" localSheetId="2" hidden="1">'FORM-10 (A-F)'!$C$494</definedName>
    <definedName name="solver_rhs74" localSheetId="2" hidden="1">'FORM-10 (A-F)'!$M$492</definedName>
    <definedName name="solver_rhs75" localSheetId="2" hidden="1">'FORM-10 (A-F)'!$C$494</definedName>
    <definedName name="solver_rhs76" localSheetId="2" hidden="1">'FORM-10 (A-F)'!$M$492</definedName>
    <definedName name="solver_rhs77" localSheetId="2" hidden="1">'FORM-10 (A-F)'!$C$494</definedName>
    <definedName name="solver_rhs78" localSheetId="2" hidden="1">'FORM-10 (A-F)'!$M$492</definedName>
    <definedName name="solver_rhs79" localSheetId="2" hidden="1">'FORM-10 (A-F)'!$C$494</definedName>
    <definedName name="solver_rhs8" localSheetId="2" hidden="1">'FORM-10 (A-F)'!$M$492</definedName>
    <definedName name="solver_rhs80" localSheetId="2" hidden="1">'FORM-10 (A-F)'!$M$492</definedName>
    <definedName name="solver_rhs81" localSheetId="2" hidden="1">'FORM-10 (A-F)'!$C$494</definedName>
    <definedName name="solver_rhs82" localSheetId="2" hidden="1">'FORM-10 (A-F)'!$M$492</definedName>
    <definedName name="solver_rhs83" localSheetId="2" hidden="1">'FORM-10 (A-F)'!$C$494</definedName>
    <definedName name="solver_rhs84" localSheetId="2" hidden="1">'FORM-10 (A-F)'!$M$492</definedName>
    <definedName name="solver_rhs85" localSheetId="2" hidden="1">'FORM-10 (A-F)'!$C$494</definedName>
    <definedName name="solver_rhs86" localSheetId="2" hidden="1">'FORM-10 (A-F)'!$M$492</definedName>
    <definedName name="solver_rhs87" localSheetId="2" hidden="1">'FORM-10 (A-F)'!$C$494</definedName>
    <definedName name="solver_rhs88" localSheetId="2" hidden="1">'FORM-10 (A-F)'!$M$492</definedName>
    <definedName name="solver_rhs89" localSheetId="2" hidden="1">'FORM-10 (A-F)'!$C$494</definedName>
    <definedName name="solver_rhs9" localSheetId="2" hidden="1">'FORM-10 (A-F)'!$C$494</definedName>
    <definedName name="solver_rhs90" localSheetId="2" hidden="1">'FORM-10 (A-F)'!$M$492</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1</definedName>
    <definedName name="solver_typ" localSheetId="0" hidden="1">2</definedName>
    <definedName name="solver_val" localSheetId="2" hidden="1">0</definedName>
    <definedName name="solver_val" localSheetId="0" hidden="1">0</definedName>
    <definedName name="SPONSOR" localSheetId="2">'FORM-10 (A-F)'!$C$253:$C$253</definedName>
    <definedName name="SPONSOR">#REF!</definedName>
    <definedName name="SPONSOR_EQUITY" localSheetId="2">'FORM-10 (A-F)'!$J$227</definedName>
    <definedName name="SPONSOR_EQUITY">#REF!</definedName>
    <definedName name="SQFT" localSheetId="2">'FORM-10 (A-F)'!$C$119:$C$119</definedName>
    <definedName name="SQFT">#REF!</definedName>
    <definedName name="SQFT_ACR" localSheetId="2">'FORM-10 (A-F)'!$H$119:$H$119</definedName>
    <definedName name="SQFT_ACR">#REF!</definedName>
    <definedName name="TOT_ADM" localSheetId="2">'FORM-10 (A-F)'!$D$275:$D$275</definedName>
    <definedName name="TOT_ADM">#REF!</definedName>
    <definedName name="TOT_EMPL" localSheetId="2">'FORM-10 (A-F)'!$H$274:$H$274</definedName>
    <definedName name="TOT_EMPL">#REF!</definedName>
    <definedName name="TOT_EXP" localSheetId="2">'FORM-10 (A-F)'!$H$459:$H$459</definedName>
    <definedName name="TOT_EXP">#REF!</definedName>
    <definedName name="TOT_EXPENSES" localSheetId="2">'FORM-10 (A-F)'!$H$459:$H$459</definedName>
    <definedName name="TOT_EXPENSES">#REF!</definedName>
    <definedName name="TOT_FUNDYES" localSheetId="2">'FORM-10 (A-F)'!$M$472</definedName>
    <definedName name="TOT_FUNDYES">#REF!</definedName>
    <definedName name="TOT_M_R" localSheetId="2">'FORM-10 (A-F)'!$D$296:$D$296</definedName>
    <definedName name="TOT_M_R">#REF!</definedName>
    <definedName name="TOT_MCTR" localSheetId="2">'FORM-10 (A-F)'!$I$288:$I$288</definedName>
    <definedName name="TOT_MCTR">#REF!</definedName>
    <definedName name="TOT_RENT" localSheetId="2">'FORM-10 (A-F)'!$I$72:$I$72</definedName>
    <definedName name="TOT_RENT">#REF!</definedName>
    <definedName name="TOT_REVENUES" localSheetId="2">'FORM-10 (A-F)'!$H$444</definedName>
    <definedName name="TOT_REVENUES">#REF!</definedName>
    <definedName name="TOT_UTIL" localSheetId="2">'FORM-10 (A-F)'!$I$298:$I$298</definedName>
    <definedName name="TOT_UTIL">#REF!</definedName>
    <definedName name="TOT_WAGE" localSheetId="2">'FORM-10 (A-F)'!$J$274:$J$274</definedName>
    <definedName name="TOT_WAGE">#REF!</definedName>
    <definedName name="TOTAL_DEBT_SERV" localSheetId="2">'FORM-10 (A-F)'!$H$473</definedName>
    <definedName name="TOTAL_DEBT_SERV">#REF!</definedName>
    <definedName name="TOTAL_RENT_INC" localSheetId="2">'FORM-10 (A-F)'!$F$437</definedName>
    <definedName name="TOTAL_RENT_INC">#REF!</definedName>
    <definedName name="TOTPRJ" localSheetId="2">'FORM-10 (A-F)'!$J$222:$J$222</definedName>
    <definedName name="TOTPRJ">#REF!</definedName>
    <definedName name="VACANCY" localSheetId="2">'FORM-10 (A-F)'!$F$429:$F$429</definedName>
    <definedName name="VACANCY">#REF!</definedName>
    <definedName name="VACANCY_PERC" localSheetId="2">'FORM-10 (A-F)'!$D$429</definedName>
    <definedName name="VACANCY_PERC">#REF!</definedName>
    <definedName name="WKS_MORTGAGE" localSheetId="2">'FORM-10 (A-F)'!$H$492</definedName>
    <definedName name="WKS_MORTGAGE">#REF!</definedName>
    <definedName name="Z_106E1BFB_744D_4663_B74B_CA29F8E427E7_.wvu.Cols" localSheetId="2" hidden="1">'FORM-10 (A-F)'!$M:$R</definedName>
    <definedName name="Z_106E1BFB_744D_4663_B74B_CA29F8E427E7_.wvu.PrintArea" localSheetId="2" hidden="1">'FORM-10 (A-F)'!$A$1:$J$488</definedName>
    <definedName name="Z_106E1BFB_744D_4663_B74B_CA29F8E427E7_.wvu.Rows" localSheetId="2" hidden="1">'FORM-10 (A-F)'!$657:$737</definedName>
    <definedName name="Z_1B3A3623_A71C_44E5_8CF7_5E34A4F84CE2_.wvu.Cols" localSheetId="2" hidden="1">'FORM-10 (A-F)'!$M:$R</definedName>
    <definedName name="Z_1B3A3623_A71C_44E5_8CF7_5E34A4F84CE2_.wvu.PrintArea" localSheetId="2" hidden="1">'FORM-10 (A-F)'!$A$1:$J$488</definedName>
    <definedName name="Z_1B3A3623_A71C_44E5_8CF7_5E34A4F84CE2_.wvu.Rows" localSheetId="2" hidden="1">'FORM-10 (A-F)'!$657:$737</definedName>
    <definedName name="Z_720EBBAA_29A7_494C_BF67_EED4899B3400_.wvu.Cols" localSheetId="2" hidden="1">'FORM-10 (A-F)'!$K:$R</definedName>
    <definedName name="Z_720EBBAA_29A7_494C_BF67_EED4899B3400_.wvu.PrintArea" localSheetId="2" hidden="1">'FORM-10 (A-F)'!$A$1:$R$494</definedName>
    <definedName name="Z_720EBBAA_29A7_494C_BF67_EED4899B3400_.wvu.Rows" localSheetId="2" hidden="1">'FORM-10 (A-F)'!$657:$737</definedName>
  </definedNames>
  <calcPr fullCalcOnLoad="1"/>
</workbook>
</file>

<file path=xl/sharedStrings.xml><?xml version="1.0" encoding="utf-8"?>
<sst xmlns="http://schemas.openxmlformats.org/spreadsheetml/2006/main" count="2240" uniqueCount="1725">
  <si>
    <t>(No. of</t>
  </si>
  <si>
    <t>Unit Size</t>
  </si>
  <si>
    <t>{Home}</t>
  </si>
  <si>
    <t>DEVFEE%</t>
  </si>
  <si>
    <t>Inducement:D106..Inducement:D106</t>
  </si>
  <si>
    <t xml:space="preserve">Structures*  </t>
  </si>
  <si>
    <t>Bldgs.</t>
  </si>
  <si>
    <t>Each</t>
  </si>
  <si>
    <t>BR's)</t>
  </si>
  <si>
    <t xml:space="preserve">in Sq. Ft. </t>
  </si>
  <si>
    <t>Term in Years:</t>
  </si>
  <si>
    <t>DEV_DEV_FEE</t>
  </si>
  <si>
    <t>Inducement:D579</t>
  </si>
  <si>
    <t>DEV_NAME</t>
  </si>
  <si>
    <t>Inducement:C12..Inducement:C12</t>
  </si>
  <si>
    <t>{Setproperty Protection,Protect}</t>
  </si>
  <si>
    <t>\P  - Protect Cell</t>
  </si>
  <si>
    <t>DEV_PROJ_COST</t>
  </si>
  <si>
    <t>Inducement:D609</t>
  </si>
  <si>
    <t>DEV_STREET</t>
  </si>
  <si>
    <t>%)</t>
  </si>
  <si>
    <t>Inducement:C14</t>
  </si>
  <si>
    <t>{Setproperty Shading,"2,0,Blend6"}</t>
  </si>
  <si>
    <t>\S  - Shade Box</t>
  </si>
  <si>
    <t>DSR</t>
  </si>
  <si>
    <t>Inducement:C391</t>
  </si>
  <si>
    <t>DU#1</t>
  </si>
  <si>
    <t>Inducement:F48..Inducement:F48</t>
  </si>
  <si>
    <t>{Setproperty Shading,"3,0,Blend7"}</t>
  </si>
  <si>
    <t>\W -  White Box</t>
  </si>
  <si>
    <t>DU#10</t>
  </si>
  <si>
    <t>Inducement:F57..Inducement:F57</t>
  </si>
  <si>
    <t>DU#2</t>
  </si>
  <si>
    <t>Inducement:F49..Inducement:F49</t>
  </si>
  <si>
    <t>\U   - Unprotect A Cell</t>
  </si>
  <si>
    <t>DU#3</t>
  </si>
  <si>
    <t>Inducement:F50..Inducement:F50</t>
  </si>
  <si>
    <t>DU#4</t>
  </si>
  <si>
    <t>Inducement:F51..Inducement:F51</t>
  </si>
  <si>
    <t>{Setproperty Line_Drawing,"Clear,Clear,Clear,Clear,Clear,Clear"}</t>
  </si>
  <si>
    <t>\C  - Clear Lines</t>
  </si>
  <si>
    <t>DU#5</t>
  </si>
  <si>
    <t>Inducement:F52..Inducement:F52</t>
  </si>
  <si>
    <t>DU#6</t>
  </si>
  <si>
    <t>Inducement:F53..Inducement:F53</t>
  </si>
  <si>
    <t xml:space="preserve">   Totals</t>
  </si>
  <si>
    <t>{Setproperty Line_Drawing,"NoChange,NoChange,NoChange,Thin,NoChange,NoChange"}</t>
  </si>
  <si>
    <t>DU#7</t>
  </si>
  <si>
    <t>Inducement:F54..Inducement:F54</t>
  </si>
  <si>
    <t>\L  - Underline</t>
  </si>
  <si>
    <t>DU#8</t>
  </si>
  <si>
    <t>Inducement:F55..Inducement:F55</t>
  </si>
  <si>
    <t>DU#9</t>
  </si>
  <si>
    <t>Inducement:F56..Inducement:F56</t>
  </si>
  <si>
    <t>DWELUNIT</t>
  </si>
  <si>
    <t>Inducement:F59..Inducement:F59</t>
  </si>
  <si>
    <t>{Setproperty Line_Drawing,"Thin,Thin,Thin,Thin,NoChange,NoChange"}</t>
  </si>
  <si>
    <t>\B  - Box field</t>
  </si>
  <si>
    <t>ERR1</t>
  </si>
  <si>
    <t>Inducement:S646..Inducement:S647</t>
  </si>
  <si>
    <t>FINANCE1</t>
  </si>
  <si>
    <t>Inducement:D35..Inducement:D35</t>
  </si>
  <si>
    <t>{Setproperty Shading,"9,0,Blend4"}</t>
  </si>
  <si>
    <t>\Y - yellow box</t>
  </si>
  <si>
    <t>FINANCE3</t>
  </si>
  <si>
    <t>Inducement:D37..Inducement:D37</t>
  </si>
  <si>
    <t>FUNDA_AMT</t>
  </si>
  <si>
    <t>Inducement:J139</t>
  </si>
  <si>
    <t>FUNDA_DESC</t>
  </si>
  <si>
    <t>Inducement:B139</t>
  </si>
  <si>
    <t>FUNDA_FLAG</t>
  </si>
  <si>
    <t>Inducement:G139</t>
  </si>
  <si>
    <t>FUNDB_AMT</t>
  </si>
  <si>
    <t>Inducement:J140</t>
  </si>
  <si>
    <t>FUNDB_DESC</t>
  </si>
  <si>
    <t>Inducement:B140</t>
  </si>
  <si>
    <t>FUNDB_FLAG</t>
  </si>
  <si>
    <t>Inducement:G140</t>
  </si>
  <si>
    <t>FUNDC_AMT</t>
  </si>
  <si>
    <t>Inducement:J141</t>
  </si>
  <si>
    <t>FUNDC_DESC</t>
  </si>
  <si>
    <t>Inducement:B141</t>
  </si>
  <si>
    <t>FUNDC_FLAG</t>
  </si>
  <si>
    <t>Inducement:G141</t>
  </si>
  <si>
    <t>FUNDD_AMT</t>
  </si>
  <si>
    <t>Inducement:J142</t>
  </si>
  <si>
    <t>FUNDD_DESC</t>
  </si>
  <si>
    <t>Inducement:B142</t>
  </si>
  <si>
    <t>FUNDD_FLAG</t>
  </si>
  <si>
    <t>Inducement:G142</t>
  </si>
  <si>
    <t>FUNDE_AMT</t>
  </si>
  <si>
    <t>Inducement:J143</t>
  </si>
  <si>
    <t>FUNDE_DESC</t>
  </si>
  <si>
    <t>Inducement:B143</t>
  </si>
  <si>
    <t>FUNDE_FLAG</t>
  </si>
  <si>
    <t>Inducement:G143</t>
  </si>
  <si>
    <t>SCHEDULE 10-B:  EST. DEVELOPMENT COSTS AND CAPITAL REQUIREMENTS</t>
  </si>
  <si>
    <t>FUNDF_AMT</t>
  </si>
  <si>
    <t>Inducement:J144</t>
  </si>
  <si>
    <t>FUNDF_DESC</t>
  </si>
  <si>
    <t>Inducement:B144</t>
  </si>
  <si>
    <t>FUNDF_FLAG</t>
  </si>
  <si>
    <t>Inducement:G144</t>
  </si>
  <si>
    <t>FUNDS_ESCROWED</t>
  </si>
  <si>
    <t>Inducement:M145</t>
  </si>
  <si>
    <t>Date</t>
  </si>
  <si>
    <t>GROSHELT</t>
  </si>
  <si>
    <t>Inducement:E218..Inducement:E218</t>
  </si>
  <si>
    <t>GROSRENT</t>
  </si>
  <si>
    <t>(List Daily Amount)</t>
  </si>
  <si>
    <t>Inducement:H268..Inducement:H268</t>
  </si>
  <si>
    <t>HMFA</t>
  </si>
  <si>
    <t>Inducement:G7..Inducement:G7</t>
  </si>
  <si>
    <t>INDUCE</t>
  </si>
  <si>
    <t>Inducement:A7..Inducement:A7</t>
  </si>
  <si>
    <t>$</t>
  </si>
  <si>
    <t>INSUR_EX</t>
  </si>
  <si>
    <t>Inducement:F356..Inducement:F356</t>
  </si>
  <si>
    <t xml:space="preserve">    b) Building Acquisition</t>
  </si>
  <si>
    <t>LOW_INC_PERC</t>
  </si>
  <si>
    <t>Inducement:I557</t>
  </si>
  <si>
    <t>MAX_DEV_FEE</t>
  </si>
  <si>
    <t>Inducement:E619</t>
  </si>
  <si>
    <t>MGMT_RVW</t>
  </si>
  <si>
    <t>Inducement:G166..Inducement:G166</t>
  </si>
  <si>
    <t>MGTRV_DT</t>
  </si>
  <si>
    <t>ERR</t>
  </si>
  <si>
    <t xml:space="preserve">    a) Demolition</t>
  </si>
  <si>
    <t xml:space="preserve">                $</t>
  </si>
  <si>
    <t>MORTG1/2</t>
  </si>
  <si>
    <t>Inducement:G121..Inducement:G121</t>
  </si>
  <si>
    <t xml:space="preserve">    b) Off-site Improvements</t>
  </si>
  <si>
    <t>MORTGAGE</t>
  </si>
  <si>
    <t>Inducement:J145..Inducement:J145</t>
  </si>
  <si>
    <t>MORTG_INTEREST</t>
  </si>
  <si>
    <t>Inducement:F365</t>
  </si>
  <si>
    <t>MORTG_RATE</t>
  </si>
  <si>
    <t>Inducement:C245</t>
  </si>
  <si>
    <t xml:space="preserve">    e) Environmental Clearances</t>
  </si>
  <si>
    <t>MORTG_TERM</t>
  </si>
  <si>
    <t>Inducement:C246</t>
  </si>
  <si>
    <t>MRTG&amp;FEE_AMT</t>
  </si>
  <si>
    <t>Inducement:F366..Inducement:F366</t>
  </si>
  <si>
    <t>MRTG&amp;FEE_PERC</t>
  </si>
  <si>
    <t>Inducement:D366</t>
  </si>
  <si>
    <t>MSGA</t>
  </si>
  <si>
    <t>Inducement:S636</t>
  </si>
  <si>
    <t>MSGB</t>
  </si>
  <si>
    <t>Inducement:S637</t>
  </si>
  <si>
    <t>MSGC</t>
  </si>
  <si>
    <t>Inducement:S638</t>
  </si>
  <si>
    <t>MSGDONE</t>
  </si>
  <si>
    <t>Inducement:S644</t>
  </si>
  <si>
    <t>MSGE</t>
  </si>
  <si>
    <t>Inducement:S640</t>
  </si>
  <si>
    <t>MSGF</t>
  </si>
  <si>
    <t>Inducement:S641</t>
  </si>
  <si>
    <t>MSGF2</t>
  </si>
  <si>
    <t>Inducement:S642</t>
  </si>
  <si>
    <t>MSGG</t>
  </si>
  <si>
    <t>Inducement:S643</t>
  </si>
  <si>
    <t>MSGPRINT</t>
  </si>
  <si>
    <t>MUNICIP</t>
  </si>
  <si>
    <t>Inducement:B17..Inducement:B17</t>
  </si>
  <si>
    <t>NEEDED_REHAB</t>
  </si>
  <si>
    <t>Inducement:E628</t>
  </si>
  <si>
    <t>NETRNTAR</t>
  </si>
  <si>
    <t>Inducement:G59..Inducement:G59</t>
  </si>
  <si>
    <t>NET_APT_RENTS</t>
  </si>
  <si>
    <t>Inducement:F331</t>
  </si>
  <si>
    <t>NET_INCOME</t>
  </si>
  <si>
    <t>Inducement:H375</t>
  </si>
  <si>
    <t>NET_OPERATING</t>
  </si>
  <si>
    <t>Inducement:H362</t>
  </si>
  <si>
    <t>NET_OTHR_RENTAL</t>
  </si>
  <si>
    <t>Inducement:F336</t>
  </si>
  <si>
    <t>PAGE A</t>
  </si>
  <si>
    <t>Inducement:A1</t>
  </si>
  <si>
    <t xml:space="preserve">    a) Interest  @</t>
  </si>
  <si>
    <t>PAGE B</t>
  </si>
  <si>
    <t>Inducement:A82</t>
  </si>
  <si>
    <t xml:space="preserve">    b) R.E. Tax $</t>
  </si>
  <si>
    <t xml:space="preserve"> (per annum)     x</t>
  </si>
  <si>
    <t>Yrs.</t>
  </si>
  <si>
    <t>PAGE C</t>
  </si>
  <si>
    <t>Inducement:A162</t>
  </si>
  <si>
    <t xml:space="preserve">    c) Insurance $</t>
  </si>
  <si>
    <t>PAGE D</t>
  </si>
  <si>
    <t>Inducement:A242</t>
  </si>
  <si>
    <t xml:space="preserve">    d) Title Insurance and Recording Expenses</t>
  </si>
  <si>
    <t>PAGE E</t>
  </si>
  <si>
    <t>Inducement:A322</t>
  </si>
  <si>
    <t>PAGE F</t>
  </si>
  <si>
    <t>Inducement:A406</t>
  </si>
  <si>
    <t>PAGE G</t>
  </si>
  <si>
    <t>Inducement:A554</t>
  </si>
  <si>
    <t>PAYMNTS_PERYEAR</t>
  </si>
  <si>
    <t>Inducement:M248</t>
  </si>
  <si>
    <t>PREPARER</t>
  </si>
  <si>
    <t>Inducement:G9..Inducement:G9</t>
  </si>
  <si>
    <t>PRINT_TIME</t>
  </si>
  <si>
    <t>Inducement:J5</t>
  </si>
  <si>
    <t>PROJ_CREDIT_VAL</t>
  </si>
  <si>
    <t>Inducement:E626</t>
  </si>
  <si>
    <t>QUAL_BUILD_ACQ</t>
  </si>
  <si>
    <t>Inducement:J564</t>
  </si>
  <si>
    <t>QUAL_PROJ_COST</t>
  </si>
  <si>
    <t>A.  DEVELOPER FEE</t>
  </si>
  <si>
    <t>B. POINTS TO REDUCE SERV FEE</t>
  </si>
  <si>
    <t>C. NOTE 2 FINANCING FEE</t>
  </si>
  <si>
    <t>D. CONST. LOAN PAYOFF</t>
  </si>
  <si>
    <t>a) Debt Service &amp; Oper. Exp.</t>
  </si>
  <si>
    <t>b) Rental Agent Rent-Up Fee</t>
  </si>
  <si>
    <t>c) Advertising &amp; Promotional</t>
  </si>
  <si>
    <t xml:space="preserve"> a) Insurance (1/2 year)</t>
  </si>
  <si>
    <r>
      <t xml:space="preserve"> c) Debt Serv. &amp; Serv. Fee </t>
    </r>
    <r>
      <rPr>
        <sz val="10"/>
        <rFont val="Arial"/>
        <family val="2"/>
      </rPr>
      <t>(1mo)</t>
    </r>
  </si>
  <si>
    <t xml:space="preserve"> b) Taxes (1 Qtr.)</t>
  </si>
  <si>
    <t xml:space="preserve"> d) MIP (1 yr. + 3 mos.)</t>
  </si>
  <si>
    <t xml:space="preserve"> f)  Operating Deficit Reserve</t>
  </si>
  <si>
    <t>A.</t>
  </si>
  <si>
    <t>B.</t>
  </si>
  <si>
    <t>C</t>
  </si>
  <si>
    <t>D</t>
  </si>
  <si>
    <t>E</t>
  </si>
  <si>
    <t>F.</t>
  </si>
  <si>
    <t xml:space="preserve"> a)</t>
  </si>
  <si>
    <t xml:space="preserve"> b)</t>
  </si>
  <si>
    <t xml:space="preserve"> c)</t>
  </si>
  <si>
    <t xml:space="preserve"> d)</t>
  </si>
  <si>
    <t xml:space="preserve"> e)</t>
  </si>
  <si>
    <t xml:space="preserve"> f)</t>
  </si>
  <si>
    <t>Inducement:J609</t>
  </si>
  <si>
    <t>R&amp;R%</t>
  </si>
  <si>
    <t>Inducement:C358</t>
  </si>
  <si>
    <t>REHAB_CR_AMT</t>
  </si>
  <si>
    <t>Inducement:E624</t>
  </si>
  <si>
    <t>RENT_UP</t>
  </si>
  <si>
    <t>Inducement:C31..Inducement:C31</t>
  </si>
  <si>
    <t>Will loan/s be repaid from project revenues?</t>
  </si>
  <si>
    <t>(If Source is a grant, enter "G".)</t>
  </si>
  <si>
    <t xml:space="preserve">            a)</t>
  </si>
  <si>
    <t xml:space="preserve">              $</t>
  </si>
  <si>
    <t xml:space="preserve">            b)</t>
  </si>
  <si>
    <t xml:space="preserve">            c)</t>
  </si>
  <si>
    <t xml:space="preserve">            d)</t>
  </si>
  <si>
    <t xml:space="preserve">            e)</t>
  </si>
  <si>
    <t xml:space="preserve">            f)</t>
  </si>
  <si>
    <t xml:space="preserve">            By:</t>
  </si>
  <si>
    <t xml:space="preserve">           By:</t>
  </si>
  <si>
    <t>(Developer or Authorized Signatory)</t>
  </si>
  <si>
    <t>NJHMFA Executive Director or Designee</t>
  </si>
  <si>
    <t>TOT_SOURCES</t>
  </si>
  <si>
    <t>Inducement:D610</t>
  </si>
  <si>
    <t>TOT_UTIL</t>
  </si>
  <si>
    <t>Inducement:I209..Inducement:I209</t>
  </si>
  <si>
    <t>TOT_WAGE</t>
  </si>
  <si>
    <t>Inducement:J185..Inducement:J185</t>
  </si>
  <si>
    <t>VACANCY$</t>
  </si>
  <si>
    <t>Inducement:F330..Inducement:F330</t>
  </si>
  <si>
    <t>Dev. Name:</t>
  </si>
  <si>
    <t>VACANCY%</t>
  </si>
  <si>
    <t>Deferred Developer's Fee</t>
  </si>
  <si>
    <t>Inducement:D330</t>
  </si>
  <si>
    <t>WKS_MORTGAGE</t>
  </si>
  <si>
    <t>Inducement:H389</t>
  </si>
  <si>
    <t>\0</t>
  </si>
  <si>
    <t>Inducement:M45..Inducement:M46</t>
  </si>
  <si>
    <t>\A</t>
  </si>
  <si>
    <t>6. K</t>
  </si>
  <si>
    <t>6. A.</t>
  </si>
  <si>
    <t>6. D.</t>
  </si>
  <si>
    <t>6. M</t>
  </si>
  <si>
    <t>6. B</t>
  </si>
  <si>
    <t>6. E.</t>
  </si>
  <si>
    <t>Indemnification/Commitment Fee (6. H.)</t>
  </si>
  <si>
    <t>Inducement:E215..Inducement:E215</t>
  </si>
  <si>
    <t xml:space="preserve">        I. </t>
  </si>
  <si>
    <t>ADMINISTRATIVE EXPENSE</t>
  </si>
  <si>
    <t xml:space="preserve">       II.</t>
  </si>
  <si>
    <t>SALARIES &amp;</t>
  </si>
  <si>
    <t xml:space="preserve">        #  of</t>
  </si>
  <si>
    <t xml:space="preserve"> Total Wages</t>
  </si>
  <si>
    <t>\B</t>
  </si>
  <si>
    <t>Inducement:M63..Inducement:M63</t>
  </si>
  <si>
    <t>RELATED CHARGES</t>
  </si>
  <si>
    <t>Employees</t>
  </si>
  <si>
    <t>inc benefits</t>
  </si>
  <si>
    <t>\C</t>
  </si>
  <si>
    <t>Inducement:M57</t>
  </si>
  <si>
    <t>\F</t>
  </si>
  <si>
    <t>Superintendent</t>
  </si>
  <si>
    <t>\L</t>
  </si>
  <si>
    <t>Inducement:M59</t>
  </si>
  <si>
    <t>Telephone</t>
  </si>
  <si>
    <t>Janitorial</t>
  </si>
  <si>
    <t>\N</t>
  </si>
  <si>
    <t>Inducement:M8..Inducement:M8</t>
  </si>
  <si>
    <t>Dues &amp; Sub.</t>
  </si>
  <si>
    <t>Grounds &amp; Landscaping</t>
  </si>
  <si>
    <t>\O</t>
  </si>
  <si>
    <t>Postage</t>
  </si>
  <si>
    <t>Security</t>
  </si>
  <si>
    <t>\P</t>
  </si>
  <si>
    <t>Inducement:M49</t>
  </si>
  <si>
    <t>Insp. &amp; Other Fees</t>
  </si>
  <si>
    <t>Social Services</t>
  </si>
  <si>
    <t>\S</t>
  </si>
  <si>
    <t>Inducement:M51</t>
  </si>
  <si>
    <t>Advertising</t>
  </si>
  <si>
    <t>Site Office &amp; Admin</t>
  </si>
  <si>
    <t>\W</t>
  </si>
  <si>
    <t>2nd Note Escrow</t>
  </si>
  <si>
    <t>Inducement:M53</t>
  </si>
  <si>
    <t>Legal Services</t>
  </si>
  <si>
    <t>Maintenance</t>
  </si>
  <si>
    <t>\X</t>
  </si>
  <si>
    <t>Inducement:M53..Inducement:M68</t>
  </si>
  <si>
    <t>Auditing (Year End)</t>
  </si>
  <si>
    <t>Other Salaries:</t>
  </si>
  <si>
    <t>\Y</t>
  </si>
  <si>
    <t>Inducement:M66</t>
  </si>
  <si>
    <t>Soc. Serv. Suppl.</t>
  </si>
  <si>
    <t>Empl. Benefits</t>
  </si>
  <si>
    <t>Empl. Payroll Taxes</t>
  </si>
  <si>
    <t>Worker's Comp.</t>
  </si>
  <si>
    <t>Other:</t>
  </si>
  <si>
    <t>Permanent Only Financing</t>
  </si>
  <si>
    <t>First Year's MIP</t>
  </si>
  <si>
    <t>Misc. Adm. Expenses</t>
  </si>
  <si>
    <t xml:space="preserve">                       TOTAL   $  </t>
  </si>
  <si>
    <t xml:space="preserve">       III. </t>
  </si>
  <si>
    <t>MAINTENANCE AND REPAIRS</t>
  </si>
  <si>
    <t xml:space="preserve">       IV.</t>
  </si>
  <si>
    <t>MAINTENANCE CONTRACTS</t>
  </si>
  <si>
    <t>Masonary</t>
  </si>
  <si>
    <t>Carpentry</t>
  </si>
  <si>
    <t>Elevator</t>
  </si>
  <si>
    <t>Plumbing</t>
  </si>
  <si>
    <t>Rubbish Removal</t>
  </si>
  <si>
    <t>Electrical</t>
  </si>
  <si>
    <t>Heating &amp; AC Maint.</t>
  </si>
  <si>
    <t>Kitchen Equipment</t>
  </si>
  <si>
    <t>Grounds, Parking &amp; Landscaping</t>
  </si>
  <si>
    <t>Exterminating</t>
  </si>
  <si>
    <t>Windows &amp; Glass</t>
  </si>
  <si>
    <t>Cyclical Apt. Painting</t>
  </si>
  <si>
    <t>Vehicles &amp; Equip.</t>
  </si>
  <si>
    <t>Snow Removal</t>
  </si>
  <si>
    <t xml:space="preserve">                        TOTAL   $  </t>
  </si>
  <si>
    <t>Paint &amp; Dec. Supl.</t>
  </si>
  <si>
    <t>Small Equip. &amp; Tools</t>
  </si>
  <si>
    <t xml:space="preserve">       V.</t>
  </si>
  <si>
    <t>UTILITY EXPENSE</t>
  </si>
  <si>
    <t>Janit. Sup. &amp; Tools</t>
  </si>
  <si>
    <t>HVAC Supplies</t>
  </si>
  <si>
    <t>Water Charges</t>
  </si>
  <si>
    <t>Misc. Maint. Suppl.</t>
  </si>
  <si>
    <t>Sewer Charges</t>
  </si>
  <si>
    <t>Electricity</t>
  </si>
  <si>
    <t>Gas</t>
  </si>
  <si>
    <t>Fuel</t>
  </si>
  <si>
    <t xml:space="preserve">       VI.</t>
  </si>
  <si>
    <t>REAL ESTATE TAX CALCULATION FOR TAX ABATEMENT</t>
  </si>
  <si>
    <t>Gross Rents</t>
  </si>
  <si>
    <t xml:space="preserve">            $</t>
  </si>
  <si>
    <t xml:space="preserve">Less Vacancy  </t>
  </si>
  <si>
    <t xml:space="preserve">          ( - )</t>
  </si>
  <si>
    <t>Gross Sheltered Rents</t>
  </si>
  <si>
    <t>x Rate</t>
  </si>
  <si>
    <t xml:space="preserve">            x</t>
  </si>
  <si>
    <t>%</t>
  </si>
  <si>
    <t>Real Estate Taxes</t>
  </si>
  <si>
    <t>SCHEDULE  10-D  :  ANTICIPATED  GROSS  RENTS</t>
  </si>
  <si>
    <t>Mortgage Amount</t>
  </si>
  <si>
    <t>HMFA #</t>
  </si>
  <si>
    <t>Mortgage Interest Rate</t>
  </si>
  <si>
    <t xml:space="preserve">      Term (years)</t>
  </si>
  <si>
    <t>Amortization (Y,S,M)</t>
  </si>
  <si>
    <t>FMR Area</t>
  </si>
  <si>
    <t>Target **</t>
  </si>
  <si>
    <t>Occupancy</t>
  </si>
  <si>
    <t>TOTALS</t>
  </si>
  <si>
    <t xml:space="preserve">    Anticipated Annual Gross Rents    </t>
  </si>
  <si>
    <t xml:space="preserve">          *</t>
  </si>
  <si>
    <t>Subtotal</t>
  </si>
  <si>
    <t>Indicate on a separate line which apartment is for the Superintendent.</t>
  </si>
  <si>
    <t>If it's rent-free, put $0 in the Rent column.</t>
  </si>
  <si>
    <t xml:space="preserve">         **</t>
  </si>
  <si>
    <t>Indicate "Low", "Mod" or "Mkt" AND the percentage of median income.</t>
  </si>
  <si>
    <t>Low Income - 50% or less of median income</t>
  </si>
  <si>
    <t>Moderate Income - 50% to 80% of median income</t>
  </si>
  <si>
    <t>Market Income - 80%+ of median income</t>
  </si>
  <si>
    <t xml:space="preserve">        ***</t>
  </si>
  <si>
    <t>Where tenants pay their own utilities, a "utility allowance" must be subtracted</t>
  </si>
  <si>
    <t>from the maximum chargeable rent when determining their rental charge.</t>
  </si>
  <si>
    <t>Cash Sources</t>
  </si>
  <si>
    <t>Non-Cash</t>
  </si>
  <si>
    <t>Sources</t>
  </si>
  <si>
    <t>TOTAL ALL (Cash &amp; Non-Cash )FUNDING SOURCES:</t>
  </si>
  <si>
    <r>
      <t xml:space="preserve">Developer's Fee </t>
    </r>
    <r>
      <rPr>
        <b/>
        <i/>
        <sz val="9"/>
        <color indexed="10"/>
        <rFont val="Arial"/>
        <family val="2"/>
      </rPr>
      <t>(amt. Pd. @ closing)</t>
    </r>
  </si>
  <si>
    <t>Title Insurance &amp; Recording Fees</t>
  </si>
  <si>
    <t>Borrower's Attorney Fees</t>
  </si>
  <si>
    <t>Points</t>
  </si>
  <si>
    <t>Tax Credit Fees</t>
  </si>
  <si>
    <t>Escrow to cover R &amp; R</t>
  </si>
  <si>
    <t>EQUIPMENT AND SERVICES</t>
  </si>
  <si>
    <t>Less Neg. Cash Flow</t>
  </si>
  <si>
    <t>Gas, Electric</t>
  </si>
  <si>
    <t>Paid by</t>
  </si>
  <si>
    <t xml:space="preserve">          (a)</t>
  </si>
  <si>
    <t>Equipment:</t>
  </si>
  <si>
    <t xml:space="preserve">          (b)</t>
  </si>
  <si>
    <t>Tenant</t>
  </si>
  <si>
    <t xml:space="preserve">    e) Utility Connection Fees</t>
  </si>
  <si>
    <t xml:space="preserve">    f) Other Lender's Points</t>
  </si>
  <si>
    <t xml:space="preserve">    g) Other Lender Construction Financing Fee</t>
  </si>
  <si>
    <t xml:space="preserve">    h) Tax Credit Fees</t>
  </si>
  <si>
    <r>
      <t xml:space="preserve">    i) Negative Arbitrage (</t>
    </r>
    <r>
      <rPr>
        <b/>
        <sz val="12"/>
        <rFont val="Times New Roman"/>
        <family val="1"/>
      </rPr>
      <t>if Bonds are sold during Construction)</t>
    </r>
  </si>
  <si>
    <r>
      <t xml:space="preserve">    j) Cost of Issuance </t>
    </r>
    <r>
      <rPr>
        <b/>
        <sz val="12"/>
        <rFont val="Times New Roman"/>
        <family val="1"/>
      </rPr>
      <t>(If Bonds are sold during Construction)</t>
    </r>
  </si>
  <si>
    <t xml:space="preserve">           f) HMFA Operating Deficit Reserve</t>
  </si>
  <si>
    <t xml:space="preserve">    Y, or N, or G</t>
  </si>
  <si>
    <t xml:space="preserve">Enter the total </t>
  </si>
  <si>
    <t>Loan Amount Here</t>
  </si>
  <si>
    <t>HMFA 1st Mortgage, NOTE I</t>
  </si>
  <si>
    <t>Y</t>
  </si>
  <si>
    <t>TAX CREDIT RENT QUALIFICATION CHART</t>
  </si>
  <si>
    <r>
      <t xml:space="preserve">The purpose of this chart is to show that the </t>
    </r>
    <r>
      <rPr>
        <b/>
        <sz val="10"/>
        <color indexed="8"/>
        <rFont val="Times New Roman"/>
        <family val="1"/>
      </rPr>
      <t>rent charged for each tax credit eligible unit</t>
    </r>
    <r>
      <rPr>
        <sz val="10"/>
        <color indexed="8"/>
        <rFont val="Times New Roman"/>
        <family val="1"/>
      </rPr>
      <t xml:space="preserve"> is at or below the set-aside selected. See N.J.A.C. 5:80-33.12(c)(7)(i).</t>
    </r>
  </si>
  <si>
    <t>a</t>
  </si>
  <si>
    <t>b</t>
  </si>
  <si>
    <t>c</t>
  </si>
  <si>
    <t>d</t>
  </si>
  <si>
    <t>e</t>
  </si>
  <si>
    <t>f</t>
  </si>
  <si>
    <t>g</t>
  </si>
  <si>
    <t>h</t>
  </si>
  <si>
    <t>i</t>
  </si>
  <si>
    <t>j</t>
  </si>
  <si>
    <t>k</t>
  </si>
  <si>
    <t>= e + f</t>
  </si>
  <si>
    <t>= g x 12</t>
  </si>
  <si>
    <t>= i x 30%</t>
  </si>
  <si>
    <t>= h / j</t>
  </si>
  <si>
    <t>Studio, Eff, SRO or</t>
  </si>
  <si>
    <t>Unit</t>
  </si>
  <si>
    <t>County Income Limit (100%)</t>
  </si>
  <si>
    <t>30% of</t>
  </si>
  <si>
    <t>Affordability</t>
  </si>
  <si>
    <t>Square Footage</t>
  </si>
  <si>
    <t># of Bathrooms</t>
  </si>
  <si>
    <t>Utility Allowances</t>
  </si>
  <si>
    <t>Gross Rent</t>
  </si>
  <si>
    <t>Annual Gross Rent</t>
  </si>
  <si>
    <t>Adjusted for Family Size</t>
  </si>
  <si>
    <t>County Median Income</t>
  </si>
  <si>
    <t>Percentage</t>
  </si>
  <si>
    <t>Provide information for Superintendent's Unit(s) below:</t>
  </si>
  <si>
    <t>Column A:</t>
  </si>
  <si>
    <t xml:space="preserve">                on          $</t>
  </si>
  <si>
    <t>Show the number of units for each bedroom size.  If you need more lines, you may duplicate this chart.  Show all units in the project on this chart, including market rate units.</t>
  </si>
  <si>
    <t>Column B:</t>
  </si>
  <si>
    <t>1BR, 2BR, 3BR, etc.</t>
  </si>
  <si>
    <t>Column C:</t>
  </si>
  <si>
    <t>Unit Square Footage</t>
  </si>
  <si>
    <t>Column D:</t>
  </si>
  <si>
    <t>1 Bath, 1.5 Baths, 2 Baths, etc.</t>
  </si>
  <si>
    <t>Column E:</t>
  </si>
  <si>
    <t>Show the amount of rent charged for each unit.  This is the actual rent a non-subsidized tenant will pay.  If the unit will be a Section 8 Project Based Assistance unit, you may show Fair Market Rent (FMR).</t>
  </si>
  <si>
    <t>Only Project Based Section 8 may show FMRs.  Even if you anticipate renting to Section 8 Certificate holders, you must still reflect rents at or below 50% or 60% (depending on elected set-aside).</t>
  </si>
  <si>
    <t>Column F:</t>
  </si>
  <si>
    <t>Calculate the utility allowance for each tax credit unit using the chart provided.  Refer to IRS Final Regulation TD 8520 for requirements relating to the calculation of utility allowances.</t>
  </si>
  <si>
    <t>Column G:</t>
  </si>
  <si>
    <t>Add the utility allowance to the monthly rent to find the Gross Rent.</t>
  </si>
  <si>
    <t>Column H:</t>
  </si>
  <si>
    <t>Multiply the Gross Rent by 12 to get the Annualized Gross Rent.</t>
  </si>
  <si>
    <t>Column I:</t>
  </si>
  <si>
    <t>Home Funds</t>
  </si>
  <si>
    <t xml:space="preserve">Second Note </t>
  </si>
  <si>
    <t>TOTAL SOURCES OF FUNDS FOR PERM CLOSING:</t>
  </si>
  <si>
    <t>Bal of 2nd Install</t>
  </si>
  <si>
    <t>3rd Install</t>
  </si>
  <si>
    <t>4th &amp; 5th Install</t>
  </si>
  <si>
    <t>due 12/15/06</t>
  </si>
  <si>
    <t>Interest Escrow</t>
  </si>
  <si>
    <t>USES OF FUNDS FOR PERM.</t>
  </si>
  <si>
    <t xml:space="preserve"> g.)</t>
  </si>
  <si>
    <t xml:space="preserve"> h.)</t>
  </si>
  <si>
    <t xml:space="preserve"> h) HMFA 2nd Note Interest Escrow</t>
  </si>
  <si>
    <t xml:space="preserve"> i.)</t>
  </si>
  <si>
    <t>Second Note Repayment</t>
  </si>
  <si>
    <t>Second Note Interest</t>
  </si>
  <si>
    <t xml:space="preserve">                            (Type Name of Signatory)</t>
  </si>
  <si>
    <t xml:space="preserve">                                               (Signature of Authorized Signatory)</t>
  </si>
  <si>
    <t>G. COST OF ISSURANCE</t>
  </si>
  <si>
    <t xml:space="preserve"> e) R &amp; R Reserves</t>
  </si>
  <si>
    <t xml:space="preserve"> g) OTHER:</t>
  </si>
  <si>
    <t>List the county median income limit for the appropriate size household.  Assume 1.5 persons per bedroom.  Refer to the chart titled "New Jersey Income Limits by County Adjusted by Family Size".</t>
  </si>
  <si>
    <t>Column J:</t>
  </si>
  <si>
    <t>Multiply the County Median  Income Limit by 30%.</t>
  </si>
  <si>
    <t>Column K:</t>
  </si>
  <si>
    <t xml:space="preserve">Divide the number in Column H by the number in Column J.  The Code does not allow for the rounding down of affordability percentages. </t>
  </si>
  <si>
    <t>In allocating the units in a project which shall be occupied by individuals of low and moderate income, the distribution must reflect low and moderate income units among the different sized units to reflect the same percentage</t>
  </si>
  <si>
    <t>distribution as the number of different sized units bears to the total number of units.  A greater percentage of the low and moderate income units may, however, be allocated to the larger units.  Additionally, low and moderate</t>
  </si>
  <si>
    <t>income units shall be distributed throughout the project such that the tenants of such units will have equal acess to and enjoyment of all common facilities of the project.  N.J.A.C. 5:80-8.3.</t>
  </si>
  <si>
    <t>Ranges</t>
  </si>
  <si>
    <t>Heat</t>
  </si>
  <si>
    <t>Refrigerator</t>
  </si>
  <si>
    <t>Hot Water</t>
  </si>
  <si>
    <t>Air Conditioning</t>
  </si>
  <si>
    <t>Cooking</t>
  </si>
  <si>
    <t>Laundry Facilities</t>
  </si>
  <si>
    <t>Disposal</t>
  </si>
  <si>
    <t>Household Electric</t>
  </si>
  <si>
    <t>Dishwasher</t>
  </si>
  <si>
    <t>Water</t>
  </si>
  <si>
    <t>Carpet</t>
  </si>
  <si>
    <t>Sewer</t>
  </si>
  <si>
    <t>Mtg. Extension</t>
  </si>
  <si>
    <t>Drapes</t>
  </si>
  <si>
    <t>Swimming Pool</t>
  </si>
  <si>
    <t>Tennis Court</t>
  </si>
  <si>
    <t>COMMERCIAL SPACE</t>
  </si>
  <si>
    <t>Date Action Taken</t>
  </si>
  <si>
    <t>(Include all utility costs associated with the commercial space in your description)</t>
  </si>
  <si>
    <t>SCHEDULE   10-E  :  SUMMARY OF ANTICIPATED ANNUAL INCOME AND EXPENSES</t>
  </si>
  <si>
    <t>RENTAL INCOME</t>
  </si>
  <si>
    <t>Apartment Rents</t>
  </si>
  <si>
    <t xml:space="preserve">           $</t>
  </si>
  <si>
    <t>% )         -</t>
  </si>
  <si>
    <t>NET APT. RENTS</t>
  </si>
  <si>
    <t>Commercial Income</t>
  </si>
  <si>
    <r>
      <t xml:space="preserve">Deferred Developer Fee </t>
    </r>
    <r>
      <rPr>
        <b/>
        <i/>
        <sz val="10"/>
        <color indexed="10"/>
        <rFont val="Times New Roman"/>
        <family val="1"/>
      </rPr>
      <t>(To be Pd thru Cash Flow)</t>
    </r>
  </si>
  <si>
    <t>Garage &amp; Parking</t>
  </si>
  <si>
    <t xml:space="preserve">           h) Other:</t>
  </si>
  <si>
    <t>Home Express:</t>
  </si>
  <si>
    <t>Special Needs:</t>
  </si>
  <si>
    <t>Final Closing</t>
  </si>
  <si>
    <t xml:space="preserve">Indicate Type By Date </t>
  </si>
  <si>
    <t>If a Closing Other Than Final -</t>
  </si>
  <si>
    <t>6. L.</t>
  </si>
  <si>
    <t xml:space="preserve">Per Diem Interest: </t>
  </si>
  <si>
    <t>Commercial Vacancy</t>
  </si>
  <si>
    <t>NET COMMERCIAL RENTALS</t>
  </si>
  <si>
    <t>TOTAL RENTAL INCOME</t>
  </si>
  <si>
    <t>OTHER INCOME</t>
  </si>
  <si>
    <t>Laundry Machines</t>
  </si>
  <si>
    <t>TOTAL OTHER INCOME</t>
  </si>
  <si>
    <t>TOTAL REVENUE</t>
  </si>
  <si>
    <t>EXPENSES</t>
  </si>
  <si>
    <t>Insurance</t>
  </si>
  <si>
    <t>Reserve for Repair and Replacement</t>
  </si>
  <si>
    <t>TOTAL EXPENSES</t>
  </si>
  <si>
    <t>NET OPERATING INCOME</t>
  </si>
  <si>
    <t>DEBT SERVICE</t>
  </si>
  <si>
    <t xml:space="preserve">                 $</t>
  </si>
  <si>
    <t xml:space="preserve">funda </t>
  </si>
  <si>
    <t>fundb</t>
  </si>
  <si>
    <t>fundc</t>
  </si>
  <si>
    <t>AGENCY DEBT SERVICE</t>
  </si>
  <si>
    <t>fundd</t>
  </si>
  <si>
    <t>funde</t>
  </si>
  <si>
    <t>fundf</t>
  </si>
  <si>
    <t>total Y</t>
  </si>
  <si>
    <t>TOTAL DEBT SERVICE</t>
  </si>
  <si>
    <t>NET INCOME</t>
  </si>
  <si>
    <t>%  on   $</t>
  </si>
  <si>
    <t>)            -    $</t>
  </si>
  <si>
    <t>Project Profit/(Loss)</t>
  </si>
  <si>
    <t xml:space="preserve">        DEBT SERVICE RATIO CALCULATION :</t>
  </si>
  <si>
    <t xml:space="preserve">    NET OPERATING INCOME</t>
  </si>
  <si>
    <t xml:space="preserve">    DSR  =</t>
  </si>
  <si>
    <t xml:space="preserve">    AGENCY DEBT SERVICE</t>
  </si>
  <si>
    <t xml:space="preserve">           =</t>
  </si>
  <si>
    <t>return on equity fund amt</t>
  </si>
  <si>
    <t>New  Agency</t>
  </si>
  <si>
    <t>New  Mortgage</t>
  </si>
  <si>
    <t>Debt Serv</t>
  </si>
  <si>
    <t>Enter</t>
  </si>
  <si>
    <t>{Optimizer.Model_Cell Inducement:M395..M395}</t>
  </si>
  <si>
    <t>Here</t>
  </si>
  <si>
    <t>è</t>
  </si>
  <si>
    <t>{Optimizer.Load_Model}{Optimizer.Solve}</t>
  </si>
  <si>
    <t xml:space="preserve">                   QUALIFIED</t>
  </si>
  <si>
    <t>BASIS</t>
  </si>
  <si>
    <t>X</t>
  </si>
  <si>
    <t>;ERR1</t>
  </si>
  <si>
    <t>Printing Page A ... Please Wait</t>
  </si>
  <si>
    <t>Printing Page B ... Please Wait</t>
  </si>
  <si>
    <t>Printing Page C ... Please Wait</t>
  </si>
  <si>
    <t>Printing Page D ... Please Wait</t>
  </si>
  <si>
    <t>Printing Page E ... Please Wait</t>
  </si>
  <si>
    <t>Printing Page F ... Please Wait</t>
  </si>
  <si>
    <t>Printing Page G ... Please Wait</t>
  </si>
  <si>
    <t xml:space="preserve">Your Job Has Completed </t>
  </si>
  <si>
    <t xml:space="preserve">INVALID RESPONSE </t>
  </si>
  <si>
    <t>ENTER Y , S OR M</t>
  </si>
  <si>
    <t>DATE</t>
  </si>
  <si>
    <t>INIT</t>
  </si>
  <si>
    <t>MODIFCATIONS</t>
  </si>
  <si>
    <t>LES</t>
  </si>
  <si>
    <t>UNPROTECTED STAGES &amp; PROJECT TYPE</t>
  </si>
  <si>
    <t>CHANGED COST OF LAND &amp; IMPROV PER DU &amp; SQFT TO INCLUDE BUILDING</t>
  </si>
  <si>
    <t>ACQUISTION (1B)</t>
  </si>
  <si>
    <t>7/9/93</t>
  </si>
  <si>
    <t>les</t>
  </si>
  <si>
    <t>Imported 10-G standalone changes into Form10.  Changed  Develop Fee % calc. (reversed divsion)</t>
  </si>
  <si>
    <t xml:space="preserve">Added Sponsor Equity - line 13a,b,c  </t>
  </si>
  <si>
    <t>Changed carryover of sources based on Y,N,G source flages on pages E &amp; F</t>
  </si>
  <si>
    <t xml:space="preserve">changed application speedbar command </t>
  </si>
  <si>
    <t xml:space="preserve">unprotected fields on top of 10-G </t>
  </si>
  <si>
    <t xml:space="preserve">N 2 (b) </t>
  </si>
  <si>
    <t xml:space="preserve">N 2 (a) </t>
  </si>
  <si>
    <t xml:space="preserve">N 2 (c ) </t>
  </si>
  <si>
    <t>N 1</t>
  </si>
  <si>
    <t xml:space="preserve">N 2 (f) </t>
  </si>
  <si>
    <t xml:space="preserve">N 2 (d) </t>
  </si>
  <si>
    <t>N 2 (e)</t>
  </si>
  <si>
    <t>* Changed 10-G Development Fee Reference (looking in column H rather than J)</t>
  </si>
  <si>
    <t xml:space="preserve">Change Print Scaling to 81% - Widen Columns H &amp; E </t>
  </si>
  <si>
    <t>Per DD - On Page 10D modified No of Bed &amp; No of Units columns to be inputted</t>
  </si>
  <si>
    <t>LOAN CLOSING STATEMENT</t>
  </si>
  <si>
    <t>HMFA # :</t>
  </si>
  <si>
    <t>Name of Borrower:</t>
  </si>
  <si>
    <t>Closing Date:</t>
  </si>
  <si>
    <t>Address:</t>
  </si>
  <si>
    <t>Prepared By:</t>
  </si>
  <si>
    <t xml:space="preserve">    Fire Suppression System</t>
  </si>
  <si>
    <t xml:space="preserve">            Total Number of Units</t>
  </si>
  <si>
    <t xml:space="preserve">           Rehabilitation expenses per unit</t>
  </si>
  <si>
    <r>
      <t xml:space="preserve">A.  </t>
    </r>
    <r>
      <rPr>
        <b/>
        <u val="single"/>
        <sz val="12"/>
        <rFont val="Arial"/>
        <family val="2"/>
      </rPr>
      <t>Funding Sources</t>
    </r>
    <r>
      <rPr>
        <b/>
        <sz val="12"/>
        <rFont val="Arial"/>
        <family val="2"/>
      </rPr>
      <t>:</t>
    </r>
  </si>
  <si>
    <t>TOTAL LOAN AMOUNT:</t>
  </si>
  <si>
    <t>PLUS:</t>
  </si>
  <si>
    <t>Subtotal of Funding Sources:</t>
  </si>
  <si>
    <r>
      <t>PLUS:</t>
    </r>
    <r>
      <rPr>
        <sz val="12"/>
        <rFont val="Arial"/>
        <family val="0"/>
      </rPr>
      <t xml:space="preserve"> </t>
    </r>
  </si>
  <si>
    <r>
      <t xml:space="preserve">B.  </t>
    </r>
    <r>
      <rPr>
        <b/>
        <u val="single"/>
        <sz val="12"/>
        <rFont val="Arial"/>
        <family val="2"/>
      </rPr>
      <t>Disbursements:</t>
    </r>
  </si>
  <si>
    <t>Form 10 Line</t>
  </si>
  <si>
    <t>Payee:</t>
  </si>
  <si>
    <t>Purpose of Payment:</t>
  </si>
  <si>
    <t>Check #</t>
  </si>
  <si>
    <t>Disbursements/Reimbursements:</t>
  </si>
  <si>
    <r>
      <t xml:space="preserve">C. </t>
    </r>
    <r>
      <rPr>
        <b/>
        <u val="single"/>
        <sz val="12"/>
        <rFont val="Arial"/>
        <family val="2"/>
      </rPr>
      <t>Fees Paid Out of Sources:</t>
    </r>
  </si>
  <si>
    <t>_______________</t>
  </si>
  <si>
    <t>Total Fees Paid Out of Sources:</t>
  </si>
  <si>
    <r>
      <t xml:space="preserve">D. </t>
    </r>
    <r>
      <rPr>
        <b/>
        <u val="single"/>
        <sz val="12"/>
        <rFont val="Arial"/>
        <family val="2"/>
      </rPr>
      <t>Reserves/Escrows Deposited w/NJHMFA</t>
    </r>
  </si>
  <si>
    <t>Purpose</t>
  </si>
  <si>
    <t>Description</t>
  </si>
  <si>
    <t xml:space="preserve">Taxes </t>
  </si>
  <si>
    <t>Escrow for HMFA Debt Service &amp; Servicing</t>
  </si>
  <si>
    <t xml:space="preserve">  Borrowing Entity:</t>
  </si>
  <si>
    <t xml:space="preserve">HMFA Operating Deficit Reserve </t>
  </si>
  <si>
    <t>Escrow to cover DSR short fall in later years</t>
  </si>
  <si>
    <t>Mortgage Insurance Premium</t>
  </si>
  <si>
    <t>Repair &amp; Replacement</t>
  </si>
  <si>
    <t>Total of Reserves/Escrows:</t>
  </si>
  <si>
    <t>TOTAL DISBURSEMENTS, REIMBURSEMENTS, RESERVES &amp; ESCROWS:</t>
  </si>
  <si>
    <r>
      <t xml:space="preserve">C.  </t>
    </r>
    <r>
      <rPr>
        <b/>
        <u val="single"/>
        <sz val="12"/>
        <rFont val="Arial"/>
        <family val="2"/>
      </rPr>
      <t>Net Settlement</t>
    </r>
    <r>
      <rPr>
        <b/>
        <sz val="12"/>
        <rFont val="Arial"/>
        <family val="2"/>
      </rPr>
      <t>:</t>
    </r>
  </si>
  <si>
    <t xml:space="preserve">TOTAL CASH SOURCES: </t>
  </si>
  <si>
    <t>Less TOTAL DISBURSEMENTS, REIMBURSEMENTS, RESERVES &amp; ESCROWS:</t>
  </si>
  <si>
    <t>Agreed and Accepted by:</t>
  </si>
  <si>
    <t>(Type Borrower's Name Here)</t>
  </si>
  <si>
    <t>New Jersey Housing and Mortgage Finance Agency</t>
  </si>
  <si>
    <t>By:</t>
  </si>
  <si>
    <t>__________________________</t>
  </si>
  <si>
    <t>____________________________________</t>
  </si>
  <si>
    <t>(Type Name &amp; Title Here)</t>
  </si>
  <si>
    <t>and</t>
  </si>
  <si>
    <t>Debt Service&amp;Servicing Fee (1mo.)</t>
  </si>
  <si>
    <t>rather than carried over from Page A. Need to split out unit income types</t>
  </si>
  <si>
    <t xml:space="preserve">Page 10E - changed net commercial rentals = commerical inc + garage  (-) comm vacancys </t>
  </si>
  <si>
    <t xml:space="preserve"> was adding the three fields before.</t>
  </si>
  <si>
    <t>Project Name</t>
  </si>
  <si>
    <t>Page 10C - Changed Computer Charges to be Dwelling Units * 44.4 (was 40.4)</t>
  </si>
  <si>
    <r>
      <t xml:space="preserve">DEBT SERVICE </t>
    </r>
    <r>
      <rPr>
        <b/>
        <sz val="12"/>
        <rFont val="Times New Roman"/>
        <family val="1"/>
      </rPr>
      <t>NOT</t>
    </r>
    <r>
      <rPr>
        <sz val="12"/>
        <rFont val="Times New Roman"/>
        <family val="1"/>
      </rPr>
      <t xml:space="preserve"> TO BE </t>
    </r>
  </si>
  <si>
    <t>03/28/95</t>
  </si>
  <si>
    <t>removed startup macro \0 which would put up the Form10 application Bar from I:</t>
  </si>
  <si>
    <t>since this is being used on r2d2 &amp; njhmfa</t>
  </si>
  <si>
    <t>Permanent Loan Only</t>
  </si>
  <si>
    <t xml:space="preserve">No. of </t>
  </si>
  <si>
    <t xml:space="preserve">                     TOTAL   $  </t>
  </si>
  <si>
    <t xml:space="preserve">   Amount</t>
  </si>
  <si>
    <t xml:space="preserve">(Select either Family or Senior Citizens (NOT BOTH)) </t>
  </si>
  <si>
    <t>SCHEDULE 10-C: OPERATING EXPENSES</t>
  </si>
  <si>
    <t>per unit</t>
  </si>
  <si>
    <t>Project Street Address</t>
  </si>
  <si>
    <t>Allowance for</t>
  </si>
  <si>
    <t>Tenant Paid</t>
  </si>
  <si>
    <t>Utilities***</t>
  </si>
  <si>
    <t>Re-Commitment</t>
  </si>
  <si>
    <t>Bond Sale</t>
  </si>
  <si>
    <t>Inducement</t>
  </si>
  <si>
    <t>Tax Exempt</t>
  </si>
  <si>
    <t>Taxable</t>
  </si>
  <si>
    <t xml:space="preserve">            g)</t>
  </si>
  <si>
    <t xml:space="preserve">            h)</t>
  </si>
  <si>
    <t xml:space="preserve">Vacancy Loss          </t>
  </si>
  <si>
    <t>(</t>
  </si>
  <si>
    <t xml:space="preserve">Management Fee       </t>
  </si>
  <si>
    <t xml:space="preserve">                    1. Principal and Interest</t>
  </si>
  <si>
    <t xml:space="preserve">                    2. Mortg &amp; Bond Serv Fee</t>
  </si>
  <si>
    <t xml:space="preserve">Less Utilities (if applicable)       </t>
  </si>
  <si>
    <t xml:space="preserve">No. of      </t>
  </si>
  <si>
    <t xml:space="preserve">Bedrooms      </t>
  </si>
  <si>
    <t xml:space="preserve">Units     </t>
  </si>
  <si>
    <t>Monthly</t>
  </si>
  <si>
    <t>Annual</t>
  </si>
  <si>
    <t xml:space="preserve">                    3. MIP</t>
  </si>
  <si>
    <t>Type of Development</t>
  </si>
  <si>
    <t xml:space="preserve">Type of Loan </t>
  </si>
  <si>
    <t xml:space="preserve">Type of Financing </t>
  </si>
  <si>
    <t xml:space="preserve">Stationery &amp; Suppl.      </t>
  </si>
  <si>
    <t>Services:</t>
  </si>
  <si>
    <t xml:space="preserve">or Oil </t>
  </si>
  <si>
    <t>Date:</t>
  </si>
  <si>
    <t>please review the following sources and uses information.</t>
  </si>
  <si>
    <t>DEVELOPMENT COSTS</t>
  </si>
  <si>
    <t>Total Project Costs:</t>
  </si>
  <si>
    <t>Total No. of Units:</t>
  </si>
  <si>
    <t>Project's Total Sq. Ft.:</t>
  </si>
  <si>
    <t>Acquisition Costs</t>
  </si>
  <si>
    <t>Construction Costs</t>
  </si>
  <si>
    <t>Professional Fees</t>
  </si>
  <si>
    <t>Developer Fee</t>
  </si>
  <si>
    <t>Financial Information:</t>
  </si>
  <si>
    <t>Acquisition</t>
  </si>
  <si>
    <t>/DU</t>
  </si>
  <si>
    <t>/SF</t>
  </si>
  <si>
    <t>Developer's Fee</t>
  </si>
  <si>
    <t>TOTAL DEVELOPMENT COST</t>
  </si>
  <si>
    <t>LESS PROPOSED SOURCES</t>
  </si>
  <si>
    <t>&lt;List the sources that apply to your project and place $ amount in Column D&gt;</t>
  </si>
  <si>
    <t>LIHTC Equity</t>
  </si>
  <si>
    <t>&lt;Add the following if there is a second note&gt;</t>
  </si>
  <si>
    <t>REPAYMENT OF HMFA SECOND NOTE PLUS INTEREST</t>
  </si>
  <si>
    <t>Bookkeeping/Accounting</t>
  </si>
  <si>
    <t>List Source</t>
  </si>
  <si>
    <t>Super's Apt.*</t>
  </si>
  <si>
    <t xml:space="preserve">Administrative     </t>
  </si>
  <si>
    <t>(Schedule I)</t>
  </si>
  <si>
    <t xml:space="preserve">Salaries               </t>
  </si>
  <si>
    <t xml:space="preserve">Maint. &amp; Repairs </t>
  </si>
  <si>
    <t>(Schedule III)</t>
  </si>
  <si>
    <t xml:space="preserve">Utilities                </t>
  </si>
  <si>
    <t>(Schedule V)</t>
  </si>
  <si>
    <t xml:space="preserve">Maint. Contracts  </t>
  </si>
  <si>
    <t>(Schedule IV)</t>
  </si>
  <si>
    <t>(Schedule II)</t>
  </si>
  <si>
    <r>
      <t xml:space="preserve">Yrs.   </t>
    </r>
    <r>
      <rPr>
        <b/>
        <sz val="12"/>
        <rFont val="Times New Roman"/>
        <family val="1"/>
      </rPr>
      <t>The Interest rate has been</t>
    </r>
    <r>
      <rPr>
        <sz val="12"/>
        <rFont val="Times New Roman"/>
        <family val="1"/>
      </rPr>
      <t xml:space="preserve"> </t>
    </r>
  </si>
  <si>
    <t>reduced by:</t>
  </si>
  <si>
    <t xml:space="preserve">       as the Cost-of-Issuance is being</t>
  </si>
  <si>
    <t xml:space="preserve">        paid out-of-pocket by the sponsor.</t>
  </si>
  <si>
    <t>basis points</t>
  </si>
  <si>
    <t xml:space="preserve">Real Estate Taxes </t>
  </si>
  <si>
    <t>(Schedule VI)</t>
  </si>
  <si>
    <t xml:space="preserve">               Less Return on Equity                      ( </t>
  </si>
  <si>
    <t>Principal    $</t>
  </si>
  <si>
    <t>) mos.                      $</t>
  </si>
  <si>
    <t>Total          $</t>
  </si>
  <si>
    <t xml:space="preserve">                             $</t>
  </si>
  <si>
    <t xml:space="preserve">              (</t>
  </si>
  <si>
    <t>Interest @</t>
  </si>
  <si>
    <t>%    for             (</t>
  </si>
  <si>
    <t>Reviewed By:</t>
  </si>
  <si>
    <t>Construction &amp; Permanent Loan</t>
  </si>
  <si>
    <t>%                                     $</t>
  </si>
  <si>
    <t xml:space="preserve">    c) Relocation</t>
  </si>
  <si>
    <t xml:space="preserve">    d) Other:</t>
  </si>
  <si>
    <t xml:space="preserve">    f) Surety &amp; Bonding</t>
  </si>
  <si>
    <t xml:space="preserve">    g) Building Permits</t>
  </si>
  <si>
    <r>
      <t xml:space="preserve">   </t>
    </r>
    <r>
      <rPr>
        <sz val="12"/>
        <rFont val="Times New Roman"/>
        <family val="1"/>
      </rPr>
      <t>a)  Hard Costs</t>
    </r>
  </si>
  <si>
    <t xml:space="preserve">     b)  Soft Costs</t>
  </si>
  <si>
    <t xml:space="preserve">    a) Appraisal &amp; Market Study</t>
  </si>
  <si>
    <t xml:space="preserve">    b) Architect</t>
  </si>
  <si>
    <t xml:space="preserve">    d) Attorney</t>
  </si>
  <si>
    <t>Year 31</t>
  </si>
  <si>
    <t>Year 32</t>
  </si>
  <si>
    <t>Year 33</t>
  </si>
  <si>
    <t>Year 34</t>
  </si>
  <si>
    <t>Year 35</t>
  </si>
  <si>
    <t>Year 36</t>
  </si>
  <si>
    <t>Year 37</t>
  </si>
  <si>
    <t>Year 38</t>
  </si>
  <si>
    <t>Year 39</t>
  </si>
  <si>
    <t>Year 40</t>
  </si>
  <si>
    <t xml:space="preserve">    f) Environmental Consultant</t>
  </si>
  <si>
    <t xml:space="preserve">    g) Historical Consultant</t>
  </si>
  <si>
    <t xml:space="preserve">    h) Garage Parking</t>
  </si>
  <si>
    <t>Working Capital*</t>
  </si>
  <si>
    <t>* Wk. Cap. Includes Rent-up Fees &amp; Advertising/Promotion</t>
  </si>
  <si>
    <t xml:space="preserve">    j) Professional Planner</t>
  </si>
  <si>
    <r>
      <t xml:space="preserve">This color represents a </t>
    </r>
    <r>
      <rPr>
        <b/>
        <sz val="12"/>
        <rFont val="Arial"/>
        <family val="2"/>
      </rPr>
      <t>"Bad Cost"</t>
    </r>
    <r>
      <rPr>
        <sz val="12"/>
        <rFont val="Arial"/>
        <family val="2"/>
      </rPr>
      <t xml:space="preserve"> when financing with </t>
    </r>
    <r>
      <rPr>
        <b/>
        <i/>
        <sz val="12"/>
        <rFont val="Arial"/>
        <family val="2"/>
      </rPr>
      <t xml:space="preserve">Tax Exempt Bonds </t>
    </r>
    <r>
      <rPr>
        <sz val="12"/>
        <rFont val="Arial"/>
        <family val="2"/>
      </rPr>
      <t>- only 5% of Agency Funds May be Used Toward "Bad Costs"</t>
    </r>
  </si>
  <si>
    <t xml:space="preserve">    a) Land</t>
  </si>
  <si>
    <t>Cost</t>
  </si>
  <si>
    <t>Costs</t>
  </si>
  <si>
    <t>DEVELOPMENT:</t>
  </si>
  <si>
    <t>Annual % of Rent Increase:</t>
  </si>
  <si>
    <t>Permanent Mortgage (1st Note)</t>
  </si>
  <si>
    <t>HMFA #:</t>
  </si>
  <si>
    <t>Annual Expense Increase:</t>
  </si>
  <si>
    <t>Interest Rate:</t>
  </si>
  <si>
    <t>LOAN OFFICER:</t>
  </si>
  <si>
    <t>Vacancy:</t>
  </si>
  <si>
    <t>Term:</t>
  </si>
  <si>
    <t>DATE:</t>
  </si>
  <si>
    <t>Commercial Rent Increase:</t>
  </si>
  <si>
    <t>Annual Payment:</t>
  </si>
  <si>
    <t xml:space="preserve">Number of </t>
  </si>
  <si>
    <t xml:space="preserve">Unit </t>
  </si>
  <si>
    <t xml:space="preserve">Target </t>
  </si>
  <si>
    <t>Commercial Vacancy:</t>
  </si>
  <si>
    <t>Servicing Fee:</t>
  </si>
  <si>
    <t>Bedrooms</t>
  </si>
  <si>
    <t>Units</t>
  </si>
  <si>
    <t>Sq.Ft.</t>
  </si>
  <si>
    <t>Rent</t>
  </si>
  <si>
    <t>MIP:</t>
  </si>
  <si>
    <t>Utilities</t>
  </si>
  <si>
    <t>PILOT Calculation</t>
  </si>
  <si>
    <t>Year 1</t>
  </si>
  <si>
    <t>Rental Income</t>
  </si>
  <si>
    <t>Gross Rental Income</t>
  </si>
  <si>
    <t>Less: Vacancy</t>
  </si>
  <si>
    <t>Net Rental Income</t>
  </si>
  <si>
    <t>Less: Owner-pd Utilities</t>
  </si>
  <si>
    <t>Basis for PILOT Calc.</t>
  </si>
  <si>
    <t>PILOT Rate</t>
  </si>
  <si>
    <t>PILOT Payment Estimate</t>
  </si>
  <si>
    <t>Commercial:</t>
  </si>
  <si>
    <t>Square Ft.</t>
  </si>
  <si>
    <t>Gross Commercial Income</t>
  </si>
  <si>
    <t>)</t>
  </si>
  <si>
    <t>Commercial</t>
  </si>
  <si>
    <t>Net Commercial Income</t>
  </si>
  <si>
    <t>$/sq. ft.</t>
  </si>
  <si>
    <t>Total</t>
  </si>
  <si>
    <t>PROJECTIONS</t>
  </si>
  <si>
    <t>Year 2</t>
  </si>
  <si>
    <t>Year 3</t>
  </si>
  <si>
    <t>Year 4</t>
  </si>
  <si>
    <t>Year 5</t>
  </si>
  <si>
    <t>Year 6</t>
  </si>
  <si>
    <t>Year 7</t>
  </si>
  <si>
    <t>Year 8</t>
  </si>
  <si>
    <t>Year 9</t>
  </si>
  <si>
    <t>Year 10</t>
  </si>
  <si>
    <t>HMFA#:</t>
  </si>
  <si>
    <t>HMFA First Mortgage, Note I</t>
  </si>
  <si>
    <t>Note II (if applicable)</t>
  </si>
  <si>
    <t>Special Needs (if applicable)</t>
  </si>
  <si>
    <t xml:space="preserve">&lt;Balanced Housing Program </t>
  </si>
  <si>
    <r>
      <t>Or Home Express Funds&gt;</t>
    </r>
    <r>
      <rPr>
        <sz val="10"/>
        <rFont val="Times New Roman"/>
        <family val="1"/>
      </rPr>
      <t xml:space="preserve"> </t>
    </r>
  </si>
  <si>
    <r>
      <t xml:space="preserve">Small Rental Subsidy Loan </t>
    </r>
    <r>
      <rPr>
        <b/>
        <i/>
        <sz val="10"/>
        <color indexed="10"/>
        <rFont val="Times New Roman"/>
        <family val="1"/>
      </rPr>
      <t>(if applicable)</t>
    </r>
  </si>
  <si>
    <t>HOPE VI Funds (if applicable)</t>
  </si>
  <si>
    <t>Additional Sponsor Equity</t>
  </si>
  <si>
    <t>TOTAL PROPOSED SOURCES</t>
  </si>
  <si>
    <r>
      <t xml:space="preserve">HMFA Note II  </t>
    </r>
    <r>
      <rPr>
        <b/>
        <i/>
        <sz val="10"/>
        <color indexed="10"/>
        <rFont val="Times New Roman"/>
        <family val="1"/>
      </rPr>
      <t>(if applicable</t>
    </r>
  </si>
  <si>
    <t>Note II Interest</t>
  </si>
  <si>
    <t>Note II Escrow</t>
  </si>
  <si>
    <t>Developer's fee:</t>
  </si>
  <si>
    <t>pledged</t>
  </si>
  <si>
    <t xml:space="preserve">deferred  </t>
  </si>
  <si>
    <t>Total of all Funding Sources:</t>
  </si>
  <si>
    <t>Total of Funding Sources plus Cash from Borrower:</t>
  </si>
  <si>
    <t>*Escrowed at permanent closing for Note II repayment:</t>
  </si>
  <si>
    <t>Note II plus Interest</t>
  </si>
  <si>
    <t>Date $ Expected</t>
  </si>
  <si>
    <t>Year 11</t>
  </si>
  <si>
    <t>Year 12</t>
  </si>
  <si>
    <t>Year 13</t>
  </si>
  <si>
    <t>Year 14</t>
  </si>
  <si>
    <t>Year 15</t>
  </si>
  <si>
    <t>Year 16</t>
  </si>
  <si>
    <t>Year 17</t>
  </si>
  <si>
    <t>Less Vacancy Loss</t>
  </si>
  <si>
    <t xml:space="preserve">   NET APT. RENTS</t>
  </si>
  <si>
    <t xml:space="preserve">Less Commerical Vacancy </t>
  </si>
  <si>
    <t xml:space="preserve">   NET COMMERCIAL RENTALS</t>
  </si>
  <si>
    <t xml:space="preserve">OPERATING EXPENSES  </t>
  </si>
  <si>
    <t xml:space="preserve">Per Unit Cost </t>
  </si>
  <si>
    <t>Administrative</t>
  </si>
  <si>
    <t>Salaries and Benefits</t>
  </si>
  <si>
    <t>Miantenance &amp; Repairs</t>
  </si>
  <si>
    <t>Maintenance Contracts</t>
  </si>
  <si>
    <t>Management Fee</t>
  </si>
  <si>
    <t>PILOT on Housing</t>
  </si>
  <si>
    <t>Replacement Reserves</t>
  </si>
  <si>
    <t xml:space="preserve">Total Per Unit Cost </t>
  </si>
  <si>
    <t>Expense/Income Ratio</t>
  </si>
  <si>
    <t>INCOME AVAIL. FOR DEBT</t>
  </si>
  <si>
    <t>Debt Service-1st Mortgage</t>
  </si>
  <si>
    <t>Debt Service-2nd Note</t>
  </si>
  <si>
    <t xml:space="preserve">  Total Debt Service</t>
  </si>
  <si>
    <t>Debt Service Ratio</t>
  </si>
  <si>
    <t>DSR from Operations and Reserve</t>
  </si>
  <si>
    <t>CASH FLOW After Debt Service</t>
  </si>
  <si>
    <t>OPERATING RESERVE:</t>
  </si>
  <si>
    <t>Beginning Reserve Balance</t>
  </si>
  <si>
    <t xml:space="preserve">Interest Income </t>
  </si>
  <si>
    <t>Ending Reserve Balance</t>
  </si>
  <si>
    <t>Paid Utilities</t>
  </si>
  <si>
    <t>PILOT on Comm.</t>
  </si>
  <si>
    <t>Net Rent</t>
  </si>
  <si>
    <t xml:space="preserve">Tenant </t>
  </si>
  <si>
    <t>TOTAL RENTAL INCOME:</t>
  </si>
  <si>
    <t>Gross</t>
  </si>
  <si>
    <t>Net.</t>
  </si>
  <si>
    <t xml:space="preserve">      Rent        </t>
  </si>
  <si>
    <t>Rentable</t>
  </si>
  <si>
    <t>=      Area</t>
  </si>
  <si>
    <t xml:space="preserve">     @             ( $</t>
  </si>
  <si>
    <t xml:space="preserve">TOTAL   $  </t>
  </si>
  <si>
    <t>Zip Code:</t>
  </si>
  <si>
    <t>Year 18</t>
  </si>
  <si>
    <t>Year 19</t>
  </si>
  <si>
    <t>Year 20</t>
  </si>
  <si>
    <t>Year 21</t>
  </si>
  <si>
    <t>Year 22</t>
  </si>
  <si>
    <t>Year 23</t>
  </si>
  <si>
    <t>ENTER DOLLAR AMOUNT</t>
  </si>
  <si>
    <t>as to the applicable Area Median Income.</t>
  </si>
  <si>
    <r>
      <t>NOTE: T</t>
    </r>
    <r>
      <rPr>
        <b/>
        <u val="single"/>
        <sz val="12"/>
        <rFont val="Times New Roman"/>
        <family val="1"/>
      </rPr>
      <t>he percentage listed in this section is merely the percentage of the Gross Rent</t>
    </r>
  </si>
  <si>
    <t>Year 24</t>
  </si>
  <si>
    <t>Year 25</t>
  </si>
  <si>
    <t>Year 26</t>
  </si>
  <si>
    <t>Year 27</t>
  </si>
  <si>
    <t>Year 28</t>
  </si>
  <si>
    <t>Year 29</t>
  </si>
  <si>
    <t>Year 30</t>
  </si>
  <si>
    <t>Common/Other Space</t>
  </si>
  <si>
    <t>Commercial Space</t>
  </si>
  <si>
    <t>1. SOURCES OF FUNDS DURING CONSTRUCTION:</t>
  </si>
  <si>
    <t>TOTAL SOURCES OF CONSTRUCTIONS FUNDS:</t>
  </si>
  <si>
    <t>2.  USES of FUNDS DURING CONSTRUCTION:</t>
  </si>
  <si>
    <t>TOTAL SOURCES FOR PERMANENT CLOSING:</t>
  </si>
  <si>
    <t xml:space="preserve">    1) Working Capital Escrow</t>
  </si>
  <si>
    <t xml:space="preserve">           a)  Debt Service &amp; Operating Expenses</t>
  </si>
  <si>
    <t xml:space="preserve">           b) Rental Agent Rent-up Fee (during Rent-up)</t>
  </si>
  <si>
    <t xml:space="preserve">           c) Advertising and Promotion (during Rent-up)</t>
  </si>
  <si>
    <t xml:space="preserve">    2) Other Escrows</t>
  </si>
  <si>
    <t xml:space="preserve">           a) Insurance (1/2 YR.)</t>
  </si>
  <si>
    <t xml:space="preserve">           b) Taxes (1 Qtr.) </t>
  </si>
  <si>
    <t xml:space="preserve">           c) Debt Service Payment &amp; Servicing Fee for 1 Month</t>
  </si>
  <si>
    <t xml:space="preserve">           d) Mortgage Insurance Premium (MIP) 1 year plus 3 months</t>
  </si>
  <si>
    <t xml:space="preserve">           g) Other:</t>
  </si>
  <si>
    <r>
      <t xml:space="preserve">   </t>
    </r>
    <r>
      <rPr>
        <b/>
        <u val="single"/>
        <sz val="12"/>
        <rFont val="Times New Roman"/>
        <family val="1"/>
      </rPr>
      <t>A. ACQUISITION COSTS:</t>
    </r>
  </si>
  <si>
    <r>
      <t xml:space="preserve">   </t>
    </r>
    <r>
      <rPr>
        <b/>
        <u val="single"/>
        <sz val="12"/>
        <rFont val="Times New Roman"/>
        <family val="1"/>
      </rPr>
      <t>B. CONSTRUCTION COSTS</t>
    </r>
  </si>
  <si>
    <t>5. SOURCES OF FUNDS FOR PERMANENT FUNDING:</t>
  </si>
  <si>
    <r>
      <t xml:space="preserve">4. BALANCE OF FUNDS NEEDED FOR CONSTRUCTION (overage / </t>
    </r>
    <r>
      <rPr>
        <b/>
        <u val="single"/>
        <sz val="12"/>
        <color indexed="10"/>
        <rFont val="Times New Roman"/>
        <family val="1"/>
      </rPr>
      <t>shortage</t>
    </r>
    <r>
      <rPr>
        <b/>
        <u val="single"/>
        <sz val="12"/>
        <rFont val="Times New Roman"/>
        <family val="1"/>
      </rPr>
      <t>):</t>
    </r>
  </si>
  <si>
    <t>Legislative District:</t>
  </si>
  <si>
    <t>Congressional District:</t>
  </si>
  <si>
    <t>Provide the following:</t>
  </si>
  <si>
    <t>Type of Subsidy</t>
  </si>
  <si>
    <t>Project:</t>
  </si>
  <si>
    <t>Municipality:</t>
  </si>
  <si>
    <t>Square Feet of</t>
  </si>
  <si>
    <t>Individual Units</t>
  </si>
  <si>
    <t>County:</t>
  </si>
  <si>
    <r>
      <t>NOTE:</t>
    </r>
    <r>
      <rPr>
        <b/>
        <sz val="12"/>
        <rFont val="Arial"/>
        <family val="2"/>
      </rPr>
      <t xml:space="preserve">  A) PLEASE BE AWARE THAT A CLOSING </t>
    </r>
    <r>
      <rPr>
        <b/>
        <u val="single"/>
        <sz val="12"/>
        <rFont val="Arial"/>
        <family val="2"/>
      </rPr>
      <t>CANNOT</t>
    </r>
    <r>
      <rPr>
        <b/>
        <sz val="12"/>
        <rFont val="Arial"/>
        <family val="2"/>
      </rPr>
      <t xml:space="preserve"> BE SCHEDULED UNTIL THIS DOCUMENT HAS BEEN ACCEPTED.  B) These numbers correspond to the final audit.  </t>
    </r>
  </si>
  <si>
    <t>Construction Loan Payoff itemized below:</t>
  </si>
  <si>
    <t>Principal Bal. As of :</t>
  </si>
  <si>
    <t>Interest Thru</t>
  </si>
  <si>
    <t xml:space="preserve">     Per Diem Interest: </t>
  </si>
  <si>
    <t>(Daily Amt.)</t>
  </si>
  <si>
    <t>Construction Loan Total</t>
  </si>
  <si>
    <t xml:space="preserve">        Other:</t>
  </si>
  <si>
    <t>HUD</t>
  </si>
  <si>
    <t>(if applicable)</t>
  </si>
  <si>
    <t xml:space="preserve">3% Sp. Nds. 1-time serv. fee  </t>
  </si>
  <si>
    <t>Pd. To:</t>
  </si>
  <si>
    <t>Escrow for Expenses during Rent-up including Debt Service</t>
  </si>
  <si>
    <t>months @</t>
  </si>
  <si>
    <t>Balance:</t>
  </si>
  <si>
    <t>Developer Fee Recap</t>
  </si>
  <si>
    <t>CASH/CHECK from Borrower:</t>
  </si>
  <si>
    <t>insert date below</t>
  </si>
  <si>
    <t>insert# days</t>
  </si>
  <si>
    <t>Insert # Mos</t>
  </si>
  <si>
    <t>$ per mo.</t>
  </si>
  <si>
    <t>Insert Date</t>
  </si>
  <si>
    <t>Insert $ amt</t>
  </si>
  <si>
    <t>C)  Sources and Uses may not include invoices presented for payment at closing.</t>
  </si>
  <si>
    <t>Additional Items Added to Eligible Basis Limits:</t>
  </si>
  <si>
    <t>Special Needs Cycle</t>
  </si>
  <si>
    <t>(Y or N)</t>
  </si>
  <si>
    <t>Volume Cap Tax Credits</t>
  </si>
  <si>
    <t>Total Units (including Super)</t>
  </si>
  <si>
    <t># of Units</t>
  </si>
  <si>
    <t>Per Unit</t>
  </si>
  <si>
    <t>x</t>
  </si>
  <si>
    <t>(include all units)</t>
  </si>
  <si>
    <t>Elig Basis Limit</t>
  </si>
  <si>
    <t>Per Unit Limit</t>
  </si>
  <si>
    <t>EFFICIENCIES</t>
  </si>
  <si>
    <t>1-BR</t>
  </si>
  <si>
    <t>2-BR</t>
  </si>
  <si>
    <t>3-BR</t>
  </si>
  <si>
    <t>4-BR</t>
  </si>
  <si>
    <t>5-BR</t>
  </si>
  <si>
    <t>Green Features</t>
  </si>
  <si>
    <t>Limits apply to total eligible basis for rehabilitation or new construction tax credits BEFORE any applicable 130% adjustment for project location within a DDA or QCT.</t>
  </si>
  <si>
    <t>Reviewer:</t>
  </si>
  <si>
    <t>Stage:</t>
  </si>
  <si>
    <t>QCT</t>
  </si>
  <si>
    <t xml:space="preserve">  (Y or N)</t>
  </si>
  <si>
    <t>Project Name:</t>
  </si>
  <si>
    <t>DDA</t>
  </si>
  <si>
    <t>{Windowsoff}{Paneloff}{Home}</t>
  </si>
  <si>
    <t>Special Needs</t>
  </si>
  <si>
    <t>Scattered Site Single/Duplex</t>
  </si>
  <si>
    <t>Development</t>
  </si>
  <si>
    <t xml:space="preserve">Non-Depreciable </t>
  </si>
  <si>
    <t>Non-Eligible</t>
  </si>
  <si>
    <t>Eligible Basis for</t>
  </si>
  <si>
    <t>Eligible Basis</t>
  </si>
  <si>
    <t>Rehab / NC</t>
  </si>
  <si>
    <t>for Acquisition</t>
  </si>
  <si>
    <t>ACQUISITION</t>
  </si>
  <si>
    <t xml:space="preserve">    Building</t>
  </si>
  <si>
    <t xml:space="preserve">    Relocation</t>
  </si>
  <si>
    <t xml:space="preserve">    Other:   </t>
  </si>
  <si>
    <t>CONSTRUCTION</t>
  </si>
  <si>
    <t xml:space="preserve">    Demolition</t>
  </si>
  <si>
    <t xml:space="preserve">    Off-Site Improvements</t>
  </si>
  <si>
    <t xml:space="preserve">    Residential Structures</t>
  </si>
  <si>
    <t xml:space="preserve">    Environmental Clearances</t>
  </si>
  <si>
    <t xml:space="preserve">    Surety &amp; Bonding</t>
  </si>
  <si>
    <t xml:space="preserve">    Building Permits</t>
  </si>
  <si>
    <t>CONTRACTOR FEE</t>
  </si>
  <si>
    <t xml:space="preserve">    Contractor Overhead &amp; Profit</t>
  </si>
  <si>
    <t xml:space="preserve">    General Requirements</t>
  </si>
  <si>
    <t>CONTINGENCY</t>
  </si>
  <si>
    <t xml:space="preserve">    Hard Contingency </t>
  </si>
  <si>
    <t xml:space="preserve">    Soft Contingency</t>
  </si>
  <si>
    <t>PROFESSIONAL SERVICES</t>
  </si>
  <si>
    <t xml:space="preserve">    Appraiser &amp; Market Study</t>
  </si>
  <si>
    <t xml:space="preserve">    Architect</t>
  </si>
  <si>
    <t xml:space="preserve">    Attorney</t>
  </si>
  <si>
    <t xml:space="preserve">    Cost Certification / Audit</t>
  </si>
  <si>
    <t xml:space="preserve">    Engineering</t>
  </si>
  <si>
    <t xml:space="preserve">    Environmental Consultant</t>
  </si>
  <si>
    <t xml:space="preserve">    Historical Consultant</t>
  </si>
  <si>
    <t xml:space="preserve">    Professional Planner</t>
  </si>
  <si>
    <t xml:space="preserve">    Soil Investigation</t>
  </si>
  <si>
    <t xml:space="preserve">    Surveyor</t>
  </si>
  <si>
    <t>CARRYING &amp; FINANCING</t>
  </si>
  <si>
    <t xml:space="preserve">    Interest</t>
  </si>
  <si>
    <t xml:space="preserve">    Points &amp; Bank Fees</t>
  </si>
  <si>
    <t xml:space="preserve">    R.E. Taxes</t>
  </si>
  <si>
    <t xml:space="preserve">    Insurance</t>
  </si>
  <si>
    <t xml:space="preserve">    Title Insurance &amp; Recording</t>
  </si>
  <si>
    <t xml:space="preserve">    Utility Connection Fees</t>
  </si>
  <si>
    <t xml:space="preserve">    Other Impact Fees</t>
  </si>
  <si>
    <t xml:space="preserve">    Tax Credit Fees</t>
  </si>
  <si>
    <t>SUB-TOTAL</t>
  </si>
  <si>
    <t>LAND</t>
  </si>
  <si>
    <t>ORGANIZATIONAL COSTS</t>
  </si>
  <si>
    <t>SYNDICATION EXPENSES</t>
  </si>
  <si>
    <t>MARKETING EXP &amp; HAS FEE</t>
  </si>
  <si>
    <t>ESCROWS:</t>
  </si>
  <si>
    <t>Working Capital</t>
  </si>
  <si>
    <t>Operating Deficit Escrow</t>
  </si>
  <si>
    <t>Debt &amp; Insurance</t>
  </si>
  <si>
    <t>Tax</t>
  </si>
  <si>
    <t>TOTAL</t>
  </si>
  <si>
    <t>Eligible Basis Limit</t>
  </si>
  <si>
    <t>Lesser of Total or Limit</t>
  </si>
  <si>
    <t xml:space="preserve">QCT / DDA Adjustment  </t>
  </si>
  <si>
    <t>FUNDING SOURCE</t>
  </si>
  <si>
    <t>INTEREST</t>
  </si>
  <si>
    <t xml:space="preserve">    AMORTIZATION</t>
  </si>
  <si>
    <t>AMOUNT</t>
  </si>
  <si>
    <t>RATE</t>
  </si>
  <si>
    <t>=</t>
  </si>
  <si>
    <t>Basis as Adjusted</t>
  </si>
  <si>
    <t>Less Solar Energy Savings</t>
  </si>
  <si>
    <t>Applicable Fraction</t>
  </si>
  <si>
    <t>Qualified Basis</t>
  </si>
  <si>
    <t>Tax Credit Percentage</t>
  </si>
  <si>
    <t>Tax Credits based</t>
  </si>
  <si>
    <t>on Qualified Basis</t>
  </si>
  <si>
    <t>SYNDICATOR</t>
  </si>
  <si>
    <t>LP or Non-Voting Member %</t>
  </si>
  <si>
    <t>PRICING</t>
  </si>
  <si>
    <t>HMFA 1st Mtg</t>
  </si>
  <si>
    <t>SOURCES RUNNING BALANCE</t>
  </si>
  <si>
    <t>SOURCES FOR POST-CLOSING</t>
  </si>
  <si>
    <t>Construction Cost / Unit</t>
  </si>
  <si>
    <t>Reasonably Expected</t>
  </si>
  <si>
    <t>Incurred through</t>
  </si>
  <si>
    <t>Basis</t>
  </si>
  <si>
    <t xml:space="preserve">    Hard Contingency (10% Rehab / 5% New)</t>
  </si>
  <si>
    <t>CARRYOVER PERCENTAGE</t>
  </si>
  <si>
    <t>DEVELOPER PERCENTAGE INCURRED</t>
  </si>
  <si>
    <t># of Bedrooms</t>
  </si>
  <si>
    <t>Studio, SRO, etc.</t>
  </si>
  <si>
    <t xml:space="preserve">x  .75 = </t>
  </si>
  <si>
    <t>1BR</t>
  </si>
  <si>
    <t xml:space="preserve">x  1 = </t>
  </si>
  <si>
    <t>2BR</t>
  </si>
  <si>
    <t xml:space="preserve">x  2 = </t>
  </si>
  <si>
    <t>3BR</t>
  </si>
  <si>
    <t xml:space="preserve">x  3 = </t>
  </si>
  <si>
    <t>4BR</t>
  </si>
  <si>
    <t xml:space="preserve">x  4 = </t>
  </si>
  <si>
    <t>5BR</t>
  </si>
  <si>
    <t xml:space="preserve">x  5 = </t>
  </si>
  <si>
    <t>Tiebreaker #2:  Lowest Total Development Cost Per Bedroom</t>
  </si>
  <si>
    <t># of  Bedrooms in Project:</t>
  </si>
  <si>
    <t xml:space="preserve">               # of Bedrooms in Project:</t>
  </si>
  <si>
    <t xml:space="preserve">Total Development Cost       </t>
  </si>
  <si>
    <t xml:space="preserve"> Total Development Cost</t>
  </si>
  <si>
    <t>Per Bedroom</t>
  </si>
  <si>
    <t xml:space="preserve">         # of Bedrooms</t>
  </si>
  <si>
    <t>Contractor Profit/Overhead Limits</t>
  </si>
  <si>
    <t xml:space="preserve">   Construction Contract Amount</t>
  </si>
  <si>
    <t>Bracket %</t>
  </si>
  <si>
    <t>Maximum Fee for</t>
  </si>
  <si>
    <t>Example Calculation of Maximum Contractor Profit/OH</t>
  </si>
  <si>
    <t>Bracket Minimum</t>
  </si>
  <si>
    <t>Bracket Maximum</t>
  </si>
  <si>
    <t>Lower Brackets</t>
  </si>
  <si>
    <t>to</t>
  </si>
  <si>
    <t>$0</t>
  </si>
  <si>
    <t xml:space="preserve">Construction Contract </t>
  </si>
  <si>
    <t>of amount over $   500,000  +</t>
  </si>
  <si>
    <t>of amount over $ 1,000,000 +</t>
  </si>
  <si>
    <t>- Bracket Minimum</t>
  </si>
  <si>
    <t>of amount over $ 5,000,000 +</t>
  </si>
  <si>
    <t>of amount over $10,000,000 +</t>
  </si>
  <si>
    <t>Difference</t>
  </si>
  <si>
    <t>of amount over $15,000,000 +</t>
  </si>
  <si>
    <t>and over</t>
  </si>
  <si>
    <t>of amount over $20,000,000 +</t>
  </si>
  <si>
    <t>x Bracket % for Contract Amount</t>
  </si>
  <si>
    <t>Difference x Bracket %</t>
  </si>
  <si>
    <t>+Maximum Fee for Lower Brackets</t>
  </si>
  <si>
    <t>Amounts</t>
  </si>
  <si>
    <t>included in</t>
  </si>
  <si>
    <t>Maximum Profit &amp; OH</t>
  </si>
  <si>
    <t>Construction Contract</t>
  </si>
  <si>
    <t>Demolition</t>
  </si>
  <si>
    <t>Calculation of Maximum Contractor Profit &amp; Overhead</t>
  </si>
  <si>
    <t>Off-Site Improvements</t>
  </si>
  <si>
    <t>Residential Structures</t>
  </si>
  <si>
    <t>Environmental Clearances</t>
  </si>
  <si>
    <t>Surety &amp; Bonding</t>
  </si>
  <si>
    <t>Building Permits</t>
  </si>
  <si>
    <t xml:space="preserve">Other:   </t>
  </si>
  <si>
    <t>General Requirements</t>
  </si>
  <si>
    <t>+ Maximum Fee for Lower Brackets</t>
  </si>
  <si>
    <t>Construction Contract Amount</t>
  </si>
  <si>
    <t>Developer Fee Limits</t>
  </si>
  <si>
    <t>Projects with 25 Units or Less</t>
  </si>
  <si>
    <t>2nd Note/Mortgage(Amortizing)</t>
  </si>
  <si>
    <r>
      <t>In anticipation of closing</t>
    </r>
    <r>
      <rPr>
        <sz val="12"/>
        <rFont val="Arial"/>
        <family val="2"/>
      </rPr>
      <t xml:space="preserve"> on the permanent mortgage between the </t>
    </r>
    <r>
      <rPr>
        <b/>
        <sz val="12"/>
        <rFont val="Arial"/>
        <family val="2"/>
      </rPr>
      <t>New Jersey Housing and Mortgage Finance Agency</t>
    </r>
    <r>
      <rPr>
        <sz val="12"/>
        <rFont val="Arial"/>
        <family val="2"/>
      </rPr>
      <t xml:space="preserve"> and </t>
    </r>
  </si>
  <si>
    <t>Scattered Site Single Family or Duplex Projects</t>
  </si>
  <si>
    <t>General Rule*</t>
  </si>
  <si>
    <t>*Building Acquisition Costs Excluded if Related Party Transaction</t>
  </si>
  <si>
    <t>Construction Cost + Contractor Fee</t>
  </si>
  <si>
    <t xml:space="preserve">    i) General Requirements</t>
  </si>
  <si>
    <t>FEDERAL LOW INCOME HOUSING TAX CREDITS</t>
  </si>
  <si>
    <t>OPERATING INCOME</t>
  </si>
  <si>
    <t>PER UNIT</t>
  </si>
  <si>
    <t>ANNUAL</t>
  </si>
  <si>
    <t>YEAR</t>
  </si>
  <si>
    <t>or  %</t>
  </si>
  <si>
    <t>TRENDING</t>
  </si>
  <si>
    <t>INCOME</t>
  </si>
  <si>
    <t>TAX CREDIT UNITS</t>
  </si>
  <si>
    <t>GROSS RENT</t>
  </si>
  <si>
    <t>net rent</t>
  </si>
  <si>
    <t>LAUNDRY</t>
  </si>
  <si>
    <t>PARKING</t>
  </si>
  <si>
    <t>OTHER</t>
  </si>
  <si>
    <t>SUBTOTAL</t>
  </si>
  <si>
    <t>VACANCY</t>
  </si>
  <si>
    <t>PHYSICAL</t>
  </si>
  <si>
    <t>COLLECTION</t>
  </si>
  <si>
    <t>NET</t>
  </si>
  <si>
    <t>Includes Interest of :  $</t>
  </si>
  <si>
    <t>Amt. Paid at Closing:</t>
  </si>
  <si>
    <t>Disbursement</t>
  </si>
  <si>
    <t>Amount</t>
  </si>
  <si>
    <t>SUBSIDIES</t>
  </si>
  <si>
    <t>SECTION 8</t>
  </si>
  <si>
    <t>Y  or  N</t>
  </si>
  <si>
    <t>SECTION 9</t>
  </si>
  <si>
    <t>NON TAX CREDIT UNITS</t>
  </si>
  <si>
    <t>COMMERCIAL INCOME</t>
  </si>
  <si>
    <t>OTHER:</t>
  </si>
  <si>
    <t>EFFECTIVE INCOME</t>
  </si>
  <si>
    <t>Tenant Population</t>
  </si>
  <si>
    <t>Elevator (Y or N)</t>
  </si>
  <si>
    <t>Rehab or New</t>
  </si>
  <si>
    <t>ADMINISTRATION</t>
  </si>
  <si>
    <t>SALARIES</t>
  </si>
  <si>
    <t>M&amp;R</t>
  </si>
  <si>
    <t>INSURANCE</t>
  </si>
  <si>
    <t>UTILITIES</t>
  </si>
  <si>
    <t>MANAGEMENT FEE</t>
  </si>
  <si>
    <t>REAL ESTATE TAXES</t>
  </si>
  <si>
    <t>RESERVES</t>
  </si>
  <si>
    <t>SOCIAL SERVICES</t>
  </si>
  <si>
    <t>TOTAL OPERATING EXPENSES</t>
  </si>
  <si>
    <t>FIRST HARD DEBT SERVICE</t>
  </si>
  <si>
    <t>FIRST HARD DEBT SERVICING FEE</t>
  </si>
  <si>
    <t>bp</t>
  </si>
  <si>
    <t>SECOND HARD DEBT SERVICE</t>
  </si>
  <si>
    <t>CASH FLOW AFTER HARD DEBT</t>
  </si>
  <si>
    <t>RATIO ANALYSIS</t>
  </si>
  <si>
    <t>FIRST HARD DEBT COVERAGE RATIO</t>
  </si>
  <si>
    <t>EXPENSE : EFFECTIVE INCOME</t>
  </si>
  <si>
    <t>OPERATING DEFICIT RESERVE</t>
  </si>
  <si>
    <t>INTEREST INCOME</t>
  </si>
  <si>
    <t>UTILIZATION FOR CASH FLOW SHORTFALL</t>
  </si>
  <si>
    <t>BALANCE</t>
  </si>
  <si>
    <t>&lt;PERMANENT PHASE NEEDS ANALYSIS&gt;</t>
  </si>
  <si>
    <t>Total Maximum LIHTC</t>
  </si>
  <si>
    <t>INVESTOR PROCEEDS NEEDED FROM LOW INC HSG TAX CREDITS</t>
  </si>
  <si>
    <t>FEDERAL LOW INCOME HOUSING TAX CREDITS NEEDED</t>
  </si>
  <si>
    <t>Date Expected</t>
  </si>
  <si>
    <t>Total Developer Fee:</t>
  </si>
  <si>
    <r>
      <t xml:space="preserve">   D</t>
    </r>
    <r>
      <rPr>
        <b/>
        <u val="single"/>
        <sz val="12"/>
        <rFont val="Times New Roman"/>
        <family val="1"/>
      </rPr>
      <t>. CONTINGENCY</t>
    </r>
  </si>
  <si>
    <r>
      <t xml:space="preserve">   E</t>
    </r>
    <r>
      <rPr>
        <b/>
        <u val="single"/>
        <sz val="12"/>
        <rFont val="Times New Roman"/>
        <family val="1"/>
      </rPr>
      <t>. PROFESSIONAL SERVICES</t>
    </r>
  </si>
  <si>
    <r>
      <t xml:space="preserve">   G</t>
    </r>
    <r>
      <rPr>
        <b/>
        <u val="single"/>
        <sz val="12"/>
        <rFont val="Times New Roman"/>
        <family val="1"/>
      </rPr>
      <t>. CARRYING AND FINANCING COSTS DURING CONSTRUCTION</t>
    </r>
  </si>
  <si>
    <t>3. USES OF FUNDS DURING CONSTRUCTION:</t>
  </si>
  <si>
    <t>per Unit</t>
  </si>
  <si>
    <t>Census Tract:</t>
  </si>
  <si>
    <t>Date of Income Limits Chart Used:</t>
  </si>
  <si>
    <t>Date of Utility Chart Used:</t>
  </si>
  <si>
    <t>P.I.L.O.T. on Commercial Income(</t>
  </si>
  <si>
    <t>Community Service Facility</t>
  </si>
  <si>
    <t>Garage Parking</t>
  </si>
  <si>
    <t xml:space="preserve">    Community Service Facility</t>
  </si>
  <si>
    <t xml:space="preserve">    Garage Parking</t>
  </si>
  <si>
    <t>ACTUAL TAXES</t>
  </si>
  <si>
    <t xml:space="preserve">OR </t>
  </si>
  <si>
    <t>IF NO P.I.L.O.T.</t>
  </si>
  <si>
    <t xml:space="preserve">           e) Repair &amp; Replacement Reserves</t>
  </si>
  <si>
    <t>If the HMFA will be selling Bonds for the project either before or during the</t>
  </si>
  <si>
    <t xml:space="preserve">            time the Development is under construciton,  these costs</t>
  </si>
  <si>
    <t xml:space="preserve">  should be accounted for during the construction period.</t>
  </si>
  <si>
    <t>Yearly</t>
  </si>
  <si>
    <t>First Years Balance:</t>
  </si>
  <si>
    <t>Interest Rate Annually:</t>
  </si>
  <si>
    <t>Print Date</t>
  </si>
  <si>
    <t>Print Date:</t>
  </si>
  <si>
    <t>15-YEAR OPERATING PROFORMA
REQUIRED SIGN-OFFS</t>
  </si>
  <si>
    <r>
      <t xml:space="preserve">   Once reviewed and you are in agreement that this is a final and complete representation of the anticipated closing, sign the acknowledgement where indicated below and return to the loan officer within </t>
    </r>
    <r>
      <rPr>
        <b/>
        <sz val="12"/>
        <rFont val="Arial"/>
        <family val="2"/>
      </rPr>
      <t xml:space="preserve">two days </t>
    </r>
    <r>
      <rPr>
        <sz val="12"/>
        <rFont val="Arial"/>
        <family val="2"/>
      </rPr>
      <t>of receipt.</t>
    </r>
  </si>
  <si>
    <t>We acknowledge the attached pro forma substantially matches the assumptions used in our underwriting of the mortgage (equity investment).</t>
  </si>
  <si>
    <t>1st Mortgagee</t>
  </si>
  <si>
    <t>__________________________________________</t>
  </si>
  <si>
    <t>OR</t>
  </si>
  <si>
    <t>Syndicator/Investor</t>
  </si>
  <si>
    <t>(if no lender)</t>
  </si>
  <si>
    <t>CURRENT INDICATIONS</t>
  </si>
  <si>
    <t>Net Income (Year 1)</t>
  </si>
  <si>
    <t>Net Expense (Year 1)</t>
  </si>
  <si>
    <t>Annual Tax Credit Amount</t>
  </si>
  <si>
    <t>First Mortgage DSCR</t>
  </si>
  <si>
    <t>HOME EXPRESS DEBT SERVICE (If Applicable)</t>
  </si>
  <si>
    <t>Fire Suppression System</t>
  </si>
  <si>
    <t>Remaining Cash Flow</t>
  </si>
  <si>
    <t>HMFA Policy is that the Developer fee is earned as a percentage of construction completion.</t>
  </si>
  <si>
    <t>55% of Basis (estimated):</t>
  </si>
  <si>
    <t>% of Item 10</t>
  </si>
  <si>
    <t>(ESTIMATE)</t>
  </si>
  <si>
    <t>Smart Growth</t>
  </si>
  <si>
    <t>The Project is in a:</t>
  </si>
  <si>
    <t>Planning Area:</t>
  </si>
  <si>
    <t>(designate area)</t>
  </si>
  <si>
    <t>Moderate Rehabilitation</t>
  </si>
  <si>
    <t>Tax Credits</t>
  </si>
  <si>
    <t>PERMANENT LOAN CLOSING</t>
  </si>
  <si>
    <t>Check One</t>
  </si>
  <si>
    <t>Historic</t>
  </si>
  <si>
    <t>Note 1</t>
  </si>
  <si>
    <t>Note 2</t>
  </si>
  <si>
    <t>COLOR KEY:</t>
  </si>
  <si>
    <t>Mortgage Interest Rate:</t>
  </si>
  <si>
    <t>Term of Mortgage (in years):</t>
  </si>
  <si>
    <t xml:space="preserve">per Sq. Ft.               </t>
  </si>
  <si>
    <t xml:space="preserve">  per Sq. Ft.             $</t>
  </si>
  <si>
    <t>Affordability - Check One</t>
  </si>
  <si>
    <t>** 40% AT 60%</t>
  </si>
  <si>
    <t>*** 20% AT 50%</t>
  </si>
  <si>
    <t>** 40-60 set-aside means 40% or more of the residential units will be restricted and occupied by households whose income is 60% or less than the area median income.</t>
  </si>
  <si>
    <t xml:space="preserve">ANTICIPATED GROSS RENTS:  </t>
  </si>
  <si>
    <t>NOTE: For Underwriting Purposes Only, Target Occupancy is based on (1) person per Bedroom</t>
  </si>
  <si>
    <t>*** 20-50 set-aside means 20% or more of the residential units will be rent restricted and occupied by households whose income is 50% or less of area median income.</t>
  </si>
  <si>
    <t xml:space="preserve">    Other:</t>
  </si>
  <si>
    <t>Check each line item for Eligibility</t>
  </si>
  <si>
    <t>6.  USES of FUNDS FOR PERMANENT CLOSING:</t>
  </si>
  <si>
    <r>
      <t xml:space="preserve">   A. </t>
    </r>
    <r>
      <rPr>
        <b/>
        <u val="single"/>
        <sz val="12"/>
        <rFont val="Times New Roman"/>
        <family val="1"/>
      </rPr>
      <t xml:space="preserve"> DEVELOPER'S FEE:</t>
    </r>
  </si>
  <si>
    <r>
      <t xml:space="preserve"> </t>
    </r>
    <r>
      <rPr>
        <b/>
        <sz val="12"/>
        <rFont val="Times New Roman"/>
        <family val="1"/>
      </rPr>
      <t xml:space="preserve">  B</t>
    </r>
    <r>
      <rPr>
        <b/>
        <u val="single"/>
        <sz val="12"/>
        <rFont val="Times New Roman"/>
        <family val="1"/>
      </rPr>
      <t>.</t>
    </r>
    <r>
      <rPr>
        <u val="single"/>
        <sz val="12"/>
        <rFont val="Times New Roman"/>
        <family val="1"/>
      </rPr>
      <t xml:space="preserve"> HMFA Points (to reduce annual servicing fee)</t>
    </r>
    <r>
      <rPr>
        <u val="single"/>
        <sz val="18"/>
        <rFont val="Times New Roman"/>
        <family val="1"/>
      </rPr>
      <t>*</t>
    </r>
  </si>
  <si>
    <r>
      <t xml:space="preserve">  </t>
    </r>
    <r>
      <rPr>
        <b/>
        <sz val="12"/>
        <rFont val="Times New Roman"/>
        <family val="1"/>
      </rPr>
      <t xml:space="preserve"> C</t>
    </r>
    <r>
      <rPr>
        <b/>
        <u val="single"/>
        <sz val="12"/>
        <rFont val="Times New Roman"/>
        <family val="1"/>
      </rPr>
      <t>.</t>
    </r>
    <r>
      <rPr>
        <u val="single"/>
        <sz val="12"/>
        <rFont val="Times New Roman"/>
        <family val="1"/>
      </rPr>
      <t xml:space="preserve"> HMFA Second Note Financing Fee </t>
    </r>
    <r>
      <rPr>
        <u val="single"/>
        <sz val="18"/>
        <rFont val="Times New Roman"/>
        <family val="1"/>
      </rPr>
      <t>*</t>
    </r>
  </si>
  <si>
    <t xml:space="preserve">to the closing. </t>
  </si>
  <si>
    <t xml:space="preserve">        Based on this document, you will need to bring a minimum of  </t>
  </si>
  <si>
    <t xml:space="preserve">Fire Supression </t>
  </si>
  <si>
    <t xml:space="preserve">PROJECT NAME: </t>
  </si>
  <si>
    <t># of days</t>
  </si>
  <si>
    <t>ADDRESS:</t>
  </si>
  <si>
    <t>MUNICIPALITY:</t>
  </si>
  <si>
    <t>ZIP CODE:</t>
  </si>
  <si>
    <t>LIHTC</t>
  </si>
  <si>
    <t xml:space="preserve">Home </t>
  </si>
  <si>
    <t>Express</t>
  </si>
  <si>
    <t>$ AMOUNT</t>
  </si>
  <si>
    <t>TOTAL USES:</t>
  </si>
  <si>
    <t>(Title)</t>
  </si>
  <si>
    <t>Sources used</t>
  </si>
  <si>
    <t>at Closing</t>
  </si>
  <si>
    <t>I agree and acknowledge that this is a correct representation of what I should expect at the settlement table.  I further acknowledge that the Regulatory Affairs Division of the HMFA will set the closing date and they</t>
  </si>
  <si>
    <t>7. USES OF FUNDS FOR PERMANENT CLOSING</t>
  </si>
  <si>
    <r>
      <t xml:space="preserve">8.  BALANCE NEEDED TO CLOSE (overage / </t>
    </r>
    <r>
      <rPr>
        <b/>
        <u val="single"/>
        <sz val="12"/>
        <color indexed="10"/>
        <rFont val="Times New Roman"/>
        <family val="1"/>
      </rPr>
      <t>shortage</t>
    </r>
    <r>
      <rPr>
        <b/>
        <u val="single"/>
        <sz val="12"/>
        <rFont val="Times New Roman"/>
        <family val="1"/>
      </rPr>
      <t>):</t>
    </r>
  </si>
  <si>
    <t>9. TOTAL PROJECT COSTS</t>
  </si>
  <si>
    <t>10.  MAXIMUM MORTGAGE LOAN</t>
  </si>
  <si>
    <t xml:space="preserve">11.    55% of Basis Test: </t>
  </si>
  <si>
    <t>12. REPAYMENT OF SECOND NOTE (IFAPPLICABLE)</t>
  </si>
  <si>
    <t>Aggregate Basis:</t>
  </si>
  <si>
    <t xml:space="preserve">            Less 1st Mtg., 1st Note:</t>
  </si>
  <si>
    <t xml:space="preserve">            Equals 1st. Mtg., 2nd Note Needed:</t>
  </si>
  <si>
    <t xml:space="preserve">                    4. Debt Service on Other </t>
  </si>
  <si>
    <t>Mortgage Loans</t>
  </si>
  <si>
    <t>CONSIDERED IN DSR</t>
  </si>
  <si>
    <r>
      <t xml:space="preserve">   F</t>
    </r>
    <r>
      <rPr>
        <b/>
        <u val="single"/>
        <sz val="12"/>
        <rFont val="Times New Roman"/>
        <family val="1"/>
      </rPr>
      <t>. PRE-OPERATIONAL EXPENSES *</t>
    </r>
  </si>
  <si>
    <t xml:space="preserve">    a) Operator fees (pre-construction completion) *</t>
  </si>
  <si>
    <t xml:space="preserve">    c) Staffing and Start-up Supplies (pre-construction completion)*</t>
  </si>
  <si>
    <t xml:space="preserve">    b) Advertising and Promotion (pre-construction completion)*</t>
  </si>
  <si>
    <r>
      <t xml:space="preserve">* </t>
    </r>
    <r>
      <rPr>
        <b/>
        <sz val="14"/>
        <rFont val="Times New Roman"/>
        <family val="1"/>
      </rPr>
      <t xml:space="preserve"> Non-eligible costs in TC basis</t>
    </r>
  </si>
  <si>
    <t>130_AMT</t>
  </si>
  <si>
    <t>Inducement:J611</t>
  </si>
  <si>
    <t>130_PERC</t>
  </si>
  <si>
    <t>Inducement:A611</t>
  </si>
  <si>
    <t>NEW JERSEY HOUSING AND MORTGAGE FINANCE AGENCY</t>
  </si>
  <si>
    <t>{Page.Display_Zeros No}</t>
  </si>
  <si>
    <t>Print Script</t>
  </si>
  <si>
    <t>1A</t>
  </si>
  <si>
    <t>Inducement:H90</t>
  </si>
  <si>
    <t>{Windowsoff}{Paneloff}{Home}{let j5,@now}</t>
  </si>
  <si>
    <t>1B</t>
  </si>
  <si>
    <t>Inducement:H91</t>
  </si>
  <si>
    <t>{SelectBlock A3..j63}{SetProperty Shading,"3,0,Blend7"}</t>
  </si>
  <si>
    <t>1C</t>
  </si>
  <si>
    <t>Inducement:H92</t>
  </si>
  <si>
    <t>{Message MsgA,30,15,@now+@time(0,0,2)}</t>
  </si>
  <si>
    <t>1D</t>
  </si>
  <si>
    <t>Inducement:H93</t>
  </si>
  <si>
    <t>HMFA#</t>
  </si>
  <si>
    <t>{Print.Block "A3..j63"}{Print.DoPrint}{UNDO}</t>
  </si>
  <si>
    <t>1E</t>
  </si>
  <si>
    <t>Inducement:H94</t>
  </si>
  <si>
    <t>Commitment</t>
  </si>
  <si>
    <t xml:space="preserve">    Date:</t>
  </si>
  <si>
    <t>{SelectBlock A80..j154}{SetProperty Shading,"3,0,Blend7"}</t>
  </si>
  <si>
    <t>2A</t>
  </si>
  <si>
    <t>Inducement:H96</t>
  </si>
  <si>
    <t>Closing</t>
  </si>
  <si>
    <t>Prepared by:</t>
  </si>
  <si>
    <t>{Message MsgB,30,15,@now+@time(0,0,2)}</t>
  </si>
  <si>
    <t>2B</t>
  </si>
  <si>
    <t>Inducement:H97</t>
  </si>
  <si>
    <t>Reviewed by:</t>
  </si>
  <si>
    <t>{Print.Block "A:A80..j154"}{Print.DoPrint}{UNDO}</t>
  </si>
  <si>
    <t>2C</t>
  </si>
  <si>
    <t>Inducement:H98</t>
  </si>
  <si>
    <t>{SelectBlock A160..j225}{SetProperty Shading,"3,0,Blend7"}</t>
  </si>
  <si>
    <t>2D</t>
  </si>
  <si>
    <t>Inducement:H99</t>
  </si>
  <si>
    <t>{Message MsgC,30,15,@now+@time(0,0,2)}</t>
  </si>
  <si>
    <t>2E</t>
  </si>
  <si>
    <t>Inducement:H100</t>
  </si>
  <si>
    <t>{Print.Block "A160..j225"}{Print.DoPrint}{UNDO}</t>
  </si>
  <si>
    <t>2F</t>
  </si>
  <si>
    <t>Inducement:H101</t>
  </si>
  <si>
    <t>{SelectBlock A240..j308}{SetProperty Shading,"3,0,Blend7"}</t>
  </si>
  <si>
    <t>2G</t>
  </si>
  <si>
    <t>Inducement:H102</t>
  </si>
  <si>
    <t>{Message MsgD,30,15,@now+@time(0,0,2)}</t>
  </si>
  <si>
    <t>ACQ_CREDIT_AMT</t>
  </si>
  <si>
    <t>Inducement:E623</t>
  </si>
  <si>
    <t>{Print.Block "A240..j308"}{Print.DoPrint}{UNDO}</t>
  </si>
  <si>
    <t>ACQ_PERC</t>
  </si>
  <si>
    <t>Inducement:E615</t>
  </si>
  <si>
    <t>Municipality</t>
  </si>
  <si>
    <t xml:space="preserve">  Block No.</t>
  </si>
  <si>
    <t xml:space="preserve">   Lot No.</t>
  </si>
  <si>
    <t>{SelectBlock A320..j385}{SetProperty Shading,"3,0,Blend7"}</t>
  </si>
  <si>
    <t>ACREAGE</t>
  </si>
  <si>
    <t>Inducement:E90..Inducement:E90</t>
  </si>
  <si>
    <t>County</t>
  </si>
  <si>
    <t>{Message MsgE,30,15,@now+@time(0,0,2)}</t>
  </si>
  <si>
    <t>ACTUAL_DEV_FEE</t>
  </si>
  <si>
    <t>Inducement:E621</t>
  </si>
  <si>
    <t>{Print.Block "A320..j385"}{Print.DoPrint}{UNDO}</t>
  </si>
  <si>
    <t>AGENCY_DEBTSERV</t>
  </si>
  <si>
    <t>Inducement:F368</t>
  </si>
  <si>
    <t>Type of Construction</t>
  </si>
  <si>
    <t>{SelectBlock A404..j475}{SetProperty Shading,"3,0,Blend7"}</t>
  </si>
  <si>
    <t>BR#1</t>
  </si>
  <si>
    <t>Inducement:D48..Inducement:D48</t>
  </si>
  <si>
    <t>{Message MsgF,30,15,@now+@time(0,0,2)}</t>
  </si>
  <si>
    <t>BR#10</t>
  </si>
  <si>
    <t>Inducement:D57..Inducement:D57</t>
  </si>
  <si>
    <t>Family</t>
  </si>
  <si>
    <t>{Print.Block "A404..j475"}{Print.DoPrint}{UNDO}</t>
  </si>
  <si>
    <t>BR#2</t>
  </si>
  <si>
    <t>Inducement:D49..Inducement:D49</t>
  </si>
  <si>
    <t>Senior Citizens</t>
  </si>
  <si>
    <t>Substantial Rehab.</t>
  </si>
  <si>
    <t>{SelectBlock A477..j547}{SetProperty Shading,"3,0,Blend7"}</t>
  </si>
  <si>
    <t>BR#3</t>
  </si>
  <si>
    <t>Inducement:D50..Inducement:D50</t>
  </si>
  <si>
    <t>New Construction</t>
  </si>
  <si>
    <t>Conversion</t>
  </si>
  <si>
    <t>{Message MsgF2,30,15,@now+@time(0,0,2)}</t>
  </si>
  <si>
    <t xml:space="preserve"> </t>
  </si>
  <si>
    <t>BR#4</t>
  </si>
  <si>
    <t>Inducement:D51..Inducement:D51</t>
  </si>
  <si>
    <t>Modular</t>
  </si>
  <si>
    <t>Rehabilitation/Occupied</t>
  </si>
  <si>
    <t>E. Tax Credit Fees</t>
  </si>
  <si>
    <t>F. NEGATIVE ARBITRAGE</t>
  </si>
  <si>
    <t>H. 1) ESCROW REQUIREMENTS</t>
  </si>
  <si>
    <t>H. 2. OTHER ESCROWS</t>
  </si>
  <si>
    <t>G</t>
  </si>
  <si>
    <t>H. 1)</t>
  </si>
  <si>
    <t>H.2.</t>
  </si>
  <si>
    <t>{Print.Block "A477..j547"}{Print.DoPrint}{UNDO}</t>
  </si>
  <si>
    <t>BR#5</t>
  </si>
  <si>
    <t>Inducement:D52..Inducement:D52</t>
  </si>
  <si>
    <t>{SelectBlock A553..j626}{SetProperty Shading,"3,0,Blend7"}</t>
  </si>
  <si>
    <t>BR#6</t>
  </si>
  <si>
    <t>Inducement:D53..Inducement:D53</t>
  </si>
  <si>
    <t>No. of dwelling units</t>
  </si>
  <si>
    <t>Parking</t>
  </si>
  <si>
    <t>{Message MsgG,30,15,@now+@time(0,0,2)}</t>
  </si>
  <si>
    <t>BR#7</t>
  </si>
  <si>
    <t>Inducement:D54..Inducement:D54</t>
  </si>
  <si>
    <t>{Print.Block "A553..j629"}{Print.DoPrint}{UNDO}{home}</t>
  </si>
  <si>
    <t>BR#8</t>
  </si>
  <si>
    <t>Inducement:D55..Inducement:D55</t>
  </si>
  <si>
    <t>Total Number of Parking Spaces</t>
  </si>
  <si>
    <t>{Beep}{Beep}{Beep}</t>
  </si>
  <si>
    <t>BR#9</t>
  </si>
  <si>
    <t>Inducement:D56..Inducement:D56</t>
  </si>
  <si>
    <t>Construction Term</t>
  </si>
  <si>
    <t>(mos.)</t>
  </si>
  <si>
    <t>Ratio of parking to D.U.'s</t>
  </si>
  <si>
    <t>: 1</t>
  </si>
  <si>
    <t>CARRY%</t>
  </si>
  <si>
    <t>Inducement:C121..Inducement:C121</t>
  </si>
  <si>
    <t>Rent-up Period</t>
  </si>
  <si>
    <t>CLOSING</t>
  </si>
  <si>
    <t>Inducement:A9</t>
  </si>
  <si>
    <t>CNTRCTFE</t>
  </si>
  <si>
    <t>Inducement:H105..Inducement:H105</t>
  </si>
  <si>
    <t>COMMIT</t>
  </si>
  <si>
    <t>Inducement:A8</t>
  </si>
  <si>
    <t>CONSTERM</t>
  </si>
  <si>
    <t>Inducement:C30..Inducement:C30</t>
  </si>
  <si>
    <t>Construction Loan</t>
  </si>
  <si>
    <t>and/or Computer Charges</t>
  </si>
  <si>
    <t>CONSTR_$</t>
  </si>
  <si>
    <t>Inducement:J105..Inducement:J105</t>
  </si>
  <si>
    <t>COUNTY</t>
  </si>
  <si>
    <t>Inducement:B18..Inducement:B18</t>
  </si>
  <si>
    <t>DATE_PRP</t>
  </si>
  <si>
    <t>Inducement:F8..Inducement:F8</t>
  </si>
  <si>
    <t>DEBT_OTH</t>
  </si>
  <si>
    <t>Inducement:F371..Inducement:F371</t>
  </si>
  <si>
    <t>Cost Summary</t>
  </si>
  <si>
    <t>DEBT_SERV_A</t>
  </si>
  <si>
    <t>Inducement:H423</t>
  </si>
  <si>
    <t>;unprotect &amp; green</t>
  </si>
  <si>
    <t>{Setproperty Protection,Unprotect}</t>
  </si>
  <si>
    <t>DEBT_SERV_B</t>
  </si>
  <si>
    <t>Inducement:H439</t>
  </si>
  <si>
    <t>Cost of Land and/or Improvements</t>
  </si>
  <si>
    <t>per DU</t>
  </si>
  <si>
    <t>per Sqft.</t>
  </si>
  <si>
    <t>{Setproperty Shading,"5,0,Blend4"}</t>
  </si>
  <si>
    <t>DEBT_SERV_C</t>
  </si>
  <si>
    <t>Indem. Fee</t>
  </si>
  <si>
    <t>Home</t>
  </si>
  <si>
    <t>Funds</t>
  </si>
  <si>
    <t>Inducement:H456</t>
  </si>
  <si>
    <t>Construction Cost</t>
  </si>
  <si>
    <t>DEBT_SERV_D</t>
  </si>
  <si>
    <t>will be relying on this document as final.  I understand that any changes requested after the date of acceptance will result in the possible cancellation and/or postponement of the closing.</t>
  </si>
  <si>
    <t>(Date of Acceptance)</t>
  </si>
  <si>
    <r>
      <t xml:space="preserve">%  </t>
    </r>
    <r>
      <rPr>
        <sz val="12"/>
        <rFont val="Times New Roman"/>
        <family val="1"/>
      </rPr>
      <t xml:space="preserve">            </t>
    </r>
  </si>
  <si>
    <t>Inducement:H472</t>
  </si>
  <si>
    <t xml:space="preserve">Total Project Cost </t>
  </si>
  <si>
    <t>DEBT_SERV_E</t>
  </si>
  <si>
    <t>Inducement:H496</t>
  </si>
  <si>
    <t>DEBT_SERV_F</t>
  </si>
  <si>
    <t>Inducement:H512</t>
  </si>
  <si>
    <t xml:space="preserve">Types of </t>
  </si>
  <si>
    <t>No. of</t>
  </si>
  <si>
    <t>Unit Type</t>
  </si>
  <si>
    <t>Net</t>
  </si>
  <si>
    <t>{Application.Speedbar "i:\qpw\Form10.bar"}</t>
  </si>
  <si>
    <t xml:space="preserve">\0 - Startup Script   </t>
  </si>
  <si>
    <t>DEVFEE$</t>
  </si>
  <si>
    <t>Inducement:J106..Inducement:J106</t>
  </si>
  <si>
    <t xml:space="preserve">Residential      </t>
  </si>
  <si>
    <t>Stories</t>
  </si>
  <si>
    <t>BREAKDOWN OF COSTS AND BASIS</t>
  </si>
  <si>
    <t>REQUIRED SIGN-OFFS</t>
  </si>
  <si>
    <t>The undersigned acknowledges review of the attached Breakdown of Costs and Basis.</t>
  </si>
  <si>
    <t>Application/Re-Application, or 42(m) Determination</t>
  </si>
  <si>
    <t xml:space="preserve">Carryover </t>
  </si>
  <si>
    <t>Accountant</t>
  </si>
  <si>
    <t xml:space="preserve">    k) Furniture, Fixtures &amp; Equipment (FF&amp;E)</t>
  </si>
  <si>
    <t xml:space="preserve">    Units     </t>
  </si>
  <si>
    <t>2-Story &amp; below - $500; 3-Story &amp; above - $550</t>
  </si>
  <si>
    <t>mos.)      on           $</t>
  </si>
  <si>
    <r>
      <t xml:space="preserve">Construction Costs </t>
    </r>
    <r>
      <rPr>
        <sz val="10"/>
        <rFont val="Times New Roman"/>
        <family val="1"/>
      </rPr>
      <t>(include. Contr. Fees)</t>
    </r>
  </si>
  <si>
    <t>Contingencies</t>
  </si>
  <si>
    <t>Other Costs</t>
  </si>
  <si>
    <t>Carrying and Financing Costs</t>
  </si>
  <si>
    <t>% of Cons't Cost</t>
  </si>
  <si>
    <t>OR Cost/Unit</t>
  </si>
  <si>
    <t>should be between .75% and 2% of Construction Costs</t>
  </si>
  <si>
    <t>garage should be approx $15,000/space; parking lot around $700/space</t>
  </si>
  <si>
    <t>should be about 6% of construction costs</t>
  </si>
  <si>
    <t>5% for New Construction &amp; 10% for Rehabilitation</t>
  </si>
  <si>
    <t>should be a Maximum of 5%</t>
  </si>
  <si>
    <t>(percentage of total development costs)</t>
  </si>
  <si>
    <t>% of Total</t>
  </si>
  <si>
    <t>Devel Costs</t>
  </si>
  <si>
    <t>Should be between $15,000 &amp; $25,000 per units</t>
  </si>
  <si>
    <t>Should not exceed $250 per unit</t>
  </si>
  <si>
    <r>
      <t xml:space="preserve">    j) Contractor Overhead &amp; Profit -</t>
    </r>
    <r>
      <rPr>
        <b/>
        <sz val="12"/>
        <color indexed="10"/>
        <rFont val="Times New Roman"/>
        <family val="1"/>
      </rPr>
      <t>should not exceed 8% of construction costs - usually 2% for Overhead &amp; 6% for Profit</t>
    </r>
  </si>
  <si>
    <t>Tax Credit Amount:</t>
  </si>
  <si>
    <t>Total Eligible Basis</t>
  </si>
  <si>
    <t>Total Acquisition as a percent of Total Project Costs:</t>
  </si>
  <si>
    <t>Total Cons't Costs as a percent of Total Project Costs:</t>
  </si>
  <si>
    <t>Total Professional fees as a % of Total Project Costs:</t>
  </si>
  <si>
    <t xml:space="preserve">    e) Other: *</t>
  </si>
  <si>
    <t xml:space="preserve">    d) Other: *</t>
  </si>
  <si>
    <t>Total Pre Opt Costs as a % of Total Project Costs:</t>
  </si>
  <si>
    <t>Total Carrying/Fin. Costs as % of Total Project Costs:</t>
  </si>
  <si>
    <t>Total Costs@ PermClosing as%of Total Project Costs:</t>
  </si>
  <si>
    <t>Total Escrows as a % of Total Project Costs:</t>
  </si>
  <si>
    <r>
      <t xml:space="preserve">    e) Cost Certification/Audit - </t>
    </r>
    <r>
      <rPr>
        <b/>
        <sz val="12"/>
        <color indexed="10"/>
        <rFont val="Times New Roman"/>
        <family val="1"/>
      </rPr>
      <t>should not exceed $35,000</t>
    </r>
  </si>
  <si>
    <t>DEVELOPER FEE - CONSTRUCTION/REHAB</t>
  </si>
  <si>
    <t>DEVELOPER FEE - EXISTING BUILDING</t>
  </si>
  <si>
    <t>Mandatory Deferred Fee - Constr/Rehab</t>
  </si>
  <si>
    <t>Please indicate "Y" in appropriate box</t>
  </si>
  <si>
    <t>Family / Supported Housing Cycle = Least amount of Tax Credits Per Bedroom</t>
  </si>
  <si>
    <t>Family / Supp Hsg</t>
  </si>
  <si>
    <t>Senior Cycle = Least amount of Tax Credits Per Unit</t>
  </si>
  <si>
    <t>Senior</t>
  </si>
  <si>
    <t>Family / Supp Hsg Tie-Breaker</t>
  </si>
  <si>
    <t xml:space="preserve">Senior Tie-Breaker </t>
  </si>
  <si>
    <t>Total Development Cost</t>
  </si>
  <si>
    <t>Tie-Breaker</t>
  </si>
  <si>
    <t xml:space="preserve">Total Development Cost: </t>
  </si>
  <si>
    <t xml:space="preserve">Total # of Residential Floors </t>
  </si>
  <si>
    <t>Eligible Basis Limits (per unit)</t>
  </si>
  <si>
    <t>4 residential floors or less</t>
  </si>
  <si>
    <t>5 or 6 residential floors</t>
  </si>
  <si>
    <t>7 residential floors and above</t>
  </si>
  <si>
    <r>
      <t>6.</t>
    </r>
    <r>
      <rPr>
        <sz val="12"/>
        <color indexed="8"/>
        <rFont val="Arial"/>
        <family val="2"/>
      </rPr>
      <t> </t>
    </r>
    <r>
      <rPr>
        <u val="single"/>
        <sz val="12"/>
        <color indexed="8"/>
        <rFont val="Arial"/>
        <family val="2"/>
      </rPr>
      <t xml:space="preserve">Total Development Costs   </t>
    </r>
  </si>
  <si>
    <t xml:space="preserve">Acquisition  </t>
  </si>
  <si>
    <t>Percentage of Total Development Costs</t>
  </si>
  <si>
    <t>Construction Cost + Hard Cost Contingency + Utility Connection Fee</t>
  </si>
  <si>
    <t>**Remaining Soft Cost</t>
  </si>
  <si>
    <t>Percentage of Construction Costs</t>
  </si>
  <si>
    <t>**If the percentage of soft costs are over 20%, please justify what could have caused this percentage to go over 20% (ie: escrows, negative arb, deferred developer fee)</t>
  </si>
  <si>
    <t>** Remaining Soft Cost</t>
  </si>
  <si>
    <t>Less</t>
  </si>
  <si>
    <t>Negative Arbitrage:</t>
  </si>
  <si>
    <t>COI:</t>
  </si>
  <si>
    <t>Deferred Developer Fee:</t>
  </si>
  <si>
    <t>Escrows:</t>
  </si>
  <si>
    <t>Other: ie tax credit fees</t>
  </si>
  <si>
    <t>construction interest , points</t>
  </si>
  <si>
    <t>Net Soft Cost</t>
  </si>
  <si>
    <t>BREAKOUT OF PER UNIT COST</t>
  </si>
  <si>
    <t>DU</t>
  </si>
  <si>
    <t xml:space="preserve">Eligible Soft Costs (see above </t>
  </si>
  <si>
    <t>calculation)</t>
  </si>
  <si>
    <t xml:space="preserve">Other:  (ie Davis Bacon premium or </t>
  </si>
  <si>
    <t>other extraordinary costs)</t>
  </si>
  <si>
    <t>NET TOTAL DEVELOPMENT COSTS</t>
  </si>
  <si>
    <t>FRM-CDBG</t>
  </si>
  <si>
    <t>Amt. Of FRM-CDBG/Unit:</t>
  </si>
  <si>
    <t>UTILITY ALLOWANCE METHODS (Yes or No)</t>
  </si>
  <si>
    <t xml:space="preserve">DCA Utility Allowance Chart </t>
  </si>
  <si>
    <t>Utility Company Estimates</t>
  </si>
  <si>
    <t>HUD Utility Schedule Model</t>
  </si>
  <si>
    <t>Energy Consumption Model</t>
  </si>
  <si>
    <t>Individual or Master Meter</t>
  </si>
  <si>
    <t>No. of Special Needs units</t>
  </si>
  <si>
    <t>Special Needs Population</t>
  </si>
  <si>
    <t>AGENDA REVIEW LOAN COMMITTEE</t>
  </si>
  <si>
    <t>PROJECT PRESENTATION</t>
  </si>
  <si>
    <t>Credit Officer</t>
  </si>
  <si>
    <r>
      <t>1.</t>
    </r>
    <r>
      <rPr>
        <sz val="12"/>
        <color indexed="8"/>
        <rFont val="Arial"/>
        <family val="2"/>
      </rPr>
      <t xml:space="preserve"> </t>
    </r>
    <r>
      <rPr>
        <u val="single"/>
        <sz val="12"/>
        <color indexed="8"/>
        <rFont val="Arial"/>
        <family val="2"/>
      </rPr>
      <t>Project Background:</t>
    </r>
  </si>
  <si>
    <t xml:space="preserve">Name of Sponsoring Entity: </t>
  </si>
  <si>
    <t xml:space="preserve">Name of Principal: </t>
  </si>
  <si>
    <t># of Units:</t>
  </si>
  <si>
    <t xml:space="preserve">Type of Construction: </t>
  </si>
  <si>
    <t xml:space="preserve">Market (Affordable/Market Rate/Mixed Income/etc. .. Breakout): </t>
  </si>
  <si>
    <t xml:space="preserve">Type of Population: </t>
  </si>
  <si>
    <t xml:space="preserve">Municipality: </t>
  </si>
  <si>
    <t xml:space="preserve">County: </t>
  </si>
  <si>
    <t xml:space="preserve">Type of Financing: </t>
  </si>
  <si>
    <r>
      <t xml:space="preserve">2. </t>
    </r>
    <r>
      <rPr>
        <sz val="12"/>
        <color indexed="8"/>
        <rFont val="Arial"/>
        <family val="2"/>
      </rPr>
      <t xml:space="preserve"> </t>
    </r>
    <r>
      <rPr>
        <u val="single"/>
        <sz val="12"/>
        <color indexed="8"/>
        <rFont val="Arial"/>
        <family val="2"/>
      </rPr>
      <t>Issues/Comments/Related Actions:</t>
    </r>
  </si>
  <si>
    <r>
      <t>3.</t>
    </r>
    <r>
      <rPr>
        <sz val="12"/>
        <color indexed="8"/>
        <rFont val="Arial"/>
        <family val="2"/>
      </rPr>
      <t xml:space="preserve">  </t>
    </r>
    <r>
      <rPr>
        <u val="single"/>
        <sz val="12"/>
        <color indexed="8"/>
        <rFont val="Arial"/>
        <family val="2"/>
      </rPr>
      <t>Disclosure of Current Arrearages with HMFA</t>
    </r>
  </si>
  <si>
    <t>SZL:</t>
  </si>
  <si>
    <t>Others:</t>
  </si>
  <si>
    <t>Audit:</t>
  </si>
  <si>
    <t>Budget:</t>
  </si>
  <si>
    <t>Monthly Operational Reports:</t>
  </si>
  <si>
    <r>
      <t>4.</t>
    </r>
    <r>
      <rPr>
        <sz val="12"/>
        <color indexed="8"/>
        <rFont val="Arial"/>
        <family val="2"/>
      </rPr>
      <t xml:space="preserve">  </t>
    </r>
    <r>
      <rPr>
        <u val="single"/>
        <sz val="12"/>
        <color indexed="8"/>
        <rFont val="Arial"/>
        <family val="2"/>
      </rPr>
      <t>Are they up-to-date on HMFA Subordinate Loans or NA:</t>
    </r>
  </si>
  <si>
    <r>
      <t>5.</t>
    </r>
    <r>
      <rPr>
        <sz val="12"/>
        <color indexed="8"/>
        <rFont val="Arial"/>
        <family val="2"/>
      </rPr>
      <t> </t>
    </r>
    <r>
      <rPr>
        <u val="single"/>
        <sz val="12"/>
        <color indexed="8"/>
        <rFont val="Arial"/>
        <family val="2"/>
      </rPr>
      <t>Are they up-to-date on submission of or NA:</t>
    </r>
  </si>
  <si>
    <t>Recommendations</t>
  </si>
  <si>
    <t>a.</t>
  </si>
  <si>
    <t>b.</t>
  </si>
  <si>
    <t>c.</t>
  </si>
  <si>
    <t>Has a form 10 been reviewed and approved by Tech Services?</t>
  </si>
  <si>
    <t>Has a site visit been conducted?</t>
  </si>
  <si>
    <t>Action Requested</t>
  </si>
  <si>
    <t>Attachments*</t>
  </si>
  <si>
    <t>RFA**</t>
  </si>
  <si>
    <t>Pictures***</t>
  </si>
  <si>
    <t>Form 10**</t>
  </si>
  <si>
    <t>Maps***</t>
  </si>
  <si>
    <t>Breakdown of Cost and Basis (if applicable)***</t>
  </si>
  <si>
    <t>Document Checklist***</t>
  </si>
  <si>
    <t>* Include all attachments below in Interal Agenda Review Packet</t>
  </si>
  <si>
    <t>**Send to Executive with the Project Presentation Form for Agenda Review,</t>
  </si>
  <si>
    <t>***Bring copies to Executive Agenda Review</t>
  </si>
  <si>
    <t xml:space="preserve">Total Project Cost                                             </t>
  </si>
  <si>
    <t>Minus Eligible Costs:</t>
  </si>
  <si>
    <t>Reserves</t>
  </si>
  <si>
    <t>Non Basis Off Site Improvements</t>
  </si>
  <si>
    <t>Cost Per DU</t>
  </si>
  <si>
    <t>No. of occupied units</t>
  </si>
  <si>
    <t>Average</t>
  </si>
  <si>
    <t>Basement/Crawl Space</t>
  </si>
  <si>
    <t>****Garage Parking</t>
  </si>
  <si>
    <t>****Includes only parking beneath the building and/or parking structure</t>
  </si>
  <si>
    <t xml:space="preserve">    c) Residential Structures (including all on-site improvement)</t>
  </si>
  <si>
    <t xml:space="preserve">    d) Community Building</t>
  </si>
  <si>
    <t xml:space="preserve">    c) Site Engineer</t>
  </si>
  <si>
    <t xml:space="preserve">    h) Geotechnical Consultant</t>
  </si>
  <si>
    <t xml:space="preserve">    k) Other</t>
  </si>
  <si>
    <t>DEVELOPER FEE - Constr/Rehab</t>
  </si>
  <si>
    <t>DEVELOPER FEE - Building</t>
  </si>
  <si>
    <r>
      <t xml:space="preserve">   </t>
    </r>
    <r>
      <rPr>
        <b/>
        <u val="single"/>
        <sz val="12"/>
        <rFont val="Times New Roman"/>
        <family val="1"/>
      </rPr>
      <t>C. DEVELOPERS FEE</t>
    </r>
    <r>
      <rPr>
        <sz val="12"/>
        <rFont val="Times New Roman"/>
        <family val="1"/>
      </rPr>
      <t xml:space="preserve"> - CONSTR/REHAB</t>
    </r>
  </si>
  <si>
    <r>
      <rPr>
        <b/>
        <u val="single"/>
        <sz val="12"/>
        <rFont val="Times New Roman"/>
        <family val="1"/>
      </rPr>
      <t xml:space="preserve">        DEVELOPERS FEE</t>
    </r>
    <r>
      <rPr>
        <sz val="12"/>
        <rFont val="Times New Roman"/>
        <family val="1"/>
      </rPr>
      <t xml:space="preserve"> - BUILDING</t>
    </r>
  </si>
  <si>
    <t>Amt. Paid During Construction:</t>
  </si>
  <si>
    <t>Balance to be paid thru cash flow via ROE process:</t>
  </si>
  <si>
    <t>Total Developer Fee (Form 10B):</t>
  </si>
  <si>
    <t>*Low - Rise (1 - 4), Mid/Hi - Rise (5 + stories), Townhouse or Semi-detached</t>
  </si>
  <si>
    <r>
      <t xml:space="preserve">   E</t>
    </r>
    <r>
      <rPr>
        <u val="single"/>
        <sz val="12"/>
        <rFont val="Times New Roman"/>
        <family val="1"/>
      </rPr>
      <t>. CONSTRUCTION LOAN PAYOFF:</t>
    </r>
  </si>
  <si>
    <r>
      <t xml:space="preserve">   F</t>
    </r>
    <r>
      <rPr>
        <b/>
        <u val="single"/>
        <sz val="12"/>
        <rFont val="Times New Roman"/>
        <family val="1"/>
      </rPr>
      <t xml:space="preserve">. </t>
    </r>
    <r>
      <rPr>
        <u val="single"/>
        <sz val="12"/>
        <rFont val="Times New Roman"/>
        <family val="1"/>
      </rPr>
      <t>Construction Loan Interest Due(per diem)</t>
    </r>
  </si>
  <si>
    <r>
      <t xml:space="preserve">  </t>
    </r>
    <r>
      <rPr>
        <b/>
        <sz val="12"/>
        <rFont val="Times New Roman"/>
        <family val="1"/>
      </rPr>
      <t xml:space="preserve"> G</t>
    </r>
    <r>
      <rPr>
        <b/>
        <u val="single"/>
        <sz val="12"/>
        <rFont val="Times New Roman"/>
        <family val="1"/>
      </rPr>
      <t>.</t>
    </r>
    <r>
      <rPr>
        <u val="single"/>
        <sz val="12"/>
        <rFont val="Times New Roman"/>
        <family val="1"/>
      </rPr>
      <t xml:space="preserve"> Negative Arbitrage </t>
    </r>
  </si>
  <si>
    <r>
      <t xml:space="preserve">   H</t>
    </r>
    <r>
      <rPr>
        <b/>
        <u val="single"/>
        <sz val="12"/>
        <rFont val="Times New Roman"/>
        <family val="1"/>
      </rPr>
      <t>.</t>
    </r>
    <r>
      <rPr>
        <u val="single"/>
        <sz val="12"/>
        <rFont val="Times New Roman"/>
        <family val="1"/>
      </rPr>
      <t xml:space="preserve"> Cost of Issuance </t>
    </r>
  </si>
  <si>
    <r>
      <t xml:space="preserve">   I. </t>
    </r>
    <r>
      <rPr>
        <u val="single"/>
        <sz val="12"/>
        <rFont val="Times New Roman"/>
        <family val="1"/>
      </rPr>
      <t xml:space="preserve">Reimbursement of any Indemification Fee not dedicated to other costs </t>
    </r>
  </si>
  <si>
    <r>
      <t xml:space="preserve">   J. </t>
    </r>
    <r>
      <rPr>
        <u val="single"/>
        <sz val="12"/>
        <rFont val="Times New Roman"/>
        <family val="1"/>
      </rPr>
      <t>TAX CREDIT FEES</t>
    </r>
  </si>
  <si>
    <r>
      <t xml:space="preserve">   K.</t>
    </r>
    <r>
      <rPr>
        <b/>
        <u val="single"/>
        <sz val="12"/>
        <rFont val="Times New Roman"/>
        <family val="1"/>
      </rPr>
      <t xml:space="preserve"> </t>
    </r>
    <r>
      <rPr>
        <u val="single"/>
        <sz val="12"/>
        <rFont val="Times New Roman"/>
        <family val="1"/>
      </rPr>
      <t>R.E. Taxes due &amp; Payable at Closing</t>
    </r>
  </si>
  <si>
    <r>
      <t xml:space="preserve">   L. </t>
    </r>
    <r>
      <rPr>
        <u val="single"/>
        <sz val="12"/>
        <rFont val="Times New Roman"/>
        <family val="1"/>
      </rPr>
      <t>Title Insurance</t>
    </r>
  </si>
  <si>
    <r>
      <t xml:space="preserve">   M. </t>
    </r>
    <r>
      <rPr>
        <u val="single"/>
        <sz val="12"/>
        <rFont val="Times New Roman"/>
        <family val="1"/>
      </rPr>
      <t>HMFA Loan per diem interest on NOTE I (if applicable)</t>
    </r>
  </si>
  <si>
    <r>
      <t xml:space="preserve">   N. </t>
    </r>
    <r>
      <rPr>
        <u val="single"/>
        <sz val="12"/>
        <rFont val="Times New Roman"/>
        <family val="1"/>
      </rPr>
      <t>Outstanding Payments to Professional &amp; Sub-contractors</t>
    </r>
  </si>
  <si>
    <t xml:space="preserve">   O. Payment and Performance Bond, 30% Warranty Bond, or 10% Letter of Credit</t>
  </si>
  <si>
    <t xml:space="preserve">   P. Other Fees:</t>
  </si>
  <si>
    <r>
      <t xml:space="preserve">   Q</t>
    </r>
    <r>
      <rPr>
        <b/>
        <u val="single"/>
        <sz val="12"/>
        <rFont val="Times New Roman"/>
        <family val="1"/>
      </rPr>
      <t>. ESCROW REQUIREMENTS:</t>
    </r>
  </si>
  <si>
    <t>(15% - 30% of total salaries)</t>
  </si>
  <si>
    <t>(10% of total salaries)</t>
  </si>
  <si>
    <t>(2% - 3% of total salaries)</t>
  </si>
  <si>
    <t>Non-Deferred Amt:</t>
  </si>
  <si>
    <t>Non-Deferred Amt on Building Acq Not to Exceeed 2% :</t>
  </si>
  <si>
    <t>Other</t>
  </si>
  <si>
    <t>Deferred Developer Fee</t>
  </si>
  <si>
    <r>
      <t xml:space="preserve">  </t>
    </r>
    <r>
      <rPr>
        <b/>
        <sz val="12"/>
        <rFont val="Times New Roman"/>
        <family val="1"/>
      </rPr>
      <t xml:space="preserve"> D</t>
    </r>
    <r>
      <rPr>
        <b/>
        <u val="single"/>
        <sz val="12"/>
        <rFont val="Times New Roman"/>
        <family val="1"/>
      </rPr>
      <t>.</t>
    </r>
    <r>
      <rPr>
        <u val="single"/>
        <sz val="12"/>
        <rFont val="Times New Roman"/>
        <family val="1"/>
      </rPr>
      <t xml:space="preserve"> Special Needs Financing Fee </t>
    </r>
    <r>
      <rPr>
        <u val="single"/>
        <sz val="18"/>
        <rFont val="Times New Roman"/>
        <family val="1"/>
      </rPr>
      <t>*</t>
    </r>
  </si>
  <si>
    <t>AVG AFFORDABILITY</t>
  </si>
  <si>
    <t>+</t>
  </si>
  <si>
    <t>Garage Parking for Tax Credit Residents</t>
  </si>
  <si>
    <t>TOTAL ELIGIBLE BASIS LIMIT</t>
  </si>
  <si>
    <t>HERA basis boost</t>
  </si>
  <si>
    <t xml:space="preserve">    Neg. Arb, Cost of Issuance</t>
  </si>
  <si>
    <t xml:space="preserve">    FF &amp; E</t>
  </si>
  <si>
    <t xml:space="preserve">Mandatory Deferred Fee - Existing Building </t>
  </si>
  <si>
    <t>Development Cost / Unit**</t>
  </si>
  <si>
    <t>**see QAP for per unit cost caps</t>
  </si>
  <si>
    <t>Community Service Exclusion</t>
  </si>
  <si>
    <t xml:space="preserve">    FF &amp; E:   </t>
  </si>
  <si>
    <t>Tiebreaker #1:</t>
  </si>
  <si>
    <r>
      <t xml:space="preserve">*Note: Only income qualified units are eligible </t>
    </r>
    <r>
      <rPr>
        <b/>
        <i/>
        <u val="single"/>
        <sz val="20"/>
        <color indexed="10"/>
        <rFont val="Times New Roman"/>
        <family val="1"/>
      </rPr>
      <t>(DO NOT include Super's unit).</t>
    </r>
  </si>
  <si>
    <t>Projects in the Supportive Housing Cycle</t>
  </si>
  <si>
    <r>
      <t xml:space="preserve">Substantial v. Minimum Rehabilitation  </t>
    </r>
    <r>
      <rPr>
        <b/>
        <sz val="17"/>
        <rFont val="Times New Roman"/>
        <family val="1"/>
      </rPr>
      <t>(NOTE: Minimum Rehab. is defined as less than $25,000/unit)</t>
    </r>
  </si>
  <si>
    <r>
      <t xml:space="preserve">                                       </t>
    </r>
    <r>
      <rPr>
        <b/>
        <sz val="12"/>
        <rFont val="Times New Roman"/>
        <family val="1"/>
      </rPr>
      <t xml:space="preserve"> (Director of Asset Management)</t>
    </r>
  </si>
  <si>
    <r>
      <t xml:space="preserve">                      (Director of Asset Management - </t>
    </r>
    <r>
      <rPr>
        <u val="single"/>
        <sz val="12"/>
        <rFont val="Times New Roman"/>
        <family val="1"/>
      </rPr>
      <t>Expenses Only</t>
    </r>
    <r>
      <rPr>
        <sz val="12"/>
        <rFont val="Times New Roman"/>
        <family val="1"/>
      </rPr>
      <t>)</t>
    </r>
  </si>
  <si>
    <t>Income Averaging</t>
  </si>
  <si>
    <t>Director of Technical Services</t>
  </si>
  <si>
    <t>Managing Director of Multifamily</t>
  </si>
  <si>
    <t>Chief of Multifamily</t>
  </si>
  <si>
    <t xml:space="preserve">    l) Other</t>
  </si>
  <si>
    <t xml:space="preserve">    i) Green Consultant</t>
  </si>
  <si>
    <t xml:space="preserve">    k) Surveyor</t>
  </si>
  <si>
    <t xml:space="preserve">    Green Consultant</t>
  </si>
  <si>
    <t>Director of Multifamily</t>
  </si>
  <si>
    <t xml:space="preserve">By: </t>
  </si>
  <si>
    <t xml:space="preserve">Donna Spencer, Director of Multifamily </t>
  </si>
  <si>
    <t>Supportive Housing and Lending Division</t>
  </si>
  <si>
    <t xml:space="preserve">Tanya Hudson-Murray, Managing Director of </t>
  </si>
  <si>
    <t>Multifamily</t>
  </si>
  <si>
    <t>Money Follows the Person             $</t>
  </si>
  <si>
    <t>Special Needs Program Funds         $</t>
  </si>
  <si>
    <t xml:space="preserve">FRM-CDBG </t>
  </si>
  <si>
    <t>* Should be between $57 &amp; $73 per unit per month</t>
  </si>
  <si>
    <t>AHGSP</t>
  </si>
  <si>
    <t>Amount of AHGSP/Unit:</t>
  </si>
  <si>
    <t xml:space="preserve">MULTI-FAMILY - with or without TAX CREDITS </t>
  </si>
  <si>
    <r>
      <t>SCHEDULE 10-A: PROJECT DESCRIPTION</t>
    </r>
    <r>
      <rPr>
        <b/>
        <sz val="18"/>
        <color indexed="58"/>
        <rFont val="Times New Roman"/>
        <family val="1"/>
      </rPr>
      <t xml:space="preserve">   </t>
    </r>
    <r>
      <rPr>
        <b/>
        <u val="single"/>
        <sz val="18"/>
        <color indexed="30"/>
        <rFont val="Times New Roman"/>
        <family val="1"/>
      </rPr>
      <t>PERMANENT ONLY LOAN</t>
    </r>
  </si>
  <si>
    <t xml:space="preserve">               2022 ELIGIBLE BASIS LIMITS WORKSHEET                  </t>
  </si>
  <si>
    <t>BREAKDOWN OF COSTS &amp; BASIS -- 2022</t>
  </si>
  <si>
    <t>CARRYOVER -- 2022</t>
  </si>
  <si>
    <t>2022 TIEBREAKER WORKSHEET</t>
  </si>
  <si>
    <t>2022 CONTRACTOR FEE LIMITS</t>
  </si>
  <si>
    <t>CALENDAR YEAR -- 2022</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</si>
</sst>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
    <numFmt numFmtId="166" formatCode="00000"/>
    <numFmt numFmtId="167" formatCode="mmmm\ d\,\ yyyy"/>
    <numFmt numFmtId="168" formatCode="#,##0.00000_);\(#,##0.00000\)"/>
    <numFmt numFmtId="169" formatCode="#,##0.000_);\(#,##0.000\)"/>
    <numFmt numFmtId="170" formatCode="&quot;Yes&quot;;&quot;Yes&quot;;&quot;No&quot;"/>
    <numFmt numFmtId="171" formatCode="&quot;True&quot;;&quot;True&quot;;&quot;False&quot;"/>
    <numFmt numFmtId="172" formatCode="&quot;On&quot;;&quot;On&quot;;&quot;Off&quot;"/>
    <numFmt numFmtId="173" formatCode="&quot;$&quot;#.00"/>
    <numFmt numFmtId="174" formatCode="%#.00"/>
    <numFmt numFmtId="175" formatCode="#.00"/>
    <numFmt numFmtId="176" formatCode="&quot;$&quot;#"/>
    <numFmt numFmtId="177" formatCode="&quot;$&quot;#,##0\ ;\(&quot;$&quot;#,##0\)"/>
    <numFmt numFmtId="178" formatCode="&quot;$&quot;#,##0\ ;[Red]\(&quot;$&quot;#,##0\)"/>
    <numFmt numFmtId="179" formatCode="&quot;$&quot;#,##0.00\ ;\(&quot;$&quot;#,##0.00\)"/>
    <numFmt numFmtId="180" formatCode="&quot;$&quot;#,##0.00\ ;[Red]\(&quot;$&quot;#,##0.00\)"/>
    <numFmt numFmtId="181" formatCode="#\ ??"/>
    <numFmt numFmtId="182" formatCode="m/d/yy"/>
    <numFmt numFmtId="183" formatCode="m/d/yy\ h:mm"/>
    <numFmt numFmtId="184" formatCode="m/d"/>
    <numFmt numFmtId="185" formatCode="#,##0.0_);\(#,##0.0\)"/>
    <numFmt numFmtId="186" formatCode="#,##0.0000_);\(#,##0.0000\)"/>
    <numFmt numFmtId="187" formatCode="0.00_);\(0.00\)"/>
    <numFmt numFmtId="188" formatCode="0.0000_);\(0.0000\)"/>
    <numFmt numFmtId="189" formatCode="0.0000"/>
    <numFmt numFmtId="190" formatCode="0.0000;[Red]0.0000"/>
    <numFmt numFmtId="191" formatCode="0;[Red]0"/>
    <numFmt numFmtId="192" formatCode="&quot;$&quot;#,##0"/>
    <numFmt numFmtId="193" formatCode="0.000%"/>
    <numFmt numFmtId="194" formatCode="General_)"/>
    <numFmt numFmtId="195" formatCode="0.0%"/>
    <numFmt numFmtId="196" formatCode="0_);\(0\)"/>
    <numFmt numFmtId="197" formatCode="#,##0.0000"/>
    <numFmt numFmtId="198" formatCode="0.0000%"/>
    <numFmt numFmtId="199" formatCode="&quot;$&quot;#,##0.0000"/>
    <numFmt numFmtId="200" formatCode="dd\-mmm\-yy"/>
    <numFmt numFmtId="201" formatCode="&quot;$&quot;#,##0.00"/>
    <numFmt numFmtId="202" formatCode="#,##0;[Red]#,##0"/>
    <numFmt numFmtId="203" formatCode="mm/dd/yy"/>
    <numFmt numFmtId="204" formatCode="&quot;$&quot;#,##0.0\ ;\(&quot;$&quot;#,##0.0\)"/>
    <numFmt numFmtId="205" formatCode="&quot;$&quot;#,##0;[Red]&quot;$&quot;#,##0"/>
    <numFmt numFmtId="206" formatCode="0.000000"/>
    <numFmt numFmtId="207" formatCode="&quot;$&quot;#,##0.00;[Red]&quot;$&quot;#,##0.00"/>
    <numFmt numFmtId="208" formatCode="[$-409]dddd\,\ mmmm\ dd\,\ yyyy"/>
    <numFmt numFmtId="209" formatCode="[$-409]h:mm:ss\ AM/PM"/>
    <numFmt numFmtId="210" formatCode="&quot;$&quot;#,##0.0"/>
    <numFmt numFmtId="211" formatCode="_(&quot;$&quot;* #,##0_);_(&quot;$&quot;* \(#,##0\);_(&quot;$&quot;* &quot;-&quot;??_);_(@_)"/>
  </numFmts>
  <fonts count="163">
    <font>
      <sz val="12"/>
      <name val="Arial"/>
      <family val="0"/>
    </font>
    <font>
      <sz val="18"/>
      <name val="Arial"/>
      <family val="0"/>
    </font>
    <font>
      <sz val="8"/>
      <name val="Arial"/>
      <family val="0"/>
    </font>
    <font>
      <i/>
      <sz val="12"/>
      <name val="Arial"/>
      <family val="0"/>
    </font>
    <font>
      <b/>
      <sz val="18"/>
      <name val="Arial"/>
      <family val="2"/>
    </font>
    <font>
      <b/>
      <sz val="12"/>
      <name val="Arial"/>
      <family val="2"/>
    </font>
    <font>
      <sz val="12"/>
      <name val="Times New Roman"/>
      <family val="1"/>
    </font>
    <font>
      <sz val="10"/>
      <name val="Arial"/>
      <family val="2"/>
    </font>
    <font>
      <b/>
      <u val="single"/>
      <sz val="16"/>
      <name val="Times New Roman"/>
      <family val="1"/>
    </font>
    <font>
      <b/>
      <u val="single"/>
      <sz val="18"/>
      <color indexed="16"/>
      <name val="Times New Roman"/>
      <family val="1"/>
    </font>
    <font>
      <b/>
      <sz val="12"/>
      <name val="Times New Roman"/>
      <family val="1"/>
    </font>
    <font>
      <b/>
      <u val="single"/>
      <sz val="12"/>
      <name val="Times New Roman"/>
      <family val="1"/>
    </font>
    <font>
      <sz val="18"/>
      <color indexed="48"/>
      <name val="Times New Roman"/>
      <family val="1"/>
    </font>
    <font>
      <u val="single"/>
      <sz val="12"/>
      <name val="Times New Roman"/>
      <family val="1"/>
    </font>
    <font>
      <sz val="18"/>
      <name val="Times New Roman"/>
      <family val="1"/>
    </font>
    <font>
      <b/>
      <i/>
      <sz val="12"/>
      <name val="Times New Roman"/>
      <family val="1"/>
    </font>
    <font>
      <b/>
      <sz val="16"/>
      <color indexed="10"/>
      <name val="Times New Roman"/>
      <family val="1"/>
    </font>
    <font>
      <b/>
      <sz val="20"/>
      <color indexed="10"/>
      <name val="Times New Roman"/>
      <family val="1"/>
    </font>
    <font>
      <b/>
      <sz val="30"/>
      <color indexed="10"/>
      <name val="Times New Roman"/>
      <family val="1"/>
    </font>
    <font>
      <b/>
      <sz val="18"/>
      <color indexed="10"/>
      <name val="Times New Roman"/>
      <family val="1"/>
    </font>
    <font>
      <b/>
      <i/>
      <u val="single"/>
      <sz val="12"/>
      <name val="Times New Roman"/>
      <family val="1"/>
    </font>
    <font>
      <b/>
      <sz val="20"/>
      <color indexed="12"/>
      <name val="Times New Roman"/>
      <family val="1"/>
    </font>
    <font>
      <b/>
      <sz val="20"/>
      <name val="Times New Roman"/>
      <family val="1"/>
    </font>
    <font>
      <b/>
      <sz val="18"/>
      <color indexed="9"/>
      <name val="Times New Roman"/>
      <family val="1"/>
    </font>
    <font>
      <b/>
      <u val="single"/>
      <sz val="18"/>
      <color indexed="58"/>
      <name val="Times New Roman"/>
      <family val="1"/>
    </font>
    <font>
      <u val="single"/>
      <sz val="7.8"/>
      <color indexed="12"/>
      <name val="Arial"/>
      <family val="2"/>
    </font>
    <font>
      <u val="single"/>
      <sz val="7.8"/>
      <color indexed="36"/>
      <name val="Arial"/>
      <family val="2"/>
    </font>
    <font>
      <b/>
      <sz val="14"/>
      <name val="Times New Roman"/>
      <family val="1"/>
    </font>
    <font>
      <b/>
      <sz val="16"/>
      <name val="Times New Roman"/>
      <family val="1"/>
    </font>
    <font>
      <sz val="14"/>
      <name val="Times New Roman"/>
      <family val="1"/>
    </font>
    <font>
      <sz val="14"/>
      <name val="Arial"/>
      <family val="2"/>
    </font>
    <font>
      <sz val="10"/>
      <name val="Times New Roman"/>
      <family val="1"/>
    </font>
    <font>
      <b/>
      <sz val="14"/>
      <name val="Arial"/>
      <family val="2"/>
    </font>
    <font>
      <u val="single"/>
      <sz val="14"/>
      <name val="Arial"/>
      <family val="2"/>
    </font>
    <font>
      <b/>
      <u val="single"/>
      <sz val="12"/>
      <name val="Arial"/>
      <family val="2"/>
    </font>
    <font>
      <u val="single"/>
      <sz val="10"/>
      <name val="Arial"/>
      <family val="2"/>
    </font>
    <font>
      <b/>
      <sz val="10"/>
      <name val="Arial"/>
      <family val="2"/>
    </font>
    <font>
      <u val="single"/>
      <sz val="12"/>
      <name val="Arial"/>
      <family val="2"/>
    </font>
    <font>
      <b/>
      <u val="single"/>
      <sz val="14"/>
      <name val="Arial"/>
      <family val="2"/>
    </font>
    <font>
      <b/>
      <u val="single"/>
      <sz val="12"/>
      <color indexed="10"/>
      <name val="Times New Roman"/>
      <family val="1"/>
    </font>
    <font>
      <b/>
      <sz val="10"/>
      <name val="Times New Roman"/>
      <family val="1"/>
    </font>
    <font>
      <i/>
      <sz val="12"/>
      <name val="Times New Roman"/>
      <family val="1"/>
    </font>
    <font>
      <b/>
      <i/>
      <u val="single"/>
      <sz val="18"/>
      <name val="Times New Roman"/>
      <family val="1"/>
    </font>
    <font>
      <b/>
      <sz val="18"/>
      <name val="Times New Roman"/>
      <family val="1"/>
    </font>
    <font>
      <sz val="16"/>
      <name val="Times New Roman"/>
      <family val="1"/>
    </font>
    <font>
      <b/>
      <u val="single"/>
      <sz val="14"/>
      <name val="Times New Roman"/>
      <family val="1"/>
    </font>
    <font>
      <b/>
      <i/>
      <sz val="14"/>
      <name val="Times New Roman"/>
      <family val="1"/>
    </font>
    <font>
      <u val="single"/>
      <sz val="10"/>
      <name val="Times New Roman"/>
      <family val="1"/>
    </font>
    <font>
      <b/>
      <sz val="16"/>
      <name val="Arial"/>
      <family val="2"/>
    </font>
    <font>
      <sz val="20"/>
      <name val="Times New Roman"/>
      <family val="1"/>
    </font>
    <font>
      <b/>
      <sz val="26"/>
      <name val="Times New Roman"/>
      <family val="1"/>
    </font>
    <font>
      <b/>
      <i/>
      <sz val="36"/>
      <name val="Times New Roman"/>
      <family val="1"/>
    </font>
    <font>
      <sz val="20"/>
      <name val="Arial"/>
      <family val="2"/>
    </font>
    <font>
      <b/>
      <i/>
      <sz val="20"/>
      <name val="Times New Roman"/>
      <family val="1"/>
    </font>
    <font>
      <b/>
      <i/>
      <sz val="26"/>
      <name val="Times New Roman"/>
      <family val="1"/>
    </font>
    <font>
      <sz val="16"/>
      <name val="Arial"/>
      <family val="2"/>
    </font>
    <font>
      <b/>
      <i/>
      <sz val="32"/>
      <name val="Times New Roman"/>
      <family val="1"/>
    </font>
    <font>
      <b/>
      <u val="single"/>
      <sz val="18"/>
      <name val="Times New Roman"/>
      <family val="1"/>
    </font>
    <font>
      <b/>
      <i/>
      <sz val="16"/>
      <name val="Times New Roman"/>
      <family val="1"/>
    </font>
    <font>
      <b/>
      <sz val="8"/>
      <name val="Arial"/>
      <family val="2"/>
    </font>
    <font>
      <u val="single"/>
      <sz val="18"/>
      <name val="Times New Roman"/>
      <family val="1"/>
    </font>
    <font>
      <b/>
      <sz val="11"/>
      <name val="Arial"/>
      <family val="2"/>
    </font>
    <font>
      <b/>
      <i/>
      <sz val="12"/>
      <name val="Arial"/>
      <family val="2"/>
    </font>
    <font>
      <b/>
      <sz val="10"/>
      <color indexed="10"/>
      <name val="Times New Roman"/>
      <family val="1"/>
    </font>
    <font>
      <u val="single"/>
      <sz val="11"/>
      <name val="Times New Roman"/>
      <family val="1"/>
    </font>
    <font>
      <b/>
      <u val="single"/>
      <sz val="11"/>
      <name val="Arial"/>
      <family val="2"/>
    </font>
    <font>
      <b/>
      <sz val="18"/>
      <color indexed="8"/>
      <name val="Times New Roman"/>
      <family val="1"/>
    </font>
    <font>
      <sz val="10"/>
      <name val="Courier"/>
      <family val="3"/>
    </font>
    <font>
      <sz val="10"/>
      <color indexed="8"/>
      <name val="Times New Roman"/>
      <family val="1"/>
    </font>
    <font>
      <b/>
      <sz val="10"/>
      <color indexed="8"/>
      <name val="Times New Roman"/>
      <family val="1"/>
    </font>
    <font>
      <b/>
      <i/>
      <sz val="10"/>
      <color indexed="10"/>
      <name val="Times New Roman"/>
      <family val="1"/>
    </font>
    <font>
      <b/>
      <u val="single"/>
      <sz val="10"/>
      <name val="Arial"/>
      <family val="2"/>
    </font>
    <font>
      <u val="single"/>
      <sz val="8"/>
      <name val="Arial"/>
      <family val="2"/>
    </font>
    <font>
      <b/>
      <u val="single"/>
      <sz val="9"/>
      <name val="Arial"/>
      <family val="2"/>
    </font>
    <font>
      <b/>
      <sz val="9"/>
      <name val="Arial"/>
      <family val="2"/>
    </font>
    <font>
      <sz val="9"/>
      <name val="Arial"/>
      <family val="2"/>
    </font>
    <font>
      <b/>
      <i/>
      <sz val="10"/>
      <color indexed="10"/>
      <name val="Arial"/>
      <family val="2"/>
    </font>
    <font>
      <u val="double"/>
      <sz val="10"/>
      <name val="Arial"/>
      <family val="2"/>
    </font>
    <font>
      <b/>
      <i/>
      <sz val="9"/>
      <color indexed="10"/>
      <name val="Arial"/>
      <family val="2"/>
    </font>
    <font>
      <b/>
      <sz val="10"/>
      <color indexed="10"/>
      <name val="Arial"/>
      <family val="2"/>
    </font>
    <font>
      <sz val="9"/>
      <color indexed="10"/>
      <name val="Arial"/>
      <family val="2"/>
    </font>
    <font>
      <b/>
      <u val="single"/>
      <sz val="10"/>
      <color indexed="10"/>
      <name val="Arial"/>
      <family val="2"/>
    </font>
    <font>
      <sz val="8"/>
      <color indexed="10"/>
      <name val="Arial"/>
      <family val="2"/>
    </font>
    <font>
      <u val="single"/>
      <sz val="8"/>
      <color indexed="10"/>
      <name val="Arial"/>
      <family val="2"/>
    </font>
    <font>
      <u val="single"/>
      <sz val="9"/>
      <color indexed="10"/>
      <name val="Arial"/>
      <family val="2"/>
    </font>
    <font>
      <b/>
      <u val="single"/>
      <sz val="9"/>
      <color indexed="10"/>
      <name val="Arial"/>
      <family val="2"/>
    </font>
    <font>
      <u val="single"/>
      <sz val="10"/>
      <color indexed="60"/>
      <name val="Arial"/>
      <family val="2"/>
    </font>
    <font>
      <u val="single"/>
      <sz val="9"/>
      <color indexed="60"/>
      <name val="Arial"/>
      <family val="2"/>
    </font>
    <font>
      <sz val="10"/>
      <color indexed="10"/>
      <name val="Arial"/>
      <family val="2"/>
    </font>
    <font>
      <sz val="11"/>
      <name val="Arial"/>
      <family val="2"/>
    </font>
    <font>
      <sz val="8"/>
      <name val="Tahoma"/>
      <family val="2"/>
    </font>
    <font>
      <b/>
      <i/>
      <sz val="10"/>
      <name val="Arial"/>
      <family val="2"/>
    </font>
    <font>
      <b/>
      <sz val="17"/>
      <name val="Times New Roman"/>
      <family val="1"/>
    </font>
    <font>
      <b/>
      <sz val="12"/>
      <color indexed="10"/>
      <name val="Times New Roman"/>
      <family val="1"/>
    </font>
    <font>
      <i/>
      <sz val="20"/>
      <name val="Arial"/>
      <family val="2"/>
    </font>
    <font>
      <sz val="12"/>
      <color indexed="8"/>
      <name val="Arial"/>
      <family val="2"/>
    </font>
    <font>
      <u val="single"/>
      <sz val="12"/>
      <color indexed="8"/>
      <name val="Arial"/>
      <family val="2"/>
    </font>
    <font>
      <b/>
      <sz val="11"/>
      <color indexed="8"/>
      <name val="Times New Roman"/>
      <family val="1"/>
    </font>
    <font>
      <b/>
      <i/>
      <u val="single"/>
      <sz val="20"/>
      <color indexed="10"/>
      <name val="Times New Roman"/>
      <family val="1"/>
    </font>
    <font>
      <b/>
      <sz val="11.5"/>
      <name val="Times New Roman"/>
      <family val="1"/>
    </font>
    <font>
      <b/>
      <u val="single"/>
      <sz val="18"/>
      <color indexed="30"/>
      <name val="Times New Roman"/>
      <family val="1"/>
    </font>
    <font>
      <b/>
      <sz val="18"/>
      <color indexed="5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Arial"/>
      <family val="2"/>
    </font>
    <font>
      <sz val="11"/>
      <color indexed="8"/>
      <name val="Arial"/>
      <family val="2"/>
    </font>
    <font>
      <sz val="10"/>
      <color indexed="22"/>
      <name val="Arial"/>
      <family val="2"/>
    </font>
    <font>
      <sz val="12"/>
      <color indexed="10"/>
      <name val="Times New Roman"/>
      <family val="1"/>
    </font>
    <font>
      <i/>
      <sz val="11.5"/>
      <color indexed="10"/>
      <name val="Times New Roman"/>
      <family val="1"/>
    </font>
    <font>
      <b/>
      <u val="single"/>
      <sz val="10"/>
      <color indexed="62"/>
      <name val="Times New Roman"/>
      <family val="1"/>
    </font>
    <font>
      <b/>
      <u val="single"/>
      <sz val="12"/>
      <color indexed="62"/>
      <name val="Times New Roman"/>
      <family val="1"/>
    </font>
    <font>
      <sz val="18"/>
      <color indexed="62"/>
      <name val="Times New Roman"/>
      <family val="1"/>
    </font>
    <font>
      <u val="single"/>
      <sz val="12"/>
      <color indexed="62"/>
      <name val="Times New Roman"/>
      <family val="1"/>
    </font>
    <font>
      <sz val="12"/>
      <color indexed="9"/>
      <name val="Arial"/>
      <family val="2"/>
    </font>
    <font>
      <sz val="10"/>
      <color indexed="9"/>
      <name val="Times New Roman"/>
      <family val="1"/>
    </font>
    <font>
      <sz val="10"/>
      <color indexed="55"/>
      <name val="Arial"/>
      <family val="2"/>
    </font>
    <font>
      <i/>
      <sz val="12"/>
      <color indexed="22"/>
      <name val="Times New Roman"/>
      <family val="1"/>
    </font>
    <font>
      <i/>
      <sz val="12"/>
      <color indexed="55"/>
      <name val="Times New Roman"/>
      <family val="1"/>
    </font>
    <font>
      <b/>
      <i/>
      <sz val="20"/>
      <color indexed="10"/>
      <name val="Times New Roman"/>
      <family val="1"/>
    </font>
    <font>
      <sz val="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2"/>
      <color rgb="FFFF0000"/>
      <name val="Times New Roman"/>
      <family val="1"/>
    </font>
    <font>
      <b/>
      <sz val="12"/>
      <color theme="1"/>
      <name val="Arial"/>
      <family val="2"/>
    </font>
    <font>
      <sz val="12"/>
      <color theme="1"/>
      <name val="Arial"/>
      <family val="2"/>
    </font>
    <font>
      <sz val="11"/>
      <color theme="1"/>
      <name val="Arial"/>
      <family val="2"/>
    </font>
    <font>
      <sz val="10"/>
      <color theme="0" tint="-0.1499900072813034"/>
      <name val="Arial"/>
      <family val="2"/>
    </font>
    <font>
      <sz val="12"/>
      <color rgb="FFFF0000"/>
      <name val="Times New Roman"/>
      <family val="1"/>
    </font>
    <font>
      <i/>
      <sz val="11.5"/>
      <color rgb="FFFF0000"/>
      <name val="Times New Roman"/>
      <family val="1"/>
    </font>
    <font>
      <b/>
      <u val="single"/>
      <sz val="10"/>
      <color theme="4"/>
      <name val="Times New Roman"/>
      <family val="1"/>
    </font>
    <font>
      <b/>
      <u val="single"/>
      <sz val="12"/>
      <color theme="4"/>
      <name val="Times New Roman"/>
      <family val="1"/>
    </font>
    <font>
      <sz val="18"/>
      <color theme="4"/>
      <name val="Times New Roman"/>
      <family val="1"/>
    </font>
    <font>
      <u val="single"/>
      <sz val="12"/>
      <color theme="4"/>
      <name val="Times New Roman"/>
      <family val="1"/>
    </font>
    <font>
      <sz val="12"/>
      <color theme="0"/>
      <name val="Arial"/>
      <family val="2"/>
    </font>
    <font>
      <sz val="10"/>
      <color theme="0"/>
      <name val="Times New Roman"/>
      <family val="1"/>
    </font>
    <font>
      <sz val="10"/>
      <color theme="0" tint="-0.3499799966812134"/>
      <name val="Arial"/>
      <family val="2"/>
    </font>
    <font>
      <i/>
      <sz val="12"/>
      <color theme="0" tint="-0.1499900072813034"/>
      <name val="Times New Roman"/>
      <family val="1"/>
    </font>
    <font>
      <i/>
      <sz val="12"/>
      <color theme="0" tint="-0.3499799966812134"/>
      <name val="Times New Roman"/>
      <family val="1"/>
    </font>
    <font>
      <b/>
      <i/>
      <sz val="20"/>
      <color rgb="FFFF0000"/>
      <name val="Times New Roman"/>
      <family val="1"/>
    </font>
  </fonts>
  <fills count="7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Trellis">
        <fgColor indexed="13"/>
        <bgColor indexed="9"/>
      </patternFill>
    </fill>
    <fill>
      <patternFill patternType="lightDown">
        <fgColor indexed="9"/>
        <bgColor indexed="13"/>
      </patternFill>
    </fill>
    <fill>
      <patternFill patternType="solid">
        <fgColor indexed="58"/>
        <bgColor indexed="64"/>
      </patternFill>
    </fill>
    <fill>
      <patternFill patternType="darkTrellis">
        <fgColor indexed="11"/>
        <bgColor indexed="9"/>
      </patternFill>
    </fill>
    <fill>
      <patternFill patternType="solid">
        <fgColor indexed="9"/>
        <bgColor indexed="64"/>
      </patternFill>
    </fill>
    <fill>
      <patternFill patternType="darkTrellis">
        <fgColor indexed="9"/>
        <bgColor indexed="9"/>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lightUp">
        <fgColor indexed="9"/>
        <bgColor indexed="9"/>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mediumGray">
        <fgColor indexed="9"/>
        <bgColor indexed="9"/>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mediumGray"/>
    </fill>
    <fill>
      <patternFill patternType="solid">
        <fgColor indexed="65"/>
        <bgColor indexed="64"/>
      </patternFill>
    </fill>
    <fill>
      <patternFill patternType="mediumGray">
        <bgColor indexed="9"/>
      </patternFill>
    </fill>
    <fill>
      <patternFill patternType="lightTrellis"/>
    </fill>
    <fill>
      <patternFill patternType="solid">
        <fgColor rgb="FFFFFF9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s>
  <borders count="1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style="double">
        <color indexed="8"/>
      </left>
      <right style="double">
        <color indexed="8"/>
      </right>
      <top style="double">
        <color indexed="8"/>
      </top>
      <bottom style="double">
        <color indexed="8"/>
      </bottom>
    </border>
    <border>
      <left style="thick">
        <color indexed="8"/>
      </left>
      <right style="thick">
        <color indexed="8"/>
      </right>
      <top style="thick">
        <color indexed="8"/>
      </top>
      <bottom style="thick">
        <color indexed="8"/>
      </bottom>
    </border>
    <border>
      <left>
        <color indexed="63"/>
      </left>
      <right>
        <color indexed="63"/>
      </right>
      <top>
        <color indexed="63"/>
      </top>
      <bottom style="thick">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thin"/>
    </border>
    <border>
      <left style="thin">
        <color indexed="8"/>
      </left>
      <right>
        <color indexed="63"/>
      </right>
      <top style="thin"/>
      <bottom style="thin"/>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bottom style="thin"/>
    </border>
    <border>
      <left style="thin">
        <color indexed="8"/>
      </left>
      <right style="thin">
        <color indexed="8"/>
      </right>
      <top style="thin">
        <color indexed="8"/>
      </top>
      <bottom style="thin"/>
    </border>
    <border>
      <left style="thin"/>
      <right style="thin">
        <color indexed="8"/>
      </right>
      <top style="thin"/>
      <bottom style="thin"/>
    </border>
    <border>
      <left>
        <color indexed="63"/>
      </left>
      <right>
        <color indexed="63"/>
      </right>
      <top>
        <color indexed="63"/>
      </top>
      <bottom style="hair"/>
    </border>
    <border>
      <left style="hair"/>
      <right>
        <color indexed="63"/>
      </right>
      <top>
        <color indexed="63"/>
      </top>
      <bottom style="thin"/>
    </border>
    <border>
      <left>
        <color indexed="63"/>
      </left>
      <right style="hair"/>
      <top style="thin"/>
      <bottom style="thin"/>
    </border>
    <border>
      <left style="thin"/>
      <right style="thin"/>
      <top style="thin"/>
      <bottom style="thin"/>
    </border>
    <border>
      <left style="thin"/>
      <right style="thin"/>
      <top style="thin"/>
      <bottom style="double"/>
    </border>
    <border>
      <left style="medium">
        <color indexed="8"/>
      </left>
      <right style="medium">
        <color indexed="8"/>
      </right>
      <top style="medium">
        <color indexed="8"/>
      </top>
      <bottom style="medium">
        <color indexed="8"/>
      </bottom>
    </border>
    <border>
      <left style="medium"/>
      <right style="medium"/>
      <top style="medium"/>
      <bottom style="medium"/>
    </border>
    <border>
      <left>
        <color indexed="63"/>
      </left>
      <right>
        <color indexed="63"/>
      </right>
      <top>
        <color indexed="63"/>
      </top>
      <bottom style="slantDashDot"/>
    </border>
    <border>
      <left>
        <color indexed="63"/>
      </left>
      <right style="thick"/>
      <top>
        <color indexed="63"/>
      </top>
      <bottom>
        <color indexed="63"/>
      </bottom>
    </border>
    <border>
      <left>
        <color indexed="63"/>
      </left>
      <right style="thick"/>
      <top>
        <color indexed="63"/>
      </top>
      <bottom style="double"/>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hair"/>
      <top style="thin"/>
      <bottom style="double"/>
    </border>
    <border>
      <left style="thick"/>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color indexed="63"/>
      </top>
      <bottom style="thin"/>
    </border>
    <border>
      <left>
        <color indexed="63"/>
      </left>
      <right style="thin"/>
      <top>
        <color indexed="63"/>
      </top>
      <bottom style="double"/>
    </border>
    <border>
      <left>
        <color indexed="63"/>
      </left>
      <right style="thin"/>
      <top style="thin"/>
      <bottom style="medium"/>
    </border>
    <border>
      <left style="thin"/>
      <right style="hair"/>
      <top style="hair"/>
      <bottom style="hair"/>
    </border>
    <border>
      <left style="hair"/>
      <right style="hair"/>
      <top style="hair"/>
      <bottom style="hair"/>
    </border>
    <border>
      <left>
        <color indexed="63"/>
      </left>
      <right>
        <color indexed="63"/>
      </right>
      <top style="thick"/>
      <bottom>
        <color indexed="63"/>
      </bottom>
    </border>
    <border>
      <left style="thin"/>
      <right style="hair"/>
      <top style="thin"/>
      <bottom style="dashDot"/>
    </border>
    <border>
      <left style="hair"/>
      <right style="hair"/>
      <top style="thin"/>
      <bottom style="dashDot"/>
    </border>
    <border>
      <left style="hair"/>
      <right style="thin"/>
      <top style="thin"/>
      <bottom style="dashDot"/>
    </border>
    <border>
      <left style="thin"/>
      <right style="thin"/>
      <top style="thin"/>
      <bottom style="dashDot"/>
    </border>
    <border>
      <left style="thin"/>
      <right style="hair"/>
      <top>
        <color indexed="63"/>
      </top>
      <bottom style="thin"/>
    </border>
    <border>
      <left style="hair"/>
      <right style="hair"/>
      <top>
        <color indexed="63"/>
      </top>
      <bottom style="thin"/>
    </border>
    <border>
      <left style="thin"/>
      <right style="hair"/>
      <top style="thin"/>
      <bottom style="hair"/>
    </border>
    <border>
      <left>
        <color indexed="63"/>
      </left>
      <right style="hair"/>
      <top style="thin"/>
      <bottom style="hair"/>
    </border>
    <border>
      <left style="hair"/>
      <right>
        <color indexed="63"/>
      </right>
      <top style="thin"/>
      <bottom style="hair"/>
    </border>
    <border>
      <left style="thin"/>
      <right>
        <color indexed="63"/>
      </right>
      <top style="thick"/>
      <bottom>
        <color indexed="63"/>
      </bottom>
    </border>
    <border>
      <left style="thick"/>
      <right>
        <color indexed="63"/>
      </right>
      <top style="thin"/>
      <bottom>
        <color indexed="63"/>
      </bottom>
    </border>
    <border>
      <left>
        <color indexed="63"/>
      </left>
      <right style="hair">
        <color indexed="8"/>
      </right>
      <top>
        <color indexed="63"/>
      </top>
      <bottom style="thin">
        <color indexed="8"/>
      </bottom>
    </border>
    <border>
      <left style="hair"/>
      <right style="hair"/>
      <top style="thin"/>
      <bottom style="thin"/>
    </border>
    <border>
      <left style="thin"/>
      <right>
        <color indexed="63"/>
      </right>
      <top style="hair"/>
      <bottom style="hair"/>
    </border>
    <border>
      <left>
        <color indexed="63"/>
      </left>
      <right style="thin"/>
      <top>
        <color indexed="63"/>
      </top>
      <bottom style="hair"/>
    </border>
    <border>
      <left style="hair"/>
      <right>
        <color indexed="63"/>
      </right>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thin"/>
      <top style="thin"/>
      <bottom style="thin"/>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style="hair"/>
      <top style="hair"/>
      <bottom style="thin"/>
    </border>
    <border>
      <left style="hair"/>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hair"/>
      <right style="thin"/>
      <top style="hair"/>
      <bottom style="hair"/>
    </border>
    <border>
      <left style="hair"/>
      <right>
        <color indexed="63"/>
      </right>
      <top style="hair"/>
      <bottom>
        <color indexed="63"/>
      </bottom>
    </border>
    <border>
      <left>
        <color indexed="63"/>
      </left>
      <right>
        <color indexed="63"/>
      </right>
      <top>
        <color indexed="63"/>
      </top>
      <bottom style="dashDotDot"/>
    </border>
    <border>
      <left style="thin"/>
      <right>
        <color indexed="63"/>
      </right>
      <top>
        <color indexed="63"/>
      </top>
      <bottom style="dashDotDot"/>
    </border>
    <border>
      <left>
        <color indexed="63"/>
      </left>
      <right>
        <color indexed="63"/>
      </right>
      <top style="hair"/>
      <bottom style="dashDotDot"/>
    </border>
    <border>
      <left>
        <color indexed="63"/>
      </left>
      <right style="thin"/>
      <top>
        <color indexed="63"/>
      </top>
      <bottom style="dashDotDot"/>
    </border>
    <border>
      <left style="hair"/>
      <right style="hair"/>
      <top>
        <color indexed="63"/>
      </top>
      <bottom style="hair"/>
    </border>
    <border>
      <left>
        <color indexed="63"/>
      </left>
      <right style="thin"/>
      <top style="hair"/>
      <bottom style="hair"/>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thin"/>
      <top>
        <color indexed="63"/>
      </top>
      <bottom style="hair"/>
    </border>
    <border>
      <left style="hair"/>
      <right style="hair"/>
      <top style="hair"/>
      <bottom>
        <color indexed="63"/>
      </bottom>
    </border>
    <border>
      <left style="hair"/>
      <right style="hair"/>
      <top style="hair"/>
      <bottom style="thin"/>
    </border>
    <border>
      <left>
        <color indexed="63"/>
      </left>
      <right style="thin"/>
      <top style="double"/>
      <bottom style="thin"/>
    </border>
    <border>
      <left style="double"/>
      <right style="double"/>
      <top style="double"/>
      <bottom style="double"/>
    </border>
    <border>
      <left style="thin"/>
      <right>
        <color indexed="63"/>
      </right>
      <top style="thin"/>
      <bottom style="hair"/>
    </border>
    <border>
      <left style="hair"/>
      <right style="hair"/>
      <top style="thin"/>
      <bottom style="hair"/>
    </border>
    <border>
      <left style="hair"/>
      <right style="thin"/>
      <top style="thin"/>
      <bottom style="hair"/>
    </border>
    <border>
      <left style="thin"/>
      <right>
        <color indexed="63"/>
      </right>
      <top style="hair"/>
      <bottom style="thin"/>
    </border>
    <border>
      <left style="hair"/>
      <right>
        <color indexed="63"/>
      </right>
      <top style="hair"/>
      <bottom style="thin"/>
    </border>
    <border>
      <left style="hair"/>
      <right style="thin"/>
      <top style="hair"/>
      <bottom style="thin"/>
    </border>
    <border>
      <left style="thin"/>
      <right style="hair"/>
      <top>
        <color indexed="63"/>
      </top>
      <bottom style="hair"/>
    </border>
    <border>
      <left style="hair"/>
      <right style="hair"/>
      <top style="hair"/>
      <bottom style="medium"/>
    </border>
    <border>
      <left style="hair"/>
      <right style="thin"/>
      <top style="hair"/>
      <bottom style="medium"/>
    </border>
    <border>
      <left style="thin"/>
      <right style="double"/>
      <top style="medium"/>
      <bottom style="medium"/>
    </border>
    <border>
      <left style="medium"/>
      <right>
        <color indexed="63"/>
      </right>
      <top style="medium"/>
      <bottom style="medium"/>
    </border>
    <border>
      <left style="medium"/>
      <right style="thin"/>
      <top style="medium"/>
      <bottom style="medium"/>
    </border>
    <border>
      <left>
        <color indexed="63"/>
      </left>
      <right style="thin"/>
      <top style="medium"/>
      <bottom>
        <color indexed="63"/>
      </bottom>
    </border>
    <border>
      <left style="thin"/>
      <right style="hair"/>
      <top style="hair"/>
      <bottom style="thin"/>
    </border>
    <border>
      <left style="hair"/>
      <right style="thin"/>
      <top style="hair"/>
      <bottom style="thick"/>
    </border>
    <border>
      <left style="medium"/>
      <right style="thin"/>
      <top>
        <color indexed="63"/>
      </top>
      <bottom style="medium"/>
    </border>
    <border>
      <left style="thin"/>
      <right style="hair"/>
      <top style="dashDot"/>
      <bottom style="dotted"/>
    </border>
    <border>
      <left style="hair"/>
      <right style="hair"/>
      <top style="dashDot"/>
      <bottom style="dotted"/>
    </border>
    <border>
      <left style="hair"/>
      <right>
        <color indexed="63"/>
      </right>
      <top style="dashDot"/>
      <bottom style="dotted"/>
    </border>
    <border>
      <left style="hair"/>
      <right style="thin"/>
      <top style="dashDot"/>
      <bottom style="dotted"/>
    </border>
    <border>
      <left>
        <color indexed="63"/>
      </left>
      <right style="hair"/>
      <top style="dashDot"/>
      <bottom style="dotted"/>
    </border>
    <border>
      <left>
        <color indexed="63"/>
      </left>
      <right style="thin"/>
      <top style="hair"/>
      <bottom style="thin"/>
    </border>
    <border>
      <left>
        <color indexed="63"/>
      </left>
      <right>
        <color indexed="63"/>
      </right>
      <top style="thin"/>
      <bottom style="hair"/>
    </border>
    <border>
      <left style="hair"/>
      <right style="hair"/>
      <top style="hair"/>
      <bottom style="double"/>
    </border>
    <border>
      <left>
        <color indexed="63"/>
      </left>
      <right style="hair"/>
      <top style="hair"/>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color indexed="8"/>
      </right>
      <top>
        <color indexed="63"/>
      </top>
      <bottom>
        <color indexed="63"/>
      </bottom>
    </border>
    <border>
      <left style="thin">
        <color indexed="8"/>
      </left>
      <right style="thin">
        <color indexed="8"/>
      </right>
      <top style="thin">
        <color indexed="8"/>
      </top>
      <bottom>
        <color indexed="63"/>
      </bottom>
    </border>
    <border>
      <left>
        <color indexed="63"/>
      </left>
      <right style="medium"/>
      <top>
        <color indexed="63"/>
      </top>
      <bottom style="thin"/>
    </border>
    <border>
      <left>
        <color indexed="63"/>
      </left>
      <right style="thin"/>
      <top style="hair"/>
      <bottom>
        <color indexed="63"/>
      </bottom>
    </border>
    <border>
      <left>
        <color indexed="63"/>
      </left>
      <right>
        <color indexed="63"/>
      </right>
      <top style="double"/>
      <bottom>
        <color indexed="63"/>
      </bottom>
    </border>
    <border>
      <left style="thick">
        <color indexed="8"/>
      </left>
      <right>
        <color indexed="63"/>
      </right>
      <top style="thin">
        <color indexed="8"/>
      </top>
      <bottom style="thin">
        <color indexed="8"/>
      </bottom>
    </border>
    <border>
      <left style="thick"/>
      <right>
        <color indexed="63"/>
      </right>
      <top style="thick"/>
      <bottom>
        <color indexed="63"/>
      </bottom>
    </border>
    <border>
      <left style="thin"/>
      <right style="thick"/>
      <top style="thin"/>
      <bottom>
        <color indexed="63"/>
      </bottom>
    </border>
    <border>
      <left style="thin"/>
      <right style="thick"/>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top style="thick"/>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color indexed="63"/>
      </right>
      <top>
        <color indexed="63"/>
      </top>
      <bottom>
        <color indexed="63"/>
      </bottom>
    </border>
    <border>
      <left style="thick">
        <color indexed="8"/>
      </left>
      <right>
        <color indexed="63"/>
      </right>
      <top>
        <color indexed="63"/>
      </top>
      <bottom style="thin">
        <color indexed="8"/>
      </bottom>
    </border>
    <border>
      <left>
        <color indexed="63"/>
      </left>
      <right style="thick">
        <color indexed="8"/>
      </right>
      <top>
        <color indexed="63"/>
      </top>
      <bottom style="thin">
        <color indexed="8"/>
      </bottom>
    </border>
    <border>
      <left style="thick">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ck">
        <color indexed="8"/>
      </left>
      <right style="thin">
        <color indexed="8"/>
      </right>
      <top style="thin">
        <color indexed="8"/>
      </top>
      <bottom style="thin">
        <color indexed="8"/>
      </bottom>
    </border>
    <border>
      <left>
        <color indexed="63"/>
      </left>
      <right style="thick"/>
      <top style="thick"/>
      <bottom style="thick"/>
    </border>
    <border>
      <left style="thin">
        <color indexed="8"/>
      </left>
      <right style="thin">
        <color indexed="8"/>
      </right>
      <top>
        <color indexed="63"/>
      </top>
      <bottom style="thick">
        <color indexed="8"/>
      </bottom>
    </border>
    <border>
      <left style="hair">
        <color indexed="8"/>
      </left>
      <right>
        <color indexed="63"/>
      </right>
      <top style="thin">
        <color indexed="8"/>
      </top>
      <bottom style="thin">
        <color indexed="8"/>
      </bottom>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color indexed="63"/>
      </left>
      <right>
        <color indexed="63"/>
      </right>
      <top style="thick">
        <color indexed="8"/>
      </top>
      <bottom style="thick">
        <color indexed="8"/>
      </bottom>
    </border>
    <border>
      <left>
        <color indexed="63"/>
      </left>
      <right style="thick"/>
      <top>
        <color indexed="63"/>
      </top>
      <bottom style="thin"/>
    </border>
    <border>
      <left>
        <color indexed="63"/>
      </left>
      <right>
        <color indexed="63"/>
      </right>
      <top style="medium"/>
      <bottom style="medium"/>
    </border>
    <border>
      <left>
        <color indexed="63"/>
      </left>
      <right style="thick">
        <color indexed="8"/>
      </right>
      <top>
        <color indexed="63"/>
      </top>
      <bottom style="thick"/>
    </border>
  </borders>
  <cellStyleXfs count="8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2" fillId="2" borderId="0" applyNumberFormat="0" applyBorder="0" applyAlignment="0" applyProtection="0"/>
    <xf numFmtId="0" fontId="132" fillId="3" borderId="0" applyNumberFormat="0" applyBorder="0" applyAlignment="0" applyProtection="0"/>
    <xf numFmtId="0" fontId="132" fillId="4" borderId="0" applyNumberFormat="0" applyBorder="0" applyAlignment="0" applyProtection="0"/>
    <xf numFmtId="0" fontId="132" fillId="5" borderId="0" applyNumberFormat="0" applyBorder="0" applyAlignment="0" applyProtection="0"/>
    <xf numFmtId="0" fontId="132" fillId="6" borderId="0" applyNumberFormat="0" applyBorder="0" applyAlignment="0" applyProtection="0"/>
    <xf numFmtId="0" fontId="132" fillId="7" borderId="0" applyNumberFormat="0" applyBorder="0" applyAlignment="0" applyProtection="0"/>
    <xf numFmtId="0" fontId="132" fillId="8" borderId="0" applyNumberFormat="0" applyBorder="0" applyAlignment="0" applyProtection="0"/>
    <xf numFmtId="0" fontId="132" fillId="9" borderId="0" applyNumberFormat="0" applyBorder="0" applyAlignment="0" applyProtection="0"/>
    <xf numFmtId="0" fontId="132" fillId="10" borderId="0" applyNumberFormat="0" applyBorder="0" applyAlignment="0" applyProtection="0"/>
    <xf numFmtId="0" fontId="132" fillId="11" borderId="0" applyNumberFormat="0" applyBorder="0" applyAlignment="0" applyProtection="0"/>
    <xf numFmtId="0" fontId="132" fillId="12" borderId="0" applyNumberFormat="0" applyBorder="0" applyAlignment="0" applyProtection="0"/>
    <xf numFmtId="0" fontId="132" fillId="13"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6" borderId="0" applyNumberFormat="0" applyBorder="0" applyAlignment="0" applyProtection="0"/>
    <xf numFmtId="0" fontId="133" fillId="17" borderId="0" applyNumberFormat="0" applyBorder="0" applyAlignment="0" applyProtection="0"/>
    <xf numFmtId="0" fontId="133" fillId="18" borderId="0" applyNumberFormat="0" applyBorder="0" applyAlignment="0" applyProtection="0"/>
    <xf numFmtId="0" fontId="133" fillId="19" borderId="0" applyNumberFormat="0" applyBorder="0" applyAlignment="0" applyProtection="0"/>
    <xf numFmtId="0" fontId="133" fillId="20" borderId="0" applyNumberFormat="0" applyBorder="0" applyAlignment="0" applyProtection="0"/>
    <xf numFmtId="0" fontId="133" fillId="21" borderId="0" applyNumberFormat="0" applyBorder="0" applyAlignment="0" applyProtection="0"/>
    <xf numFmtId="0" fontId="133" fillId="22" borderId="0" applyNumberFormat="0" applyBorder="0" applyAlignment="0" applyProtection="0"/>
    <xf numFmtId="0" fontId="133" fillId="23" borderId="0" applyNumberFormat="0" applyBorder="0" applyAlignment="0" applyProtection="0"/>
    <xf numFmtId="0" fontId="133" fillId="24" borderId="0" applyNumberFormat="0" applyBorder="0" applyAlignment="0" applyProtection="0"/>
    <xf numFmtId="0" fontId="133" fillId="25" borderId="0" applyNumberFormat="0" applyBorder="0" applyAlignment="0" applyProtection="0"/>
    <xf numFmtId="0" fontId="134" fillId="26" borderId="0" applyNumberFormat="0" applyBorder="0" applyAlignment="0" applyProtection="0"/>
    <xf numFmtId="0" fontId="135" fillId="27" borderId="1" applyNumberFormat="0" applyAlignment="0" applyProtection="0"/>
    <xf numFmtId="0" fontId="136" fillId="28" borderId="2" applyNumberFormat="0" applyAlignment="0" applyProtection="0"/>
    <xf numFmtId="4" fontId="0" fillId="0" borderId="0" applyFill="0" applyBorder="0" applyAlignment="0" applyProtection="0"/>
    <xf numFmtId="41" fontId="7" fillId="0" borderId="0" applyFont="0" applyFill="0" applyBorder="0" applyAlignment="0" applyProtection="0"/>
    <xf numFmtId="3" fontId="7" fillId="0" borderId="0" applyFont="0" applyFill="0" applyBorder="0" applyAlignment="0" applyProtection="0"/>
    <xf numFmtId="7" fontId="0" fillId="0" borderId="0" applyFill="0" applyBorder="0" applyAlignment="0" applyProtection="0"/>
    <xf numFmtId="42" fontId="7" fillId="0" borderId="0" applyFont="0" applyFill="0" applyBorder="0" applyAlignment="0" applyProtection="0"/>
    <xf numFmtId="179" fontId="7" fillId="29" borderId="0" applyFont="0" applyFill="0" applyBorder="0" applyAlignment="0" applyProtection="0"/>
    <xf numFmtId="179" fontId="7" fillId="29" borderId="0" applyFont="0" applyFill="0" applyBorder="0" applyAlignment="0" applyProtection="0"/>
    <xf numFmtId="179" fontId="7" fillId="29" borderId="0" applyFont="0" applyFill="0" applyBorder="0" applyAlignment="0" applyProtection="0"/>
    <xf numFmtId="5" fontId="7" fillId="0" borderId="0" applyFont="0" applyFill="0" applyBorder="0" applyAlignment="0" applyProtection="0"/>
    <xf numFmtId="177" fontId="7" fillId="29" borderId="0" applyFont="0" applyFill="0" applyBorder="0" applyAlignment="0" applyProtection="0"/>
    <xf numFmtId="177" fontId="7" fillId="29" borderId="0" applyFont="0" applyFill="0" applyBorder="0" applyAlignment="0" applyProtection="0"/>
    <xf numFmtId="0" fontId="0" fillId="0" borderId="0" applyFill="0" applyBorder="0" applyAlignment="0" applyProtection="0"/>
    <xf numFmtId="0" fontId="137" fillId="0" borderId="0" applyNumberFormat="0" applyFill="0" applyBorder="0" applyAlignment="0" applyProtection="0"/>
    <xf numFmtId="2" fontId="0" fillId="0" borderId="0" applyFill="0" applyBorder="0" applyAlignment="0" applyProtection="0"/>
    <xf numFmtId="0" fontId="26" fillId="0" borderId="0" applyNumberFormat="0" applyFill="0" applyBorder="0" applyAlignment="0" applyProtection="0"/>
    <xf numFmtId="0" fontId="138" fillId="30"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39" fillId="0" borderId="3" applyNumberFormat="0" applyFill="0" applyAlignment="0" applyProtection="0"/>
    <xf numFmtId="0" fontId="139"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5" fillId="0" borderId="0" applyNumberFormat="0" applyFill="0" applyBorder="0" applyAlignment="0" applyProtection="0"/>
    <xf numFmtId="0" fontId="140" fillId="31" borderId="1" applyNumberFormat="0" applyAlignment="0" applyProtection="0"/>
    <xf numFmtId="0" fontId="141" fillId="0" borderId="4" applyNumberFormat="0" applyFill="0" applyAlignment="0" applyProtection="0"/>
    <xf numFmtId="0" fontId="142" fillId="32" borderId="0" applyNumberFormat="0" applyBorder="0" applyAlignment="0" applyProtection="0"/>
    <xf numFmtId="0" fontId="2" fillId="0" borderId="0">
      <alignment/>
      <protection/>
    </xf>
    <xf numFmtId="0" fontId="7" fillId="0" borderId="0">
      <alignment vertical="top"/>
      <protection/>
    </xf>
    <xf numFmtId="0" fontId="67" fillId="0" borderId="0">
      <alignment/>
      <protection/>
    </xf>
    <xf numFmtId="0" fontId="7" fillId="0" borderId="0">
      <alignment/>
      <protection/>
    </xf>
    <xf numFmtId="0" fontId="7" fillId="0" borderId="0">
      <alignment/>
      <protection/>
    </xf>
    <xf numFmtId="0" fontId="0" fillId="33" borderId="5" applyNumberFormat="0" applyFont="0" applyAlignment="0" applyProtection="0"/>
    <xf numFmtId="0" fontId="143" fillId="27" borderId="6" applyNumberFormat="0" applyAlignment="0" applyProtection="0"/>
    <xf numFmtId="10" fontId="0" fillId="0" borderId="0" applyFill="0" applyBorder="0" applyAlignment="0" applyProtection="0"/>
    <xf numFmtId="10" fontId="7" fillId="29" borderId="0" applyFont="0" applyFill="0" applyBorder="0" applyAlignment="0" applyProtection="0"/>
    <xf numFmtId="10" fontId="7" fillId="29" borderId="0" applyFont="0" applyFill="0" applyBorder="0" applyAlignment="0" applyProtection="0"/>
    <xf numFmtId="0" fontId="144" fillId="0" borderId="0" applyNumberFormat="0" applyFill="0" applyBorder="0" applyAlignment="0" applyProtection="0"/>
    <xf numFmtId="0" fontId="0" fillId="0" borderId="7" applyNumberFormat="0" applyFill="0" applyAlignment="0" applyProtection="0"/>
    <xf numFmtId="0" fontId="145" fillId="0" borderId="0" applyNumberFormat="0" applyFill="0" applyBorder="0" applyAlignment="0" applyProtection="0"/>
    <xf numFmtId="177" fontId="31" fillId="34" borderId="8">
      <alignment horizontal="right"/>
      <protection/>
    </xf>
    <xf numFmtId="0" fontId="0" fillId="35" borderId="8" applyNumberFormat="0" applyFont="0" applyAlignment="0" applyProtection="0"/>
    <xf numFmtId="177" fontId="31" fillId="36" borderId="8">
      <alignment horizontal="right"/>
      <protection locked="0"/>
    </xf>
    <xf numFmtId="177" fontId="31" fillId="36" borderId="8">
      <alignment horizontal="right"/>
      <protection locked="0"/>
    </xf>
  </cellStyleXfs>
  <cellXfs count="1798">
    <xf numFmtId="3" fontId="0" fillId="0" borderId="0" xfId="0" applyNumberFormat="1" applyAlignment="1">
      <alignment/>
    </xf>
    <xf numFmtId="0" fontId="6" fillId="0" borderId="0" xfId="0" applyNumberFormat="1" applyFont="1" applyAlignment="1">
      <alignment/>
    </xf>
    <xf numFmtId="0" fontId="6" fillId="0" borderId="0" xfId="0" applyNumberFormat="1" applyFont="1" applyAlignment="1" applyProtection="1">
      <alignment/>
      <protection locked="0"/>
    </xf>
    <xf numFmtId="0" fontId="7" fillId="37" borderId="0" xfId="69" applyFill="1" applyAlignment="1">
      <alignment/>
      <protection/>
    </xf>
    <xf numFmtId="37" fontId="6" fillId="0" borderId="0" xfId="0" applyNumberFormat="1" applyFont="1" applyAlignment="1">
      <alignment/>
    </xf>
    <xf numFmtId="37" fontId="10" fillId="0" borderId="0" xfId="0" applyNumberFormat="1" applyFont="1" applyAlignment="1" applyProtection="1">
      <alignment/>
      <protection locked="0"/>
    </xf>
    <xf numFmtId="37" fontId="6" fillId="0" borderId="0" xfId="0" applyNumberFormat="1" applyFont="1" applyAlignment="1" applyProtection="1">
      <alignment horizontal="left"/>
      <protection locked="0"/>
    </xf>
    <xf numFmtId="37" fontId="6" fillId="0" borderId="0" xfId="0" applyNumberFormat="1" applyFont="1" applyAlignment="1" applyProtection="1">
      <alignment/>
      <protection hidden="1"/>
    </xf>
    <xf numFmtId="37" fontId="6" fillId="0" borderId="0" xfId="0" applyNumberFormat="1" applyFont="1" applyAlignment="1" applyProtection="1">
      <alignment/>
      <protection hidden="1" locked="0"/>
    </xf>
    <xf numFmtId="37" fontId="6" fillId="0" borderId="0" xfId="0" applyNumberFormat="1" applyFont="1" applyAlignment="1">
      <alignment horizontal="left"/>
    </xf>
    <xf numFmtId="15" fontId="6" fillId="0" borderId="0" xfId="0" applyNumberFormat="1" applyFont="1" applyAlignment="1" applyProtection="1">
      <alignment horizontal="right"/>
      <protection locked="0"/>
    </xf>
    <xf numFmtId="37" fontId="12" fillId="0" borderId="0" xfId="0" applyNumberFormat="1" applyFont="1" applyAlignment="1">
      <alignment/>
    </xf>
    <xf numFmtId="37" fontId="12" fillId="0" borderId="0" xfId="0" applyNumberFormat="1" applyFont="1" applyAlignment="1" applyProtection="1">
      <alignment horizontal="right"/>
      <protection locked="0"/>
    </xf>
    <xf numFmtId="37" fontId="12" fillId="0" borderId="0" xfId="0" applyNumberFormat="1" applyFont="1" applyAlignment="1" applyProtection="1">
      <alignment/>
      <protection hidden="1"/>
    </xf>
    <xf numFmtId="37" fontId="12" fillId="0" borderId="0" xfId="0" applyNumberFormat="1" applyFont="1" applyAlignment="1" applyProtection="1">
      <alignment/>
      <protection hidden="1" locked="0"/>
    </xf>
    <xf numFmtId="37" fontId="6" fillId="0" borderId="0" xfId="0" applyNumberFormat="1" applyFont="1" applyAlignment="1">
      <alignment horizontal="right"/>
    </xf>
    <xf numFmtId="37" fontId="6" fillId="0" borderId="0" xfId="0" applyNumberFormat="1" applyFont="1" applyFill="1" applyAlignment="1">
      <alignment/>
    </xf>
    <xf numFmtId="37" fontId="6" fillId="0" borderId="0" xfId="0" applyNumberFormat="1" applyFont="1" applyAlignment="1" applyProtection="1">
      <alignment horizontal="right"/>
      <protection locked="0"/>
    </xf>
    <xf numFmtId="37" fontId="6" fillId="0" borderId="0" xfId="0" applyNumberFormat="1" applyFont="1" applyAlignment="1">
      <alignment horizontal="center"/>
    </xf>
    <xf numFmtId="37" fontId="6" fillId="0" borderId="9" xfId="0" applyNumberFormat="1" applyFont="1" applyBorder="1" applyAlignment="1">
      <alignment/>
    </xf>
    <xf numFmtId="37" fontId="6" fillId="0" borderId="0" xfId="0" applyNumberFormat="1" applyFont="1" applyAlignment="1" applyProtection="1">
      <alignment/>
      <protection locked="0"/>
    </xf>
    <xf numFmtId="37" fontId="11" fillId="0" borderId="0" xfId="0" applyNumberFormat="1" applyFont="1" applyAlignment="1">
      <alignment horizontal="left"/>
    </xf>
    <xf numFmtId="37" fontId="11" fillId="0" borderId="0" xfId="0" applyNumberFormat="1" applyFont="1" applyAlignment="1">
      <alignment/>
    </xf>
    <xf numFmtId="5" fontId="6" fillId="0" borderId="8" xfId="0" applyNumberFormat="1" applyFont="1" applyBorder="1" applyAlignment="1">
      <alignment/>
    </xf>
    <xf numFmtId="37" fontId="6" fillId="38" borderId="0" xfId="0" applyNumberFormat="1" applyFont="1" applyFill="1" applyAlignment="1" applyProtection="1">
      <alignment/>
      <protection hidden="1"/>
    </xf>
    <xf numFmtId="37" fontId="10" fillId="0" borderId="0" xfId="0" applyNumberFormat="1" applyFont="1" applyAlignment="1">
      <alignment horizontal="left"/>
    </xf>
    <xf numFmtId="37" fontId="10" fillId="0" borderId="0" xfId="0" applyNumberFormat="1" applyFont="1" applyAlignment="1">
      <alignment horizontal="center"/>
    </xf>
    <xf numFmtId="37" fontId="6" fillId="0" borderId="10" xfId="0" applyNumberFormat="1" applyFont="1" applyBorder="1" applyAlignment="1">
      <alignment/>
    </xf>
    <xf numFmtId="37" fontId="6" fillId="0" borderId="0" xfId="0" applyNumberFormat="1" applyFont="1" applyAlignment="1" applyProtection="1">
      <alignment horizontal="left"/>
      <protection hidden="1"/>
    </xf>
    <xf numFmtId="37" fontId="6" fillId="0" borderId="9" xfId="0" applyNumberFormat="1" applyFont="1" applyBorder="1" applyAlignment="1">
      <alignment horizontal="left"/>
    </xf>
    <xf numFmtId="37" fontId="6" fillId="0" borderId="8" xfId="0" applyNumberFormat="1" applyFont="1" applyBorder="1" applyAlignment="1">
      <alignment/>
    </xf>
    <xf numFmtId="37" fontId="14" fillId="0" borderId="0" xfId="0" applyNumberFormat="1" applyFont="1" applyAlignment="1">
      <alignment/>
    </xf>
    <xf numFmtId="37" fontId="6" fillId="0" borderId="8" xfId="0" applyNumberFormat="1" applyFont="1" applyBorder="1" applyAlignment="1">
      <alignment horizontal="center"/>
    </xf>
    <xf numFmtId="37" fontId="6" fillId="0" borderId="9" xfId="0" applyNumberFormat="1" applyFont="1" applyBorder="1" applyAlignment="1">
      <alignment horizontal="center"/>
    </xf>
    <xf numFmtId="37" fontId="13" fillId="0" borderId="0" xfId="0" applyNumberFormat="1" applyFont="1" applyAlignment="1">
      <alignment/>
    </xf>
    <xf numFmtId="37" fontId="6" fillId="0" borderId="11" xfId="0" applyNumberFormat="1" applyFont="1" applyBorder="1" applyAlignment="1">
      <alignment/>
    </xf>
    <xf numFmtId="37" fontId="6" fillId="0" borderId="9" xfId="0" applyNumberFormat="1" applyFont="1" applyBorder="1" applyAlignment="1" applyProtection="1">
      <alignment/>
      <protection locked="0"/>
    </xf>
    <xf numFmtId="37" fontId="11" fillId="39" borderId="0" xfId="0" applyNumberFormat="1" applyFont="1" applyFill="1" applyAlignment="1">
      <alignment horizontal="left"/>
    </xf>
    <xf numFmtId="37" fontId="6" fillId="39" borderId="0" xfId="0" applyNumberFormat="1" applyFont="1" applyFill="1" applyAlignment="1">
      <alignment/>
    </xf>
    <xf numFmtId="37" fontId="6" fillId="39" borderId="0" xfId="0" applyNumberFormat="1" applyFont="1" applyFill="1" applyAlignment="1">
      <alignment horizontal="center"/>
    </xf>
    <xf numFmtId="37" fontId="6" fillId="39" borderId="0" xfId="0" applyNumberFormat="1" applyFont="1" applyFill="1" applyAlignment="1">
      <alignment horizontal="right"/>
    </xf>
    <xf numFmtId="37" fontId="15" fillId="0" borderId="0" xfId="0" applyNumberFormat="1" applyFont="1" applyAlignment="1">
      <alignment/>
    </xf>
    <xf numFmtId="37" fontId="10" fillId="0" borderId="0" xfId="0" applyNumberFormat="1" applyFont="1" applyAlignment="1">
      <alignment/>
    </xf>
    <xf numFmtId="37" fontId="6" fillId="0" borderId="8" xfId="0" applyNumberFormat="1" applyFont="1" applyBorder="1" applyAlignment="1" applyProtection="1">
      <alignment/>
      <protection locked="0"/>
    </xf>
    <xf numFmtId="37" fontId="6" fillId="0" borderId="11" xfId="0" applyNumberFormat="1" applyFont="1" applyBorder="1" applyAlignment="1" applyProtection="1">
      <alignment/>
      <protection locked="0"/>
    </xf>
    <xf numFmtId="37" fontId="6" fillId="0" borderId="0" xfId="0" applyNumberFormat="1" applyFont="1" applyBorder="1" applyAlignment="1">
      <alignment/>
    </xf>
    <xf numFmtId="37" fontId="6" fillId="0" borderId="0" xfId="0" applyNumberFormat="1" applyFont="1" applyFill="1" applyBorder="1" applyAlignment="1" applyProtection="1">
      <alignment horizontal="center"/>
      <protection locked="0"/>
    </xf>
    <xf numFmtId="37" fontId="6" fillId="0" borderId="9" xfId="0" applyNumberFormat="1" applyFont="1" applyBorder="1" applyAlignment="1" applyProtection="1">
      <alignment horizontal="left"/>
      <protection locked="0"/>
    </xf>
    <xf numFmtId="37" fontId="10" fillId="39" borderId="0" xfId="0" applyNumberFormat="1" applyFont="1" applyFill="1" applyAlignment="1">
      <alignment/>
    </xf>
    <xf numFmtId="37" fontId="10" fillId="39" borderId="12" xfId="0" applyNumberFormat="1" applyFont="1" applyFill="1" applyBorder="1" applyAlignment="1">
      <alignment/>
    </xf>
    <xf numFmtId="37" fontId="6" fillId="0" borderId="13" xfId="0" applyNumberFormat="1" applyFont="1" applyBorder="1" applyAlignment="1">
      <alignment/>
    </xf>
    <xf numFmtId="37" fontId="6" fillId="0" borderId="9" xfId="0" applyNumberFormat="1" applyFont="1" applyBorder="1" applyAlignment="1" applyProtection="1">
      <alignment/>
      <protection hidden="1"/>
    </xf>
    <xf numFmtId="37" fontId="6" fillId="39" borderId="12" xfId="0" applyNumberFormat="1" applyFont="1" applyFill="1" applyBorder="1" applyAlignment="1">
      <alignment/>
    </xf>
    <xf numFmtId="37" fontId="10" fillId="39" borderId="0" xfId="0" applyNumberFormat="1" applyFont="1" applyFill="1" applyAlignment="1">
      <alignment horizontal="left"/>
    </xf>
    <xf numFmtId="37" fontId="10" fillId="39" borderId="14" xfId="0" applyNumberFormat="1" applyFont="1" applyFill="1" applyBorder="1" applyAlignment="1">
      <alignment/>
    </xf>
    <xf numFmtId="37" fontId="16" fillId="40" borderId="0" xfId="0" applyNumberFormat="1" applyFont="1" applyFill="1" applyAlignment="1" applyProtection="1">
      <alignment/>
      <protection locked="0"/>
    </xf>
    <xf numFmtId="37" fontId="10" fillId="0" borderId="15" xfId="0" applyNumberFormat="1" applyFont="1" applyBorder="1" applyAlignment="1" applyProtection="1">
      <alignment/>
      <protection hidden="1"/>
    </xf>
    <xf numFmtId="37" fontId="17" fillId="0" borderId="0" xfId="0" applyNumberFormat="1" applyFont="1" applyFill="1" applyAlignment="1" applyProtection="1">
      <alignment horizontal="left"/>
      <protection hidden="1" locked="0"/>
    </xf>
    <xf numFmtId="37" fontId="6" fillId="39" borderId="15" xfId="0" applyNumberFormat="1" applyFont="1" applyFill="1" applyBorder="1" applyAlignment="1">
      <alignment/>
    </xf>
    <xf numFmtId="37" fontId="17" fillId="0" borderId="0" xfId="0" applyNumberFormat="1" applyFont="1" applyAlignment="1" applyProtection="1">
      <alignment horizontal="left"/>
      <protection hidden="1" locked="0"/>
    </xf>
    <xf numFmtId="37" fontId="16" fillId="40" borderId="0" xfId="0" applyNumberFormat="1" applyFont="1" applyFill="1" applyAlignment="1" applyProtection="1">
      <alignment horizontal="center"/>
      <protection hidden="1" locked="0"/>
    </xf>
    <xf numFmtId="37" fontId="18" fillId="0" borderId="0" xfId="0" applyNumberFormat="1" applyFont="1" applyAlignment="1" applyProtection="1">
      <alignment horizontal="left"/>
      <protection locked="0"/>
    </xf>
    <xf numFmtId="37" fontId="17" fillId="0" borderId="0" xfId="0" applyNumberFormat="1" applyFont="1" applyAlignment="1" applyProtection="1">
      <alignment horizontal="center"/>
      <protection hidden="1" locked="0"/>
    </xf>
    <xf numFmtId="168" fontId="19" fillId="0" borderId="0" xfId="0" applyNumberFormat="1" applyFont="1" applyFill="1" applyAlignment="1" applyProtection="1">
      <alignment/>
      <protection locked="0"/>
    </xf>
    <xf numFmtId="37" fontId="19" fillId="0" borderId="0" xfId="0" applyNumberFormat="1" applyFont="1" applyAlignment="1" applyProtection="1">
      <alignment horizontal="center"/>
      <protection locked="0"/>
    </xf>
    <xf numFmtId="37" fontId="18" fillId="0" borderId="0" xfId="0" applyNumberFormat="1" applyFont="1" applyAlignment="1" applyProtection="1">
      <alignment horizontal="center"/>
      <protection locked="0"/>
    </xf>
    <xf numFmtId="37" fontId="17" fillId="0" borderId="0" xfId="0" applyNumberFormat="1" applyFont="1" applyAlignment="1" applyProtection="1">
      <alignment/>
      <protection locked="0"/>
    </xf>
    <xf numFmtId="37" fontId="6" fillId="0" borderId="0" xfId="0" applyNumberFormat="1" applyFont="1" applyFill="1" applyBorder="1" applyAlignment="1" applyProtection="1">
      <alignment/>
      <protection locked="0"/>
    </xf>
    <xf numFmtId="37" fontId="6" fillId="35" borderId="8" xfId="0" applyNumberFormat="1" applyFont="1" applyFill="1" applyBorder="1" applyAlignment="1" applyProtection="1">
      <alignment/>
      <protection locked="0"/>
    </xf>
    <xf numFmtId="37" fontId="10" fillId="0" borderId="8" xfId="0" applyNumberFormat="1" applyFont="1" applyBorder="1" applyAlignment="1">
      <alignment horizontal="center"/>
    </xf>
    <xf numFmtId="37" fontId="6" fillId="40" borderId="8" xfId="82" applyNumberFormat="1" applyFont="1" applyFill="1" applyAlignment="1" applyProtection="1">
      <alignment/>
      <protection locked="0"/>
    </xf>
    <xf numFmtId="37" fontId="6" fillId="40" borderId="8" xfId="82" applyNumberFormat="1" applyFont="1" applyFill="1" applyAlignment="1" applyProtection="1">
      <alignment/>
      <protection/>
    </xf>
    <xf numFmtId="37" fontId="10" fillId="0" borderId="15" xfId="0" applyNumberFormat="1" applyFont="1" applyBorder="1" applyAlignment="1">
      <alignment/>
    </xf>
    <xf numFmtId="37" fontId="6" fillId="0" borderId="12" xfId="0" applyNumberFormat="1" applyFont="1" applyBorder="1" applyAlignment="1">
      <alignment/>
    </xf>
    <xf numFmtId="37" fontId="21" fillId="41" borderId="0" xfId="0" applyNumberFormat="1" applyFont="1" applyFill="1" applyAlignment="1">
      <alignment/>
    </xf>
    <xf numFmtId="37" fontId="22" fillId="42" borderId="0" xfId="0" applyNumberFormat="1" applyFont="1" applyFill="1" applyAlignment="1">
      <alignment horizontal="center"/>
    </xf>
    <xf numFmtId="37" fontId="23" fillId="42" borderId="0" xfId="0" applyNumberFormat="1" applyFont="1" applyFill="1" applyAlignment="1">
      <alignment horizontal="center"/>
    </xf>
    <xf numFmtId="37" fontId="23" fillId="42" borderId="0" xfId="0" applyNumberFormat="1" applyFont="1" applyFill="1" applyAlignment="1">
      <alignment/>
    </xf>
    <xf numFmtId="37" fontId="23" fillId="42" borderId="0" xfId="0" applyNumberFormat="1" applyFont="1" applyFill="1" applyAlignment="1" applyProtection="1">
      <alignment/>
      <protection hidden="1"/>
    </xf>
    <xf numFmtId="37" fontId="13" fillId="0" borderId="0" xfId="0" applyNumberFormat="1" applyFont="1" applyFill="1" applyBorder="1" applyAlignment="1" applyProtection="1">
      <alignment horizontal="center"/>
      <protection locked="0"/>
    </xf>
    <xf numFmtId="37" fontId="24" fillId="0" borderId="0" xfId="0" applyNumberFormat="1" applyFont="1" applyAlignment="1">
      <alignment/>
    </xf>
    <xf numFmtId="37" fontId="6" fillId="0" borderId="0" xfId="0" applyNumberFormat="1" applyFont="1" applyAlignment="1" applyProtection="1">
      <alignment/>
      <protection/>
    </xf>
    <xf numFmtId="37" fontId="6" fillId="0" borderId="8" xfId="0" applyNumberFormat="1" applyFont="1" applyBorder="1" applyAlignment="1" applyProtection="1">
      <alignment/>
      <protection/>
    </xf>
    <xf numFmtId="39" fontId="6" fillId="0" borderId="0" xfId="0" applyNumberFormat="1" applyFont="1" applyAlignment="1" applyProtection="1">
      <alignment/>
      <protection/>
    </xf>
    <xf numFmtId="39" fontId="6" fillId="0" borderId="8" xfId="0" applyNumberFormat="1" applyFont="1" applyBorder="1" applyAlignment="1" applyProtection="1">
      <alignment/>
      <protection/>
    </xf>
    <xf numFmtId="39" fontId="6" fillId="0" borderId="0" xfId="0" applyNumberFormat="1" applyFont="1" applyAlignment="1" applyProtection="1">
      <alignment/>
      <protection hidden="1" locked="0"/>
    </xf>
    <xf numFmtId="168" fontId="10" fillId="39" borderId="16" xfId="0" applyNumberFormat="1" applyFont="1" applyFill="1" applyBorder="1" applyAlignment="1" applyProtection="1">
      <alignment/>
      <protection/>
    </xf>
    <xf numFmtId="39" fontId="6" fillId="0" borderId="0" xfId="0" applyNumberFormat="1" applyFont="1" applyFill="1" applyBorder="1" applyAlignment="1" applyProtection="1">
      <alignment/>
      <protection locked="0"/>
    </xf>
    <xf numFmtId="37" fontId="24" fillId="0" borderId="0" xfId="0" applyNumberFormat="1" applyFont="1" applyFill="1" applyBorder="1" applyAlignment="1">
      <alignment/>
    </xf>
    <xf numFmtId="37" fontId="6" fillId="0" borderId="0" xfId="0" applyNumberFormat="1" applyFont="1" applyFill="1" applyBorder="1" applyAlignment="1">
      <alignment/>
    </xf>
    <xf numFmtId="37" fontId="6" fillId="0" borderId="0" xfId="0" applyNumberFormat="1" applyFont="1" applyFill="1" applyBorder="1" applyAlignment="1">
      <alignment horizontal="left"/>
    </xf>
    <xf numFmtId="37" fontId="13" fillId="0" borderId="0" xfId="0" applyNumberFormat="1" applyFont="1" applyFill="1" applyBorder="1" applyAlignment="1">
      <alignment/>
    </xf>
    <xf numFmtId="37" fontId="10" fillId="0" borderId="0" xfId="0" applyNumberFormat="1" applyFont="1" applyFill="1" applyBorder="1" applyAlignment="1">
      <alignment/>
    </xf>
    <xf numFmtId="37" fontId="11" fillId="0" borderId="0" xfId="0" applyNumberFormat="1" applyFont="1" applyFill="1" applyBorder="1" applyAlignment="1">
      <alignment/>
    </xf>
    <xf numFmtId="37" fontId="9" fillId="0" borderId="0" xfId="0" applyNumberFormat="1" applyFont="1" applyFill="1" applyBorder="1" applyAlignment="1">
      <alignment/>
    </xf>
    <xf numFmtId="37" fontId="10" fillId="0" borderId="0" xfId="0" applyNumberFormat="1" applyFont="1" applyFill="1" applyBorder="1" applyAlignment="1">
      <alignment horizontal="left"/>
    </xf>
    <xf numFmtId="37" fontId="6" fillId="0" borderId="0" xfId="0" applyNumberFormat="1" applyFont="1" applyFill="1" applyBorder="1" applyAlignment="1">
      <alignment horizontal="right"/>
    </xf>
    <xf numFmtId="37" fontId="10" fillId="0" borderId="0" xfId="0" applyNumberFormat="1" applyFont="1" applyFill="1" applyBorder="1" applyAlignment="1">
      <alignment horizontal="right"/>
    </xf>
    <xf numFmtId="37" fontId="6" fillId="0" borderId="0" xfId="0" applyNumberFormat="1" applyFont="1" applyFill="1" applyBorder="1" applyAlignment="1">
      <alignment horizontal="center"/>
    </xf>
    <xf numFmtId="37" fontId="11" fillId="0" borderId="0" xfId="0" applyNumberFormat="1" applyFont="1" applyFill="1" applyBorder="1" applyAlignment="1">
      <alignment horizontal="left"/>
    </xf>
    <xf numFmtId="37" fontId="8" fillId="0" borderId="0" xfId="0" applyNumberFormat="1" applyFont="1" applyFill="1" applyBorder="1" applyAlignment="1">
      <alignment/>
    </xf>
    <xf numFmtId="37" fontId="13" fillId="0" borderId="0" xfId="0" applyNumberFormat="1" applyFont="1" applyFill="1" applyBorder="1" applyAlignment="1" applyProtection="1">
      <alignment horizontal="left"/>
      <protection locked="0"/>
    </xf>
    <xf numFmtId="37" fontId="13" fillId="0" borderId="0" xfId="0" applyNumberFormat="1" applyFont="1" applyFill="1" applyBorder="1" applyAlignment="1">
      <alignment horizontal="left"/>
    </xf>
    <xf numFmtId="37" fontId="6" fillId="0" borderId="0" xfId="0" applyNumberFormat="1" applyFont="1" applyFill="1" applyBorder="1" applyAlignment="1" applyProtection="1">
      <alignment horizontal="right"/>
      <protection locked="0"/>
    </xf>
    <xf numFmtId="37" fontId="20" fillId="0" borderId="0" xfId="0" applyNumberFormat="1" applyFont="1" applyFill="1" applyBorder="1" applyAlignment="1">
      <alignment/>
    </xf>
    <xf numFmtId="37" fontId="10" fillId="0" borderId="0" xfId="0" applyNumberFormat="1" applyFont="1" applyFill="1" applyBorder="1" applyAlignment="1">
      <alignment horizontal="center"/>
    </xf>
    <xf numFmtId="37" fontId="11" fillId="0" borderId="0" xfId="0" applyNumberFormat="1" applyFont="1" applyFill="1" applyBorder="1" applyAlignment="1" applyProtection="1">
      <alignment horizontal="left"/>
      <protection locked="0"/>
    </xf>
    <xf numFmtId="37" fontId="6" fillId="0" borderId="0" xfId="0" applyNumberFormat="1" applyFont="1" applyFill="1" applyBorder="1" applyAlignment="1" applyProtection="1">
      <alignment horizontal="left"/>
      <protection locked="0"/>
    </xf>
    <xf numFmtId="37" fontId="6" fillId="0" borderId="0" xfId="0" applyNumberFormat="1" applyFont="1" applyFill="1" applyBorder="1" applyAlignment="1" quotePrefix="1">
      <alignment horizontal="right"/>
    </xf>
    <xf numFmtId="37" fontId="11" fillId="0" borderId="0" xfId="0" applyNumberFormat="1" applyFont="1" applyAlignment="1">
      <alignment horizontal="center"/>
    </xf>
    <xf numFmtId="37" fontId="6" fillId="0" borderId="0" xfId="0" applyNumberFormat="1" applyFont="1" applyBorder="1" applyAlignment="1" applyProtection="1">
      <alignment/>
      <protection locked="0"/>
    </xf>
    <xf numFmtId="37" fontId="6" fillId="0" borderId="17" xfId="0" applyNumberFormat="1" applyFont="1" applyBorder="1" applyAlignment="1">
      <alignment/>
    </xf>
    <xf numFmtId="37" fontId="6" fillId="0" borderId="8" xfId="0" applyNumberFormat="1" applyFont="1" applyBorder="1" applyAlignment="1" applyProtection="1">
      <alignment horizontal="left"/>
      <protection/>
    </xf>
    <xf numFmtId="37" fontId="6" fillId="0" borderId="0" xfId="0" applyNumberFormat="1" applyFont="1" applyBorder="1" applyAlignment="1" applyProtection="1">
      <alignment/>
      <protection/>
    </xf>
    <xf numFmtId="37" fontId="11" fillId="0" borderId="0" xfId="0" applyNumberFormat="1" applyFont="1" applyBorder="1" applyAlignment="1">
      <alignment/>
    </xf>
    <xf numFmtId="37" fontId="10" fillId="0" borderId="0" xfId="0" applyNumberFormat="1" applyFont="1" applyAlignment="1">
      <alignment horizontal="right"/>
    </xf>
    <xf numFmtId="37" fontId="10" fillId="0" borderId="18" xfId="0" applyNumberFormat="1" applyFont="1" applyBorder="1" applyAlignment="1">
      <alignment horizontal="center"/>
    </xf>
    <xf numFmtId="37" fontId="10" fillId="0" borderId="19" xfId="0" applyNumberFormat="1" applyFont="1" applyBorder="1" applyAlignment="1">
      <alignment horizontal="center"/>
    </xf>
    <xf numFmtId="9" fontId="6" fillId="0" borderId="0" xfId="0" applyNumberFormat="1" applyFont="1" applyAlignment="1">
      <alignment horizontal="right"/>
    </xf>
    <xf numFmtId="39" fontId="6" fillId="39" borderId="18" xfId="0" applyNumberFormat="1" applyFont="1" applyFill="1" applyBorder="1" applyAlignment="1" applyProtection="1">
      <alignment/>
      <protection/>
    </xf>
    <xf numFmtId="37" fontId="6" fillId="0" borderId="20" xfId="0" applyNumberFormat="1" applyFont="1" applyFill="1" applyBorder="1" applyAlignment="1">
      <alignment/>
    </xf>
    <xf numFmtId="37" fontId="6" fillId="0" borderId="21" xfId="0" applyNumberFormat="1" applyFont="1" applyFill="1" applyBorder="1" applyAlignment="1">
      <alignment/>
    </xf>
    <xf numFmtId="37" fontId="6" fillId="0" borderId="0" xfId="0" applyNumberFormat="1" applyFont="1" applyBorder="1" applyAlignment="1">
      <alignment horizontal="right"/>
    </xf>
    <xf numFmtId="37" fontId="6" fillId="0" borderId="22" xfId="0" applyNumberFormat="1" applyFont="1" applyBorder="1" applyAlignment="1">
      <alignment horizontal="center"/>
    </xf>
    <xf numFmtId="37" fontId="6" fillId="0" borderId="23" xfId="0" applyNumberFormat="1" applyFont="1" applyBorder="1" applyAlignment="1">
      <alignment horizontal="center"/>
    </xf>
    <xf numFmtId="37" fontId="6" fillId="0" borderId="10" xfId="0" applyNumberFormat="1" applyFont="1" applyBorder="1" applyAlignment="1">
      <alignment horizontal="center"/>
    </xf>
    <xf numFmtId="37" fontId="6" fillId="29" borderId="0" xfId="0" applyNumberFormat="1" applyFont="1" applyFill="1" applyAlignment="1">
      <alignment horizontal="left"/>
    </xf>
    <xf numFmtId="37" fontId="6" fillId="43" borderId="0" xfId="0" applyNumberFormat="1" applyFont="1" applyFill="1" applyAlignment="1" applyProtection="1">
      <alignment horizontal="center"/>
      <protection locked="0"/>
    </xf>
    <xf numFmtId="37" fontId="6" fillId="0" borderId="18" xfId="0" applyNumberFormat="1" applyFont="1" applyBorder="1" applyAlignment="1">
      <alignment/>
    </xf>
    <xf numFmtId="37" fontId="6" fillId="29" borderId="0" xfId="0" applyNumberFormat="1" applyFont="1" applyFill="1" applyBorder="1" applyAlignment="1">
      <alignment/>
    </xf>
    <xf numFmtId="37" fontId="6" fillId="29" borderId="18" xfId="0" applyNumberFormat="1" applyFont="1" applyFill="1" applyBorder="1" applyAlignment="1">
      <alignment/>
    </xf>
    <xf numFmtId="0" fontId="6" fillId="0" borderId="0" xfId="0" applyFont="1" applyFill="1" applyAlignment="1">
      <alignment/>
    </xf>
    <xf numFmtId="37" fontId="6" fillId="29" borderId="19" xfId="0" applyNumberFormat="1" applyFont="1" applyFill="1" applyBorder="1" applyAlignment="1">
      <alignment/>
    </xf>
    <xf numFmtId="186" fontId="6" fillId="43" borderId="0" xfId="0" applyNumberFormat="1" applyFont="1" applyFill="1" applyBorder="1" applyAlignment="1" applyProtection="1">
      <alignment/>
      <protection locked="0"/>
    </xf>
    <xf numFmtId="37" fontId="6" fillId="43" borderId="0" xfId="0" applyNumberFormat="1" applyFont="1" applyFill="1" applyBorder="1" applyAlignment="1" applyProtection="1">
      <alignment/>
      <protection locked="0"/>
    </xf>
    <xf numFmtId="0" fontId="6" fillId="0" borderId="0" xfId="0" applyFont="1" applyFill="1" applyAlignment="1" applyProtection="1">
      <alignment/>
      <protection locked="0"/>
    </xf>
    <xf numFmtId="0" fontId="6" fillId="0" borderId="0" xfId="0" applyFont="1" applyAlignment="1">
      <alignment/>
    </xf>
    <xf numFmtId="3" fontId="6" fillId="0" borderId="0" xfId="0" applyNumberFormat="1" applyFont="1" applyFill="1" applyAlignment="1" applyProtection="1">
      <alignment/>
      <protection locked="0"/>
    </xf>
    <xf numFmtId="37" fontId="6" fillId="29" borderId="0" xfId="0" applyNumberFormat="1" applyFont="1" applyFill="1" applyBorder="1" applyAlignment="1" applyProtection="1">
      <alignment/>
      <protection locked="0"/>
    </xf>
    <xf numFmtId="37" fontId="11" fillId="29" borderId="0" xfId="0" applyNumberFormat="1" applyFont="1" applyFill="1" applyAlignment="1">
      <alignment horizontal="left"/>
    </xf>
    <xf numFmtId="39" fontId="6" fillId="39" borderId="0" xfId="0" applyNumberFormat="1" applyFont="1" applyFill="1" applyBorder="1" applyAlignment="1" applyProtection="1">
      <alignment/>
      <protection/>
    </xf>
    <xf numFmtId="3" fontId="32" fillId="0" borderId="0" xfId="0" applyNumberFormat="1" applyFont="1" applyAlignment="1">
      <alignment horizontal="right"/>
    </xf>
    <xf numFmtId="0" fontId="30" fillId="44" borderId="18" xfId="0" applyFont="1" applyFill="1" applyBorder="1" applyAlignment="1">
      <alignment vertical="top"/>
    </xf>
    <xf numFmtId="3" fontId="30" fillId="0" borderId="0" xfId="0" applyNumberFormat="1" applyFont="1" applyAlignment="1">
      <alignment vertical="top"/>
    </xf>
    <xf numFmtId="0" fontId="32" fillId="0" borderId="0" xfId="0" applyFont="1" applyAlignment="1">
      <alignment vertical="top"/>
    </xf>
    <xf numFmtId="3" fontId="32" fillId="45" borderId="24" xfId="0" applyNumberFormat="1" applyFont="1" applyFill="1" applyBorder="1" applyAlignment="1">
      <alignment vertical="top"/>
    </xf>
    <xf numFmtId="3" fontId="30" fillId="45" borderId="19" xfId="0" applyNumberFormat="1" applyFont="1" applyFill="1" applyBorder="1" applyAlignment="1">
      <alignment vertical="top"/>
    </xf>
    <xf numFmtId="3" fontId="30" fillId="45" borderId="25" xfId="0" applyNumberFormat="1" applyFont="1" applyFill="1" applyBorder="1" applyAlignment="1">
      <alignment vertical="top"/>
    </xf>
    <xf numFmtId="0" fontId="30" fillId="44" borderId="18" xfId="0" applyFont="1" applyFill="1" applyBorder="1" applyAlignment="1">
      <alignment horizontal="right"/>
    </xf>
    <xf numFmtId="3" fontId="30" fillId="44" borderId="18" xfId="0" applyNumberFormat="1" applyFont="1" applyFill="1" applyBorder="1" applyAlignment="1">
      <alignment vertical="top"/>
    </xf>
    <xf numFmtId="3" fontId="30" fillId="0" borderId="0" xfId="0" applyNumberFormat="1" applyFont="1" applyBorder="1" applyAlignment="1">
      <alignment vertical="top"/>
    </xf>
    <xf numFmtId="3" fontId="32" fillId="0" borderId="0" xfId="0" applyNumberFormat="1" applyFont="1" applyAlignment="1">
      <alignment vertical="top"/>
    </xf>
    <xf numFmtId="3" fontId="32" fillId="0" borderId="0" xfId="0" applyNumberFormat="1" applyFont="1" applyFill="1" applyAlignment="1">
      <alignment horizontal="left"/>
    </xf>
    <xf numFmtId="0" fontId="30" fillId="44" borderId="19" xfId="0" applyFont="1" applyFill="1" applyBorder="1" applyAlignment="1">
      <alignment vertical="top"/>
    </xf>
    <xf numFmtId="49" fontId="33" fillId="44" borderId="0" xfId="0" applyNumberFormat="1" applyFont="1" applyFill="1" applyBorder="1" applyAlignment="1" applyProtection="1">
      <alignment horizontal="right" vertical="top"/>
      <protection locked="0"/>
    </xf>
    <xf numFmtId="0" fontId="30" fillId="0" borderId="0" xfId="0" applyFont="1" applyFill="1" applyAlignment="1">
      <alignment vertical="top"/>
    </xf>
    <xf numFmtId="0" fontId="30" fillId="0" borderId="0" xfId="0" applyFont="1" applyAlignment="1">
      <alignment vertical="top"/>
    </xf>
    <xf numFmtId="3" fontId="0" fillId="0" borderId="0" xfId="0" applyNumberFormat="1" applyFont="1" applyAlignment="1">
      <alignment vertical="top"/>
    </xf>
    <xf numFmtId="3" fontId="30" fillId="45" borderId="26" xfId="0" applyNumberFormat="1" applyFont="1" applyFill="1" applyBorder="1" applyAlignment="1">
      <alignment horizontal="center"/>
    </xf>
    <xf numFmtId="3" fontId="30" fillId="45" borderId="27" xfId="0" applyNumberFormat="1" applyFont="1" applyFill="1" applyBorder="1" applyAlignment="1">
      <alignment horizontal="center"/>
    </xf>
    <xf numFmtId="9" fontId="7" fillId="45" borderId="28" xfId="0" applyNumberFormat="1" applyFont="1" applyFill="1" applyBorder="1" applyAlignment="1">
      <alignment horizontal="center"/>
    </xf>
    <xf numFmtId="0" fontId="32" fillId="0" borderId="29" xfId="0" applyFont="1" applyBorder="1" applyAlignment="1">
      <alignment vertical="top"/>
    </xf>
    <xf numFmtId="0" fontId="32" fillId="0" borderId="18" xfId="0" applyFont="1" applyBorder="1" applyAlignment="1">
      <alignment vertical="top"/>
    </xf>
    <xf numFmtId="3" fontId="30" fillId="0" borderId="0" xfId="0" applyNumberFormat="1" applyFont="1" applyAlignment="1">
      <alignment/>
    </xf>
    <xf numFmtId="3" fontId="0" fillId="0" borderId="0" xfId="0" applyNumberFormat="1" applyFont="1" applyAlignment="1">
      <alignment horizontal="center"/>
    </xf>
    <xf numFmtId="3" fontId="34" fillId="0" borderId="0" xfId="0" applyNumberFormat="1" applyFont="1" applyAlignment="1">
      <alignment horizontal="center"/>
    </xf>
    <xf numFmtId="3" fontId="30" fillId="45" borderId="30" xfId="0" applyNumberFormat="1" applyFont="1" applyFill="1" applyBorder="1" applyAlignment="1">
      <alignment horizontal="center"/>
    </xf>
    <xf numFmtId="0" fontId="30" fillId="45" borderId="31" xfId="0" applyFont="1" applyFill="1" applyBorder="1" applyAlignment="1">
      <alignment horizontal="center"/>
    </xf>
    <xf numFmtId="3" fontId="30" fillId="45" borderId="0" xfId="0" applyNumberFormat="1" applyFont="1" applyFill="1" applyBorder="1" applyAlignment="1">
      <alignment horizontal="center"/>
    </xf>
    <xf numFmtId="3" fontId="30" fillId="45" borderId="31" xfId="0" applyNumberFormat="1" applyFont="1" applyFill="1" applyBorder="1" applyAlignment="1">
      <alignment horizontal="center"/>
    </xf>
    <xf numFmtId="0" fontId="30" fillId="45" borderId="0" xfId="0" applyFont="1" applyFill="1" applyBorder="1" applyAlignment="1">
      <alignment horizontal="center"/>
    </xf>
    <xf numFmtId="3" fontId="32" fillId="44" borderId="30" xfId="0" applyNumberFormat="1" applyFont="1" applyFill="1" applyBorder="1" applyAlignment="1">
      <alignment horizontal="center"/>
    </xf>
    <xf numFmtId="3" fontId="30" fillId="0" borderId="0" xfId="0" applyNumberFormat="1" applyFont="1" applyAlignment="1">
      <alignment horizontal="center"/>
    </xf>
    <xf numFmtId="3" fontId="7" fillId="45" borderId="29" xfId="0" applyNumberFormat="1" applyFont="1" applyFill="1" applyBorder="1" applyAlignment="1">
      <alignment horizontal="center"/>
    </xf>
    <xf numFmtId="3" fontId="7" fillId="45" borderId="31" xfId="0" applyNumberFormat="1" applyFont="1" applyFill="1" applyBorder="1" applyAlignment="1">
      <alignment horizontal="center"/>
    </xf>
    <xf numFmtId="3" fontId="35" fillId="45" borderId="32" xfId="0" applyNumberFormat="1" applyFont="1" applyFill="1" applyBorder="1" applyAlignment="1">
      <alignment horizontal="center"/>
    </xf>
    <xf numFmtId="0" fontId="30" fillId="45" borderId="32" xfId="0" applyFont="1" applyFill="1" applyBorder="1" applyAlignment="1">
      <alignment horizontal="center"/>
    </xf>
    <xf numFmtId="3" fontId="30" fillId="45" borderId="18" xfId="0" applyNumberFormat="1" applyFont="1" applyFill="1" applyBorder="1" applyAlignment="1">
      <alignment horizontal="center"/>
    </xf>
    <xf numFmtId="3" fontId="30" fillId="45" borderId="32" xfId="0" applyNumberFormat="1" applyFont="1" applyFill="1" applyBorder="1" applyAlignment="1">
      <alignment horizontal="center"/>
    </xf>
    <xf numFmtId="3" fontId="36" fillId="44" borderId="30" xfId="0" applyNumberFormat="1" applyFont="1" applyFill="1" applyBorder="1" applyAlignment="1">
      <alignment horizontal="center"/>
    </xf>
    <xf numFmtId="3" fontId="7" fillId="44" borderId="0" xfId="0" applyNumberFormat="1" applyFont="1" applyFill="1" applyBorder="1" applyAlignment="1">
      <alignment horizontal="center"/>
    </xf>
    <xf numFmtId="3" fontId="0" fillId="0" borderId="0" xfId="0" applyNumberFormat="1" applyAlignment="1">
      <alignment horizontal="center"/>
    </xf>
    <xf numFmtId="37" fontId="36" fillId="0" borderId="30" xfId="0" applyNumberFormat="1" applyFont="1" applyBorder="1" applyAlignment="1">
      <alignment vertical="top"/>
    </xf>
    <xf numFmtId="37" fontId="7" fillId="0" borderId="0" xfId="0" applyNumberFormat="1" applyFont="1" applyBorder="1" applyAlignment="1">
      <alignment vertical="top"/>
    </xf>
    <xf numFmtId="3" fontId="0" fillId="0" borderId="0" xfId="0" applyNumberFormat="1" applyAlignment="1">
      <alignment vertical="top"/>
    </xf>
    <xf numFmtId="3" fontId="32" fillId="44" borderId="0" xfId="0" applyNumberFormat="1" applyFont="1" applyFill="1" applyBorder="1" applyAlignment="1">
      <alignment horizontal="centerContinuous" vertical="top"/>
    </xf>
    <xf numFmtId="3" fontId="30" fillId="44" borderId="0" xfId="0" applyNumberFormat="1" applyFont="1" applyFill="1" applyBorder="1" applyAlignment="1">
      <alignment horizontal="centerContinuous" vertical="top"/>
    </xf>
    <xf numFmtId="3" fontId="30" fillId="44" borderId="0" xfId="0" applyNumberFormat="1" applyFont="1" applyFill="1" applyBorder="1" applyAlignment="1">
      <alignment vertical="top"/>
    </xf>
    <xf numFmtId="192" fontId="30" fillId="44" borderId="0" xfId="0" applyNumberFormat="1" applyFont="1" applyFill="1" applyAlignment="1">
      <alignment vertical="top"/>
    </xf>
    <xf numFmtId="3" fontId="37" fillId="0" borderId="0" xfId="0" applyNumberFormat="1" applyFont="1" applyAlignment="1">
      <alignment horizontal="center"/>
    </xf>
    <xf numFmtId="10" fontId="30" fillId="44" borderId="0" xfId="0" applyNumberFormat="1" applyFont="1" applyFill="1" applyAlignment="1">
      <alignment vertical="top"/>
    </xf>
    <xf numFmtId="3" fontId="32" fillId="45" borderId="24" xfId="0" applyNumberFormat="1" applyFont="1" applyFill="1" applyBorder="1" applyAlignment="1">
      <alignment horizontal="left"/>
    </xf>
    <xf numFmtId="3" fontId="30" fillId="45" borderId="25" xfId="0" applyNumberFormat="1" applyFont="1" applyFill="1" applyBorder="1" applyAlignment="1">
      <alignment horizontal="center"/>
    </xf>
    <xf numFmtId="3" fontId="33" fillId="0" borderId="0" xfId="0" applyNumberFormat="1" applyFont="1" applyAlignment="1">
      <alignment horizontal="center"/>
    </xf>
    <xf numFmtId="3" fontId="30" fillId="44" borderId="0" xfId="0" applyNumberFormat="1" applyFont="1" applyFill="1" applyAlignment="1">
      <alignment vertical="top"/>
    </xf>
    <xf numFmtId="3" fontId="38" fillId="0" borderId="0" xfId="0" applyNumberFormat="1" applyFont="1" applyAlignment="1">
      <alignment vertical="top"/>
    </xf>
    <xf numFmtId="192" fontId="30" fillId="0" borderId="0" xfId="0" applyNumberFormat="1" applyFont="1" applyAlignment="1">
      <alignment vertical="top"/>
    </xf>
    <xf numFmtId="3" fontId="30" fillId="0" borderId="33" xfId="0" applyNumberFormat="1" applyFont="1" applyBorder="1" applyAlignment="1">
      <alignment vertical="top"/>
    </xf>
    <xf numFmtId="3" fontId="32" fillId="0" borderId="0" xfId="0" applyNumberFormat="1" applyFont="1" applyAlignment="1">
      <alignment horizontal="centerContinuous" vertical="top"/>
    </xf>
    <xf numFmtId="193" fontId="30" fillId="44" borderId="0" xfId="0" applyNumberFormat="1" applyFont="1" applyFill="1" applyAlignment="1">
      <alignment horizontal="centerContinuous" vertical="top"/>
    </xf>
    <xf numFmtId="192" fontId="33" fillId="0" borderId="0" xfId="0" applyNumberFormat="1" applyFont="1" applyAlignment="1">
      <alignment vertical="top"/>
    </xf>
    <xf numFmtId="3" fontId="30" fillId="0" borderId="0" xfId="0" applyNumberFormat="1" applyFont="1" applyAlignment="1">
      <alignment horizontal="left"/>
    </xf>
    <xf numFmtId="3" fontId="30" fillId="0" borderId="0" xfId="0" applyNumberFormat="1" applyFont="1" applyAlignment="1">
      <alignment horizontal="right" vertical="top"/>
    </xf>
    <xf numFmtId="3" fontId="32" fillId="0" borderId="0" xfId="0" applyNumberFormat="1" applyFont="1" applyAlignment="1">
      <alignment horizontal="center"/>
    </xf>
    <xf numFmtId="3" fontId="38" fillId="0" borderId="0" xfId="0" applyNumberFormat="1" applyFont="1" applyAlignment="1">
      <alignment horizontal="center"/>
    </xf>
    <xf numFmtId="5" fontId="30" fillId="0" borderId="0" xfId="0" applyNumberFormat="1" applyFont="1" applyFill="1" applyAlignment="1" applyProtection="1">
      <alignment horizontal="right"/>
      <protection/>
    </xf>
    <xf numFmtId="3" fontId="37" fillId="0" borderId="0" xfId="0" applyNumberFormat="1" applyFont="1" applyAlignment="1">
      <alignment vertical="top"/>
    </xf>
    <xf numFmtId="10" fontId="37" fillId="0" borderId="0" xfId="0" applyNumberFormat="1" applyFont="1" applyAlignment="1">
      <alignment vertical="top"/>
    </xf>
    <xf numFmtId="0" fontId="5" fillId="0" borderId="32" xfId="0" applyFont="1" applyBorder="1" applyAlignment="1">
      <alignment vertical="top"/>
    </xf>
    <xf numFmtId="3" fontId="5" fillId="0" borderId="30" xfId="0" applyNumberFormat="1" applyFont="1" applyBorder="1" applyAlignment="1">
      <alignment vertical="top"/>
    </xf>
    <xf numFmtId="37" fontId="5" fillId="0" borderId="0" xfId="0" applyNumberFormat="1" applyFont="1" applyBorder="1" applyAlignment="1">
      <alignment vertical="top"/>
    </xf>
    <xf numFmtId="3" fontId="0" fillId="0" borderId="0" xfId="0" applyNumberFormat="1" applyBorder="1" applyAlignment="1">
      <alignment/>
    </xf>
    <xf numFmtId="0" fontId="0" fillId="0" borderId="0" xfId="0" applyFont="1" applyAlignment="1">
      <alignment vertical="top"/>
    </xf>
    <xf numFmtId="9" fontId="0" fillId="0" borderId="0" xfId="0" applyNumberFormat="1" applyFont="1" applyAlignment="1">
      <alignment vertical="top"/>
    </xf>
    <xf numFmtId="3" fontId="5" fillId="0" borderId="0" xfId="0" applyNumberFormat="1" applyFont="1" applyAlignment="1">
      <alignment vertical="top"/>
    </xf>
    <xf numFmtId="193" fontId="0" fillId="0" borderId="0" xfId="0" applyNumberFormat="1" applyFont="1" applyFill="1" applyAlignment="1">
      <alignment vertical="top"/>
    </xf>
    <xf numFmtId="0" fontId="34" fillId="0" borderId="0" xfId="0" applyFont="1" applyAlignment="1">
      <alignment horizontal="center"/>
    </xf>
    <xf numFmtId="194" fontId="30" fillId="0" borderId="0" xfId="0" applyNumberFormat="1" applyFont="1" applyAlignment="1" applyProtection="1">
      <alignment horizontal="left"/>
      <protection/>
    </xf>
    <xf numFmtId="37" fontId="30" fillId="0" borderId="0" xfId="0" applyNumberFormat="1" applyFont="1" applyAlignment="1" applyProtection="1">
      <alignment vertical="top"/>
      <protection/>
    </xf>
    <xf numFmtId="3" fontId="33" fillId="0" borderId="0" xfId="0" applyNumberFormat="1" applyFont="1" applyAlignment="1" applyProtection="1">
      <alignment vertical="top"/>
      <protection/>
    </xf>
    <xf numFmtId="37" fontId="33" fillId="0" borderId="0" xfId="0" applyNumberFormat="1" applyFont="1" applyAlignment="1" applyProtection="1">
      <alignment horizontal="right"/>
      <protection/>
    </xf>
    <xf numFmtId="37" fontId="33" fillId="0" borderId="0" xfId="0" applyNumberFormat="1" applyFont="1" applyAlignment="1" applyProtection="1">
      <alignment vertical="top"/>
      <protection/>
    </xf>
    <xf numFmtId="194" fontId="32" fillId="0" borderId="0" xfId="0" applyNumberFormat="1" applyFont="1" applyAlignment="1" applyProtection="1">
      <alignment horizontal="left"/>
      <protection/>
    </xf>
    <xf numFmtId="194" fontId="38" fillId="0" borderId="0" xfId="0" applyNumberFormat="1" applyFont="1" applyAlignment="1" applyProtection="1">
      <alignment horizontal="left"/>
      <protection/>
    </xf>
    <xf numFmtId="9" fontId="30" fillId="0" borderId="0" xfId="0" applyNumberFormat="1" applyFont="1" applyAlignment="1" applyProtection="1">
      <alignment vertical="top"/>
      <protection/>
    </xf>
    <xf numFmtId="5" fontId="30" fillId="0" borderId="0" xfId="0" applyNumberFormat="1" applyFont="1" applyAlignment="1" applyProtection="1">
      <alignment horizontal="right"/>
      <protection/>
    </xf>
    <xf numFmtId="194" fontId="30" fillId="46" borderId="0" xfId="0" applyNumberFormat="1" applyFont="1" applyFill="1" applyAlignment="1" applyProtection="1">
      <alignment horizontal="left"/>
      <protection/>
    </xf>
    <xf numFmtId="194" fontId="30" fillId="0" borderId="0" xfId="0" applyNumberFormat="1" applyFont="1" applyBorder="1" applyAlignment="1" applyProtection="1">
      <alignment horizontal="left"/>
      <protection/>
    </xf>
    <xf numFmtId="194" fontId="30" fillId="0" borderId="0" xfId="0" applyNumberFormat="1" applyFont="1" applyAlignment="1" applyProtection="1">
      <alignment horizontal="right"/>
      <protection/>
    </xf>
    <xf numFmtId="37" fontId="32" fillId="0" borderId="0" xfId="0" applyNumberFormat="1" applyFont="1" applyAlignment="1" applyProtection="1">
      <alignment vertical="top"/>
      <protection/>
    </xf>
    <xf numFmtId="2" fontId="30" fillId="0" borderId="0" xfId="0" applyNumberFormat="1" applyFont="1" applyAlignment="1" applyProtection="1" quotePrefix="1">
      <alignment vertical="top"/>
      <protection/>
    </xf>
    <xf numFmtId="37" fontId="30" fillId="0" borderId="0" xfId="0" applyNumberFormat="1" applyFont="1" applyAlignment="1">
      <alignment vertical="top"/>
    </xf>
    <xf numFmtId="194" fontId="30" fillId="0" borderId="0" xfId="0" applyNumberFormat="1" applyFont="1" applyAlignment="1" applyProtection="1">
      <alignment vertical="top"/>
      <protection/>
    </xf>
    <xf numFmtId="194" fontId="33" fillId="0" borderId="0" xfId="0" applyNumberFormat="1" applyFont="1" applyAlignment="1" applyProtection="1">
      <alignment horizontal="left"/>
      <protection/>
    </xf>
    <xf numFmtId="3" fontId="32" fillId="44" borderId="0" xfId="0" applyNumberFormat="1" applyFont="1" applyFill="1" applyBorder="1" applyAlignment="1">
      <alignment horizontal="left"/>
    </xf>
    <xf numFmtId="37" fontId="6" fillId="43" borderId="34" xfId="0" applyNumberFormat="1" applyFont="1" applyFill="1" applyBorder="1" applyAlignment="1" applyProtection="1">
      <alignment horizontal="centerContinuous"/>
      <protection/>
    </xf>
    <xf numFmtId="37" fontId="6" fillId="43" borderId="35" xfId="0" applyNumberFormat="1" applyFont="1" applyFill="1" applyBorder="1" applyAlignment="1" applyProtection="1">
      <alignment horizontal="centerContinuous"/>
      <protection locked="0"/>
    </xf>
    <xf numFmtId="37" fontId="6" fillId="0" borderId="0" xfId="0" applyNumberFormat="1" applyFont="1" applyAlignment="1" applyProtection="1">
      <alignment horizontal="centerContinuous"/>
      <protection locked="0"/>
    </xf>
    <xf numFmtId="37" fontId="10" fillId="0" borderId="0" xfId="0" applyNumberFormat="1" applyFont="1" applyBorder="1" applyAlignment="1">
      <alignment horizontal="centerContinuous"/>
    </xf>
    <xf numFmtId="39" fontId="6" fillId="0" borderId="8" xfId="0" applyNumberFormat="1" applyFont="1" applyBorder="1" applyAlignment="1">
      <alignment/>
    </xf>
    <xf numFmtId="37" fontId="6" fillId="0" borderId="36" xfId="0" applyNumberFormat="1" applyFont="1" applyBorder="1" applyAlignment="1">
      <alignment/>
    </xf>
    <xf numFmtId="37" fontId="30" fillId="44" borderId="24" xfId="0" applyNumberFormat="1" applyFont="1" applyFill="1" applyBorder="1" applyAlignment="1" applyProtection="1">
      <alignment vertical="top"/>
      <protection/>
    </xf>
    <xf numFmtId="182" fontId="30" fillId="44" borderId="24" xfId="0" applyNumberFormat="1" applyFont="1" applyFill="1" applyBorder="1" applyAlignment="1" applyProtection="1">
      <alignment vertical="top"/>
      <protection/>
    </xf>
    <xf numFmtId="1" fontId="30" fillId="44" borderId="18" xfId="0" applyNumberFormat="1" applyFont="1" applyFill="1" applyBorder="1" applyAlignment="1" applyProtection="1">
      <alignment vertical="top"/>
      <protection/>
    </xf>
    <xf numFmtId="192" fontId="33" fillId="44" borderId="0" xfId="0" applyNumberFormat="1" applyFont="1" applyFill="1" applyBorder="1" applyAlignment="1" applyProtection="1">
      <alignment horizontal="center" vertical="top"/>
      <protection/>
    </xf>
    <xf numFmtId="37" fontId="30" fillId="44" borderId="29" xfId="0" applyNumberFormat="1" applyFont="1" applyFill="1" applyBorder="1" applyAlignment="1" applyProtection="1">
      <alignment vertical="top"/>
      <protection/>
    </xf>
    <xf numFmtId="37" fontId="30" fillId="44" borderId="19" xfId="0" applyNumberFormat="1" applyFont="1" applyFill="1" applyBorder="1" applyAlignment="1" applyProtection="1">
      <alignment vertical="top"/>
      <protection/>
    </xf>
    <xf numFmtId="3" fontId="30" fillId="0" borderId="19" xfId="0" applyNumberFormat="1" applyFont="1" applyBorder="1" applyAlignment="1" applyProtection="1">
      <alignment vertical="top"/>
      <protection/>
    </xf>
    <xf numFmtId="3" fontId="30" fillId="0" borderId="0" xfId="0" applyNumberFormat="1" applyFont="1" applyAlignment="1" applyProtection="1">
      <alignment vertical="top"/>
      <protection/>
    </xf>
    <xf numFmtId="169" fontId="33" fillId="44" borderId="0" xfId="0" applyNumberFormat="1" applyFont="1" applyFill="1" applyBorder="1" applyAlignment="1" applyProtection="1">
      <alignment vertical="top"/>
      <protection/>
    </xf>
    <xf numFmtId="39" fontId="30" fillId="44" borderId="24" xfId="0" applyNumberFormat="1" applyFont="1" applyFill="1" applyBorder="1" applyAlignment="1" applyProtection="1">
      <alignment vertical="top"/>
      <protection/>
    </xf>
    <xf numFmtId="3" fontId="30" fillId="0" borderId="0" xfId="0" applyNumberFormat="1" applyFont="1" applyFill="1" applyBorder="1" applyAlignment="1" applyProtection="1">
      <alignment vertical="top"/>
      <protection/>
    </xf>
    <xf numFmtId="10" fontId="30" fillId="0" borderId="33" xfId="0" applyNumberFormat="1" applyFont="1" applyBorder="1" applyAlignment="1" applyProtection="1">
      <alignment vertical="top"/>
      <protection/>
    </xf>
    <xf numFmtId="0" fontId="5" fillId="0" borderId="29" xfId="0" applyFont="1" applyBorder="1" applyAlignment="1" applyProtection="1">
      <alignment horizontal="right"/>
      <protection/>
    </xf>
    <xf numFmtId="0" fontId="32" fillId="0" borderId="32" xfId="0" applyFont="1" applyBorder="1" applyAlignment="1" applyProtection="1">
      <alignment vertical="top"/>
      <protection/>
    </xf>
    <xf numFmtId="3" fontId="5" fillId="0" borderId="18" xfId="0" applyNumberFormat="1" applyFont="1" applyBorder="1" applyAlignment="1" applyProtection="1">
      <alignment vertical="top"/>
      <protection/>
    </xf>
    <xf numFmtId="3" fontId="5" fillId="0" borderId="32" xfId="0" applyNumberFormat="1" applyFont="1" applyBorder="1" applyAlignment="1" applyProtection="1">
      <alignment vertical="top"/>
      <protection/>
    </xf>
    <xf numFmtId="0" fontId="5" fillId="0" borderId="32" xfId="0" applyFont="1" applyBorder="1" applyAlignment="1" applyProtection="1">
      <alignment vertical="top"/>
      <protection/>
    </xf>
    <xf numFmtId="3" fontId="32" fillId="0" borderId="37" xfId="0" applyNumberFormat="1" applyFont="1" applyBorder="1" applyAlignment="1" applyProtection="1">
      <alignment vertical="top"/>
      <protection/>
    </xf>
    <xf numFmtId="0" fontId="38" fillId="0" borderId="0" xfId="0" applyFont="1" applyAlignment="1" applyProtection="1">
      <alignment vertical="top"/>
      <protection/>
    </xf>
    <xf numFmtId="0" fontId="30" fillId="0" borderId="0" xfId="0" applyFont="1" applyAlignment="1" applyProtection="1">
      <alignment vertical="top"/>
      <protection/>
    </xf>
    <xf numFmtId="0" fontId="38" fillId="0" borderId="0" xfId="0" applyFont="1" applyAlignment="1" applyProtection="1">
      <alignment horizontal="center"/>
      <protection/>
    </xf>
    <xf numFmtId="0" fontId="0" fillId="0" borderId="0" xfId="0" applyFont="1" applyAlignment="1" applyProtection="1">
      <alignment vertical="top"/>
      <protection/>
    </xf>
    <xf numFmtId="3" fontId="30" fillId="0" borderId="0" xfId="0" applyNumberFormat="1" applyFont="1" applyAlignment="1" applyProtection="1">
      <alignment/>
      <protection/>
    </xf>
    <xf numFmtId="192" fontId="33" fillId="44" borderId="0" xfId="0" applyNumberFormat="1" applyFont="1" applyFill="1" applyBorder="1" applyAlignment="1" applyProtection="1">
      <alignment vertical="top"/>
      <protection/>
    </xf>
    <xf numFmtId="3" fontId="30" fillId="44" borderId="18" xfId="0" applyNumberFormat="1" applyFont="1" applyFill="1" applyBorder="1" applyAlignment="1" applyProtection="1">
      <alignment vertical="top"/>
      <protection/>
    </xf>
    <xf numFmtId="2" fontId="30" fillId="0" borderId="0" xfId="75" applyNumberFormat="1" applyFont="1" applyAlignment="1" applyProtection="1">
      <alignment/>
      <protection/>
    </xf>
    <xf numFmtId="3" fontId="30" fillId="0" borderId="0" xfId="0" applyNumberFormat="1" applyFont="1" applyAlignment="1" applyProtection="1">
      <alignment horizontal="left"/>
      <protection/>
    </xf>
    <xf numFmtId="3" fontId="30" fillId="0" borderId="0" xfId="0" applyNumberFormat="1" applyFont="1" applyAlignment="1" applyProtection="1">
      <alignment horizontal="right"/>
      <protection/>
    </xf>
    <xf numFmtId="194" fontId="30" fillId="44" borderId="0" xfId="0" applyNumberFormat="1" applyFont="1" applyFill="1" applyAlignment="1" applyProtection="1">
      <alignment horizontal="left"/>
      <protection/>
    </xf>
    <xf numFmtId="1" fontId="30" fillId="44" borderId="0" xfId="0" applyNumberFormat="1" applyFont="1" applyFill="1" applyBorder="1" applyAlignment="1" applyProtection="1">
      <alignment horizontal="left" vertical="top"/>
      <protection/>
    </xf>
    <xf numFmtId="3" fontId="33" fillId="0" borderId="0" xfId="0" applyNumberFormat="1" applyFont="1" applyBorder="1" applyAlignment="1" applyProtection="1">
      <alignment horizontal="center"/>
      <protection/>
    </xf>
    <xf numFmtId="37" fontId="30" fillId="44" borderId="0" xfId="0" applyNumberFormat="1" applyFont="1" applyFill="1" applyBorder="1" applyAlignment="1" applyProtection="1">
      <alignment vertical="top"/>
      <protection/>
    </xf>
    <xf numFmtId="5" fontId="30" fillId="44" borderId="0" xfId="0" applyNumberFormat="1" applyFont="1" applyFill="1" applyBorder="1" applyAlignment="1" applyProtection="1">
      <alignment vertical="top"/>
      <protection/>
    </xf>
    <xf numFmtId="2" fontId="30" fillId="44" borderId="0" xfId="0" applyNumberFormat="1" applyFont="1" applyFill="1" applyBorder="1" applyAlignment="1" applyProtection="1">
      <alignment vertical="top"/>
      <protection/>
    </xf>
    <xf numFmtId="39" fontId="30" fillId="0" borderId="0" xfId="0" applyNumberFormat="1" applyFont="1" applyAlignment="1" applyProtection="1">
      <alignment vertical="top"/>
      <protection/>
    </xf>
    <xf numFmtId="37" fontId="10" fillId="0" borderId="33" xfId="0" applyNumberFormat="1" applyFont="1" applyBorder="1" applyAlignment="1">
      <alignment/>
    </xf>
    <xf numFmtId="3" fontId="5" fillId="47" borderId="18" xfId="0" applyNumberFormat="1" applyFont="1" applyFill="1" applyBorder="1" applyAlignment="1" applyProtection="1">
      <alignment vertical="top"/>
      <protection/>
    </xf>
    <xf numFmtId="37" fontId="6" fillId="43" borderId="8" xfId="0" applyNumberFormat="1" applyFont="1" applyFill="1" applyBorder="1" applyAlignment="1" applyProtection="1">
      <alignment/>
      <protection/>
    </xf>
    <xf numFmtId="37" fontId="6" fillId="48" borderId="38" xfId="0" applyNumberFormat="1" applyFont="1" applyFill="1" applyBorder="1" applyAlignment="1" applyProtection="1">
      <alignment/>
      <protection locked="0"/>
    </xf>
    <xf numFmtId="37" fontId="6" fillId="48" borderId="11" xfId="0" applyNumberFormat="1" applyFont="1" applyFill="1" applyBorder="1" applyAlignment="1" applyProtection="1">
      <alignment/>
      <protection locked="0"/>
    </xf>
    <xf numFmtId="37" fontId="6" fillId="48" borderId="39" xfId="0" applyNumberFormat="1" applyFont="1" applyFill="1" applyBorder="1" applyAlignment="1" applyProtection="1">
      <alignment/>
      <protection locked="0"/>
    </xf>
    <xf numFmtId="37" fontId="6" fillId="48" borderId="40" xfId="0" applyNumberFormat="1" applyFont="1" applyFill="1" applyBorder="1" applyAlignment="1" applyProtection="1">
      <alignment/>
      <protection locked="0"/>
    </xf>
    <xf numFmtId="37" fontId="6" fillId="48" borderId="8" xfId="0" applyNumberFormat="1" applyFont="1" applyFill="1" applyBorder="1" applyAlignment="1" applyProtection="1">
      <alignment/>
      <protection locked="0"/>
    </xf>
    <xf numFmtId="37" fontId="6" fillId="48" borderId="41" xfId="0" applyNumberFormat="1" applyFont="1" applyFill="1" applyBorder="1" applyAlignment="1" applyProtection="1">
      <alignment/>
      <protection locked="0"/>
    </xf>
    <xf numFmtId="2" fontId="30" fillId="44" borderId="18" xfId="0" applyNumberFormat="1" applyFont="1" applyFill="1" applyBorder="1" applyAlignment="1" applyProtection="1">
      <alignment vertical="top"/>
      <protection/>
    </xf>
    <xf numFmtId="2" fontId="32" fillId="44" borderId="19" xfId="0" applyNumberFormat="1" applyFont="1" applyFill="1" applyBorder="1" applyAlignment="1" applyProtection="1">
      <alignment vertical="top"/>
      <protection/>
    </xf>
    <xf numFmtId="39" fontId="30" fillId="44" borderId="19" xfId="0" applyNumberFormat="1" applyFont="1" applyFill="1" applyBorder="1" applyAlignment="1" applyProtection="1">
      <alignment vertical="top"/>
      <protection/>
    </xf>
    <xf numFmtId="4" fontId="30" fillId="0" borderId="33" xfId="0" applyNumberFormat="1" applyFont="1" applyBorder="1" applyAlignment="1" applyProtection="1">
      <alignment vertical="top"/>
      <protection/>
    </xf>
    <xf numFmtId="37" fontId="6" fillId="48" borderId="18" xfId="0" applyNumberFormat="1" applyFont="1" applyFill="1" applyBorder="1" applyAlignment="1" applyProtection="1">
      <alignment horizontal="center"/>
      <protection locked="0"/>
    </xf>
    <xf numFmtId="37" fontId="6" fillId="48" borderId="8" xfId="0" applyNumberFormat="1" applyFont="1" applyFill="1" applyBorder="1" applyAlignment="1" applyProtection="1">
      <alignment horizontal="center"/>
      <protection locked="0"/>
    </xf>
    <xf numFmtId="37" fontId="6" fillId="48" borderId="19" xfId="0" applyNumberFormat="1" applyFont="1" applyFill="1" applyBorder="1" applyAlignment="1" applyProtection="1">
      <alignment horizontal="center"/>
      <protection locked="0"/>
    </xf>
    <xf numFmtId="37" fontId="6" fillId="48" borderId="42" xfId="0" applyNumberFormat="1" applyFont="1" applyFill="1" applyBorder="1" applyAlignment="1" applyProtection="1">
      <alignment horizontal="center"/>
      <protection locked="0"/>
    </xf>
    <xf numFmtId="37" fontId="6" fillId="48" borderId="35" xfId="0" applyNumberFormat="1" applyFont="1" applyFill="1" applyBorder="1" applyAlignment="1" applyProtection="1">
      <alignment horizontal="center"/>
      <protection locked="0"/>
    </xf>
    <xf numFmtId="37" fontId="6" fillId="49" borderId="10" xfId="0" applyNumberFormat="1" applyFont="1" applyFill="1" applyBorder="1" applyAlignment="1" applyProtection="1">
      <alignment horizontal="center"/>
      <protection locked="0"/>
    </xf>
    <xf numFmtId="37" fontId="6" fillId="49" borderId="43" xfId="0" applyNumberFormat="1" applyFont="1" applyFill="1" applyBorder="1" applyAlignment="1" applyProtection="1">
      <alignment horizontal="center"/>
      <protection locked="0"/>
    </xf>
    <xf numFmtId="37" fontId="6" fillId="48" borderId="44" xfId="0" applyNumberFormat="1" applyFont="1" applyFill="1" applyBorder="1" applyAlignment="1" applyProtection="1">
      <alignment horizontal="center"/>
      <protection locked="0"/>
    </xf>
    <xf numFmtId="37" fontId="6" fillId="48" borderId="34" xfId="0" applyNumberFormat="1" applyFont="1" applyFill="1" applyBorder="1" applyAlignment="1" applyProtection="1">
      <alignment horizontal="center"/>
      <protection locked="0"/>
    </xf>
    <xf numFmtId="37" fontId="6" fillId="48" borderId="0" xfId="0" applyNumberFormat="1" applyFont="1" applyFill="1" applyAlignment="1" applyProtection="1">
      <alignment horizontal="center"/>
      <protection locked="0"/>
    </xf>
    <xf numFmtId="37" fontId="6" fillId="49" borderId="0" xfId="0" applyNumberFormat="1" applyFont="1" applyFill="1" applyAlignment="1" applyProtection="1">
      <alignment/>
      <protection locked="0"/>
    </xf>
    <xf numFmtId="37" fontId="6" fillId="49" borderId="8" xfId="0" applyNumberFormat="1" applyFont="1" applyFill="1" applyBorder="1" applyAlignment="1" applyProtection="1">
      <alignment/>
      <protection locked="0"/>
    </xf>
    <xf numFmtId="37" fontId="6" fillId="49" borderId="0" xfId="0" applyNumberFormat="1" applyFont="1" applyFill="1" applyAlignment="1">
      <alignment/>
    </xf>
    <xf numFmtId="37" fontId="6" fillId="49" borderId="18" xfId="0" applyNumberFormat="1" applyFont="1" applyFill="1" applyBorder="1" applyAlignment="1" applyProtection="1">
      <alignment/>
      <protection locked="0"/>
    </xf>
    <xf numFmtId="37" fontId="6" fillId="49" borderId="19" xfId="0" applyNumberFormat="1" applyFont="1" applyFill="1" applyBorder="1" applyAlignment="1" applyProtection="1">
      <alignment/>
      <protection locked="0"/>
    </xf>
    <xf numFmtId="37" fontId="6" fillId="49" borderId="45" xfId="0" applyNumberFormat="1" applyFont="1" applyFill="1" applyBorder="1" applyAlignment="1" applyProtection="1">
      <alignment/>
      <protection locked="0"/>
    </xf>
    <xf numFmtId="186" fontId="6" fillId="48" borderId="8" xfId="0" applyNumberFormat="1" applyFont="1" applyFill="1" applyBorder="1" applyAlignment="1" applyProtection="1">
      <alignment/>
      <protection locked="0"/>
    </xf>
    <xf numFmtId="37" fontId="6" fillId="48" borderId="17" xfId="0" applyNumberFormat="1" applyFont="1" applyFill="1" applyBorder="1" applyAlignment="1" applyProtection="1">
      <alignment/>
      <protection locked="0"/>
    </xf>
    <xf numFmtId="37" fontId="6" fillId="49" borderId="11" xfId="0" applyNumberFormat="1" applyFont="1" applyFill="1" applyBorder="1" applyAlignment="1" applyProtection="1">
      <alignment/>
      <protection locked="0"/>
    </xf>
    <xf numFmtId="5" fontId="6" fillId="49" borderId="18" xfId="0" applyNumberFormat="1" applyFont="1" applyFill="1" applyBorder="1" applyAlignment="1" applyProtection="1">
      <alignment/>
      <protection locked="0"/>
    </xf>
    <xf numFmtId="37" fontId="6" fillId="49" borderId="46" xfId="0" applyNumberFormat="1" applyFont="1" applyFill="1" applyBorder="1" applyAlignment="1" applyProtection="1">
      <alignment/>
      <protection locked="0"/>
    </xf>
    <xf numFmtId="37" fontId="6" fillId="49" borderId="47" xfId="0" applyNumberFormat="1" applyFont="1" applyFill="1" applyBorder="1" applyAlignment="1" applyProtection="1">
      <alignment/>
      <protection locked="0"/>
    </xf>
    <xf numFmtId="37" fontId="6" fillId="48" borderId="18" xfId="0" applyNumberFormat="1" applyFont="1" applyFill="1" applyBorder="1" applyAlignment="1" applyProtection="1">
      <alignment/>
      <protection locked="0"/>
    </xf>
    <xf numFmtId="37" fontId="6" fillId="48" borderId="0" xfId="0" applyNumberFormat="1" applyFont="1" applyFill="1" applyAlignment="1">
      <alignment/>
    </xf>
    <xf numFmtId="39" fontId="6" fillId="48" borderId="18" xfId="0" applyNumberFormat="1" applyFont="1" applyFill="1" applyBorder="1" applyAlignment="1" applyProtection="1">
      <alignment/>
      <protection locked="0"/>
    </xf>
    <xf numFmtId="37" fontId="6" fillId="48" borderId="19" xfId="0" applyNumberFormat="1" applyFont="1" applyFill="1" applyBorder="1" applyAlignment="1" applyProtection="1">
      <alignment/>
      <protection locked="0"/>
    </xf>
    <xf numFmtId="37" fontId="6" fillId="48" borderId="36" xfId="82" applyNumberFormat="1" applyFont="1" applyFill="1" applyBorder="1" applyAlignment="1" applyProtection="1">
      <alignment/>
      <protection locked="0"/>
    </xf>
    <xf numFmtId="37" fontId="6" fillId="48" borderId="9" xfId="0" applyNumberFormat="1" applyFont="1" applyFill="1" applyBorder="1" applyAlignment="1" applyProtection="1">
      <alignment horizontal="center"/>
      <protection locked="0"/>
    </xf>
    <xf numFmtId="37" fontId="6" fillId="48" borderId="11" xfId="0" applyNumberFormat="1" applyFont="1" applyFill="1" applyBorder="1" applyAlignment="1" applyProtection="1">
      <alignment horizontal="center"/>
      <protection locked="0"/>
    </xf>
    <xf numFmtId="37" fontId="6" fillId="48" borderId="0" xfId="0" applyNumberFormat="1" applyFont="1" applyFill="1" applyBorder="1" applyAlignment="1" applyProtection="1">
      <alignment/>
      <protection locked="0"/>
    </xf>
    <xf numFmtId="37" fontId="6" fillId="48" borderId="0" xfId="0" applyNumberFormat="1" applyFont="1" applyFill="1" applyAlignment="1" applyProtection="1">
      <alignment/>
      <protection locked="0"/>
    </xf>
    <xf numFmtId="37" fontId="6" fillId="48" borderId="17" xfId="0" applyNumberFormat="1" applyFont="1" applyFill="1" applyBorder="1" applyAlignment="1" applyProtection="1">
      <alignment horizontal="center"/>
      <protection locked="0"/>
    </xf>
    <xf numFmtId="39" fontId="6" fillId="48" borderId="0" xfId="0" applyNumberFormat="1" applyFont="1" applyFill="1" applyAlignment="1" applyProtection="1">
      <alignment/>
      <protection locked="0"/>
    </xf>
    <xf numFmtId="187" fontId="6" fillId="48" borderId="18" xfId="0" applyNumberFormat="1" applyFont="1" applyFill="1" applyBorder="1" applyAlignment="1" applyProtection="1">
      <alignment/>
      <protection locked="0"/>
    </xf>
    <xf numFmtId="186" fontId="6" fillId="48" borderId="19" xfId="0" applyNumberFormat="1" applyFont="1" applyFill="1" applyBorder="1" applyAlignment="1" applyProtection="1">
      <alignment/>
      <protection locked="0"/>
    </xf>
    <xf numFmtId="10" fontId="30" fillId="50" borderId="18" xfId="0" applyNumberFormat="1" applyFont="1" applyFill="1" applyBorder="1" applyAlignment="1">
      <alignment vertical="top"/>
    </xf>
    <xf numFmtId="1" fontId="30" fillId="50" borderId="48" xfId="0" applyNumberFormat="1" applyFont="1" applyFill="1" applyBorder="1" applyAlignment="1">
      <alignment vertical="top"/>
    </xf>
    <xf numFmtId="1" fontId="30" fillId="50" borderId="49" xfId="0" applyNumberFormat="1" applyFont="1" applyFill="1" applyBorder="1" applyAlignment="1">
      <alignment vertical="top"/>
    </xf>
    <xf numFmtId="9" fontId="32" fillId="50" borderId="19" xfId="0" applyNumberFormat="1" applyFont="1" applyFill="1" applyBorder="1" applyAlignment="1" applyProtection="1">
      <alignment vertical="top"/>
      <protection locked="0"/>
    </xf>
    <xf numFmtId="10" fontId="30" fillId="50" borderId="18" xfId="0" applyNumberFormat="1" applyFont="1" applyFill="1" applyBorder="1" applyAlignment="1" applyProtection="1">
      <alignment vertical="top"/>
      <protection locked="0"/>
    </xf>
    <xf numFmtId="37" fontId="30" fillId="50" borderId="29" xfId="0" applyNumberFormat="1" applyFont="1" applyFill="1" applyBorder="1" applyAlignment="1" applyProtection="1">
      <alignment vertical="top"/>
      <protection locked="0"/>
    </xf>
    <xf numFmtId="10" fontId="30" fillId="50" borderId="19" xfId="0" applyNumberFormat="1" applyFont="1" applyFill="1" applyBorder="1" applyAlignment="1" applyProtection="1">
      <alignment vertical="top"/>
      <protection locked="0"/>
    </xf>
    <xf numFmtId="3" fontId="32" fillId="0" borderId="0" xfId="0" applyNumberFormat="1" applyFont="1" applyBorder="1" applyAlignment="1">
      <alignment horizontal="right"/>
    </xf>
    <xf numFmtId="3" fontId="30" fillId="51" borderId="28" xfId="0" applyNumberFormat="1" applyFont="1" applyFill="1" applyBorder="1" applyAlignment="1">
      <alignment horizontal="center"/>
    </xf>
    <xf numFmtId="3" fontId="35" fillId="51" borderId="18" xfId="0" applyNumberFormat="1" applyFont="1" applyFill="1" applyBorder="1" applyAlignment="1">
      <alignment horizontal="center"/>
    </xf>
    <xf numFmtId="37" fontId="6" fillId="0" borderId="0" xfId="0" applyNumberFormat="1" applyFont="1" applyAlignment="1" applyProtection="1">
      <alignment horizontal="center"/>
      <protection hidden="1"/>
    </xf>
    <xf numFmtId="37" fontId="6" fillId="0" borderId="0" xfId="0" applyNumberFormat="1" applyFont="1" applyAlignment="1" applyProtection="1">
      <alignment horizontal="center"/>
      <protection hidden="1" locked="0"/>
    </xf>
    <xf numFmtId="37" fontId="10" fillId="0" borderId="0" xfId="0" applyNumberFormat="1" applyFont="1" applyAlignment="1" quotePrefix="1">
      <alignment horizontal="center"/>
    </xf>
    <xf numFmtId="0" fontId="30" fillId="0" borderId="0" xfId="0" applyFont="1" applyAlignment="1" applyProtection="1">
      <alignment horizontal="left" vertical="top"/>
      <protection/>
    </xf>
    <xf numFmtId="195" fontId="30" fillId="50" borderId="0" xfId="0" applyNumberFormat="1" applyFont="1" applyFill="1" applyAlignment="1" applyProtection="1">
      <alignment horizontal="center"/>
      <protection locked="0"/>
    </xf>
    <xf numFmtId="37" fontId="30" fillId="50" borderId="0" xfId="0" applyNumberFormat="1" applyFont="1" applyFill="1" applyAlignment="1" applyProtection="1">
      <alignment vertical="top"/>
      <protection locked="0"/>
    </xf>
    <xf numFmtId="0" fontId="30" fillId="0" borderId="19" xfId="0" applyFont="1" applyFill="1" applyBorder="1" applyAlignment="1">
      <alignment vertical="top"/>
    </xf>
    <xf numFmtId="37" fontId="10" fillId="0" borderId="36" xfId="0" applyNumberFormat="1" applyFont="1" applyBorder="1" applyAlignment="1" applyProtection="1">
      <alignment/>
      <protection/>
    </xf>
    <xf numFmtId="37" fontId="13" fillId="0" borderId="0" xfId="0" applyNumberFormat="1" applyFont="1" applyAlignment="1">
      <alignment horizontal="left"/>
    </xf>
    <xf numFmtId="49" fontId="6" fillId="48" borderId="8" xfId="0" applyNumberFormat="1" applyFont="1" applyFill="1" applyBorder="1" applyAlignment="1" applyProtection="1">
      <alignment horizontal="left"/>
      <protection locked="0"/>
    </xf>
    <xf numFmtId="49" fontId="6" fillId="49" borderId="18" xfId="0" applyNumberFormat="1" applyFont="1" applyFill="1" applyBorder="1" applyAlignment="1">
      <alignment/>
    </xf>
    <xf numFmtId="38" fontId="10" fillId="43" borderId="50" xfId="0" applyNumberFormat="1" applyFont="1" applyFill="1" applyBorder="1" applyAlignment="1" applyProtection="1">
      <alignment/>
      <protection/>
    </xf>
    <xf numFmtId="38" fontId="10" fillId="43" borderId="0" xfId="0" applyNumberFormat="1" applyFont="1" applyFill="1" applyBorder="1" applyAlignment="1" applyProtection="1">
      <alignment/>
      <protection/>
    </xf>
    <xf numFmtId="37" fontId="6" fillId="43" borderId="0" xfId="0" applyNumberFormat="1" applyFont="1" applyFill="1" applyBorder="1" applyAlignment="1" applyProtection="1">
      <alignment horizontal="center"/>
      <protection locked="0"/>
    </xf>
    <xf numFmtId="37" fontId="6" fillId="29" borderId="0" xfId="0" applyNumberFormat="1" applyFont="1" applyFill="1" applyAlignment="1" applyProtection="1">
      <alignment/>
      <protection locked="0"/>
    </xf>
    <xf numFmtId="37" fontId="10" fillId="29" borderId="0" xfId="0" applyNumberFormat="1" applyFont="1" applyFill="1" applyBorder="1" applyAlignment="1" applyProtection="1">
      <alignment/>
      <protection locked="0"/>
    </xf>
    <xf numFmtId="37" fontId="6" fillId="29" borderId="0" xfId="0" applyNumberFormat="1" applyFont="1" applyFill="1" applyAlignment="1">
      <alignment/>
    </xf>
    <xf numFmtId="37" fontId="10" fillId="0" borderId="51" xfId="0" applyNumberFormat="1" applyFont="1" applyBorder="1" applyAlignment="1" applyProtection="1">
      <alignment/>
      <protection/>
    </xf>
    <xf numFmtId="37" fontId="6" fillId="0" borderId="52" xfId="0" applyNumberFormat="1" applyFont="1" applyBorder="1" applyAlignment="1">
      <alignment/>
    </xf>
    <xf numFmtId="37" fontId="6" fillId="0" borderId="52" xfId="0" applyNumberFormat="1" applyFont="1" applyBorder="1" applyAlignment="1" applyProtection="1">
      <alignment/>
      <protection locked="0"/>
    </xf>
    <xf numFmtId="37" fontId="10" fillId="0" borderId="0" xfId="0" applyNumberFormat="1" applyFont="1" applyBorder="1" applyAlignment="1">
      <alignment/>
    </xf>
    <xf numFmtId="37" fontId="6" fillId="50" borderId="18" xfId="0" applyNumberFormat="1" applyFont="1" applyFill="1" applyBorder="1" applyAlignment="1" applyProtection="1">
      <alignment horizontal="center"/>
      <protection locked="0"/>
    </xf>
    <xf numFmtId="37" fontId="6" fillId="50" borderId="19" xfId="0" applyNumberFormat="1" applyFont="1" applyFill="1" applyBorder="1" applyAlignment="1" applyProtection="1">
      <alignment horizontal="center"/>
      <protection locked="0"/>
    </xf>
    <xf numFmtId="39" fontId="6" fillId="50" borderId="0" xfId="0" applyNumberFormat="1" applyFont="1" applyFill="1" applyAlignment="1" applyProtection="1">
      <alignment/>
      <protection locked="0"/>
    </xf>
    <xf numFmtId="9" fontId="32" fillId="44" borderId="19" xfId="0" applyNumberFormat="1" applyFont="1" applyFill="1" applyBorder="1" applyAlignment="1" applyProtection="1">
      <alignment horizontal="right"/>
      <protection/>
    </xf>
    <xf numFmtId="10" fontId="32" fillId="44" borderId="18" xfId="0" applyNumberFormat="1" applyFont="1" applyFill="1" applyBorder="1" applyAlignment="1" applyProtection="1">
      <alignment horizontal="right"/>
      <protection/>
    </xf>
    <xf numFmtId="193" fontId="6" fillId="49" borderId="18" xfId="0" applyNumberFormat="1" applyFont="1" applyFill="1" applyBorder="1" applyAlignment="1" applyProtection="1">
      <alignment/>
      <protection locked="0"/>
    </xf>
    <xf numFmtId="10" fontId="6" fillId="49" borderId="18" xfId="0" applyNumberFormat="1" applyFont="1" applyFill="1" applyBorder="1" applyAlignment="1" applyProtection="1">
      <alignment/>
      <protection locked="0"/>
    </xf>
    <xf numFmtId="38" fontId="6" fillId="0" borderId="48" xfId="0" applyNumberFormat="1" applyFont="1" applyBorder="1" applyAlignment="1" applyProtection="1">
      <alignment/>
      <protection/>
    </xf>
    <xf numFmtId="0" fontId="7" fillId="29" borderId="0" xfId="71" applyFill="1">
      <alignment/>
      <protection/>
    </xf>
    <xf numFmtId="177" fontId="31" fillId="0" borderId="0" xfId="51" applyFont="1" applyFill="1" applyAlignment="1" applyProtection="1">
      <alignment/>
      <protection locked="0"/>
    </xf>
    <xf numFmtId="177" fontId="27" fillId="0" borderId="0" xfId="51" applyFont="1" applyFill="1" applyAlignment="1" applyProtection="1">
      <alignment/>
      <protection locked="0"/>
    </xf>
    <xf numFmtId="177" fontId="44" fillId="0" borderId="18" xfId="51" applyFont="1" applyFill="1" applyBorder="1" applyAlignment="1" applyProtection="1">
      <alignment/>
      <protection locked="0"/>
    </xf>
    <xf numFmtId="0" fontId="31" fillId="29" borderId="0" xfId="71" applyFont="1" applyFill="1" applyProtection="1">
      <alignment/>
      <protection locked="0"/>
    </xf>
    <xf numFmtId="177" fontId="44" fillId="0" borderId="19" xfId="51" applyFont="1" applyFill="1" applyBorder="1" applyAlignment="1" applyProtection="1">
      <alignment/>
      <protection locked="0"/>
    </xf>
    <xf numFmtId="177" fontId="31" fillId="29" borderId="0" xfId="71" applyNumberFormat="1" applyFont="1" applyFill="1" applyProtection="1">
      <alignment/>
      <protection locked="0"/>
    </xf>
    <xf numFmtId="177" fontId="31" fillId="34" borderId="0" xfId="71" applyNumberFormat="1" applyFont="1" applyFill="1" applyProtection="1">
      <alignment/>
      <protection locked="0"/>
    </xf>
    <xf numFmtId="0" fontId="31" fillId="34" borderId="0" xfId="71" applyFont="1" applyFill="1" applyProtection="1">
      <alignment/>
      <protection locked="0"/>
    </xf>
    <xf numFmtId="192" fontId="10" fillId="50" borderId="8" xfId="83" applyNumberFormat="1" applyFont="1" applyFill="1">
      <alignment horizontal="right"/>
      <protection locked="0"/>
    </xf>
    <xf numFmtId="192" fontId="31" fillId="0" borderId="0" xfId="51" applyNumberFormat="1" applyFont="1" applyFill="1" applyAlignment="1" applyProtection="1">
      <alignment/>
      <protection locked="0"/>
    </xf>
    <xf numFmtId="192" fontId="6" fillId="0" borderId="0" xfId="51" applyNumberFormat="1" applyFont="1" applyFill="1" applyAlignment="1" applyProtection="1">
      <alignment/>
      <protection locked="0"/>
    </xf>
    <xf numFmtId="192" fontId="10" fillId="0" borderId="8" xfId="81" applyNumberFormat="1" applyFont="1" applyFill="1">
      <alignment horizontal="right"/>
      <protection/>
    </xf>
    <xf numFmtId="177" fontId="31" fillId="29" borderId="0" xfId="71" applyNumberFormat="1" applyFont="1" applyFill="1">
      <alignment/>
      <protection/>
    </xf>
    <xf numFmtId="177" fontId="31" fillId="34" borderId="0" xfId="71" applyNumberFormat="1" applyFont="1" applyFill="1">
      <alignment/>
      <protection/>
    </xf>
    <xf numFmtId="10" fontId="10" fillId="0" borderId="0" xfId="76" applyFont="1" applyFill="1" applyAlignment="1">
      <alignment horizontal="center"/>
    </xf>
    <xf numFmtId="192" fontId="10" fillId="50" borderId="18" xfId="71" applyNumberFormat="1" applyFont="1" applyFill="1" applyBorder="1" applyProtection="1">
      <alignment/>
      <protection locked="0"/>
    </xf>
    <xf numFmtId="192" fontId="6" fillId="0" borderId="8" xfId="81" applyNumberFormat="1" applyFont="1" applyFill="1">
      <alignment horizontal="right"/>
      <protection/>
    </xf>
    <xf numFmtId="177" fontId="31" fillId="0" borderId="0" xfId="51" applyFont="1" applyFill="1" applyAlignment="1">
      <alignment/>
    </xf>
    <xf numFmtId="10" fontId="27" fillId="50" borderId="8" xfId="76" applyFont="1" applyFill="1" applyBorder="1" applyAlignment="1" applyProtection="1">
      <alignment horizontal="center"/>
      <protection locked="0"/>
    </xf>
    <xf numFmtId="10" fontId="28" fillId="50" borderId="8" xfId="76" applyFont="1" applyFill="1" applyBorder="1" applyAlignment="1" applyProtection="1">
      <alignment horizontal="right"/>
      <protection locked="0"/>
    </xf>
    <xf numFmtId="177" fontId="31" fillId="0" borderId="53" xfId="51" applyFont="1" applyFill="1" applyBorder="1" applyAlignment="1" applyProtection="1">
      <alignment/>
      <protection locked="0"/>
    </xf>
    <xf numFmtId="0" fontId="48" fillId="29" borderId="0" xfId="71" applyFont="1" applyFill="1">
      <alignment/>
      <protection/>
    </xf>
    <xf numFmtId="177" fontId="31" fillId="0" borderId="0" xfId="51" applyFont="1" applyFill="1" applyAlignment="1" applyProtection="1">
      <alignment horizontal="center"/>
      <protection locked="0"/>
    </xf>
    <xf numFmtId="192" fontId="22" fillId="0" borderId="54" xfId="48" applyNumberFormat="1" applyFont="1" applyFill="1" applyBorder="1" applyAlignment="1">
      <alignment/>
    </xf>
    <xf numFmtId="192" fontId="28" fillId="29" borderId="53" xfId="48" applyNumberFormat="1" applyFont="1" applyBorder="1" applyAlignment="1">
      <alignment/>
    </xf>
    <xf numFmtId="0" fontId="31" fillId="29" borderId="55" xfId="71" applyFont="1" applyFill="1" applyBorder="1" applyProtection="1">
      <alignment/>
      <protection locked="0"/>
    </xf>
    <xf numFmtId="0" fontId="31" fillId="29" borderId="56" xfId="71" applyFont="1" applyFill="1" applyBorder="1" applyProtection="1">
      <alignment/>
      <protection locked="0"/>
    </xf>
    <xf numFmtId="177" fontId="31" fillId="29" borderId="56" xfId="51" applyFont="1" applyBorder="1" applyAlignment="1" applyProtection="1">
      <alignment/>
      <protection locked="0"/>
    </xf>
    <xf numFmtId="177" fontId="31" fillId="29" borderId="57" xfId="51" applyFont="1" applyBorder="1" applyAlignment="1" applyProtection="1">
      <alignment/>
      <protection locked="0"/>
    </xf>
    <xf numFmtId="177" fontId="31" fillId="34" borderId="0" xfId="51" applyFont="1" applyFill="1" applyAlignment="1" applyProtection="1">
      <alignment/>
      <protection locked="0"/>
    </xf>
    <xf numFmtId="177" fontId="31" fillId="29" borderId="0" xfId="51" applyFont="1" applyAlignment="1" applyProtection="1">
      <alignment/>
      <protection locked="0"/>
    </xf>
    <xf numFmtId="177" fontId="31" fillId="29" borderId="0" xfId="51" applyFont="1" applyAlignment="1">
      <alignment/>
    </xf>
    <xf numFmtId="0" fontId="7" fillId="44" borderId="0" xfId="72" applyFill="1">
      <alignment/>
      <protection/>
    </xf>
    <xf numFmtId="0" fontId="43" fillId="44" borderId="0" xfId="72" applyFont="1" applyFill="1">
      <alignment/>
      <protection/>
    </xf>
    <xf numFmtId="0" fontId="31" fillId="44" borderId="0" xfId="72" applyFont="1" applyFill="1" applyProtection="1">
      <alignment/>
      <protection locked="0"/>
    </xf>
    <xf numFmtId="0" fontId="7" fillId="29" borderId="0" xfId="72" applyFill="1">
      <alignment/>
      <protection/>
    </xf>
    <xf numFmtId="0" fontId="31" fillId="29" borderId="0" xfId="72" applyFont="1" applyFill="1" applyProtection="1">
      <alignment/>
      <protection locked="0"/>
    </xf>
    <xf numFmtId="177" fontId="31" fillId="44" borderId="0" xfId="52" applyFont="1" applyFill="1" applyAlignment="1" applyProtection="1">
      <alignment/>
      <protection locked="0"/>
    </xf>
    <xf numFmtId="177" fontId="27" fillId="44" borderId="0" xfId="72" applyNumberFormat="1" applyFont="1" applyFill="1" applyAlignment="1">
      <alignment horizontal="left"/>
      <protection/>
    </xf>
    <xf numFmtId="0" fontId="10" fillId="29" borderId="0" xfId="72" applyFont="1" applyFill="1" applyAlignment="1">
      <alignment horizontal="center"/>
      <protection/>
    </xf>
    <xf numFmtId="0" fontId="27" fillId="44" borderId="0" xfId="72" applyFont="1" applyFill="1">
      <alignment/>
      <protection/>
    </xf>
    <xf numFmtId="0" fontId="31" fillId="44" borderId="0" xfId="72" applyFont="1" applyFill="1">
      <alignment/>
      <protection/>
    </xf>
    <xf numFmtId="0" fontId="31" fillId="34" borderId="0" xfId="72" applyFont="1" applyFill="1" applyProtection="1">
      <alignment/>
      <protection locked="0"/>
    </xf>
    <xf numFmtId="0" fontId="7" fillId="29" borderId="0" xfId="72" applyFill="1" applyAlignment="1">
      <alignment horizontal="right"/>
      <protection/>
    </xf>
    <xf numFmtId="0" fontId="40" fillId="44" borderId="0" xfId="72" applyFont="1" applyFill="1" applyAlignment="1" applyProtection="1">
      <alignment horizontal="center"/>
      <protection locked="0"/>
    </xf>
    <xf numFmtId="14" fontId="40" fillId="44" borderId="0" xfId="72" applyNumberFormat="1" applyFont="1" applyFill="1" applyAlignment="1">
      <alignment horizontal="center"/>
      <protection/>
    </xf>
    <xf numFmtId="0" fontId="40" fillId="44" borderId="0" xfId="72" applyFont="1" applyFill="1" applyAlignment="1">
      <alignment horizontal="center"/>
      <protection/>
    </xf>
    <xf numFmtId="0" fontId="29" fillId="44" borderId="0" xfId="72" applyFont="1" applyFill="1">
      <alignment/>
      <protection/>
    </xf>
    <xf numFmtId="0" fontId="47" fillId="44" borderId="0" xfId="72" applyFont="1" applyFill="1" applyProtection="1">
      <alignment/>
      <protection locked="0"/>
    </xf>
    <xf numFmtId="0" fontId="29" fillId="44" borderId="0" xfId="72" applyFont="1" applyFill="1" applyProtection="1">
      <alignment/>
      <protection locked="0"/>
    </xf>
    <xf numFmtId="0" fontId="22" fillId="44" borderId="0" xfId="72" applyFont="1" applyFill="1">
      <alignment/>
      <protection/>
    </xf>
    <xf numFmtId="10" fontId="50" fillId="29" borderId="33" xfId="72" applyNumberFormat="1" applyFont="1" applyFill="1" applyBorder="1">
      <alignment/>
      <protection/>
    </xf>
    <xf numFmtId="10" fontId="28" fillId="29" borderId="33" xfId="72" applyNumberFormat="1" applyFont="1" applyFill="1" applyBorder="1">
      <alignment/>
      <protection/>
    </xf>
    <xf numFmtId="177" fontId="31" fillId="34" borderId="0" xfId="52" applyFont="1" applyFill="1" applyAlignment="1" applyProtection="1">
      <alignment/>
      <protection locked="0"/>
    </xf>
    <xf numFmtId="0" fontId="52" fillId="29" borderId="0" xfId="72" applyFont="1" applyFill="1">
      <alignment/>
      <protection/>
    </xf>
    <xf numFmtId="0" fontId="22" fillId="29" borderId="0" xfId="72" applyFont="1" applyFill="1">
      <alignment/>
      <protection/>
    </xf>
    <xf numFmtId="0" fontId="22" fillId="34" borderId="0" xfId="72" applyFont="1" applyFill="1">
      <alignment/>
      <protection/>
    </xf>
    <xf numFmtId="0" fontId="49" fillId="29" borderId="0" xfId="72" applyFont="1" applyFill="1">
      <alignment/>
      <protection/>
    </xf>
    <xf numFmtId="0" fontId="55" fillId="29" borderId="0" xfId="72" applyFont="1" applyFill="1">
      <alignment/>
      <protection/>
    </xf>
    <xf numFmtId="177" fontId="43" fillId="0" borderId="56" xfId="52" applyFont="1" applyFill="1" applyBorder="1" applyAlignment="1">
      <alignment horizontal="center"/>
    </xf>
    <xf numFmtId="0" fontId="10" fillId="29" borderId="0" xfId="72" applyFont="1" applyFill="1">
      <alignment/>
      <protection/>
    </xf>
    <xf numFmtId="10" fontId="10" fillId="29" borderId="0" xfId="77" applyFont="1" applyAlignment="1">
      <alignment/>
    </xf>
    <xf numFmtId="192" fontId="10" fillId="29" borderId="0" xfId="72" applyNumberFormat="1" applyFont="1" applyFill="1">
      <alignment/>
      <protection/>
    </xf>
    <xf numFmtId="3" fontId="10" fillId="29" borderId="0" xfId="72" applyNumberFormat="1" applyFont="1" applyFill="1">
      <alignment/>
      <protection/>
    </xf>
    <xf numFmtId="192" fontId="0" fillId="29" borderId="0" xfId="72" applyNumberFormat="1" applyFont="1" applyFill="1">
      <alignment/>
      <protection/>
    </xf>
    <xf numFmtId="0" fontId="27" fillId="29" borderId="0" xfId="72" applyFont="1" applyFill="1">
      <alignment/>
      <protection/>
    </xf>
    <xf numFmtId="0" fontId="10" fillId="29" borderId="0" xfId="72" applyFont="1" applyFill="1" applyAlignment="1">
      <alignment horizontal="right"/>
      <protection/>
    </xf>
    <xf numFmtId="3" fontId="10" fillId="50" borderId="18" xfId="49" applyNumberFormat="1" applyFont="1" applyFill="1" applyBorder="1" applyAlignment="1" applyProtection="1">
      <alignment horizontal="center"/>
      <protection locked="0"/>
    </xf>
    <xf numFmtId="3" fontId="10" fillId="50" borderId="19" xfId="49" applyNumberFormat="1" applyFont="1" applyFill="1" applyBorder="1" applyAlignment="1" applyProtection="1">
      <alignment horizontal="center"/>
      <protection locked="0"/>
    </xf>
    <xf numFmtId="10" fontId="10" fillId="29" borderId="0" xfId="77" applyFont="1" applyAlignment="1">
      <alignment horizontal="center"/>
    </xf>
    <xf numFmtId="179" fontId="10" fillId="29" borderId="0" xfId="49" applyFont="1" applyAlignment="1">
      <alignment horizontal="center"/>
    </xf>
    <xf numFmtId="10" fontId="27" fillId="0" borderId="8" xfId="76" applyFont="1" applyFill="1" applyBorder="1" applyAlignment="1" applyProtection="1">
      <alignment horizontal="center"/>
      <protection locked="0"/>
    </xf>
    <xf numFmtId="10" fontId="10" fillId="0" borderId="0" xfId="77" applyFont="1" applyFill="1" applyAlignment="1">
      <alignment/>
    </xf>
    <xf numFmtId="10" fontId="10" fillId="0" borderId="18" xfId="77" applyFont="1" applyFill="1" applyBorder="1" applyAlignment="1">
      <alignment/>
    </xf>
    <xf numFmtId="10" fontId="10" fillId="0" borderId="18" xfId="77" applyFont="1" applyFill="1" applyBorder="1" applyAlignment="1" applyProtection="1">
      <alignment horizontal="center"/>
      <protection locked="0"/>
    </xf>
    <xf numFmtId="10" fontId="5" fillId="0" borderId="8" xfId="0" applyNumberFormat="1" applyFont="1" applyFill="1" applyBorder="1" applyAlignment="1">
      <alignment/>
    </xf>
    <xf numFmtId="37" fontId="13" fillId="29" borderId="18" xfId="0" applyNumberFormat="1" applyFont="1" applyFill="1" applyBorder="1" applyAlignment="1" applyProtection="1">
      <alignment/>
      <protection/>
    </xf>
    <xf numFmtId="37" fontId="6" fillId="29" borderId="18" xfId="0" applyNumberFormat="1" applyFont="1" applyFill="1" applyBorder="1" applyAlignment="1" applyProtection="1">
      <alignment/>
      <protection/>
    </xf>
    <xf numFmtId="37" fontId="6" fillId="29" borderId="58" xfId="0" applyNumberFormat="1" applyFont="1" applyFill="1" applyBorder="1" applyAlignment="1">
      <alignment/>
    </xf>
    <xf numFmtId="38" fontId="6" fillId="0" borderId="18" xfId="0" applyNumberFormat="1" applyFont="1" applyFill="1" applyBorder="1" applyAlignment="1">
      <alignment/>
    </xf>
    <xf numFmtId="10" fontId="6" fillId="49" borderId="8" xfId="0" applyNumberFormat="1" applyFont="1" applyFill="1" applyBorder="1" applyAlignment="1" applyProtection="1">
      <alignment/>
      <protection locked="0"/>
    </xf>
    <xf numFmtId="37" fontId="6" fillId="43" borderId="19" xfId="0" applyNumberFormat="1" applyFont="1" applyFill="1" applyBorder="1" applyAlignment="1" applyProtection="1">
      <alignment/>
      <protection/>
    </xf>
    <xf numFmtId="37" fontId="6" fillId="43" borderId="36" xfId="0" applyNumberFormat="1" applyFont="1" applyFill="1" applyBorder="1" applyAlignment="1" applyProtection="1">
      <alignment/>
      <protection/>
    </xf>
    <xf numFmtId="0" fontId="7" fillId="0" borderId="0" xfId="71">
      <alignment/>
      <protection/>
    </xf>
    <xf numFmtId="0" fontId="41" fillId="0" borderId="0" xfId="71" applyFont="1">
      <alignment/>
      <protection/>
    </xf>
    <xf numFmtId="0" fontId="7" fillId="0" borderId="59" xfId="71" applyBorder="1">
      <alignment/>
      <protection/>
    </xf>
    <xf numFmtId="0" fontId="7" fillId="0" borderId="53" xfId="71" applyBorder="1">
      <alignment/>
      <protection/>
    </xf>
    <xf numFmtId="0" fontId="7" fillId="0" borderId="56" xfId="71" applyBorder="1">
      <alignment/>
      <protection/>
    </xf>
    <xf numFmtId="192" fontId="10" fillId="0" borderId="57" xfId="71" applyNumberFormat="1" applyFont="1" applyBorder="1">
      <alignment/>
      <protection/>
    </xf>
    <xf numFmtId="0" fontId="7" fillId="0" borderId="0" xfId="71" applyAlignment="1">
      <alignment horizontal="center"/>
      <protection/>
    </xf>
    <xf numFmtId="37" fontId="6" fillId="0" borderId="18" xfId="0" applyNumberFormat="1" applyFont="1" applyBorder="1" applyAlignment="1" applyProtection="1">
      <alignment horizontal="left"/>
      <protection/>
    </xf>
    <xf numFmtId="37" fontId="6" fillId="0" borderId="0" xfId="0" applyNumberFormat="1" applyFont="1" applyAlignment="1">
      <alignment horizontal="centerContinuous"/>
    </xf>
    <xf numFmtId="187" fontId="6" fillId="50" borderId="19" xfId="0" applyNumberFormat="1" applyFont="1" applyFill="1" applyBorder="1" applyAlignment="1" applyProtection="1">
      <alignment horizontal="center"/>
      <protection locked="0"/>
    </xf>
    <xf numFmtId="37" fontId="6" fillId="48" borderId="45" xfId="0" applyNumberFormat="1" applyFont="1" applyFill="1" applyBorder="1" applyAlignment="1" applyProtection="1">
      <alignment horizontal="left"/>
      <protection locked="0"/>
    </xf>
    <xf numFmtId="37" fontId="6" fillId="49" borderId="19" xfId="0" applyNumberFormat="1" applyFont="1" applyFill="1" applyBorder="1" applyAlignment="1" applyProtection="1">
      <alignment horizontal="center"/>
      <protection locked="0"/>
    </xf>
    <xf numFmtId="37" fontId="6" fillId="52" borderId="24" xfId="0" applyNumberFormat="1" applyFont="1" applyFill="1" applyBorder="1" applyAlignment="1">
      <alignment/>
    </xf>
    <xf numFmtId="37" fontId="6" fillId="52" borderId="28" xfId="0" applyNumberFormat="1" applyFont="1" applyFill="1" applyBorder="1" applyAlignment="1">
      <alignment/>
    </xf>
    <xf numFmtId="37" fontId="6" fillId="52" borderId="60" xfId="0" applyNumberFormat="1" applyFont="1" applyFill="1" applyBorder="1" applyAlignment="1">
      <alignment/>
    </xf>
    <xf numFmtId="37" fontId="6" fillId="52" borderId="30" xfId="0" applyNumberFormat="1" applyFont="1" applyFill="1" applyBorder="1" applyAlignment="1">
      <alignment/>
    </xf>
    <xf numFmtId="37" fontId="6" fillId="52" borderId="0" xfId="0" applyNumberFormat="1" applyFont="1" applyFill="1" applyBorder="1" applyAlignment="1">
      <alignment/>
    </xf>
    <xf numFmtId="37" fontId="6" fillId="52" borderId="61" xfId="0" applyNumberFormat="1" applyFont="1" applyFill="1" applyBorder="1" applyAlignment="1">
      <alignment/>
    </xf>
    <xf numFmtId="37" fontId="6" fillId="52" borderId="29" xfId="0" applyNumberFormat="1" applyFont="1" applyFill="1" applyBorder="1" applyAlignment="1">
      <alignment/>
    </xf>
    <xf numFmtId="37" fontId="6" fillId="52" borderId="18" xfId="0" applyNumberFormat="1" applyFont="1" applyFill="1" applyBorder="1" applyAlignment="1">
      <alignment/>
    </xf>
    <xf numFmtId="37" fontId="6" fillId="52" borderId="37" xfId="0" applyNumberFormat="1" applyFont="1" applyFill="1" applyBorder="1" applyAlignment="1">
      <alignment/>
    </xf>
    <xf numFmtId="194" fontId="32" fillId="0" borderId="0" xfId="0" applyNumberFormat="1" applyFont="1" applyFill="1" applyAlignment="1" applyProtection="1">
      <alignment horizontal="left"/>
      <protection/>
    </xf>
    <xf numFmtId="0" fontId="30" fillId="0" borderId="0" xfId="0" applyFont="1" applyAlignment="1">
      <alignment horizontal="center" vertical="top"/>
    </xf>
    <xf numFmtId="37" fontId="6" fillId="48" borderId="42" xfId="0" applyNumberFormat="1" applyFont="1" applyFill="1" applyBorder="1" applyAlignment="1" applyProtection="1" quotePrefix="1">
      <alignment horizontal="center"/>
      <protection locked="0"/>
    </xf>
    <xf numFmtId="37" fontId="6" fillId="48" borderId="35" xfId="0" applyNumberFormat="1" applyFont="1" applyFill="1" applyBorder="1" applyAlignment="1" applyProtection="1" quotePrefix="1">
      <alignment horizontal="center"/>
      <protection locked="0"/>
    </xf>
    <xf numFmtId="3" fontId="30" fillId="53" borderId="0" xfId="0" applyNumberFormat="1" applyFont="1" applyFill="1" applyAlignment="1">
      <alignment vertical="top"/>
    </xf>
    <xf numFmtId="3" fontId="32" fillId="53" borderId="0" xfId="0" applyNumberFormat="1" applyFont="1" applyFill="1" applyAlignment="1">
      <alignment vertical="top"/>
    </xf>
    <xf numFmtId="3" fontId="30" fillId="46" borderId="18" xfId="0" applyNumberFormat="1" applyFont="1" applyFill="1" applyBorder="1" applyAlignment="1" applyProtection="1">
      <alignment vertical="top"/>
      <protection locked="0"/>
    </xf>
    <xf numFmtId="0" fontId="2" fillId="0" borderId="0" xfId="68">
      <alignment/>
      <protection/>
    </xf>
    <xf numFmtId="0" fontId="59" fillId="0" borderId="0" xfId="68" applyFont="1">
      <alignment/>
      <protection/>
    </xf>
    <xf numFmtId="0" fontId="59" fillId="0" borderId="0" xfId="68" applyFont="1" applyAlignment="1">
      <alignment horizontal="center"/>
      <protection/>
    </xf>
    <xf numFmtId="0" fontId="2" fillId="0" borderId="0" xfId="68" applyAlignment="1">
      <alignment horizontal="left"/>
      <protection/>
    </xf>
    <xf numFmtId="0" fontId="2" fillId="0" borderId="62" xfId="68" applyBorder="1">
      <alignment/>
      <protection/>
    </xf>
    <xf numFmtId="0" fontId="2" fillId="0" borderId="63" xfId="68" applyBorder="1">
      <alignment/>
      <protection/>
    </xf>
    <xf numFmtId="22" fontId="2" fillId="0" borderId="63" xfId="68" applyNumberFormat="1" applyBorder="1">
      <alignment/>
      <protection/>
    </xf>
    <xf numFmtId="0" fontId="2" fillId="0" borderId="64" xfId="68" applyBorder="1">
      <alignment/>
      <protection/>
    </xf>
    <xf numFmtId="0" fontId="2" fillId="0" borderId="65" xfId="68" applyBorder="1">
      <alignment/>
      <protection/>
    </xf>
    <xf numFmtId="0" fontId="2" fillId="0" borderId="66" xfId="68" applyBorder="1">
      <alignment/>
      <protection/>
    </xf>
    <xf numFmtId="0" fontId="2" fillId="0" borderId="67" xfId="68" applyBorder="1">
      <alignment/>
      <protection/>
    </xf>
    <xf numFmtId="0" fontId="2" fillId="0" borderId="68" xfId="68" applyBorder="1">
      <alignment/>
      <protection/>
    </xf>
    <xf numFmtId="0" fontId="2" fillId="0" borderId="69" xfId="68" applyBorder="1">
      <alignment/>
      <protection/>
    </xf>
    <xf numFmtId="0" fontId="0" fillId="0" borderId="0" xfId="0" applyAlignment="1">
      <alignment vertical="top"/>
    </xf>
    <xf numFmtId="38" fontId="6" fillId="0" borderId="0" xfId="0" applyNumberFormat="1" applyFont="1" applyFill="1" applyBorder="1" applyAlignment="1">
      <alignment/>
    </xf>
    <xf numFmtId="37" fontId="11" fillId="0" borderId="0" xfId="0" applyNumberFormat="1" applyFont="1" applyAlignment="1">
      <alignment horizontal="right"/>
    </xf>
    <xf numFmtId="9" fontId="6" fillId="0" borderId="0" xfId="0" applyNumberFormat="1" applyFont="1" applyAlignment="1">
      <alignment/>
    </xf>
    <xf numFmtId="37" fontId="6" fillId="48" borderId="39" xfId="0" applyNumberFormat="1" applyFont="1" applyFill="1" applyBorder="1" applyAlignment="1" applyProtection="1">
      <alignment horizontal="center"/>
      <protection locked="0"/>
    </xf>
    <xf numFmtId="37" fontId="6" fillId="48" borderId="38" xfId="0" applyNumberFormat="1" applyFont="1" applyFill="1" applyBorder="1" applyAlignment="1" applyProtection="1">
      <alignment horizontal="center"/>
      <protection locked="0"/>
    </xf>
    <xf numFmtId="5" fontId="6" fillId="29" borderId="18" xfId="0" applyNumberFormat="1" applyFont="1" applyFill="1" applyBorder="1" applyAlignment="1">
      <alignment/>
    </xf>
    <xf numFmtId="5" fontId="6" fillId="29" borderId="18" xfId="0" applyNumberFormat="1" applyFont="1" applyFill="1" applyBorder="1" applyAlignment="1" applyProtection="1">
      <alignment/>
      <protection/>
    </xf>
    <xf numFmtId="2" fontId="6" fillId="48" borderId="9" xfId="0" applyNumberFormat="1" applyFont="1" applyFill="1" applyBorder="1" applyAlignment="1" applyProtection="1">
      <alignment horizontal="right"/>
      <protection locked="0"/>
    </xf>
    <xf numFmtId="37" fontId="6" fillId="48" borderId="17" xfId="0" applyNumberFormat="1" applyFont="1" applyFill="1" applyBorder="1" applyAlignment="1" applyProtection="1">
      <alignment horizontal="right"/>
      <protection locked="0"/>
    </xf>
    <xf numFmtId="37" fontId="10" fillId="0" borderId="0" xfId="0" applyNumberFormat="1" applyFont="1" applyAlignment="1" applyProtection="1">
      <alignment horizontal="center"/>
      <protection locked="0"/>
    </xf>
    <xf numFmtId="37" fontId="6" fillId="49" borderId="70" xfId="0" applyNumberFormat="1" applyFont="1" applyFill="1" applyBorder="1" applyAlignment="1" applyProtection="1">
      <alignment/>
      <protection locked="0"/>
    </xf>
    <xf numFmtId="37" fontId="27" fillId="0" borderId="0" xfId="0" applyNumberFormat="1" applyFont="1" applyAlignment="1" applyProtection="1">
      <alignment horizontal="left"/>
      <protection/>
    </xf>
    <xf numFmtId="37" fontId="6" fillId="49" borderId="18" xfId="0" applyNumberFormat="1" applyFont="1" applyFill="1" applyBorder="1" applyAlignment="1">
      <alignment/>
    </xf>
    <xf numFmtId="0" fontId="44" fillId="0" borderId="19" xfId="51" applyNumberFormat="1" applyFont="1" applyFill="1" applyBorder="1" applyAlignment="1" applyProtection="1">
      <alignment/>
      <protection locked="0"/>
    </xf>
    <xf numFmtId="37" fontId="11" fillId="54" borderId="26" xfId="0" applyNumberFormat="1" applyFont="1" applyFill="1" applyBorder="1" applyAlignment="1">
      <alignment/>
    </xf>
    <xf numFmtId="37" fontId="10" fillId="52" borderId="28" xfId="0" applyNumberFormat="1" applyFont="1" applyFill="1" applyBorder="1" applyAlignment="1">
      <alignment horizontal="right"/>
    </xf>
    <xf numFmtId="37" fontId="10" fillId="52" borderId="30" xfId="0" applyNumberFormat="1" applyFont="1" applyFill="1" applyBorder="1" applyAlignment="1">
      <alignment horizontal="left"/>
    </xf>
    <xf numFmtId="37" fontId="6" fillId="52" borderId="30" xfId="0" applyNumberFormat="1" applyFont="1" applyFill="1" applyBorder="1" applyAlignment="1">
      <alignment horizontal="left"/>
    </xf>
    <xf numFmtId="37" fontId="6" fillId="52" borderId="71" xfId="0" applyNumberFormat="1" applyFont="1" applyFill="1" applyBorder="1" applyAlignment="1">
      <alignment/>
    </xf>
    <xf numFmtId="37" fontId="6" fillId="52" borderId="29" xfId="0" applyNumberFormat="1" applyFont="1" applyFill="1" applyBorder="1" applyAlignment="1">
      <alignment horizontal="left"/>
    </xf>
    <xf numFmtId="37" fontId="10" fillId="52" borderId="37" xfId="0" applyNumberFormat="1" applyFont="1" applyFill="1" applyBorder="1" applyAlignment="1">
      <alignment/>
    </xf>
    <xf numFmtId="37" fontId="10" fillId="52" borderId="72" xfId="0" applyNumberFormat="1" applyFont="1" applyFill="1" applyBorder="1" applyAlignment="1" applyProtection="1">
      <alignment/>
      <protection/>
    </xf>
    <xf numFmtId="37" fontId="10" fillId="52" borderId="37" xfId="0" applyNumberFormat="1" applyFont="1" applyFill="1" applyBorder="1" applyAlignment="1">
      <alignment horizontal="right"/>
    </xf>
    <xf numFmtId="37" fontId="43" fillId="52" borderId="24" xfId="0" applyNumberFormat="1" applyFont="1" applyFill="1" applyBorder="1" applyAlignment="1">
      <alignment/>
    </xf>
    <xf numFmtId="37" fontId="6" fillId="52" borderId="25" xfId="0" applyNumberFormat="1" applyFont="1" applyFill="1" applyBorder="1" applyAlignment="1">
      <alignment/>
    </xf>
    <xf numFmtId="37" fontId="6" fillId="29" borderId="30" xfId="0" applyNumberFormat="1" applyFont="1" applyFill="1" applyBorder="1" applyAlignment="1">
      <alignment/>
    </xf>
    <xf numFmtId="37" fontId="11" fillId="0" borderId="0" xfId="0" applyNumberFormat="1" applyFont="1" applyFill="1" applyAlignment="1">
      <alignment horizontal="left"/>
    </xf>
    <xf numFmtId="0" fontId="0" fillId="0" borderId="18" xfId="0" applyFont="1" applyBorder="1" applyAlignment="1">
      <alignment vertical="top"/>
    </xf>
    <xf numFmtId="0" fontId="0" fillId="0" borderId="19" xfId="0" applyFont="1" applyFill="1" applyBorder="1" applyAlignment="1">
      <alignment vertical="top"/>
    </xf>
    <xf numFmtId="0" fontId="0" fillId="0" borderId="28" xfId="0" applyFont="1" applyFill="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horizontal="right"/>
    </xf>
    <xf numFmtId="0" fontId="38" fillId="0" borderId="26" xfId="0" applyFont="1" applyFill="1" applyBorder="1" applyAlignment="1">
      <alignment horizontal="center"/>
    </xf>
    <xf numFmtId="0" fontId="34" fillId="0" borderId="60" xfId="0" applyFont="1" applyFill="1" applyBorder="1" applyAlignment="1">
      <alignment horizontal="centerContinuous"/>
    </xf>
    <xf numFmtId="192" fontId="5" fillId="0" borderId="0" xfId="0" applyNumberFormat="1" applyFont="1" applyFill="1" applyBorder="1" applyAlignment="1">
      <alignment horizontal="center"/>
    </xf>
    <xf numFmtId="0" fontId="0" fillId="0" borderId="61" xfId="0" applyFont="1" applyFill="1" applyBorder="1" applyAlignment="1">
      <alignment vertical="top"/>
    </xf>
    <xf numFmtId="0" fontId="5" fillId="0" borderId="0" xfId="0" applyFont="1" applyAlignment="1">
      <alignment vertical="top"/>
    </xf>
    <xf numFmtId="192" fontId="5" fillId="0" borderId="30" xfId="0" applyNumberFormat="1" applyFont="1" applyFill="1" applyBorder="1" applyAlignment="1">
      <alignment horizontal="left"/>
    </xf>
    <xf numFmtId="0" fontId="0" fillId="0" borderId="30" xfId="0" applyBorder="1" applyAlignment="1">
      <alignment vertical="top"/>
    </xf>
    <xf numFmtId="192" fontId="5" fillId="0" borderId="0" xfId="0" applyNumberFormat="1" applyFont="1" applyFill="1" applyBorder="1" applyAlignment="1">
      <alignment horizontal="left"/>
    </xf>
    <xf numFmtId="6" fontId="0" fillId="0" borderId="0" xfId="0" applyNumberFormat="1" applyFont="1" applyFill="1" applyBorder="1" applyAlignment="1">
      <alignment horizontal="center"/>
    </xf>
    <xf numFmtId="0" fontId="0" fillId="0" borderId="0" xfId="0" applyFont="1" applyAlignment="1">
      <alignment horizontal="centerContinuous"/>
    </xf>
    <xf numFmtId="0" fontId="0" fillId="0" borderId="0" xfId="0" applyFont="1" applyFill="1" applyBorder="1" applyAlignment="1">
      <alignment/>
    </xf>
    <xf numFmtId="0" fontId="30" fillId="0" borderId="0" xfId="0" applyFont="1" applyBorder="1" applyAlignment="1">
      <alignment horizontal="centerContinuous"/>
    </xf>
    <xf numFmtId="0" fontId="0" fillId="0" borderId="0" xfId="0" applyFont="1" applyBorder="1" applyAlignment="1">
      <alignment vertical="top"/>
    </xf>
    <xf numFmtId="0" fontId="61" fillId="0" borderId="0" xfId="0" applyFont="1" applyBorder="1" applyAlignment="1">
      <alignment horizontal="center"/>
    </xf>
    <xf numFmtId="0" fontId="61" fillId="0" borderId="0" xfId="0" applyFont="1" applyFill="1" applyBorder="1" applyAlignment="1">
      <alignment horizontal="center"/>
    </xf>
    <xf numFmtId="6" fontId="5" fillId="0" borderId="0" xfId="0" applyNumberFormat="1" applyFont="1" applyFill="1" applyBorder="1" applyAlignment="1">
      <alignment vertical="top"/>
    </xf>
    <xf numFmtId="0" fontId="5" fillId="0" borderId="0" xfId="0" applyFont="1" applyAlignment="1">
      <alignment horizontal="center"/>
    </xf>
    <xf numFmtId="6" fontId="0" fillId="0" borderId="0" xfId="0" applyNumberFormat="1" applyFont="1" applyFill="1" applyBorder="1" applyAlignment="1">
      <alignment vertical="top"/>
    </xf>
    <xf numFmtId="0" fontId="0" fillId="0" borderId="0" xfId="0" applyFont="1" applyFill="1" applyBorder="1" applyAlignment="1">
      <alignment horizontal="right"/>
    </xf>
    <xf numFmtId="0" fontId="0" fillId="0" borderId="30" xfId="0" applyFont="1" applyFill="1" applyBorder="1" applyAlignment="1">
      <alignment horizontal="right"/>
    </xf>
    <xf numFmtId="0" fontId="5" fillId="0" borderId="30" xfId="0" applyFont="1" applyBorder="1" applyAlignment="1">
      <alignment horizontal="right"/>
    </xf>
    <xf numFmtId="0" fontId="5" fillId="0" borderId="30" xfId="0" applyFont="1" applyFill="1" applyBorder="1" applyAlignment="1">
      <alignment horizontal="right"/>
    </xf>
    <xf numFmtId="0" fontId="0" fillId="0" borderId="26" xfId="0" applyFont="1" applyBorder="1" applyAlignment="1">
      <alignment horizontal="right"/>
    </xf>
    <xf numFmtId="0" fontId="5" fillId="0" borderId="19" xfId="0" applyFont="1" applyBorder="1" applyAlignment="1">
      <alignment/>
    </xf>
    <xf numFmtId="0" fontId="0" fillId="0" borderId="19" xfId="0" applyFont="1" applyBorder="1" applyAlignment="1">
      <alignment/>
    </xf>
    <xf numFmtId="0" fontId="0" fillId="0" borderId="28" xfId="0" applyFont="1" applyBorder="1" applyAlignment="1">
      <alignment horizontal="right"/>
    </xf>
    <xf numFmtId="0" fontId="0" fillId="0" borderId="19" xfId="0" applyFont="1" applyBorder="1" applyAlignment="1">
      <alignment vertical="top"/>
    </xf>
    <xf numFmtId="0" fontId="0" fillId="0" borderId="28" xfId="0" applyFont="1" applyBorder="1" applyAlignment="1">
      <alignment vertical="top"/>
    </xf>
    <xf numFmtId="0" fontId="0" fillId="0" borderId="60" xfId="0" applyFont="1" applyBorder="1" applyAlignment="1">
      <alignment vertical="top"/>
    </xf>
    <xf numFmtId="0" fontId="0" fillId="0" borderId="0" xfId="0" applyFont="1" applyBorder="1" applyAlignment="1" quotePrefix="1">
      <alignment vertical="top"/>
    </xf>
    <xf numFmtId="0" fontId="0" fillId="0" borderId="0" xfId="0" applyBorder="1" applyAlignment="1">
      <alignment vertical="top"/>
    </xf>
    <xf numFmtId="0" fontId="0" fillId="0" borderId="0" xfId="0" applyFont="1" applyFill="1" applyBorder="1" applyAlignment="1" quotePrefix="1">
      <alignment vertical="top"/>
    </xf>
    <xf numFmtId="0" fontId="0" fillId="0" borderId="30" xfId="0" applyFont="1" applyFill="1" applyBorder="1" applyAlignment="1">
      <alignment horizontal="left"/>
    </xf>
    <xf numFmtId="0" fontId="5" fillId="0" borderId="30" xfId="0" applyFont="1" applyBorder="1" applyAlignment="1">
      <alignment vertical="top"/>
    </xf>
    <xf numFmtId="192" fontId="5" fillId="0" borderId="61" xfId="0" applyNumberFormat="1" applyFont="1" applyBorder="1" applyAlignment="1">
      <alignment horizontal="right"/>
    </xf>
    <xf numFmtId="192" fontId="0" fillId="0" borderId="0" xfId="0" applyNumberFormat="1" applyFont="1" applyBorder="1" applyAlignment="1">
      <alignment horizontal="center"/>
    </xf>
    <xf numFmtId="0" fontId="0" fillId="0" borderId="61" xfId="0" applyBorder="1" applyAlignment="1">
      <alignment vertical="top"/>
    </xf>
    <xf numFmtId="0" fontId="0" fillId="0" borderId="61" xfId="0" applyFont="1" applyBorder="1" applyAlignment="1">
      <alignment vertical="top"/>
    </xf>
    <xf numFmtId="0" fontId="0" fillId="0" borderId="29" xfId="0" applyBorder="1" applyAlignment="1">
      <alignment vertical="top"/>
    </xf>
    <xf numFmtId="0" fontId="0" fillId="0" borderId="18" xfId="0" applyFont="1" applyBorder="1" applyAlignment="1">
      <alignment horizontal="centerContinuous"/>
    </xf>
    <xf numFmtId="0" fontId="34" fillId="0" borderId="30" xfId="0" applyFont="1" applyFill="1" applyBorder="1" applyAlignment="1">
      <alignment vertical="top"/>
    </xf>
    <xf numFmtId="192" fontId="0" fillId="0" borderId="18" xfId="0" applyNumberFormat="1" applyFont="1" applyBorder="1" applyAlignment="1">
      <alignment horizontal="center"/>
    </xf>
    <xf numFmtId="182" fontId="0" fillId="55" borderId="19" xfId="0" applyNumberFormat="1" applyFont="1" applyFill="1" applyBorder="1" applyAlignment="1" applyProtection="1">
      <alignment vertical="top"/>
      <protection locked="0"/>
    </xf>
    <xf numFmtId="0" fontId="5" fillId="56" borderId="73" xfId="0" applyFont="1" applyFill="1" applyBorder="1" applyAlignment="1">
      <alignment horizontal="left"/>
    </xf>
    <xf numFmtId="0" fontId="5" fillId="57" borderId="73" xfId="0" applyFont="1" applyFill="1" applyBorder="1" applyAlignment="1">
      <alignment vertical="top"/>
    </xf>
    <xf numFmtId="192" fontId="5" fillId="44"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0" fillId="0" borderId="0" xfId="0" applyFill="1" applyBorder="1" applyAlignment="1">
      <alignment vertical="top"/>
    </xf>
    <xf numFmtId="0" fontId="0" fillId="56" borderId="74" xfId="0" applyFill="1" applyBorder="1" applyAlignment="1">
      <alignment vertical="top"/>
    </xf>
    <xf numFmtId="0" fontId="0" fillId="0" borderId="28" xfId="0" applyFont="1" applyBorder="1" applyAlignment="1">
      <alignment horizontal="right" vertical="top"/>
    </xf>
    <xf numFmtId="0" fontId="6" fillId="0" borderId="0" xfId="0" applyFont="1" applyAlignment="1">
      <alignment vertical="top"/>
    </xf>
    <xf numFmtId="0" fontId="13" fillId="0" borderId="0" xfId="0" applyFont="1" applyAlignment="1">
      <alignment vertical="top"/>
    </xf>
    <xf numFmtId="0" fontId="10" fillId="0" borderId="0" xfId="0" applyFont="1" applyBorder="1" applyAlignment="1">
      <alignment horizontal="centerContinuous"/>
    </xf>
    <xf numFmtId="0" fontId="10" fillId="0" borderId="0" xfId="0" applyFont="1" applyBorder="1" applyAlignment="1">
      <alignment horizontal="centerContinuous" vertical="top"/>
    </xf>
    <xf numFmtId="0" fontId="10" fillId="0" borderId="0" xfId="0" applyFont="1" applyAlignment="1">
      <alignment vertical="top"/>
    </xf>
    <xf numFmtId="0" fontId="6" fillId="58" borderId="56" xfId="0" applyFont="1" applyFill="1" applyBorder="1" applyAlignment="1" applyProtection="1">
      <alignment vertical="top"/>
      <protection locked="0"/>
    </xf>
    <xf numFmtId="0" fontId="6" fillId="59" borderId="56" xfId="0" applyFont="1" applyFill="1" applyBorder="1" applyAlignment="1">
      <alignment vertical="top"/>
    </xf>
    <xf numFmtId="0" fontId="10" fillId="0" borderId="0" xfId="0" applyFont="1" applyAlignment="1">
      <alignment horizontal="left"/>
    </xf>
    <xf numFmtId="37" fontId="6" fillId="0" borderId="68" xfId="0" applyNumberFormat="1" applyFont="1" applyBorder="1" applyAlignment="1">
      <alignment vertical="top"/>
    </xf>
    <xf numFmtId="37" fontId="6" fillId="58" borderId="56" xfId="0" applyNumberFormat="1" applyFont="1" applyFill="1" applyBorder="1" applyAlignment="1" applyProtection="1">
      <alignment vertical="top"/>
      <protection locked="0"/>
    </xf>
    <xf numFmtId="3" fontId="6" fillId="58" borderId="56" xfId="44" applyNumberFormat="1" applyFont="1" applyFill="1" applyBorder="1" applyAlignment="1" applyProtection="1">
      <alignment/>
      <protection locked="0"/>
    </xf>
    <xf numFmtId="0" fontId="10" fillId="0" borderId="0" xfId="0" applyFont="1" applyAlignment="1" applyProtection="1">
      <alignment vertical="top"/>
      <protection locked="0"/>
    </xf>
    <xf numFmtId="0" fontId="6" fillId="58" borderId="75" xfId="0" applyFont="1" applyFill="1" applyBorder="1" applyAlignment="1" applyProtection="1">
      <alignment vertical="top"/>
      <protection locked="0"/>
    </xf>
    <xf numFmtId="5" fontId="6" fillId="58" borderId="56" xfId="0" applyNumberFormat="1" applyFont="1" applyFill="1" applyBorder="1" applyAlignment="1" applyProtection="1">
      <alignment vertical="top"/>
      <protection locked="0"/>
    </xf>
    <xf numFmtId="203" fontId="6" fillId="0" borderId="0" xfId="0" applyNumberFormat="1" applyFont="1" applyAlignment="1">
      <alignment vertical="top"/>
    </xf>
    <xf numFmtId="5" fontId="6" fillId="60" borderId="0" xfId="50" applyNumberFormat="1" applyFont="1" applyFill="1" applyAlignment="1" applyProtection="1">
      <alignment/>
      <protection hidden="1"/>
    </xf>
    <xf numFmtId="0" fontId="6" fillId="0" borderId="0" xfId="0" applyFont="1" applyAlignment="1" applyProtection="1">
      <alignment vertical="top"/>
      <protection hidden="1"/>
    </xf>
    <xf numFmtId="5" fontId="6" fillId="0" borderId="0" xfId="50" applyNumberFormat="1" applyFont="1" applyAlignment="1" applyProtection="1">
      <alignment/>
      <protection hidden="1"/>
    </xf>
    <xf numFmtId="0" fontId="6" fillId="0" borderId="0" xfId="0" applyFont="1" applyAlignment="1" quotePrefix="1">
      <alignment vertical="top"/>
    </xf>
    <xf numFmtId="5" fontId="6" fillId="0" borderId="0" xfId="0" applyNumberFormat="1" applyFont="1" applyAlignment="1" applyProtection="1">
      <alignment vertical="top"/>
      <protection hidden="1"/>
    </xf>
    <xf numFmtId="0" fontId="6" fillId="0" borderId="0" xfId="0" applyFont="1" applyAlignment="1">
      <alignment horizontal="left"/>
    </xf>
    <xf numFmtId="5" fontId="13" fillId="60" borderId="0" xfId="50" applyNumberFormat="1" applyFont="1" applyFill="1" applyAlignment="1" applyProtection="1">
      <alignment/>
      <protection hidden="1"/>
    </xf>
    <xf numFmtId="5" fontId="6" fillId="0" borderId="0" xfId="50" applyNumberFormat="1" applyFont="1" applyBorder="1" applyAlignment="1" applyProtection="1">
      <alignment/>
      <protection hidden="1"/>
    </xf>
    <xf numFmtId="0" fontId="13" fillId="0" borderId="0" xfId="0" applyFont="1" applyBorder="1" applyAlignment="1">
      <alignment vertical="top"/>
    </xf>
    <xf numFmtId="0" fontId="6" fillId="0" borderId="0" xfId="0" applyFont="1" applyBorder="1" applyAlignment="1">
      <alignment horizontal="center"/>
    </xf>
    <xf numFmtId="0" fontId="63" fillId="0" borderId="0" xfId="0" applyFont="1" applyBorder="1" applyAlignment="1">
      <alignment vertical="top"/>
    </xf>
    <xf numFmtId="0" fontId="6" fillId="59" borderId="0" xfId="0" applyFont="1" applyFill="1" applyBorder="1" applyAlignment="1">
      <alignment vertical="top"/>
    </xf>
    <xf numFmtId="192" fontId="6" fillId="61" borderId="0" xfId="0" applyNumberFormat="1" applyFont="1" applyFill="1" applyAlignment="1" applyProtection="1">
      <alignment vertical="top"/>
      <protection locked="0"/>
    </xf>
    <xf numFmtId="192" fontId="6" fillId="46" borderId="0" xfId="0" applyNumberFormat="1" applyFont="1" applyFill="1" applyAlignment="1" applyProtection="1">
      <alignment vertical="top"/>
      <protection locked="0"/>
    </xf>
    <xf numFmtId="0" fontId="6" fillId="46" borderId="0" xfId="0" applyFont="1" applyFill="1" applyAlignment="1" applyProtection="1">
      <alignment vertical="top"/>
      <protection locked="0"/>
    </xf>
    <xf numFmtId="0" fontId="6" fillId="0" borderId="0" xfId="0" applyFont="1" applyBorder="1" applyAlignment="1" applyProtection="1">
      <alignment horizontal="center"/>
      <protection hidden="1"/>
    </xf>
    <xf numFmtId="5" fontId="6" fillId="0" borderId="0" xfId="50" applyNumberFormat="1" applyFont="1" applyFill="1" applyAlignment="1">
      <alignment/>
    </xf>
    <xf numFmtId="0" fontId="63" fillId="0" borderId="0" xfId="0" applyFont="1" applyAlignment="1">
      <alignment vertical="top"/>
    </xf>
    <xf numFmtId="0" fontId="6" fillId="0" borderId="0" xfId="0" applyFont="1" applyAlignment="1" applyProtection="1">
      <alignment vertical="top"/>
      <protection locked="0"/>
    </xf>
    <xf numFmtId="0" fontId="6" fillId="61" borderId="0" xfId="0" applyFont="1" applyFill="1" applyAlignment="1" applyProtection="1">
      <alignment vertical="top"/>
      <protection locked="0"/>
    </xf>
    <xf numFmtId="5" fontId="6" fillId="0" borderId="0" xfId="50" applyNumberFormat="1" applyFont="1" applyAlignment="1">
      <alignment/>
    </xf>
    <xf numFmtId="3" fontId="6" fillId="0" borderId="0" xfId="0" applyNumberFormat="1" applyFont="1" applyAlignment="1">
      <alignment/>
    </xf>
    <xf numFmtId="0" fontId="6" fillId="0" borderId="0" xfId="0" applyFont="1" applyAlignment="1">
      <alignment horizontal="centerContinuous" vertical="top"/>
    </xf>
    <xf numFmtId="3" fontId="6" fillId="0" borderId="0" xfId="0" applyNumberFormat="1" applyFont="1" applyAlignment="1">
      <alignment horizontal="centerContinuous"/>
    </xf>
    <xf numFmtId="0" fontId="64" fillId="0" borderId="0" xfId="0" applyFont="1" applyAlignment="1">
      <alignment horizontal="center" vertical="top"/>
    </xf>
    <xf numFmtId="0" fontId="64" fillId="0" borderId="0" xfId="0" applyFont="1" applyAlignment="1">
      <alignment vertical="top"/>
    </xf>
    <xf numFmtId="37" fontId="6" fillId="0" borderId="0" xfId="0" applyNumberFormat="1" applyFont="1" applyAlignment="1">
      <alignment horizontal="center" vertical="top"/>
    </xf>
    <xf numFmtId="5" fontId="6" fillId="0" borderId="0" xfId="0" applyNumberFormat="1" applyFont="1" applyAlignment="1">
      <alignment vertical="top"/>
    </xf>
    <xf numFmtId="5" fontId="6" fillId="0" borderId="0" xfId="0" applyNumberFormat="1" applyFont="1" applyAlignment="1">
      <alignment vertical="top"/>
    </xf>
    <xf numFmtId="0" fontId="5" fillId="0" borderId="30" xfId="0" applyFont="1" applyFill="1" applyBorder="1" applyAlignment="1" applyProtection="1">
      <alignment horizontal="right"/>
      <protection locked="0"/>
    </xf>
    <xf numFmtId="0" fontId="5" fillId="0" borderId="0" xfId="0" applyFont="1" applyFill="1" applyBorder="1" applyAlignment="1">
      <alignment horizontal="right" vertical="top"/>
    </xf>
    <xf numFmtId="192" fontId="5" fillId="44" borderId="61" xfId="0" applyNumberFormat="1" applyFont="1" applyFill="1" applyBorder="1" applyAlignment="1" applyProtection="1">
      <alignment horizontal="center"/>
      <protection locked="0"/>
    </xf>
    <xf numFmtId="192" fontId="5" fillId="50" borderId="76" xfId="0" applyNumberFormat="1" applyFont="1" applyFill="1" applyBorder="1" applyAlignment="1" applyProtection="1">
      <alignment horizontal="center"/>
      <protection locked="0"/>
    </xf>
    <xf numFmtId="192" fontId="5" fillId="50" borderId="77" xfId="0" applyNumberFormat="1" applyFont="1" applyFill="1" applyBorder="1" applyAlignment="1" applyProtection="1">
      <alignment horizontal="center"/>
      <protection locked="0"/>
    </xf>
    <xf numFmtId="192" fontId="5" fillId="50" borderId="78" xfId="0" applyNumberFormat="1" applyFont="1" applyFill="1" applyBorder="1" applyAlignment="1" applyProtection="1">
      <alignment horizontal="center"/>
      <protection locked="0"/>
    </xf>
    <xf numFmtId="192" fontId="5" fillId="44" borderId="79" xfId="0" applyNumberFormat="1" applyFont="1" applyFill="1" applyBorder="1" applyAlignment="1" applyProtection="1">
      <alignment horizontal="center"/>
      <protection locked="0"/>
    </xf>
    <xf numFmtId="192" fontId="5" fillId="0" borderId="79" xfId="0" applyNumberFormat="1" applyFont="1" applyBorder="1" applyAlignment="1">
      <alignment/>
    </xf>
    <xf numFmtId="3" fontId="0" fillId="56" borderId="61" xfId="0" applyNumberFormat="1" applyFont="1" applyFill="1" applyBorder="1" applyAlignment="1" applyProtection="1">
      <alignment horizontal="center"/>
      <protection locked="0"/>
    </xf>
    <xf numFmtId="3" fontId="0" fillId="56" borderId="61" xfId="45" applyNumberFormat="1" applyFont="1" applyFill="1" applyBorder="1" applyAlignment="1" applyProtection="1">
      <alignment horizontal="center"/>
      <protection locked="0"/>
    </xf>
    <xf numFmtId="3" fontId="0" fillId="44" borderId="0" xfId="45" applyNumberFormat="1" applyFont="1" applyFill="1" applyBorder="1" applyAlignment="1" applyProtection="1">
      <alignment horizontal="center"/>
      <protection locked="0"/>
    </xf>
    <xf numFmtId="3" fontId="0" fillId="56" borderId="0" xfId="45" applyNumberFormat="1" applyFont="1" applyFill="1" applyBorder="1" applyAlignment="1" applyProtection="1">
      <alignment horizontal="center"/>
      <protection locked="0"/>
    </xf>
    <xf numFmtId="6" fontId="5" fillId="0" borderId="61" xfId="0" applyNumberFormat="1" applyFont="1" applyBorder="1" applyAlignment="1">
      <alignment horizontal="center"/>
    </xf>
    <xf numFmtId="0" fontId="7" fillId="0" borderId="37" xfId="0" applyFont="1" applyBorder="1" applyAlignment="1">
      <alignment horizontal="center"/>
    </xf>
    <xf numFmtId="37" fontId="11" fillId="29" borderId="0" xfId="0" applyNumberFormat="1" applyFont="1" applyFill="1" applyBorder="1" applyAlignment="1">
      <alignment/>
    </xf>
    <xf numFmtId="0" fontId="5" fillId="0" borderId="30" xfId="0" applyFont="1" applyFill="1" applyBorder="1" applyAlignment="1">
      <alignment horizontal="right" vertical="top"/>
    </xf>
    <xf numFmtId="192" fontId="0" fillId="0" borderId="0" xfId="0" applyNumberFormat="1" applyFont="1" applyFill="1" applyBorder="1" applyAlignment="1">
      <alignment vertical="top"/>
    </xf>
    <xf numFmtId="0" fontId="5" fillId="0" borderId="18" xfId="0" applyFont="1" applyBorder="1" applyAlignment="1">
      <alignment horizontal="centerContinuous" vertical="top"/>
    </xf>
    <xf numFmtId="0" fontId="5" fillId="0" borderId="18" xfId="0" applyFont="1" applyFill="1" applyBorder="1" applyAlignment="1">
      <alignment horizontal="centerContinuous" vertical="top"/>
    </xf>
    <xf numFmtId="0" fontId="7" fillId="0" borderId="18" xfId="0" applyFont="1" applyBorder="1" applyAlignment="1">
      <alignment horizontal="center"/>
    </xf>
    <xf numFmtId="0" fontId="32" fillId="0" borderId="0" xfId="0" applyFont="1" applyFill="1" applyBorder="1" applyAlignment="1">
      <alignment/>
    </xf>
    <xf numFmtId="192" fontId="5" fillId="50" borderId="80" xfId="0" applyNumberFormat="1" applyFont="1" applyFill="1" applyBorder="1" applyAlignment="1" applyProtection="1">
      <alignment horizontal="center"/>
      <protection locked="0"/>
    </xf>
    <xf numFmtId="192" fontId="5" fillId="50" borderId="81" xfId="0" applyNumberFormat="1" applyFont="1" applyFill="1" applyBorder="1" applyAlignment="1" applyProtection="1">
      <alignment horizontal="center"/>
      <protection locked="0"/>
    </xf>
    <xf numFmtId="192" fontId="5" fillId="44" borderId="32" xfId="0" applyNumberFormat="1" applyFont="1" applyFill="1" applyBorder="1" applyAlignment="1" applyProtection="1">
      <alignment horizontal="center"/>
      <protection locked="0"/>
    </xf>
    <xf numFmtId="192" fontId="5" fillId="44" borderId="0" xfId="0" applyNumberFormat="1" applyFont="1" applyFill="1" applyBorder="1" applyAlignment="1">
      <alignment horizontal="right" vertical="top"/>
    </xf>
    <xf numFmtId="0" fontId="65" fillId="0" borderId="60" xfId="0" applyFont="1" applyFill="1" applyBorder="1" applyAlignment="1">
      <alignment/>
    </xf>
    <xf numFmtId="0" fontId="5" fillId="0" borderId="27" xfId="0" applyFont="1" applyFill="1" applyBorder="1" applyAlignment="1">
      <alignment horizontal="center" vertical="top"/>
    </xf>
    <xf numFmtId="192" fontId="5" fillId="0" borderId="32" xfId="0" applyNumberFormat="1" applyFont="1" applyBorder="1" applyAlignment="1">
      <alignment/>
    </xf>
    <xf numFmtId="0" fontId="0" fillId="50" borderId="82" xfId="0" applyFont="1" applyFill="1" applyBorder="1" applyAlignment="1" applyProtection="1">
      <alignment horizontal="center"/>
      <protection locked="0"/>
    </xf>
    <xf numFmtId="0" fontId="0" fillId="50" borderId="83" xfId="0" applyFont="1" applyFill="1" applyBorder="1" applyAlignment="1" applyProtection="1">
      <alignment horizontal="center"/>
      <protection locked="0"/>
    </xf>
    <xf numFmtId="0" fontId="0" fillId="50" borderId="84" xfId="0" applyFont="1" applyFill="1" applyBorder="1" applyAlignment="1" applyProtection="1">
      <alignment horizontal="center"/>
      <protection locked="0"/>
    </xf>
    <xf numFmtId="0" fontId="5" fillId="44" borderId="27" xfId="0" applyFont="1" applyFill="1" applyBorder="1" applyAlignment="1" applyProtection="1">
      <alignment horizontal="center"/>
      <protection locked="0"/>
    </xf>
    <xf numFmtId="0" fontId="0" fillId="0" borderId="30" xfId="0" applyBorder="1" applyAlignment="1" applyProtection="1">
      <alignment vertical="top"/>
      <protection/>
    </xf>
    <xf numFmtId="0" fontId="0" fillId="0" borderId="0" xfId="0" applyFont="1" applyFill="1" applyBorder="1" applyAlignment="1" applyProtection="1">
      <alignment vertical="top"/>
      <protection/>
    </xf>
    <xf numFmtId="0" fontId="0" fillId="44" borderId="0" xfId="0" applyFont="1" applyFill="1" applyBorder="1" applyAlignment="1" applyProtection="1">
      <alignment horizontal="center"/>
      <protection/>
    </xf>
    <xf numFmtId="0" fontId="5" fillId="44" borderId="0" xfId="0" applyFont="1" applyFill="1" applyBorder="1" applyAlignment="1" applyProtection="1">
      <alignment horizontal="centerContinuous"/>
      <protection/>
    </xf>
    <xf numFmtId="0" fontId="61" fillId="44" borderId="37" xfId="0" applyFont="1" applyFill="1" applyBorder="1" applyAlignment="1" applyProtection="1">
      <alignment horizontal="centerContinuous" vertical="top"/>
      <protection/>
    </xf>
    <xf numFmtId="0" fontId="5" fillId="0" borderId="30" xfId="0" applyFont="1" applyBorder="1" applyAlignment="1" applyProtection="1">
      <alignment horizontal="right" vertical="top"/>
      <protection locked="0"/>
    </xf>
    <xf numFmtId="192" fontId="5" fillId="0" borderId="0" xfId="0" applyNumberFormat="1" applyFont="1" applyBorder="1" applyAlignment="1">
      <alignment horizontal="left"/>
    </xf>
    <xf numFmtId="37" fontId="10" fillId="29" borderId="0" xfId="0" applyNumberFormat="1" applyFont="1" applyFill="1" applyBorder="1" applyAlignment="1">
      <alignment horizontal="right"/>
    </xf>
    <xf numFmtId="37" fontId="6" fillId="49" borderId="48" xfId="0" applyNumberFormat="1" applyFont="1" applyFill="1" applyBorder="1" applyAlignment="1">
      <alignment horizontal="left"/>
    </xf>
    <xf numFmtId="37" fontId="10" fillId="43" borderId="0" xfId="0" applyNumberFormat="1" applyFont="1" applyFill="1" applyBorder="1" applyAlignment="1" applyProtection="1">
      <alignment horizontal="left"/>
      <protection locked="0"/>
    </xf>
    <xf numFmtId="182" fontId="6" fillId="49" borderId="48" xfId="0" applyNumberFormat="1" applyFont="1" applyFill="1" applyBorder="1" applyAlignment="1" applyProtection="1">
      <alignment/>
      <protection locked="0"/>
    </xf>
    <xf numFmtId="39" fontId="6" fillId="49" borderId="19" xfId="0" applyNumberFormat="1" applyFont="1" applyFill="1" applyBorder="1" applyAlignment="1">
      <alignment/>
    </xf>
    <xf numFmtId="37" fontId="6" fillId="0" borderId="19" xfId="0" applyNumberFormat="1" applyFont="1" applyBorder="1" applyAlignment="1">
      <alignment/>
    </xf>
    <xf numFmtId="37" fontId="10" fillId="0" borderId="0" xfId="0" applyNumberFormat="1" applyFont="1" applyAlignment="1" applyProtection="1">
      <alignment horizontal="left"/>
      <protection locked="0"/>
    </xf>
    <xf numFmtId="37" fontId="6" fillId="0" borderId="23" xfId="0" applyNumberFormat="1" applyFont="1" applyFill="1" applyBorder="1" applyAlignment="1" applyProtection="1">
      <alignment horizontal="center"/>
      <protection locked="0"/>
    </xf>
    <xf numFmtId="37" fontId="6" fillId="0" borderId="0" xfId="0" applyNumberFormat="1" applyFont="1" applyBorder="1" applyAlignment="1">
      <alignment horizontal="center"/>
    </xf>
    <xf numFmtId="37" fontId="6" fillId="43" borderId="18" xfId="0" applyNumberFormat="1" applyFont="1" applyFill="1" applyBorder="1" applyAlignment="1" applyProtection="1">
      <alignment/>
      <protection/>
    </xf>
    <xf numFmtId="37" fontId="6" fillId="0" borderId="69" xfId="0" applyNumberFormat="1" applyFont="1" applyBorder="1" applyAlignment="1">
      <alignment/>
    </xf>
    <xf numFmtId="37" fontId="6" fillId="0" borderId="64" xfId="0" applyNumberFormat="1" applyFont="1" applyBorder="1" applyAlignment="1">
      <alignment/>
    </xf>
    <xf numFmtId="37" fontId="6" fillId="49" borderId="67" xfId="0" applyNumberFormat="1" applyFont="1" applyFill="1" applyBorder="1" applyAlignment="1" applyProtection="1">
      <alignment/>
      <protection locked="0"/>
    </xf>
    <xf numFmtId="39" fontId="6" fillId="0" borderId="0" xfId="0" applyNumberFormat="1" applyFont="1" applyAlignment="1">
      <alignment horizontal="right"/>
    </xf>
    <xf numFmtId="37" fontId="6" fillId="0" borderId="28" xfId="0" applyNumberFormat="1" applyFont="1" applyBorder="1" applyAlignment="1">
      <alignment/>
    </xf>
    <xf numFmtId="192" fontId="10" fillId="0" borderId="0" xfId="83" applyNumberFormat="1" applyFont="1" applyFill="1" applyBorder="1">
      <alignment horizontal="right"/>
      <protection locked="0"/>
    </xf>
    <xf numFmtId="37" fontId="6" fillId="0" borderId="0" xfId="0" applyNumberFormat="1" applyFont="1" applyFill="1" applyAlignment="1" applyProtection="1">
      <alignment/>
      <protection locked="0"/>
    </xf>
    <xf numFmtId="37" fontId="6" fillId="0" borderId="0" xfId="0" applyNumberFormat="1" applyFont="1" applyFill="1" applyBorder="1" applyAlignment="1" applyProtection="1">
      <alignment/>
      <protection/>
    </xf>
    <xf numFmtId="37" fontId="13" fillId="0" borderId="0" xfId="0" applyNumberFormat="1" applyFont="1" applyFill="1" applyBorder="1" applyAlignment="1" applyProtection="1">
      <alignment/>
      <protection/>
    </xf>
    <xf numFmtId="37" fontId="6" fillId="0" borderId="18" xfId="0" applyNumberFormat="1" applyFont="1" applyBorder="1" applyAlignment="1" applyProtection="1">
      <alignment/>
      <protection/>
    </xf>
    <xf numFmtId="37" fontId="6" fillId="0" borderId="11" xfId="0" applyNumberFormat="1" applyFont="1" applyFill="1" applyBorder="1" applyAlignment="1" applyProtection="1">
      <alignment/>
      <protection/>
    </xf>
    <xf numFmtId="37" fontId="6" fillId="0" borderId="18" xfId="0" applyNumberFormat="1" applyFont="1" applyFill="1" applyBorder="1" applyAlignment="1" applyProtection="1">
      <alignment horizontal="center"/>
      <protection/>
    </xf>
    <xf numFmtId="37" fontId="6" fillId="0" borderId="8" xfId="0" applyNumberFormat="1" applyFont="1" applyFill="1" applyBorder="1" applyAlignment="1" applyProtection="1">
      <alignment/>
      <protection/>
    </xf>
    <xf numFmtId="201" fontId="68" fillId="50" borderId="85" xfId="70" applyNumberFormat="1" applyFont="1" applyFill="1" applyBorder="1" applyAlignment="1" applyProtection="1">
      <alignment horizontal="center"/>
      <protection locked="0"/>
    </xf>
    <xf numFmtId="0" fontId="68" fillId="50" borderId="86" xfId="70" applyFont="1" applyFill="1" applyBorder="1" applyAlignment="1" applyProtection="1">
      <alignment horizontal="center"/>
      <protection locked="0"/>
    </xf>
    <xf numFmtId="0" fontId="68" fillId="50" borderId="26" xfId="70" applyFont="1" applyFill="1" applyBorder="1" applyAlignment="1" applyProtection="1">
      <alignment horizontal="center"/>
      <protection locked="0"/>
    </xf>
    <xf numFmtId="201" fontId="68" fillId="50" borderId="26" xfId="70" applyNumberFormat="1" applyFont="1" applyFill="1" applyBorder="1" applyAlignment="1" applyProtection="1">
      <alignment horizontal="center"/>
      <protection locked="0"/>
    </xf>
    <xf numFmtId="192" fontId="30" fillId="0" borderId="0" xfId="0" applyNumberFormat="1" applyFont="1" applyAlignment="1" applyProtection="1">
      <alignment vertical="top"/>
      <protection/>
    </xf>
    <xf numFmtId="37" fontId="6" fillId="0" borderId="87" xfId="0" applyNumberFormat="1" applyFont="1" applyBorder="1" applyAlignment="1">
      <alignment/>
    </xf>
    <xf numFmtId="5" fontId="6" fillId="49" borderId="81" xfId="0" applyNumberFormat="1" applyFont="1" applyFill="1" applyBorder="1" applyAlignment="1" applyProtection="1">
      <alignment/>
      <protection locked="0"/>
    </xf>
    <xf numFmtId="5" fontId="6" fillId="49" borderId="88" xfId="0" applyNumberFormat="1" applyFont="1" applyFill="1" applyBorder="1" applyAlignment="1" applyProtection="1">
      <alignment/>
      <protection locked="0"/>
    </xf>
    <xf numFmtId="192" fontId="10" fillId="0" borderId="8" xfId="83" applyNumberFormat="1" applyFont="1" applyFill="1" applyProtection="1">
      <alignment horizontal="right"/>
      <protection/>
    </xf>
    <xf numFmtId="0" fontId="6" fillId="0" borderId="0" xfId="0" applyFont="1" applyAlignment="1">
      <alignment horizontal="right" vertical="top"/>
    </xf>
    <xf numFmtId="0" fontId="6" fillId="0" borderId="68" xfId="0" applyFont="1" applyBorder="1" applyAlignment="1">
      <alignment vertical="top"/>
    </xf>
    <xf numFmtId="0" fontId="10" fillId="0" borderId="0" xfId="0" applyFont="1" applyAlignment="1">
      <alignment horizontal="right" vertical="top"/>
    </xf>
    <xf numFmtId="3" fontId="31" fillId="0" borderId="0" xfId="0" applyNumberFormat="1" applyFont="1" applyFill="1" applyAlignment="1">
      <alignment/>
    </xf>
    <xf numFmtId="3" fontId="70" fillId="0" borderId="0" xfId="0" applyNumberFormat="1" applyFont="1" applyFill="1" applyAlignment="1">
      <alignment/>
    </xf>
    <xf numFmtId="0" fontId="31"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6" fillId="0" borderId="0" xfId="0" applyFont="1" applyFill="1" applyAlignment="1">
      <alignment vertical="top"/>
    </xf>
    <xf numFmtId="5" fontId="6" fillId="0" borderId="0" xfId="50" applyNumberFormat="1" applyFont="1" applyFill="1" applyAlignment="1" applyProtection="1">
      <alignment/>
      <protection hidden="1"/>
    </xf>
    <xf numFmtId="0" fontId="6" fillId="0" borderId="0" xfId="0" applyFont="1" applyFill="1" applyAlignment="1" quotePrefix="1">
      <alignment vertical="top"/>
    </xf>
    <xf numFmtId="0" fontId="0" fillId="0" borderId="0" xfId="0" applyFill="1" applyAlignment="1">
      <alignment vertical="top"/>
    </xf>
    <xf numFmtId="5" fontId="7" fillId="0" borderId="0" xfId="50" applyNumberFormat="1" applyFont="1" applyAlignment="1" applyProtection="1">
      <alignment/>
      <protection hidden="1"/>
    </xf>
    <xf numFmtId="0" fontId="7" fillId="0" borderId="0" xfId="0" applyFont="1" applyAlignment="1">
      <alignment vertical="top"/>
    </xf>
    <xf numFmtId="3" fontId="31" fillId="0" borderId="0" xfId="0" applyNumberFormat="1" applyFont="1" applyAlignment="1">
      <alignment/>
    </xf>
    <xf numFmtId="0" fontId="38" fillId="0" borderId="30" xfId="0" applyFont="1" applyFill="1" applyBorder="1" applyAlignment="1">
      <alignment horizontal="center"/>
    </xf>
    <xf numFmtId="192" fontId="5" fillId="44" borderId="31" xfId="0" applyNumberFormat="1" applyFont="1" applyFill="1" applyBorder="1" applyAlignment="1" applyProtection="1">
      <alignment horizontal="center"/>
      <protection locked="0"/>
    </xf>
    <xf numFmtId="192" fontId="34" fillId="0" borderId="31" xfId="0" applyNumberFormat="1" applyFont="1" applyBorder="1" applyAlignment="1">
      <alignment/>
    </xf>
    <xf numFmtId="10" fontId="0" fillId="0" borderId="0" xfId="0" applyNumberFormat="1" applyFill="1" applyBorder="1" applyAlignment="1">
      <alignment/>
    </xf>
    <xf numFmtId="194" fontId="38" fillId="55" borderId="0" xfId="0" applyNumberFormat="1" applyFont="1" applyFill="1" applyAlignment="1" applyProtection="1">
      <alignment horizontal="left"/>
      <protection locked="0"/>
    </xf>
    <xf numFmtId="0" fontId="30" fillId="55" borderId="19" xfId="0" applyFont="1" applyFill="1" applyBorder="1" applyAlignment="1" applyProtection="1">
      <alignment vertical="top"/>
      <protection locked="0"/>
    </xf>
    <xf numFmtId="0" fontId="5" fillId="44" borderId="0" xfId="0" applyFont="1" applyFill="1" applyBorder="1" applyAlignment="1">
      <alignment horizontal="right" vertical="top"/>
    </xf>
    <xf numFmtId="0" fontId="0" fillId="0" borderId="18" xfId="0" applyFont="1" applyFill="1" applyBorder="1" applyAlignment="1">
      <alignment vertical="top"/>
    </xf>
    <xf numFmtId="0" fontId="0" fillId="0" borderId="37" xfId="0" applyFont="1" applyFill="1" applyBorder="1" applyAlignment="1">
      <alignment vertical="top"/>
    </xf>
    <xf numFmtId="0" fontId="5" fillId="0" borderId="30" xfId="0" applyFont="1" applyFill="1" applyBorder="1" applyAlignment="1">
      <alignment/>
    </xf>
    <xf numFmtId="0" fontId="0" fillId="57" borderId="73" xfId="0" applyFont="1" applyFill="1" applyBorder="1" applyAlignment="1">
      <alignment vertical="top"/>
    </xf>
    <xf numFmtId="192" fontId="0" fillId="56" borderId="73" xfId="0" applyNumberFormat="1" applyFont="1" applyFill="1" applyBorder="1" applyAlignment="1">
      <alignment horizontal="left"/>
    </xf>
    <xf numFmtId="192" fontId="0" fillId="56" borderId="89" xfId="0" applyNumberFormat="1" applyFont="1" applyFill="1" applyBorder="1" applyAlignment="1">
      <alignment horizontal="left"/>
    </xf>
    <xf numFmtId="37" fontId="6" fillId="50" borderId="19" xfId="0" applyNumberFormat="1" applyFont="1" applyFill="1" applyBorder="1" applyAlignment="1" applyProtection="1">
      <alignment/>
      <protection locked="0"/>
    </xf>
    <xf numFmtId="192" fontId="6" fillId="0" borderId="0" xfId="0" applyNumberFormat="1" applyFont="1" applyFill="1" applyAlignment="1" applyProtection="1">
      <alignment vertical="top"/>
      <protection/>
    </xf>
    <xf numFmtId="3" fontId="6" fillId="61" borderId="0" xfId="0" applyNumberFormat="1" applyFont="1" applyFill="1" applyAlignment="1" applyProtection="1">
      <alignment vertical="top"/>
      <protection locked="0"/>
    </xf>
    <xf numFmtId="3" fontId="7" fillId="0" borderId="0" xfId="50" applyNumberFormat="1" applyFont="1" applyAlignment="1">
      <alignment/>
    </xf>
    <xf numFmtId="3" fontId="6" fillId="0" borderId="0" xfId="0" applyNumberFormat="1" applyFont="1" applyFill="1" applyAlignment="1" applyProtection="1">
      <alignment vertical="top"/>
      <protection/>
    </xf>
    <xf numFmtId="0" fontId="38" fillId="0" borderId="26" xfId="0" applyFont="1" applyBorder="1" applyAlignment="1">
      <alignment horizontal="left"/>
    </xf>
    <xf numFmtId="0" fontId="38" fillId="0" borderId="28" xfId="0" applyFont="1" applyBorder="1" applyAlignment="1">
      <alignment horizontal="left"/>
    </xf>
    <xf numFmtId="0" fontId="71" fillId="0" borderId="28" xfId="0" applyFont="1" applyBorder="1" applyAlignment="1">
      <alignment horizontal="left"/>
    </xf>
    <xf numFmtId="0" fontId="0" fillId="0" borderId="28" xfId="0" applyBorder="1" applyAlignment="1">
      <alignment vertical="top"/>
    </xf>
    <xf numFmtId="0" fontId="72" fillId="0" borderId="60" xfId="0" applyFont="1" applyBorder="1" applyAlignment="1">
      <alignment horizontal="left"/>
    </xf>
    <xf numFmtId="0" fontId="2" fillId="0" borderId="0" xfId="0" applyFont="1" applyBorder="1" applyAlignment="1">
      <alignment vertical="top"/>
    </xf>
    <xf numFmtId="0" fontId="2" fillId="0" borderId="61" xfId="0" applyFont="1" applyBorder="1" applyAlignment="1">
      <alignment vertical="top"/>
    </xf>
    <xf numFmtId="0" fontId="36" fillId="0" borderId="0" xfId="0" applyFont="1" applyBorder="1" applyAlignment="1">
      <alignment horizontal="right"/>
    </xf>
    <xf numFmtId="0" fontId="7" fillId="0" borderId="45" xfId="0" applyFont="1" applyBorder="1" applyAlignment="1">
      <alignment vertical="top"/>
    </xf>
    <xf numFmtId="0" fontId="0" fillId="0" borderId="45" xfId="0" applyBorder="1" applyAlignment="1">
      <alignment vertical="top"/>
    </xf>
    <xf numFmtId="0" fontId="36" fillId="0" borderId="45" xfId="0" applyFont="1" applyBorder="1" applyAlignment="1">
      <alignment horizontal="right"/>
    </xf>
    <xf numFmtId="0" fontId="0" fillId="0" borderId="90" xfId="0" applyBorder="1" applyAlignment="1">
      <alignment vertical="top"/>
    </xf>
    <xf numFmtId="0" fontId="7" fillId="44" borderId="91" xfId="0" applyFont="1" applyFill="1" applyBorder="1" applyAlignment="1" applyProtection="1">
      <alignment horizontal="right"/>
      <protection locked="0"/>
    </xf>
    <xf numFmtId="0" fontId="7" fillId="0" borderId="92" xfId="0" applyFont="1" applyBorder="1" applyAlignment="1">
      <alignment vertical="top"/>
    </xf>
    <xf numFmtId="0" fontId="0" fillId="0" borderId="92" xfId="0" applyBorder="1" applyAlignment="1">
      <alignment vertical="top"/>
    </xf>
    <xf numFmtId="167" fontId="7" fillId="50" borderId="92" xfId="0" applyNumberFormat="1" applyFont="1" applyFill="1" applyBorder="1" applyAlignment="1" applyProtection="1">
      <alignment vertical="top"/>
      <protection locked="0"/>
    </xf>
    <xf numFmtId="0" fontId="36" fillId="44" borderId="30" xfId="0" applyFont="1" applyFill="1" applyBorder="1" applyAlignment="1" applyProtection="1">
      <alignment vertical="top"/>
      <protection locked="0"/>
    </xf>
    <xf numFmtId="0" fontId="0" fillId="0" borderId="0" xfId="0" applyBorder="1" applyAlignment="1">
      <alignment horizontal="right"/>
    </xf>
    <xf numFmtId="0" fontId="7" fillId="50" borderId="92" xfId="0" applyFont="1" applyFill="1" applyBorder="1" applyAlignment="1" applyProtection="1">
      <alignment vertical="top"/>
      <protection locked="0"/>
    </xf>
    <xf numFmtId="0" fontId="61" fillId="0" borderId="30" xfId="0" applyFont="1" applyBorder="1" applyAlignment="1">
      <alignment vertical="top"/>
    </xf>
    <xf numFmtId="0" fontId="34" fillId="0" borderId="30" xfId="0" applyFont="1" applyBorder="1" applyAlignment="1">
      <alignment vertical="top"/>
    </xf>
    <xf numFmtId="0" fontId="36" fillId="0" borderId="0" xfId="0" applyFont="1" applyBorder="1" applyAlignment="1">
      <alignment vertical="top"/>
    </xf>
    <xf numFmtId="0" fontId="0" fillId="44" borderId="0" xfId="0" applyFill="1" applyBorder="1" applyAlignment="1" applyProtection="1">
      <alignment vertical="top"/>
      <protection locked="0"/>
    </xf>
    <xf numFmtId="8" fontId="7" fillId="0" borderId="48" xfId="0" applyNumberFormat="1" applyFont="1" applyBorder="1" applyAlignment="1">
      <alignment vertical="top"/>
    </xf>
    <xf numFmtId="0" fontId="36" fillId="0" borderId="45" xfId="0" applyFont="1" applyBorder="1" applyAlignment="1">
      <alignment vertical="top"/>
    </xf>
    <xf numFmtId="0" fontId="7" fillId="0" borderId="0" xfId="0" applyFont="1" applyBorder="1" applyAlignment="1">
      <alignment vertical="top"/>
    </xf>
    <xf numFmtId="8" fontId="7" fillId="44" borderId="92" xfId="0" applyNumberFormat="1" applyFont="1" applyFill="1" applyBorder="1" applyAlignment="1">
      <alignment vertical="top"/>
    </xf>
    <xf numFmtId="0" fontId="38" fillId="0" borderId="0" xfId="0" applyFont="1" applyBorder="1" applyAlignment="1">
      <alignment vertical="top"/>
    </xf>
    <xf numFmtId="0" fontId="71" fillId="0" borderId="0" xfId="0" applyFont="1" applyBorder="1" applyAlignment="1">
      <alignment/>
    </xf>
    <xf numFmtId="0" fontId="0" fillId="0" borderId="0" xfId="0" applyBorder="1" applyAlignment="1">
      <alignment horizontal="centerContinuous"/>
    </xf>
    <xf numFmtId="0" fontId="73" fillId="0" borderId="30" xfId="0" applyFont="1" applyBorder="1" applyAlignment="1">
      <alignment horizontal="center"/>
    </xf>
    <xf numFmtId="0" fontId="71" fillId="0" borderId="0" xfId="0" applyFont="1" applyBorder="1" applyAlignment="1">
      <alignment horizontal="left"/>
    </xf>
    <xf numFmtId="0" fontId="35" fillId="0" borderId="0" xfId="0" applyFont="1" applyBorder="1" applyAlignment="1">
      <alignment horizontal="left"/>
    </xf>
    <xf numFmtId="0" fontId="71" fillId="0" borderId="61" xfId="0" applyFont="1" applyBorder="1" applyAlignment="1">
      <alignment horizontal="center"/>
    </xf>
    <xf numFmtId="0" fontId="75" fillId="44" borderId="0" xfId="0" applyFont="1" applyFill="1" applyBorder="1" applyAlignment="1" applyProtection="1">
      <alignment horizontal="center"/>
      <protection locked="0"/>
    </xf>
    <xf numFmtId="0" fontId="75" fillId="50" borderId="93" xfId="0" applyFont="1" applyFill="1" applyBorder="1" applyAlignment="1" applyProtection="1">
      <alignment vertical="top"/>
      <protection locked="0"/>
    </xf>
    <xf numFmtId="0" fontId="36" fillId="0" borderId="30" xfId="0" applyFont="1" applyBorder="1" applyAlignment="1">
      <alignment horizontal="right"/>
    </xf>
    <xf numFmtId="0" fontId="0" fillId="44" borderId="0" xfId="0" applyFill="1" applyBorder="1" applyAlignment="1">
      <alignment horizontal="center"/>
    </xf>
    <xf numFmtId="0" fontId="0" fillId="44" borderId="0" xfId="0" applyFill="1" applyBorder="1" applyAlignment="1">
      <alignment vertical="top"/>
    </xf>
    <xf numFmtId="0" fontId="36" fillId="0" borderId="24" xfId="0" applyFont="1" applyBorder="1" applyAlignment="1">
      <alignment horizontal="left"/>
    </xf>
    <xf numFmtId="0" fontId="0" fillId="0" borderId="19" xfId="0" applyBorder="1" applyAlignment="1">
      <alignment vertical="top"/>
    </xf>
    <xf numFmtId="7" fontId="36" fillId="0" borderId="94" xfId="0" applyNumberFormat="1" applyFont="1" applyBorder="1" applyAlignment="1">
      <alignment vertical="top"/>
    </xf>
    <xf numFmtId="0" fontId="36" fillId="0" borderId="0" xfId="0" applyFont="1" applyBorder="1" applyAlignment="1">
      <alignment horizontal="left"/>
    </xf>
    <xf numFmtId="7" fontId="0" fillId="0" borderId="0" xfId="0" applyNumberFormat="1" applyBorder="1" applyAlignment="1">
      <alignment vertical="top"/>
    </xf>
    <xf numFmtId="0" fontId="5" fillId="0" borderId="30" xfId="0" applyFont="1" applyBorder="1" applyAlignment="1">
      <alignment horizontal="left"/>
    </xf>
    <xf numFmtId="0" fontId="36" fillId="0" borderId="0" xfId="0" applyFont="1" applyFill="1" applyBorder="1" applyAlignment="1">
      <alignment vertical="top"/>
    </xf>
    <xf numFmtId="0" fontId="0" fillId="0" borderId="24" xfId="0" applyFill="1" applyBorder="1" applyAlignment="1">
      <alignment vertical="top"/>
    </xf>
    <xf numFmtId="0" fontId="0" fillId="0" borderId="19" xfId="0" applyFill="1" applyBorder="1" applyAlignment="1">
      <alignment vertical="top"/>
    </xf>
    <xf numFmtId="0" fontId="36" fillId="0" borderId="25" xfId="0" applyFont="1" applyFill="1" applyBorder="1" applyAlignment="1">
      <alignment horizontal="right"/>
    </xf>
    <xf numFmtId="7" fontId="36" fillId="0" borderId="48" xfId="0" applyNumberFormat="1" applyFont="1" applyBorder="1" applyAlignment="1">
      <alignment vertical="top"/>
    </xf>
    <xf numFmtId="0" fontId="71" fillId="0" borderId="95" xfId="0" applyFont="1" applyBorder="1" applyAlignment="1">
      <alignment horizontal="left"/>
    </xf>
    <xf numFmtId="0" fontId="71" fillId="0" borderId="0" xfId="0" applyFont="1" applyBorder="1" applyAlignment="1">
      <alignment horizontal="centerContinuous"/>
    </xf>
    <xf numFmtId="0" fontId="0" fillId="0" borderId="96" xfId="0" applyBorder="1" applyAlignment="1">
      <alignment vertical="top"/>
    </xf>
    <xf numFmtId="0" fontId="0" fillId="44" borderId="96" xfId="0" applyFill="1" applyBorder="1" applyAlignment="1" applyProtection="1">
      <alignment vertical="top"/>
      <protection locked="0"/>
    </xf>
    <xf numFmtId="0" fontId="7" fillId="50" borderId="93" xfId="0" applyFont="1" applyFill="1" applyBorder="1" applyAlignment="1" applyProtection="1">
      <alignment vertical="top"/>
      <protection locked="0"/>
    </xf>
    <xf numFmtId="4" fontId="7" fillId="50" borderId="74" xfId="0" applyNumberFormat="1" applyFont="1" applyFill="1" applyBorder="1" applyAlignment="1" applyProtection="1">
      <alignment vertical="top"/>
      <protection locked="0"/>
    </xf>
    <xf numFmtId="0" fontId="0" fillId="0" borderId="92" xfId="0" applyFill="1" applyBorder="1" applyAlignment="1" applyProtection="1">
      <alignment vertical="top"/>
      <protection locked="0"/>
    </xf>
    <xf numFmtId="0" fontId="7" fillId="44" borderId="93" xfId="0" applyFont="1" applyFill="1" applyBorder="1" applyAlignment="1" applyProtection="1">
      <alignment vertical="top"/>
      <protection locked="0"/>
    </xf>
    <xf numFmtId="0" fontId="0" fillId="50" borderId="93" xfId="0" applyFill="1" applyBorder="1" applyAlignment="1" applyProtection="1">
      <alignment vertical="top"/>
      <protection locked="0"/>
    </xf>
    <xf numFmtId="0" fontId="36" fillId="0" borderId="30" xfId="0" applyFont="1" applyBorder="1" applyAlignment="1">
      <alignment horizontal="right" vertical="top"/>
    </xf>
    <xf numFmtId="0" fontId="0" fillId="0" borderId="97" xfId="0" applyBorder="1" applyAlignment="1">
      <alignment vertical="top"/>
    </xf>
    <xf numFmtId="0" fontId="36" fillId="0" borderId="29" xfId="0" applyFont="1" applyBorder="1" applyAlignment="1">
      <alignment vertical="top"/>
    </xf>
    <xf numFmtId="0" fontId="0" fillId="0" borderId="98" xfId="0" applyBorder="1" applyAlignment="1">
      <alignment vertical="top"/>
    </xf>
    <xf numFmtId="0" fontId="0" fillId="0" borderId="99" xfId="0" applyBorder="1" applyAlignment="1">
      <alignment vertical="top"/>
    </xf>
    <xf numFmtId="7" fontId="36" fillId="0" borderId="100" xfId="0" applyNumberFormat="1" applyFont="1" applyBorder="1" applyAlignment="1">
      <alignment vertical="top"/>
    </xf>
    <xf numFmtId="7" fontId="77" fillId="0" borderId="33" xfId="0" applyNumberFormat="1" applyFont="1" applyBorder="1" applyAlignment="1">
      <alignment vertical="top"/>
    </xf>
    <xf numFmtId="0" fontId="36" fillId="0" borderId="30" xfId="0" applyFont="1" applyBorder="1" applyAlignment="1">
      <alignment vertical="top"/>
    </xf>
    <xf numFmtId="0" fontId="34" fillId="0" borderId="30" xfId="0" applyFont="1" applyBorder="1" applyAlignment="1">
      <alignment horizontal="right" vertical="top"/>
    </xf>
    <xf numFmtId="8" fontId="36" fillId="44" borderId="74" xfId="0" applyNumberFormat="1" applyFont="1" applyFill="1" applyBorder="1" applyAlignment="1" applyProtection="1">
      <alignment vertical="top"/>
      <protection/>
    </xf>
    <xf numFmtId="0" fontId="5" fillId="0" borderId="0" xfId="0" applyFont="1" applyBorder="1" applyAlignment="1">
      <alignment vertical="top"/>
    </xf>
    <xf numFmtId="8" fontId="7" fillId="0" borderId="74" xfId="0" applyNumberFormat="1" applyFont="1" applyFill="1" applyBorder="1" applyAlignment="1">
      <alignment vertical="top"/>
    </xf>
    <xf numFmtId="0" fontId="34" fillId="0" borderId="101" xfId="0" applyFont="1" applyBorder="1" applyAlignment="1">
      <alignment vertical="top"/>
    </xf>
    <xf numFmtId="0" fontId="36" fillId="0" borderId="68" xfId="0" applyFont="1" applyBorder="1" applyAlignment="1">
      <alignment vertical="top"/>
    </xf>
    <xf numFmtId="0" fontId="0" fillId="0" borderId="68" xfId="0" applyBorder="1" applyAlignment="1">
      <alignment vertical="top"/>
    </xf>
    <xf numFmtId="0" fontId="34" fillId="0" borderId="68" xfId="0" applyFont="1" applyBorder="1" applyAlignment="1">
      <alignment vertical="top"/>
    </xf>
    <xf numFmtId="0" fontId="2" fillId="0" borderId="68" xfId="0" applyFont="1" applyBorder="1" applyAlignment="1">
      <alignment vertical="top"/>
    </xf>
    <xf numFmtId="8" fontId="0" fillId="0" borderId="68" xfId="0" applyNumberFormat="1" applyBorder="1" applyAlignment="1">
      <alignment vertical="top"/>
    </xf>
    <xf numFmtId="0" fontId="0" fillId="0" borderId="102" xfId="0" applyBorder="1" applyAlignment="1">
      <alignment vertical="top"/>
    </xf>
    <xf numFmtId="0" fontId="76" fillId="44" borderId="0" xfId="0" applyFont="1" applyFill="1" applyBorder="1" applyAlignment="1" applyProtection="1">
      <alignment vertical="top"/>
      <protection locked="0"/>
    </xf>
    <xf numFmtId="0" fontId="0" fillId="44" borderId="68" xfId="0" applyFill="1" applyBorder="1" applyAlignment="1" applyProtection="1">
      <alignment vertical="top"/>
      <protection/>
    </xf>
    <xf numFmtId="0" fontId="7" fillId="0" borderId="30" xfId="0" applyFont="1" applyBorder="1" applyAlignment="1">
      <alignment horizontal="right"/>
    </xf>
    <xf numFmtId="0" fontId="0" fillId="0" borderId="18" xfId="0" applyBorder="1" applyAlignment="1">
      <alignment vertical="top"/>
    </xf>
    <xf numFmtId="0" fontId="0" fillId="44" borderId="68" xfId="0" applyFill="1" applyBorder="1" applyAlignment="1">
      <alignment vertical="top"/>
    </xf>
    <xf numFmtId="0" fontId="36" fillId="0" borderId="0" xfId="0" applyFont="1" applyAlignment="1">
      <alignment vertical="top"/>
    </xf>
    <xf numFmtId="0" fontId="71" fillId="0" borderId="0" xfId="0" applyFont="1" applyBorder="1" applyAlignment="1">
      <alignment vertical="top"/>
    </xf>
    <xf numFmtId="0" fontId="0" fillId="0" borderId="0" xfId="0" applyBorder="1" applyAlignment="1">
      <alignment/>
    </xf>
    <xf numFmtId="0" fontId="71" fillId="0" borderId="0" xfId="0" applyFont="1" applyBorder="1" applyAlignment="1">
      <alignment horizontal="center"/>
    </xf>
    <xf numFmtId="39" fontId="0" fillId="0" borderId="0" xfId="0" applyNumberFormat="1" applyBorder="1" applyAlignment="1">
      <alignment vertical="top"/>
    </xf>
    <xf numFmtId="0" fontId="7" fillId="0" borderId="61" xfId="0" applyFont="1" applyBorder="1" applyAlignment="1">
      <alignment vertical="top"/>
    </xf>
    <xf numFmtId="4" fontId="7" fillId="50" borderId="103" xfId="0" applyNumberFormat="1" applyFont="1" applyFill="1" applyBorder="1" applyAlignment="1" applyProtection="1">
      <alignment vertical="top"/>
      <protection locked="0"/>
    </xf>
    <xf numFmtId="0" fontId="7" fillId="44" borderId="0" xfId="0" applyFont="1" applyFill="1" applyBorder="1" applyAlignment="1" applyProtection="1">
      <alignment vertical="top"/>
      <protection locked="0"/>
    </xf>
    <xf numFmtId="0" fontId="76" fillId="0" borderId="0" xfId="0" applyFont="1" applyBorder="1" applyAlignment="1">
      <alignment vertical="top"/>
    </xf>
    <xf numFmtId="0" fontId="7" fillId="0" borderId="0" xfId="0" applyFont="1" applyBorder="1" applyAlignment="1">
      <alignment horizontal="centerContinuous"/>
    </xf>
    <xf numFmtId="4" fontId="7" fillId="50" borderId="74" xfId="0" applyNumberFormat="1" applyFont="1" applyFill="1" applyBorder="1" applyAlignment="1" applyProtection="1">
      <alignment/>
      <protection locked="0"/>
    </xf>
    <xf numFmtId="0" fontId="7" fillId="50" borderId="104" xfId="0" applyFont="1" applyFill="1" applyBorder="1" applyAlignment="1" applyProtection="1">
      <alignment vertical="top"/>
      <protection locked="0"/>
    </xf>
    <xf numFmtId="0" fontId="36" fillId="0" borderId="61" xfId="0" applyFont="1" applyBorder="1" applyAlignment="1">
      <alignment vertical="top"/>
    </xf>
    <xf numFmtId="0" fontId="36" fillId="0" borderId="105" xfId="0" applyFont="1" applyBorder="1" applyAlignment="1">
      <alignment horizontal="right"/>
    </xf>
    <xf numFmtId="0" fontId="36" fillId="0" borderId="106" xfId="0" applyFont="1" applyBorder="1" applyAlignment="1">
      <alignment vertical="top"/>
    </xf>
    <xf numFmtId="0" fontId="0" fillId="0" borderId="105" xfId="0" applyBorder="1" applyAlignment="1">
      <alignment vertical="top"/>
    </xf>
    <xf numFmtId="0" fontId="7" fillId="0" borderId="105" xfId="0" applyFont="1" applyBorder="1" applyAlignment="1">
      <alignment vertical="top"/>
    </xf>
    <xf numFmtId="0" fontId="36" fillId="0" borderId="105" xfId="0" applyFont="1" applyBorder="1" applyAlignment="1">
      <alignment vertical="top"/>
    </xf>
    <xf numFmtId="7" fontId="36" fillId="0" borderId="105" xfId="0" applyNumberFormat="1" applyFont="1" applyBorder="1" applyAlignment="1">
      <alignment vertical="top"/>
    </xf>
    <xf numFmtId="0" fontId="73" fillId="0" borderId="0" xfId="0" applyFont="1" applyBorder="1" applyAlignment="1">
      <alignment horizontal="right" vertical="top"/>
    </xf>
    <xf numFmtId="0" fontId="34" fillId="0" borderId="106" xfId="0" applyFont="1" applyBorder="1" applyAlignment="1">
      <alignment vertical="top"/>
    </xf>
    <xf numFmtId="0" fontId="61" fillId="0" borderId="105" xfId="0" applyFont="1" applyBorder="1" applyAlignment="1">
      <alignment horizontal="right"/>
    </xf>
    <xf numFmtId="201" fontId="36" fillId="0" borderId="107" xfId="0" applyNumberFormat="1" applyFont="1" applyBorder="1" applyAlignment="1">
      <alignment vertical="top"/>
    </xf>
    <xf numFmtId="0" fontId="7" fillId="0" borderId="108" xfId="0" applyFont="1" applyBorder="1" applyAlignment="1">
      <alignment vertical="top"/>
    </xf>
    <xf numFmtId="3" fontId="30" fillId="55" borderId="92" xfId="0" applyNumberFormat="1" applyFont="1" applyFill="1" applyBorder="1" applyAlignment="1" applyProtection="1">
      <alignment vertical="top"/>
      <protection locked="0"/>
    </xf>
    <xf numFmtId="206" fontId="30" fillId="0" borderId="18" xfId="0" applyNumberFormat="1" applyFont="1" applyFill="1" applyBorder="1" applyAlignment="1" applyProtection="1">
      <alignment vertical="top"/>
      <protection/>
    </xf>
    <xf numFmtId="0" fontId="30" fillId="0" borderId="18" xfId="0" applyNumberFormat="1" applyFont="1" applyFill="1" applyBorder="1" applyAlignment="1" applyProtection="1">
      <alignment vertical="top"/>
      <protection/>
    </xf>
    <xf numFmtId="8" fontId="5" fillId="0" borderId="0" xfId="0" applyNumberFormat="1" applyFont="1" applyAlignment="1">
      <alignment vertical="top"/>
    </xf>
    <xf numFmtId="192" fontId="0" fillId="0" borderId="19" xfId="0" applyNumberFormat="1" applyFont="1" applyBorder="1" applyAlignment="1">
      <alignment/>
    </xf>
    <xf numFmtId="192" fontId="5" fillId="0" borderId="18" xfId="0" applyNumberFormat="1" applyFont="1" applyBorder="1" applyAlignment="1">
      <alignment horizontal="right"/>
    </xf>
    <xf numFmtId="0" fontId="36" fillId="50" borderId="93" xfId="0" applyFont="1" applyFill="1" applyBorder="1" applyAlignment="1" applyProtection="1">
      <alignment vertical="top"/>
      <protection locked="0"/>
    </xf>
    <xf numFmtId="0" fontId="7" fillId="50" borderId="74" xfId="0" applyFont="1" applyFill="1" applyBorder="1" applyAlignment="1">
      <alignment vertical="top"/>
    </xf>
    <xf numFmtId="0" fontId="7" fillId="0" borderId="74" xfId="0" applyFont="1" applyFill="1" applyBorder="1" applyAlignment="1">
      <alignment vertical="top"/>
    </xf>
    <xf numFmtId="0" fontId="7" fillId="62" borderId="109" xfId="0" applyFont="1" applyFill="1" applyBorder="1" applyAlignment="1">
      <alignment vertical="top"/>
    </xf>
    <xf numFmtId="0" fontId="79" fillId="62" borderId="109" xfId="0" applyFont="1" applyFill="1" applyBorder="1" applyAlignment="1">
      <alignment vertical="top"/>
    </xf>
    <xf numFmtId="0" fontId="7" fillId="62" borderId="74" xfId="0" applyFont="1" applyFill="1" applyBorder="1" applyAlignment="1">
      <alignment vertical="top"/>
    </xf>
    <xf numFmtId="0" fontId="7" fillId="50" borderId="93" xfId="0" applyFont="1" applyFill="1" applyBorder="1" applyAlignment="1" applyProtection="1">
      <alignment horizontal="right" vertical="top"/>
      <protection locked="0"/>
    </xf>
    <xf numFmtId="0" fontId="84" fillId="50" borderId="74" xfId="0" applyFont="1" applyFill="1" applyBorder="1" applyAlignment="1" applyProtection="1">
      <alignment vertical="top"/>
      <protection locked="0"/>
    </xf>
    <xf numFmtId="0" fontId="7" fillId="50" borderId="92" xfId="0" applyFont="1" applyFill="1" applyBorder="1" applyAlignment="1" applyProtection="1">
      <alignment horizontal="right" vertical="top"/>
      <protection locked="0"/>
    </xf>
    <xf numFmtId="0" fontId="36" fillId="50" borderId="92" xfId="0" applyFont="1" applyFill="1" applyBorder="1" applyAlignment="1" applyProtection="1">
      <alignment vertical="top"/>
      <protection locked="0"/>
    </xf>
    <xf numFmtId="0" fontId="71" fillId="0" borderId="91" xfId="0" applyFont="1" applyBorder="1" applyAlignment="1">
      <alignment horizontal="left"/>
    </xf>
    <xf numFmtId="4" fontId="7" fillId="0" borderId="109" xfId="0" applyNumberFormat="1" applyFont="1" applyFill="1" applyBorder="1" applyAlignment="1" applyProtection="1">
      <alignment vertical="top"/>
      <protection/>
    </xf>
    <xf numFmtId="4" fontId="7" fillId="0" borderId="74" xfId="0" applyNumberFormat="1" applyFont="1" applyFill="1" applyBorder="1" applyAlignment="1" applyProtection="1">
      <alignment vertical="top"/>
      <protection/>
    </xf>
    <xf numFmtId="0" fontId="71" fillId="0" borderId="0" xfId="0" applyFont="1" applyBorder="1" applyAlignment="1">
      <alignment horizontal="left" vertical="top"/>
    </xf>
    <xf numFmtId="0" fontId="74" fillId="0" borderId="0" xfId="0" applyFont="1" applyBorder="1" applyAlignment="1">
      <alignment horizontal="right" vertical="top"/>
    </xf>
    <xf numFmtId="0" fontId="75" fillId="0" borderId="18" xfId="0" applyFont="1" applyBorder="1" applyAlignment="1">
      <alignment horizontal="right" vertical="top"/>
    </xf>
    <xf numFmtId="0" fontId="0" fillId="55" borderId="92" xfId="0" applyFill="1" applyBorder="1" applyAlignment="1" applyProtection="1">
      <alignment vertical="top"/>
      <protection locked="0"/>
    </xf>
    <xf numFmtId="0" fontId="36" fillId="55" borderId="92" xfId="0" applyFont="1" applyFill="1" applyBorder="1" applyAlignment="1" applyProtection="1">
      <alignment vertical="top"/>
      <protection locked="0"/>
    </xf>
    <xf numFmtId="0" fontId="0" fillId="55" borderId="110" xfId="0" applyFill="1" applyBorder="1" applyAlignment="1" applyProtection="1">
      <alignment vertical="top"/>
      <protection locked="0"/>
    </xf>
    <xf numFmtId="0" fontId="36" fillId="50" borderId="45" xfId="0" applyFont="1" applyFill="1" applyBorder="1" applyAlignment="1" applyProtection="1">
      <alignment vertical="top"/>
      <protection locked="0"/>
    </xf>
    <xf numFmtId="0" fontId="7" fillId="50" borderId="45" xfId="0" applyFont="1" applyFill="1" applyBorder="1" applyAlignment="1" applyProtection="1">
      <alignment vertical="top"/>
      <protection locked="0"/>
    </xf>
    <xf numFmtId="0" fontId="36" fillId="55" borderId="92" xfId="0" applyFont="1" applyFill="1" applyBorder="1" applyAlignment="1" applyProtection="1">
      <alignment horizontal="left"/>
      <protection locked="0"/>
    </xf>
    <xf numFmtId="0" fontId="0" fillId="50" borderId="92" xfId="0" applyFill="1" applyBorder="1" applyAlignment="1" applyProtection="1">
      <alignment vertical="top"/>
      <protection locked="0"/>
    </xf>
    <xf numFmtId="0" fontId="7" fillId="55" borderId="92" xfId="0" applyFont="1" applyFill="1" applyBorder="1" applyAlignment="1" applyProtection="1">
      <alignment vertical="top"/>
      <protection locked="0"/>
    </xf>
    <xf numFmtId="0" fontId="36" fillId="55" borderId="111" xfId="0" applyFont="1" applyFill="1" applyBorder="1" applyAlignment="1" applyProtection="1">
      <alignment horizontal="right"/>
      <protection locked="0"/>
    </xf>
    <xf numFmtId="0" fontId="74" fillId="0" borderId="0" xfId="0" applyFont="1" applyBorder="1" applyAlignment="1" applyProtection="1">
      <alignment horizontal="center"/>
      <protection locked="0"/>
    </xf>
    <xf numFmtId="0" fontId="7" fillId="50" borderId="112" xfId="0" applyFont="1" applyFill="1" applyBorder="1" applyAlignment="1" applyProtection="1">
      <alignment vertical="top"/>
      <protection locked="0"/>
    </xf>
    <xf numFmtId="0" fontId="36" fillId="55" borderId="113" xfId="0" applyFont="1" applyFill="1" applyBorder="1" applyAlignment="1" applyProtection="1">
      <alignment vertical="top"/>
      <protection locked="0"/>
    </xf>
    <xf numFmtId="0" fontId="7" fillId="55" borderId="45" xfId="0" applyFont="1" applyFill="1" applyBorder="1" applyAlignment="1" applyProtection="1">
      <alignment vertical="top"/>
      <protection locked="0"/>
    </xf>
    <xf numFmtId="0" fontId="36" fillId="55" borderId="89" xfId="0" applyFont="1" applyFill="1" applyBorder="1" applyAlignment="1" applyProtection="1">
      <alignment horizontal="right"/>
      <protection locked="0"/>
    </xf>
    <xf numFmtId="0" fontId="7" fillId="50" borderId="114" xfId="0" applyFont="1" applyFill="1" applyBorder="1" applyAlignment="1" applyProtection="1">
      <alignment vertical="top"/>
      <protection locked="0"/>
    </xf>
    <xf numFmtId="0" fontId="74" fillId="50" borderId="113" xfId="0" applyFont="1" applyFill="1" applyBorder="1" applyAlignment="1" applyProtection="1">
      <alignment vertical="top"/>
      <protection locked="0"/>
    </xf>
    <xf numFmtId="0" fontId="0" fillId="55" borderId="93" xfId="0" applyFill="1" applyBorder="1" applyAlignment="1" applyProtection="1">
      <alignment vertical="top"/>
      <protection locked="0"/>
    </xf>
    <xf numFmtId="0" fontId="0" fillId="55" borderId="0" xfId="0" applyFill="1" applyBorder="1" applyAlignment="1" applyProtection="1">
      <alignment vertical="top"/>
      <protection locked="0"/>
    </xf>
    <xf numFmtId="0" fontId="7" fillId="50" borderId="97" xfId="0" applyFont="1" applyFill="1" applyBorder="1" applyAlignment="1" applyProtection="1">
      <alignment vertical="top"/>
      <protection locked="0"/>
    </xf>
    <xf numFmtId="0" fontId="7" fillId="55" borderId="115" xfId="0" applyFont="1" applyFill="1" applyBorder="1" applyAlignment="1" applyProtection="1">
      <alignment vertical="top"/>
      <protection locked="0"/>
    </xf>
    <xf numFmtId="0" fontId="7" fillId="55" borderId="103" xfId="0" applyFont="1" applyFill="1" applyBorder="1" applyAlignment="1" applyProtection="1">
      <alignment vertical="top"/>
      <protection locked="0"/>
    </xf>
    <xf numFmtId="0" fontId="0" fillId="55" borderId="115" xfId="0" applyFill="1" applyBorder="1" applyAlignment="1" applyProtection="1">
      <alignment vertical="top"/>
      <protection locked="0"/>
    </xf>
    <xf numFmtId="0" fontId="0" fillId="55" borderId="103" xfId="0" applyFill="1" applyBorder="1" applyAlignment="1" applyProtection="1">
      <alignment vertical="top"/>
      <protection locked="0"/>
    </xf>
    <xf numFmtId="0" fontId="0" fillId="44" borderId="0" xfId="0" applyFill="1" applyBorder="1" applyAlignment="1" applyProtection="1">
      <alignment horizontal="center"/>
      <protection locked="0"/>
    </xf>
    <xf numFmtId="0" fontId="36" fillId="50" borderId="112" xfId="0" applyFont="1" applyFill="1" applyBorder="1" applyAlignment="1" applyProtection="1">
      <alignment vertical="top"/>
      <protection locked="0"/>
    </xf>
    <xf numFmtId="0" fontId="7" fillId="50" borderId="109" xfId="0" applyFont="1" applyFill="1" applyBorder="1" applyAlignment="1" applyProtection="1">
      <alignment vertical="top"/>
      <protection locked="0"/>
    </xf>
    <xf numFmtId="0" fontId="36" fillId="50" borderId="114" xfId="0" applyFont="1" applyFill="1" applyBorder="1" applyAlignment="1" applyProtection="1">
      <alignment vertical="top"/>
      <protection locked="0"/>
    </xf>
    <xf numFmtId="0" fontId="82" fillId="50" borderId="74" xfId="0" applyFont="1" applyFill="1" applyBorder="1" applyAlignment="1" applyProtection="1">
      <alignment vertical="top"/>
      <protection locked="0"/>
    </xf>
    <xf numFmtId="0" fontId="82" fillId="50" borderId="116" xfId="0" applyFont="1" applyFill="1" applyBorder="1" applyAlignment="1" applyProtection="1">
      <alignment vertical="top"/>
      <protection locked="0"/>
    </xf>
    <xf numFmtId="0" fontId="75" fillId="50" borderId="97" xfId="0" applyFont="1" applyFill="1" applyBorder="1" applyAlignment="1" applyProtection="1">
      <alignment vertical="top"/>
      <protection locked="0"/>
    </xf>
    <xf numFmtId="0" fontId="2" fillId="50" borderId="97" xfId="0" applyFont="1" applyFill="1" applyBorder="1" applyAlignment="1" applyProtection="1">
      <alignment vertical="top"/>
      <protection locked="0"/>
    </xf>
    <xf numFmtId="0" fontId="82" fillId="50" borderId="117" xfId="0" applyFont="1" applyFill="1" applyBorder="1" applyAlignment="1" applyProtection="1">
      <alignment vertical="top"/>
      <protection locked="0"/>
    </xf>
    <xf numFmtId="7" fontId="7" fillId="50" borderId="109" xfId="0" applyNumberFormat="1" applyFont="1" applyFill="1" applyBorder="1" applyAlignment="1" applyProtection="1">
      <alignment vertical="top"/>
      <protection locked="0"/>
    </xf>
    <xf numFmtId="7" fontId="7" fillId="50" borderId="74" xfId="0" applyNumberFormat="1" applyFont="1" applyFill="1" applyBorder="1" applyAlignment="1" applyProtection="1">
      <alignment vertical="top"/>
      <protection locked="0"/>
    </xf>
    <xf numFmtId="7" fontId="7" fillId="50" borderId="116" xfId="0" applyNumberFormat="1" applyFont="1" applyFill="1" applyBorder="1" applyAlignment="1" applyProtection="1">
      <alignment vertical="top"/>
      <protection locked="0"/>
    </xf>
    <xf numFmtId="7" fontId="7" fillId="50" borderId="117" xfId="0" applyNumberFormat="1" applyFont="1" applyFill="1" applyBorder="1" applyAlignment="1" applyProtection="1">
      <alignment vertical="top"/>
      <protection locked="0"/>
    </xf>
    <xf numFmtId="0" fontId="36" fillId="0" borderId="111" xfId="0" applyFont="1" applyFill="1" applyBorder="1" applyAlignment="1" applyProtection="1">
      <alignment horizontal="right" vertical="top"/>
      <protection locked="0"/>
    </xf>
    <xf numFmtId="0" fontId="7" fillId="44" borderId="113" xfId="0" applyFont="1" applyFill="1" applyBorder="1" applyAlignment="1" applyProtection="1">
      <alignment vertical="top"/>
      <protection locked="0"/>
    </xf>
    <xf numFmtId="0" fontId="0" fillId="0" borderId="45" xfId="0" applyBorder="1" applyAlignment="1" applyProtection="1">
      <alignment vertical="top"/>
      <protection locked="0"/>
    </xf>
    <xf numFmtId="0" fontId="0" fillId="0" borderId="112" xfId="0" applyBorder="1" applyAlignment="1" applyProtection="1">
      <alignment vertical="top"/>
      <protection locked="0"/>
    </xf>
    <xf numFmtId="0" fontId="7" fillId="62" borderId="74" xfId="0" applyFont="1" applyFill="1" applyBorder="1" applyAlignment="1" applyProtection="1">
      <alignment vertical="top"/>
      <protection locked="0"/>
    </xf>
    <xf numFmtId="0" fontId="36" fillId="0" borderId="89" xfId="0" applyFont="1" applyFill="1" applyBorder="1" applyAlignment="1" applyProtection="1">
      <alignment horizontal="right" vertical="top"/>
      <protection locked="0"/>
    </xf>
    <xf numFmtId="0" fontId="0" fillId="0" borderId="92" xfId="0" applyBorder="1" applyAlignment="1" applyProtection="1">
      <alignment vertical="top"/>
      <protection locked="0"/>
    </xf>
    <xf numFmtId="0" fontId="0" fillId="0" borderId="114" xfId="0" applyBorder="1" applyAlignment="1" applyProtection="1">
      <alignment vertical="top"/>
      <protection locked="0"/>
    </xf>
    <xf numFmtId="0" fontId="75" fillId="44" borderId="93" xfId="0" applyFont="1" applyFill="1" applyBorder="1" applyAlignment="1" applyProtection="1">
      <alignment vertical="top"/>
      <protection locked="0"/>
    </xf>
    <xf numFmtId="0" fontId="0" fillId="0" borderId="114" xfId="0" applyFill="1" applyBorder="1" applyAlignment="1" applyProtection="1">
      <alignment vertical="top"/>
      <protection locked="0"/>
    </xf>
    <xf numFmtId="0" fontId="7" fillId="44" borderId="93" xfId="0" applyFont="1" applyFill="1" applyBorder="1" applyAlignment="1" applyProtection="1">
      <alignment/>
      <protection locked="0"/>
    </xf>
    <xf numFmtId="0" fontId="36" fillId="50" borderId="89" xfId="0" applyFont="1" applyFill="1" applyBorder="1" applyAlignment="1" applyProtection="1">
      <alignment horizontal="right" vertical="top"/>
      <protection locked="0"/>
    </xf>
    <xf numFmtId="0" fontId="7" fillId="55" borderId="0" xfId="0" applyFont="1" applyFill="1" applyBorder="1" applyAlignment="1" applyProtection="1">
      <alignment vertical="top"/>
      <protection locked="0"/>
    </xf>
    <xf numFmtId="0" fontId="0" fillId="55" borderId="114" xfId="0" applyFill="1" applyBorder="1" applyAlignment="1" applyProtection="1">
      <alignment vertical="top"/>
      <protection locked="0"/>
    </xf>
    <xf numFmtId="0" fontId="36" fillId="55" borderId="89" xfId="0" applyFont="1" applyFill="1" applyBorder="1" applyAlignment="1" applyProtection="1">
      <alignment horizontal="right" vertical="top"/>
      <protection locked="0"/>
    </xf>
    <xf numFmtId="0" fontId="0" fillId="50" borderId="114" xfId="0" applyFill="1" applyBorder="1" applyAlignment="1" applyProtection="1">
      <alignment vertical="top"/>
      <protection locked="0"/>
    </xf>
    <xf numFmtId="4" fontId="7" fillId="50" borderId="117" xfId="0" applyNumberFormat="1" applyFont="1" applyFill="1" applyBorder="1" applyAlignment="1" applyProtection="1">
      <alignment vertical="top"/>
      <protection locked="0"/>
    </xf>
    <xf numFmtId="0" fontId="0" fillId="0" borderId="0" xfId="0" applyBorder="1" applyAlignment="1" applyProtection="1">
      <alignment horizontal="centerContinuous"/>
      <protection locked="0"/>
    </xf>
    <xf numFmtId="0" fontId="0" fillId="0" borderId="0" xfId="0" applyBorder="1" applyAlignment="1" applyProtection="1">
      <alignment vertical="top"/>
      <protection locked="0"/>
    </xf>
    <xf numFmtId="0" fontId="36" fillId="0" borderId="93" xfId="0" applyFont="1" applyFill="1" applyBorder="1" applyAlignment="1" applyProtection="1">
      <alignment vertical="top"/>
      <protection/>
    </xf>
    <xf numFmtId="0" fontId="7" fillId="0" borderId="92" xfId="0" applyFont="1" applyFill="1" applyBorder="1" applyAlignment="1" applyProtection="1">
      <alignment vertical="top"/>
      <protection/>
    </xf>
    <xf numFmtId="203" fontId="80" fillId="50" borderId="74" xfId="0" applyNumberFormat="1" applyFont="1" applyFill="1" applyBorder="1" applyAlignment="1" applyProtection="1">
      <alignment vertical="top"/>
      <protection locked="0"/>
    </xf>
    <xf numFmtId="0" fontId="85" fillId="50" borderId="74" xfId="0" applyFont="1" applyFill="1" applyBorder="1" applyAlignment="1" applyProtection="1">
      <alignment vertical="top"/>
      <protection locked="0"/>
    </xf>
    <xf numFmtId="0" fontId="83" fillId="50" borderId="74" xfId="0" applyFont="1" applyFill="1" applyBorder="1" applyAlignment="1" applyProtection="1">
      <alignment vertical="top"/>
      <protection locked="0"/>
    </xf>
    <xf numFmtId="0" fontId="85" fillId="63" borderId="74" xfId="0" applyFont="1" applyFill="1" applyBorder="1" applyAlignment="1" applyProtection="1">
      <alignment horizontal="right" vertical="top"/>
      <protection/>
    </xf>
    <xf numFmtId="0" fontId="85" fillId="0" borderId="92" xfId="0" applyFont="1" applyFill="1" applyBorder="1" applyAlignment="1" applyProtection="1">
      <alignment vertical="top"/>
      <protection/>
    </xf>
    <xf numFmtId="0" fontId="85" fillId="0" borderId="74" xfId="0" applyFont="1" applyFill="1" applyBorder="1" applyAlignment="1" applyProtection="1">
      <alignment horizontal="center" vertical="top"/>
      <protection/>
    </xf>
    <xf numFmtId="0" fontId="0" fillId="0" borderId="93" xfId="0" applyFill="1" applyBorder="1" applyAlignment="1" applyProtection="1">
      <alignment vertical="top"/>
      <protection/>
    </xf>
    <xf numFmtId="0" fontId="81" fillId="0" borderId="45" xfId="0" applyFont="1" applyFill="1" applyBorder="1" applyAlignment="1" applyProtection="1">
      <alignment horizontal="center" vertical="top"/>
      <protection/>
    </xf>
    <xf numFmtId="0" fontId="85" fillId="0" borderId="113" xfId="0" applyFont="1" applyFill="1" applyBorder="1" applyAlignment="1" applyProtection="1">
      <alignment vertical="top"/>
      <protection/>
    </xf>
    <xf numFmtId="0" fontId="85" fillId="0" borderId="0" xfId="0" applyFont="1" applyBorder="1" applyAlignment="1">
      <alignment horizontal="centerContinuous"/>
    </xf>
    <xf numFmtId="0" fontId="7" fillId="62" borderId="45" xfId="0" applyFont="1" applyFill="1" applyBorder="1" applyAlignment="1" applyProtection="1">
      <alignment vertical="top"/>
      <protection locked="0"/>
    </xf>
    <xf numFmtId="0" fontId="7" fillId="62" borderId="112" xfId="0" applyFont="1" applyFill="1" applyBorder="1" applyAlignment="1" applyProtection="1">
      <alignment vertical="top"/>
      <protection locked="0"/>
    </xf>
    <xf numFmtId="0" fontId="79" fillId="50" borderId="92" xfId="0" applyFont="1" applyFill="1" applyBorder="1" applyAlignment="1" applyProtection="1">
      <alignment horizontal="right" vertical="top"/>
      <protection locked="0"/>
    </xf>
    <xf numFmtId="0" fontId="86" fillId="50" borderId="74" xfId="0" applyFont="1" applyFill="1" applyBorder="1" applyAlignment="1" applyProtection="1">
      <alignment vertical="top"/>
      <protection locked="0"/>
    </xf>
    <xf numFmtId="0" fontId="86" fillId="50" borderId="109" xfId="0" applyFont="1" applyFill="1" applyBorder="1" applyAlignment="1" applyProtection="1">
      <alignment vertical="top"/>
      <protection locked="0"/>
    </xf>
    <xf numFmtId="0" fontId="87" fillId="50" borderId="113" xfId="0" applyFont="1" applyFill="1" applyBorder="1" applyAlignment="1" applyProtection="1">
      <alignment vertical="top"/>
      <protection locked="0"/>
    </xf>
    <xf numFmtId="203" fontId="86" fillId="50" borderId="74" xfId="0" applyNumberFormat="1" applyFont="1" applyFill="1" applyBorder="1" applyAlignment="1" applyProtection="1">
      <alignment vertical="top"/>
      <protection locked="0"/>
    </xf>
    <xf numFmtId="0" fontId="75" fillId="0" borderId="93" xfId="0" applyFont="1" applyFill="1" applyBorder="1" applyAlignment="1" applyProtection="1">
      <alignment vertical="top"/>
      <protection/>
    </xf>
    <xf numFmtId="0" fontId="7" fillId="0" borderId="114" xfId="0" applyFont="1" applyFill="1" applyBorder="1" applyAlignment="1" applyProtection="1">
      <alignment vertical="top"/>
      <protection/>
    </xf>
    <xf numFmtId="0" fontId="0" fillId="0" borderId="103" xfId="0" applyFill="1" applyBorder="1" applyAlignment="1" applyProtection="1">
      <alignment vertical="top"/>
      <protection/>
    </xf>
    <xf numFmtId="201" fontId="87" fillId="50" borderId="74" xfId="0" applyNumberFormat="1" applyFont="1" applyFill="1" applyBorder="1" applyAlignment="1" applyProtection="1">
      <alignment vertical="top"/>
      <protection locked="0"/>
    </xf>
    <xf numFmtId="0" fontId="0" fillId="0" borderId="28" xfId="0" applyBorder="1" applyAlignment="1">
      <alignment horizontal="centerContinuous" vertical="top"/>
    </xf>
    <xf numFmtId="0" fontId="2" fillId="0" borderId="28" xfId="0" applyFont="1" applyBorder="1" applyAlignment="1">
      <alignment horizontal="centerContinuous"/>
    </xf>
    <xf numFmtId="0" fontId="72" fillId="0" borderId="28" xfId="0" applyFont="1" applyBorder="1" applyAlignment="1">
      <alignment horizontal="centerContinuous"/>
    </xf>
    <xf numFmtId="0" fontId="37" fillId="0" borderId="28" xfId="0" applyFont="1" applyBorder="1" applyAlignment="1">
      <alignment horizontal="centerContinuous" vertical="top"/>
    </xf>
    <xf numFmtId="0" fontId="0" fillId="55" borderId="0" xfId="0" applyFill="1" applyAlignment="1">
      <alignment vertical="top"/>
    </xf>
    <xf numFmtId="0" fontId="88" fillId="50" borderId="45" xfId="0" applyFont="1" applyFill="1" applyBorder="1" applyAlignment="1" applyProtection="1">
      <alignment horizontal="right" vertical="top"/>
      <protection locked="0"/>
    </xf>
    <xf numFmtId="7" fontId="75" fillId="0" borderId="118" xfId="0" applyNumberFormat="1" applyFont="1" applyBorder="1" applyAlignment="1">
      <alignment vertical="top"/>
    </xf>
    <xf numFmtId="0" fontId="75" fillId="0" borderId="19" xfId="0" applyFont="1" applyBorder="1" applyAlignment="1">
      <alignment vertical="top"/>
    </xf>
    <xf numFmtId="0" fontId="36" fillId="0" borderId="0" xfId="0" applyFont="1" applyBorder="1" applyAlignment="1">
      <alignment horizontal="center" vertical="top"/>
    </xf>
    <xf numFmtId="0" fontId="71" fillId="0" borderId="0" xfId="0" applyFont="1" applyAlignment="1">
      <alignment horizontal="center" vertical="top"/>
    </xf>
    <xf numFmtId="0" fontId="71" fillId="0" borderId="61" xfId="0" applyFont="1" applyBorder="1" applyAlignment="1">
      <alignment vertical="top"/>
    </xf>
    <xf numFmtId="8" fontId="0" fillId="0" borderId="0" xfId="0" applyNumberFormat="1" applyBorder="1" applyAlignment="1">
      <alignment vertical="top"/>
    </xf>
    <xf numFmtId="0" fontId="36" fillId="0" borderId="45" xfId="0" applyFont="1" applyBorder="1" applyAlignment="1">
      <alignment horizontal="right" vertical="top"/>
    </xf>
    <xf numFmtId="0" fontId="0" fillId="50" borderId="96" xfId="0" applyFill="1" applyBorder="1" applyAlignment="1" applyProtection="1">
      <alignment vertical="top"/>
      <protection locked="0"/>
    </xf>
    <xf numFmtId="0" fontId="7" fillId="50" borderId="93" xfId="0" applyFont="1" applyFill="1" applyBorder="1" applyAlignment="1" applyProtection="1">
      <alignment horizontal="left"/>
      <protection locked="0"/>
    </xf>
    <xf numFmtId="0" fontId="75" fillId="0" borderId="30" xfId="0" applyFont="1" applyBorder="1" applyAlignment="1">
      <alignment horizontal="left" vertical="top"/>
    </xf>
    <xf numFmtId="182" fontId="0" fillId="55" borderId="28" xfId="0" applyNumberFormat="1" applyFont="1" applyFill="1" applyBorder="1" applyAlignment="1" applyProtection="1">
      <alignment vertical="top"/>
      <protection locked="0"/>
    </xf>
    <xf numFmtId="0" fontId="30" fillId="0" borderId="0" xfId="0" applyFont="1" applyFill="1" applyBorder="1" applyAlignment="1">
      <alignment/>
    </xf>
    <xf numFmtId="192" fontId="5" fillId="50" borderId="119" xfId="0" applyNumberFormat="1" applyFont="1" applyFill="1" applyBorder="1" applyAlignment="1" applyProtection="1">
      <alignment horizontal="right" vertical="top"/>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xf>
    <xf numFmtId="0" fontId="0" fillId="50" borderId="120" xfId="0" applyFont="1" applyFill="1" applyBorder="1" applyAlignment="1" applyProtection="1">
      <alignment horizontal="center"/>
      <protection locked="0"/>
    </xf>
    <xf numFmtId="0" fontId="0" fillId="50" borderId="121" xfId="0" applyFont="1" applyFill="1" applyBorder="1" applyAlignment="1" applyProtection="1">
      <alignment horizontal="center"/>
      <protection locked="0"/>
    </xf>
    <xf numFmtId="0" fontId="0" fillId="50" borderId="122" xfId="0" applyFont="1" applyFill="1" applyBorder="1" applyAlignment="1" applyProtection="1">
      <alignment horizontal="center"/>
      <protection locked="0"/>
    </xf>
    <xf numFmtId="0" fontId="0" fillId="55" borderId="123" xfId="0" applyFill="1" applyBorder="1" applyAlignment="1" applyProtection="1">
      <alignment horizontal="center" vertical="top"/>
      <protection locked="0"/>
    </xf>
    <xf numFmtId="0" fontId="0" fillId="55" borderId="117" xfId="0" applyFill="1" applyBorder="1" applyAlignment="1" applyProtection="1">
      <alignment horizontal="center" vertical="top"/>
      <protection locked="0"/>
    </xf>
    <xf numFmtId="0" fontId="0" fillId="50" borderId="124" xfId="0" applyFont="1" applyFill="1" applyBorder="1" applyAlignment="1" applyProtection="1">
      <alignment horizontal="center"/>
      <protection locked="0"/>
    </xf>
    <xf numFmtId="0" fontId="0" fillId="50" borderId="117" xfId="0" applyFont="1" applyFill="1" applyBorder="1" applyAlignment="1" applyProtection="1">
      <alignment horizontal="center"/>
      <protection locked="0"/>
    </xf>
    <xf numFmtId="0" fontId="0" fillId="50" borderId="125" xfId="0" applyFont="1" applyFill="1" applyBorder="1" applyAlignment="1" applyProtection="1">
      <alignment horizontal="center"/>
      <protection locked="0"/>
    </xf>
    <xf numFmtId="192" fontId="5" fillId="50" borderId="117" xfId="0" applyNumberFormat="1" applyFont="1" applyFill="1" applyBorder="1" applyAlignment="1" applyProtection="1">
      <alignment horizontal="center"/>
      <protection locked="0"/>
    </xf>
    <xf numFmtId="192" fontId="89" fillId="50" borderId="125" xfId="0" applyNumberFormat="1" applyFont="1" applyFill="1" applyBorder="1" applyAlignment="1" applyProtection="1">
      <alignment horizontal="center"/>
      <protection locked="0"/>
    </xf>
    <xf numFmtId="192" fontId="0" fillId="0" borderId="110" xfId="0" applyNumberFormat="1" applyFont="1" applyFill="1" applyBorder="1" applyAlignment="1">
      <alignment horizontal="right"/>
    </xf>
    <xf numFmtId="192" fontId="0" fillId="50" borderId="126" xfId="0" applyNumberFormat="1" applyFont="1" applyFill="1" applyBorder="1" applyAlignment="1" applyProtection="1">
      <alignment horizontal="center"/>
      <protection locked="0"/>
    </xf>
    <xf numFmtId="192" fontId="0" fillId="50" borderId="109" xfId="0" applyNumberFormat="1" applyFont="1" applyFill="1" applyBorder="1" applyAlignment="1" applyProtection="1">
      <alignment horizontal="center"/>
      <protection locked="0"/>
    </xf>
    <xf numFmtId="192" fontId="0" fillId="50" borderId="115" xfId="0" applyNumberFormat="1" applyFont="1" applyFill="1" applyBorder="1" applyAlignment="1" applyProtection="1">
      <alignment horizontal="center"/>
      <protection locked="0"/>
    </xf>
    <xf numFmtId="38" fontId="0" fillId="44" borderId="61" xfId="0" applyNumberFormat="1" applyFont="1" applyFill="1" applyBorder="1" applyAlignment="1" applyProtection="1">
      <alignment horizontal="center"/>
      <protection/>
    </xf>
    <xf numFmtId="0" fontId="0" fillId="50" borderId="126" xfId="0" applyFont="1" applyFill="1" applyBorder="1" applyAlignment="1" applyProtection="1">
      <alignment vertical="top"/>
      <protection locked="0"/>
    </xf>
    <xf numFmtId="0" fontId="0" fillId="50" borderId="112" xfId="0" applyFont="1" applyFill="1" applyBorder="1" applyAlignment="1" applyProtection="1">
      <alignment vertical="top"/>
      <protection locked="0"/>
    </xf>
    <xf numFmtId="192" fontId="0" fillId="50" borderId="109" xfId="0" applyNumberFormat="1" applyFont="1" applyFill="1" applyBorder="1" applyAlignment="1" applyProtection="1">
      <alignment horizontal="center" vertical="top"/>
      <protection locked="0"/>
    </xf>
    <xf numFmtId="38" fontId="0" fillId="0" borderId="31" xfId="0" applyNumberFormat="1" applyBorder="1" applyAlignment="1">
      <alignment vertical="top"/>
    </xf>
    <xf numFmtId="192" fontId="0" fillId="50" borderId="73" xfId="45" applyNumberFormat="1" applyFont="1" applyFill="1" applyBorder="1" applyAlignment="1" applyProtection="1">
      <alignment horizontal="center"/>
      <protection locked="0"/>
    </xf>
    <xf numFmtId="192" fontId="0" fillId="50" borderId="74" xfId="45" applyNumberFormat="1" applyFont="1" applyFill="1" applyBorder="1" applyAlignment="1" applyProtection="1">
      <alignment horizontal="center"/>
      <protection locked="0"/>
    </xf>
    <xf numFmtId="192" fontId="0" fillId="50" borderId="103" xfId="45" applyNumberFormat="1" applyFont="1" applyFill="1" applyBorder="1" applyAlignment="1" applyProtection="1">
      <alignment horizontal="center"/>
      <protection locked="0"/>
    </xf>
    <xf numFmtId="192" fontId="0" fillId="50" borderId="114" xfId="45" applyNumberFormat="1" applyFont="1" applyFill="1" applyBorder="1" applyAlignment="1" applyProtection="1">
      <alignment horizontal="center"/>
      <protection locked="0"/>
    </xf>
    <xf numFmtId="192" fontId="0" fillId="50" borderId="74" xfId="0" applyNumberFormat="1" applyFont="1" applyFill="1" applyBorder="1" applyAlignment="1" applyProtection="1">
      <alignment horizontal="center"/>
      <protection locked="0"/>
    </xf>
    <xf numFmtId="192" fontId="0" fillId="50" borderId="103" xfId="0" applyNumberFormat="1" applyFont="1" applyFill="1" applyBorder="1" applyAlignment="1" applyProtection="1">
      <alignment horizontal="center"/>
      <protection locked="0"/>
    </xf>
    <xf numFmtId="0" fontId="5" fillId="0" borderId="73" xfId="0" applyFont="1" applyBorder="1" applyAlignment="1">
      <alignment vertical="top"/>
    </xf>
    <xf numFmtId="37" fontId="0" fillId="55" borderId="114" xfId="0" applyNumberFormat="1" applyFill="1" applyBorder="1" applyAlignment="1">
      <alignment vertical="top"/>
    </xf>
    <xf numFmtId="5" fontId="0" fillId="55" borderId="110" xfId="0" applyNumberFormat="1" applyFill="1" applyBorder="1" applyAlignment="1">
      <alignment horizontal="right" vertical="top"/>
    </xf>
    <xf numFmtId="0" fontId="5" fillId="0" borderId="89" xfId="0" applyFont="1" applyFill="1" applyBorder="1" applyAlignment="1">
      <alignment horizontal="left"/>
    </xf>
    <xf numFmtId="192" fontId="0" fillId="0" borderId="61" xfId="0" applyNumberFormat="1" applyFont="1" applyFill="1" applyBorder="1" applyAlignment="1">
      <alignment horizontal="right"/>
    </xf>
    <xf numFmtId="5" fontId="0" fillId="0" borderId="103" xfId="0" applyNumberFormat="1" applyBorder="1" applyAlignment="1">
      <alignment horizontal="right" vertical="top"/>
    </xf>
    <xf numFmtId="192" fontId="0" fillId="50" borderId="103" xfId="0" applyNumberFormat="1" applyFont="1" applyFill="1" applyBorder="1" applyAlignment="1" applyProtection="1">
      <alignment horizontal="right"/>
      <protection locked="0"/>
    </xf>
    <xf numFmtId="0" fontId="0" fillId="57" borderId="89" xfId="0" applyFont="1" applyFill="1" applyBorder="1" applyAlignment="1">
      <alignment vertical="top"/>
    </xf>
    <xf numFmtId="3" fontId="0" fillId="56" borderId="0" xfId="0" applyNumberFormat="1" applyFont="1" applyFill="1" applyBorder="1" applyAlignment="1" applyProtection="1">
      <alignment horizontal="center"/>
      <protection locked="0"/>
    </xf>
    <xf numFmtId="192" fontId="0" fillId="50" borderId="127" xfId="0" applyNumberFormat="1" applyFont="1" applyFill="1" applyBorder="1" applyAlignment="1" applyProtection="1">
      <alignment horizontal="center"/>
      <protection locked="0"/>
    </xf>
    <xf numFmtId="192" fontId="0" fillId="50" borderId="128" xfId="0" applyNumberFormat="1" applyFont="1" applyFill="1" applyBorder="1" applyAlignment="1" applyProtection="1">
      <alignment horizontal="center"/>
      <protection locked="0"/>
    </xf>
    <xf numFmtId="0" fontId="5" fillId="0" borderId="129" xfId="0" applyFont="1" applyFill="1" applyBorder="1" applyAlignment="1">
      <alignment horizontal="right"/>
    </xf>
    <xf numFmtId="192" fontId="5" fillId="0" borderId="119" xfId="0" applyNumberFormat="1" applyFont="1" applyFill="1" applyBorder="1" applyAlignment="1">
      <alignment horizontal="right"/>
    </xf>
    <xf numFmtId="192" fontId="5" fillId="0" borderId="130" xfId="0" applyNumberFormat="1" applyFont="1" applyFill="1" applyBorder="1" applyAlignment="1">
      <alignment horizontal="center"/>
    </xf>
    <xf numFmtId="192" fontId="5" fillId="0" borderId="51" xfId="0" applyNumberFormat="1" applyFont="1" applyFill="1" applyBorder="1" applyAlignment="1">
      <alignment horizontal="center"/>
    </xf>
    <xf numFmtId="192" fontId="5" fillId="0" borderId="131" xfId="0" applyNumberFormat="1" applyFont="1" applyBorder="1" applyAlignment="1">
      <alignment/>
    </xf>
    <xf numFmtId="0" fontId="0" fillId="0" borderId="30" xfId="0" applyFill="1" applyBorder="1" applyAlignment="1">
      <alignment vertical="top"/>
    </xf>
    <xf numFmtId="3" fontId="0" fillId="0" borderId="0" xfId="0" applyNumberFormat="1" applyFont="1" applyFill="1" applyBorder="1" applyAlignment="1" applyProtection="1">
      <alignment horizontal="center"/>
      <protection locked="0"/>
    </xf>
    <xf numFmtId="6" fontId="5" fillId="0" borderId="132" xfId="0" applyNumberFormat="1" applyFont="1" applyBorder="1" applyAlignment="1">
      <alignment horizontal="center"/>
    </xf>
    <xf numFmtId="192" fontId="0" fillId="0" borderId="25" xfId="0" applyNumberFormat="1" applyFont="1" applyFill="1" applyBorder="1" applyAlignment="1" applyProtection="1">
      <alignment horizontal="center"/>
      <protection locked="0"/>
    </xf>
    <xf numFmtId="37" fontId="0" fillId="57" borderId="82" xfId="0" applyNumberFormat="1" applyFont="1" applyFill="1" applyBorder="1" applyAlignment="1">
      <alignment vertical="top"/>
    </xf>
    <xf numFmtId="192" fontId="0" fillId="50" borderId="122" xfId="0" applyNumberFormat="1" applyFont="1" applyFill="1" applyBorder="1" applyAlignment="1" applyProtection="1">
      <alignment horizontal="right"/>
      <protection locked="0"/>
    </xf>
    <xf numFmtId="38" fontId="0" fillId="44" borderId="27" xfId="0" applyNumberFormat="1" applyFont="1" applyFill="1" applyBorder="1" applyAlignment="1" applyProtection="1">
      <alignment horizontal="center"/>
      <protection/>
    </xf>
    <xf numFmtId="38" fontId="0" fillId="0" borderId="48" xfId="0" applyNumberFormat="1" applyBorder="1" applyAlignment="1">
      <alignment vertical="top"/>
    </xf>
    <xf numFmtId="37" fontId="0" fillId="57" borderId="133" xfId="0" applyNumberFormat="1" applyFont="1" applyFill="1" applyBorder="1" applyAlignment="1">
      <alignment vertical="top"/>
    </xf>
    <xf numFmtId="192" fontId="0" fillId="55" borderId="125" xfId="0" applyNumberFormat="1" applyFill="1" applyBorder="1" applyAlignment="1">
      <alignment horizontal="right" vertical="top"/>
    </xf>
    <xf numFmtId="192" fontId="0" fillId="50" borderId="134" xfId="0" applyNumberFormat="1" applyFont="1" applyFill="1" applyBorder="1" applyAlignment="1" applyProtection="1">
      <alignment horizontal="center"/>
      <protection locked="0"/>
    </xf>
    <xf numFmtId="192" fontId="5" fillId="0" borderId="67" xfId="0" applyNumberFormat="1" applyFont="1" applyFill="1" applyBorder="1" applyAlignment="1">
      <alignment horizontal="center"/>
    </xf>
    <xf numFmtId="192" fontId="5" fillId="0" borderId="135" xfId="0" applyNumberFormat="1" applyFont="1" applyBorder="1" applyAlignment="1">
      <alignment/>
    </xf>
    <xf numFmtId="0" fontId="34" fillId="0" borderId="29" xfId="0" applyFont="1" applyFill="1" applyBorder="1" applyAlignment="1">
      <alignment vertical="top"/>
    </xf>
    <xf numFmtId="0" fontId="0" fillId="0" borderId="29" xfId="0" applyFont="1" applyBorder="1" applyAlignment="1">
      <alignment horizontal="center"/>
    </xf>
    <xf numFmtId="0" fontId="0" fillId="0" borderId="18" xfId="0" applyFont="1" applyBorder="1" applyAlignment="1">
      <alignment horizontal="left"/>
    </xf>
    <xf numFmtId="0" fontId="5" fillId="0" borderId="19" xfId="0" applyNumberFormat="1" applyFont="1" applyBorder="1" applyAlignment="1">
      <alignment/>
    </xf>
    <xf numFmtId="0" fontId="0" fillId="0" borderId="19" xfId="0" applyNumberFormat="1" applyFont="1" applyFill="1" applyBorder="1" applyAlignment="1">
      <alignment vertical="top"/>
    </xf>
    <xf numFmtId="0" fontId="0" fillId="0" borderId="19" xfId="0" applyNumberFormat="1" applyFont="1" applyBorder="1" applyAlignment="1">
      <alignment vertical="top"/>
    </xf>
    <xf numFmtId="0" fontId="0" fillId="0" borderId="18" xfId="0" applyNumberFormat="1" applyFont="1" applyFill="1" applyBorder="1" applyAlignment="1">
      <alignment vertical="top"/>
    </xf>
    <xf numFmtId="192" fontId="0" fillId="0" borderId="103" xfId="0" applyNumberFormat="1" applyFont="1" applyFill="1" applyBorder="1" applyAlignment="1" applyProtection="1">
      <alignment horizontal="right"/>
      <protection/>
    </xf>
    <xf numFmtId="0" fontId="5" fillId="0" borderId="0" xfId="0" applyFont="1" applyFill="1" applyBorder="1" applyAlignment="1">
      <alignment horizontal="centerContinuous" vertical="top"/>
    </xf>
    <xf numFmtId="37" fontId="61" fillId="0" borderId="24" xfId="0" applyNumberFormat="1" applyFont="1" applyFill="1" applyBorder="1" applyAlignment="1">
      <alignment vertical="top"/>
    </xf>
    <xf numFmtId="0" fontId="65" fillId="0" borderId="0" xfId="0" applyFont="1" applyFill="1" applyBorder="1" applyAlignment="1">
      <alignment horizontal="right" wrapText="1"/>
    </xf>
    <xf numFmtId="0" fontId="0" fillId="0" borderId="0" xfId="0" applyFill="1" applyBorder="1" applyAlignment="1">
      <alignment horizontal="center" wrapText="1"/>
    </xf>
    <xf numFmtId="192" fontId="0" fillId="0" borderId="0" xfId="0" applyNumberFormat="1" applyFill="1" applyBorder="1" applyAlignment="1">
      <alignment horizontal="center" vertical="top"/>
    </xf>
    <xf numFmtId="0" fontId="89"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locked="0"/>
    </xf>
    <xf numFmtId="192" fontId="0" fillId="0" borderId="0" xfId="0" applyNumberFormat="1" applyFont="1" applyFill="1" applyBorder="1" applyAlignment="1" applyProtection="1">
      <alignment horizontal="center"/>
      <protection locked="0"/>
    </xf>
    <xf numFmtId="192" fontId="89" fillId="0" borderId="0" xfId="0" applyNumberFormat="1" applyFont="1" applyFill="1" applyBorder="1" applyAlignment="1" applyProtection="1">
      <alignment horizontal="center"/>
      <protection locked="0"/>
    </xf>
    <xf numFmtId="0" fontId="30" fillId="0" borderId="0" xfId="0" applyFont="1" applyFill="1" applyBorder="1" applyAlignment="1">
      <alignment horizontal="center"/>
    </xf>
    <xf numFmtId="192" fontId="0" fillId="0" borderId="0" xfId="0" applyNumberFormat="1" applyFont="1" applyFill="1" applyBorder="1" applyAlignment="1" applyProtection="1">
      <alignment/>
      <protection locked="0"/>
    </xf>
    <xf numFmtId="192" fontId="0" fillId="0" borderId="0" xfId="0" applyNumberFormat="1" applyFont="1" applyFill="1" applyBorder="1" applyAlignment="1">
      <alignment vertical="top"/>
    </xf>
    <xf numFmtId="0" fontId="5" fillId="0" borderId="30" xfId="0" applyFont="1" applyBorder="1" applyAlignment="1">
      <alignment horizontal="right" vertical="top"/>
    </xf>
    <xf numFmtId="5" fontId="0" fillId="0" borderId="0" xfId="0" applyNumberFormat="1" applyFont="1" applyFill="1" applyBorder="1" applyAlignment="1">
      <alignment vertical="top"/>
    </xf>
    <xf numFmtId="192" fontId="0" fillId="0" borderId="110" xfId="0" applyNumberFormat="1" applyFont="1" applyFill="1" applyBorder="1" applyAlignment="1" applyProtection="1">
      <alignment horizontal="right"/>
      <protection/>
    </xf>
    <xf numFmtId="192" fontId="5" fillId="50" borderId="136" xfId="0" applyNumberFormat="1" applyFont="1" applyFill="1" applyBorder="1" applyAlignment="1" applyProtection="1">
      <alignment horizontal="center"/>
      <protection locked="0"/>
    </xf>
    <xf numFmtId="192" fontId="5" fillId="50" borderId="137" xfId="0" applyNumberFormat="1" applyFont="1" applyFill="1" applyBorder="1" applyAlignment="1" applyProtection="1">
      <alignment horizontal="center"/>
      <protection locked="0"/>
    </xf>
    <xf numFmtId="192" fontId="5" fillId="50" borderId="138" xfId="0" applyNumberFormat="1" applyFont="1" applyFill="1" applyBorder="1" applyAlignment="1" applyProtection="1">
      <alignment horizontal="center"/>
      <protection locked="0"/>
    </xf>
    <xf numFmtId="192" fontId="5" fillId="50" borderId="139" xfId="0" applyNumberFormat="1" applyFont="1" applyFill="1" applyBorder="1" applyAlignment="1" applyProtection="1">
      <alignment horizontal="center"/>
      <protection locked="0"/>
    </xf>
    <xf numFmtId="192" fontId="0" fillId="50" borderId="115" xfId="0" applyNumberFormat="1" applyFont="1" applyFill="1" applyBorder="1" applyAlignment="1" applyProtection="1">
      <alignment horizontal="center" vertical="top"/>
      <protection locked="0"/>
    </xf>
    <xf numFmtId="192" fontId="5" fillId="50" borderId="140" xfId="0" applyNumberFormat="1" applyFont="1" applyFill="1" applyBorder="1" applyAlignment="1" applyProtection="1">
      <alignment horizontal="center"/>
      <protection locked="0"/>
    </xf>
    <xf numFmtId="37" fontId="6" fillId="0" borderId="8" xfId="0" applyNumberFormat="1" applyFont="1" applyFill="1" applyBorder="1" applyAlignment="1" applyProtection="1">
      <alignment horizontal="center"/>
      <protection/>
    </xf>
    <xf numFmtId="195" fontId="30" fillId="0" borderId="0" xfId="0" applyNumberFormat="1" applyFont="1" applyFill="1" applyAlignment="1" applyProtection="1">
      <alignment horizontal="center"/>
      <protection locked="0"/>
    </xf>
    <xf numFmtId="37" fontId="6" fillId="48" borderId="8" xfId="0" applyNumberFormat="1" applyFont="1" applyFill="1" applyBorder="1" applyAlignment="1" applyProtection="1">
      <alignment horizontal="left"/>
      <protection locked="0"/>
    </xf>
    <xf numFmtId="37" fontId="10" fillId="0" borderId="0" xfId="0" applyNumberFormat="1" applyFont="1" applyAlignment="1">
      <alignment horizontal="centerContinuous"/>
    </xf>
    <xf numFmtId="203" fontId="6" fillId="49" borderId="48" xfId="0" applyNumberFormat="1" applyFont="1" applyFill="1" applyBorder="1" applyAlignment="1" applyProtection="1">
      <alignment/>
      <protection locked="0"/>
    </xf>
    <xf numFmtId="207" fontId="36" fillId="0" borderId="74" xfId="0" applyNumberFormat="1" applyFont="1" applyBorder="1" applyAlignment="1">
      <alignment vertical="top"/>
    </xf>
    <xf numFmtId="4" fontId="0" fillId="64" borderId="125" xfId="0" applyNumberFormat="1" applyFill="1" applyBorder="1" applyAlignment="1" applyProtection="1">
      <alignment vertical="top"/>
      <protection/>
    </xf>
    <xf numFmtId="0" fontId="36" fillId="0" borderId="0" xfId="0" applyFont="1" applyFill="1" applyBorder="1" applyAlignment="1" applyProtection="1">
      <alignment horizontal="left"/>
      <protection locked="0"/>
    </xf>
    <xf numFmtId="0" fontId="0" fillId="0" borderId="0" xfId="0" applyFill="1" applyBorder="1" applyAlignment="1" applyProtection="1">
      <alignment vertical="top"/>
      <protection locked="0"/>
    </xf>
    <xf numFmtId="0" fontId="7" fillId="0" borderId="0" xfId="0" applyFont="1" applyFill="1" applyBorder="1" applyAlignment="1" applyProtection="1">
      <alignment vertical="top"/>
      <protection locked="0"/>
    </xf>
    <xf numFmtId="201" fontId="7" fillId="0" borderId="48" xfId="0" applyNumberFormat="1" applyFont="1" applyFill="1" applyBorder="1" applyAlignment="1" applyProtection="1">
      <alignment vertical="top"/>
      <protection/>
    </xf>
    <xf numFmtId="4" fontId="0" fillId="64" borderId="141" xfId="0" applyNumberFormat="1" applyFill="1" applyBorder="1" applyAlignment="1" applyProtection="1">
      <alignment vertical="top"/>
      <protection/>
    </xf>
    <xf numFmtId="8" fontId="36" fillId="0" borderId="48" xfId="0" applyNumberFormat="1" applyFont="1" applyBorder="1" applyAlignment="1">
      <alignment vertical="top"/>
    </xf>
    <xf numFmtId="0" fontId="36" fillId="0" borderId="0" xfId="0" applyFont="1" applyFill="1" applyBorder="1" applyAlignment="1">
      <alignment horizontal="center"/>
    </xf>
    <xf numFmtId="4" fontId="36" fillId="44" borderId="0" xfId="0" applyNumberFormat="1" applyFont="1" applyFill="1" applyBorder="1" applyAlignment="1" applyProtection="1">
      <alignment horizontal="center" vertical="top"/>
      <protection locked="0"/>
    </xf>
    <xf numFmtId="0" fontId="88" fillId="50" borderId="18" xfId="0" applyFont="1" applyFill="1" applyBorder="1" applyAlignment="1" applyProtection="1">
      <alignment horizontal="right" vertical="top"/>
      <protection locked="0"/>
    </xf>
    <xf numFmtId="37" fontId="6" fillId="49" borderId="48" xfId="0" applyNumberFormat="1" applyFont="1" applyFill="1" applyBorder="1" applyAlignment="1" applyProtection="1">
      <alignment horizontal="right"/>
      <protection locked="0"/>
    </xf>
    <xf numFmtId="37" fontId="6" fillId="50" borderId="48" xfId="0" applyNumberFormat="1" applyFont="1" applyFill="1" applyBorder="1" applyAlignment="1" applyProtection="1">
      <alignment/>
      <protection locked="0"/>
    </xf>
    <xf numFmtId="37" fontId="6" fillId="65" borderId="18" xfId="0" applyNumberFormat="1" applyFont="1" applyFill="1" applyBorder="1" applyAlignment="1" applyProtection="1">
      <alignment/>
      <protection/>
    </xf>
    <xf numFmtId="37" fontId="43" fillId="0" borderId="0" xfId="0" applyNumberFormat="1" applyFont="1" applyFill="1" applyBorder="1" applyAlignment="1">
      <alignment/>
    </xf>
    <xf numFmtId="37" fontId="6" fillId="29" borderId="0" xfId="0" applyNumberFormat="1" applyFont="1" applyFill="1" applyAlignment="1">
      <alignment horizontal="centerContinuous"/>
    </xf>
    <xf numFmtId="37" fontId="6" fillId="43" borderId="0" xfId="0" applyNumberFormat="1" applyFont="1" applyFill="1" applyBorder="1" applyAlignment="1" applyProtection="1">
      <alignment horizontal="centerContinuous"/>
      <protection locked="0"/>
    </xf>
    <xf numFmtId="37" fontId="6" fillId="29" borderId="0" xfId="0" applyNumberFormat="1" applyFont="1" applyFill="1" applyBorder="1" applyAlignment="1" applyProtection="1">
      <alignment horizontal="centerContinuous"/>
      <protection locked="0"/>
    </xf>
    <xf numFmtId="37" fontId="6" fillId="29" borderId="0" xfId="0" applyNumberFormat="1" applyFont="1" applyFill="1" applyAlignment="1" applyProtection="1">
      <alignment horizontal="centerContinuous"/>
      <protection locked="0"/>
    </xf>
    <xf numFmtId="37" fontId="6" fillId="29" borderId="0" xfId="0" applyNumberFormat="1" applyFont="1" applyFill="1" applyBorder="1" applyAlignment="1">
      <alignment horizontal="centerContinuous"/>
    </xf>
    <xf numFmtId="37" fontId="6" fillId="0" borderId="0" xfId="0" applyNumberFormat="1" applyFont="1" applyBorder="1" applyAlignment="1" applyProtection="1">
      <alignment horizontal="centerContinuous"/>
      <protection/>
    </xf>
    <xf numFmtId="37" fontId="28" fillId="29" borderId="0" xfId="0" applyNumberFormat="1" applyFont="1" applyFill="1" applyAlignment="1">
      <alignment horizontal="centerContinuous"/>
    </xf>
    <xf numFmtId="37" fontId="8" fillId="29" borderId="0" xfId="0" applyNumberFormat="1" applyFont="1" applyFill="1" applyAlignment="1">
      <alignment horizontal="centerContinuous"/>
    </xf>
    <xf numFmtId="37" fontId="6" fillId="0" borderId="0" xfId="0" applyNumberFormat="1" applyFont="1" applyBorder="1" applyAlignment="1" applyProtection="1">
      <alignment/>
      <protection hidden="1"/>
    </xf>
    <xf numFmtId="37" fontId="6" fillId="0" borderId="0" xfId="0" applyNumberFormat="1" applyFont="1" applyBorder="1" applyAlignment="1" applyProtection="1">
      <alignment/>
      <protection hidden="1" locked="0"/>
    </xf>
    <xf numFmtId="37" fontId="6" fillId="0" borderId="0" xfId="0" applyNumberFormat="1" applyFont="1" applyBorder="1" applyAlignment="1">
      <alignment horizontal="left"/>
    </xf>
    <xf numFmtId="10" fontId="6" fillId="0" borderId="0" xfId="0" applyNumberFormat="1" applyFont="1" applyFill="1" applyBorder="1" applyAlignment="1" applyProtection="1">
      <alignment/>
      <protection locked="0"/>
    </xf>
    <xf numFmtId="4" fontId="30" fillId="55" borderId="142" xfId="0" applyNumberFormat="1" applyFont="1" applyFill="1" applyBorder="1" applyAlignment="1" applyProtection="1">
      <alignment vertical="top"/>
      <protection locked="0"/>
    </xf>
    <xf numFmtId="37" fontId="6" fillId="49" borderId="36" xfId="0" applyNumberFormat="1" applyFont="1" applyFill="1" applyBorder="1" applyAlignment="1" applyProtection="1">
      <alignment horizontal="center"/>
      <protection locked="0"/>
    </xf>
    <xf numFmtId="37" fontId="43" fillId="50" borderId="18" xfId="0" applyNumberFormat="1" applyFont="1" applyFill="1" applyBorder="1" applyAlignment="1">
      <alignment/>
    </xf>
    <xf numFmtId="0" fontId="7" fillId="50" borderId="93" xfId="0" applyFont="1" applyFill="1" applyBorder="1" applyAlignment="1" applyProtection="1">
      <alignment horizontal="left" vertical="top"/>
      <protection locked="0"/>
    </xf>
    <xf numFmtId="3" fontId="6" fillId="49" borderId="8" xfId="0" applyNumberFormat="1" applyFont="1" applyFill="1" applyBorder="1" applyAlignment="1" applyProtection="1">
      <alignment/>
      <protection locked="0"/>
    </xf>
    <xf numFmtId="37" fontId="6" fillId="0" borderId="19" xfId="0" applyNumberFormat="1" applyFont="1" applyFill="1" applyBorder="1" applyAlignment="1" applyProtection="1">
      <alignment/>
      <protection/>
    </xf>
    <xf numFmtId="37" fontId="6" fillId="50" borderId="17" xfId="0" applyNumberFormat="1" applyFont="1" applyFill="1" applyBorder="1" applyAlignment="1" applyProtection="1">
      <alignment/>
      <protection locked="0"/>
    </xf>
    <xf numFmtId="37" fontId="6" fillId="0" borderId="18" xfId="0" applyNumberFormat="1" applyFont="1" applyFill="1" applyBorder="1" applyAlignment="1" applyProtection="1">
      <alignment/>
      <protection/>
    </xf>
    <xf numFmtId="201" fontId="35" fillId="50" borderId="109" xfId="0" applyNumberFormat="1" applyFont="1" applyFill="1" applyBorder="1" applyAlignment="1" applyProtection="1">
      <alignment vertical="top"/>
      <protection locked="0"/>
    </xf>
    <xf numFmtId="201" fontId="7" fillId="50" borderId="115" xfId="0" applyNumberFormat="1" applyFont="1" applyFill="1" applyBorder="1" applyAlignment="1" applyProtection="1">
      <alignment vertical="top"/>
      <protection locked="0"/>
    </xf>
    <xf numFmtId="4" fontId="7" fillId="50" borderId="112" xfId="0" applyNumberFormat="1" applyFont="1" applyFill="1" applyBorder="1" applyAlignment="1" applyProtection="1">
      <alignment vertical="top"/>
      <protection locked="0"/>
    </xf>
    <xf numFmtId="0" fontId="0" fillId="55" borderId="96" xfId="0" applyFill="1" applyBorder="1" applyAlignment="1">
      <alignment vertical="top"/>
    </xf>
    <xf numFmtId="201" fontId="7" fillId="50" borderId="109" xfId="0" applyNumberFormat="1" applyFont="1" applyFill="1" applyBorder="1" applyAlignment="1" applyProtection="1">
      <alignment/>
      <protection locked="0"/>
    </xf>
    <xf numFmtId="201" fontId="7" fillId="50" borderId="74" xfId="0" applyNumberFormat="1" applyFont="1" applyFill="1" applyBorder="1" applyAlignment="1">
      <alignment vertical="top"/>
    </xf>
    <xf numFmtId="201" fontId="7" fillId="0" borderId="74" xfId="0" applyNumberFormat="1" applyFont="1" applyFill="1" applyBorder="1" applyAlignment="1">
      <alignment vertical="top"/>
    </xf>
    <xf numFmtId="201" fontId="7" fillId="50" borderId="74" xfId="0" applyNumberFormat="1" applyFont="1" applyFill="1" applyBorder="1" applyAlignment="1" applyProtection="1">
      <alignment vertical="top"/>
      <protection locked="0"/>
    </xf>
    <xf numFmtId="201" fontId="7" fillId="0" borderId="143" xfId="0" applyNumberFormat="1" applyFont="1" applyFill="1" applyBorder="1" applyAlignment="1">
      <alignment vertical="top"/>
    </xf>
    <xf numFmtId="37" fontId="6" fillId="48" borderId="18" xfId="0" applyNumberFormat="1" applyFont="1" applyFill="1" applyBorder="1" applyAlignment="1" applyProtection="1">
      <alignment horizontal="center"/>
      <protection locked="0"/>
    </xf>
    <xf numFmtId="49" fontId="6" fillId="48" borderId="8" xfId="0" applyNumberFormat="1" applyFont="1" applyFill="1" applyBorder="1" applyAlignment="1" applyProtection="1">
      <alignment horizontal="left"/>
      <protection locked="0"/>
    </xf>
    <xf numFmtId="37" fontId="6" fillId="49" borderId="18" xfId="0" applyNumberFormat="1" applyFont="1" applyFill="1" applyBorder="1" applyAlignment="1" applyProtection="1">
      <alignment horizontal="center"/>
      <protection locked="0"/>
    </xf>
    <xf numFmtId="9" fontId="6" fillId="50" borderId="18" xfId="0" applyNumberFormat="1" applyFont="1" applyFill="1" applyBorder="1" applyAlignment="1" applyProtection="1">
      <alignment horizontal="center"/>
      <protection locked="0"/>
    </xf>
    <xf numFmtId="37" fontId="6" fillId="0" borderId="8" xfId="0" applyNumberFormat="1" applyFont="1" applyBorder="1" applyAlignment="1">
      <alignment/>
    </xf>
    <xf numFmtId="39" fontId="6" fillId="43" borderId="18" xfId="0" applyNumberFormat="1" applyFont="1" applyFill="1" applyBorder="1" applyAlignment="1" applyProtection="1">
      <alignment/>
      <protection/>
    </xf>
    <xf numFmtId="37" fontId="10" fillId="0" borderId="0" xfId="0" applyNumberFormat="1" applyFont="1" applyAlignment="1" applyProtection="1">
      <alignment/>
      <protection/>
    </xf>
    <xf numFmtId="203" fontId="6" fillId="0" borderId="8" xfId="0" applyNumberFormat="1" applyFont="1" applyBorder="1" applyAlignment="1" applyProtection="1">
      <alignment/>
      <protection/>
    </xf>
    <xf numFmtId="37" fontId="6" fillId="0" borderId="9" xfId="0" applyNumberFormat="1" applyFont="1" applyBorder="1" applyAlignment="1" applyProtection="1">
      <alignment/>
      <protection/>
    </xf>
    <xf numFmtId="203" fontId="6" fillId="0" borderId="0" xfId="0" applyNumberFormat="1" applyFont="1" applyAlignment="1" applyProtection="1">
      <alignment/>
      <protection/>
    </xf>
    <xf numFmtId="203" fontId="6" fillId="0" borderId="8" xfId="0" applyNumberFormat="1" applyFont="1" applyFill="1" applyBorder="1" applyAlignment="1" applyProtection="1">
      <alignment/>
      <protection/>
    </xf>
    <xf numFmtId="37" fontId="10" fillId="49" borderId="18" xfId="0" applyNumberFormat="1" applyFont="1" applyFill="1" applyBorder="1" applyAlignment="1" applyProtection="1">
      <alignment/>
      <protection locked="0"/>
    </xf>
    <xf numFmtId="37" fontId="6" fillId="0" borderId="0" xfId="0" applyNumberFormat="1" applyFont="1" applyAlignment="1">
      <alignment/>
    </xf>
    <xf numFmtId="4" fontId="30" fillId="0" borderId="0" xfId="0" applyNumberFormat="1" applyFont="1" applyBorder="1" applyAlignment="1" applyProtection="1">
      <alignment/>
      <protection/>
    </xf>
    <xf numFmtId="194" fontId="61" fillId="66" borderId="112" xfId="0" applyNumberFormat="1" applyFont="1" applyFill="1" applyBorder="1" applyAlignment="1" applyProtection="1">
      <alignment horizontal="left"/>
      <protection locked="0"/>
    </xf>
    <xf numFmtId="194" fontId="32" fillId="66" borderId="144" xfId="0" applyNumberFormat="1" applyFont="1" applyFill="1" applyBorder="1" applyAlignment="1" applyProtection="1">
      <alignment horizontal="left"/>
      <protection locked="0"/>
    </xf>
    <xf numFmtId="0" fontId="44" fillId="29" borderId="0" xfId="72" applyFont="1" applyFill="1" applyAlignment="1" applyProtection="1">
      <alignment horizontal="left"/>
      <protection locked="0"/>
    </xf>
    <xf numFmtId="0" fontId="2" fillId="0" borderId="51" xfId="68" applyBorder="1">
      <alignment/>
      <protection/>
    </xf>
    <xf numFmtId="1" fontId="6" fillId="49" borderId="8" xfId="0" applyNumberFormat="1" applyFont="1" applyFill="1" applyBorder="1" applyAlignment="1" applyProtection="1">
      <alignment/>
      <protection locked="0"/>
    </xf>
    <xf numFmtId="37" fontId="6" fillId="0" borderId="0" xfId="0" applyNumberFormat="1" applyFont="1" applyAlignment="1" applyProtection="1">
      <alignment/>
      <protection locked="0"/>
    </xf>
    <xf numFmtId="37" fontId="30" fillId="0" borderId="48" xfId="0" applyNumberFormat="1" applyFont="1" applyBorder="1" applyAlignment="1">
      <alignment vertical="top"/>
    </xf>
    <xf numFmtId="37" fontId="6" fillId="48" borderId="19" xfId="0" applyNumberFormat="1" applyFont="1" applyFill="1" applyBorder="1" applyAlignment="1" applyProtection="1">
      <alignment horizontal="center"/>
      <protection locked="0"/>
    </xf>
    <xf numFmtId="0" fontId="6" fillId="0" borderId="0" xfId="0" applyFont="1" applyAlignment="1">
      <alignment vertical="top"/>
    </xf>
    <xf numFmtId="0" fontId="6" fillId="0" borderId="0" xfId="0" applyFont="1" applyAlignment="1">
      <alignment horizontal="left"/>
    </xf>
    <xf numFmtId="5" fontId="10" fillId="0" borderId="0" xfId="0" applyNumberFormat="1" applyFont="1" applyAlignment="1">
      <alignment/>
    </xf>
    <xf numFmtId="37" fontId="146" fillId="0" borderId="0" xfId="0" applyNumberFormat="1" applyFont="1" applyAlignment="1">
      <alignment/>
    </xf>
    <xf numFmtId="37" fontId="6" fillId="29" borderId="0" xfId="0" applyNumberFormat="1" applyFont="1" applyFill="1" applyBorder="1" applyAlignment="1">
      <alignment/>
    </xf>
    <xf numFmtId="37" fontId="146" fillId="29" borderId="0" xfId="0" applyNumberFormat="1" applyFont="1" applyFill="1" applyBorder="1" applyAlignment="1" applyProtection="1">
      <alignment/>
      <protection locked="0"/>
    </xf>
    <xf numFmtId="10" fontId="10" fillId="0" borderId="0" xfId="0" applyNumberFormat="1" applyFont="1" applyAlignment="1">
      <alignment/>
    </xf>
    <xf numFmtId="192" fontId="10" fillId="0" borderId="0" xfId="0" applyNumberFormat="1" applyFont="1" applyAlignment="1">
      <alignment/>
    </xf>
    <xf numFmtId="9" fontId="146" fillId="29" borderId="0" xfId="0" applyNumberFormat="1" applyFont="1" applyFill="1" applyBorder="1" applyAlignment="1" applyProtection="1">
      <alignment/>
      <protection locked="0"/>
    </xf>
    <xf numFmtId="3" fontId="0" fillId="0" borderId="0" xfId="0" applyNumberFormat="1" applyFont="1" applyAlignment="1">
      <alignment/>
    </xf>
    <xf numFmtId="10" fontId="0" fillId="0" borderId="0" xfId="0" applyNumberFormat="1" applyAlignment="1">
      <alignment/>
    </xf>
    <xf numFmtId="37" fontId="146" fillId="0" borderId="9" xfId="0" applyNumberFormat="1" applyFont="1" applyBorder="1" applyAlignment="1">
      <alignment/>
    </xf>
    <xf numFmtId="37" fontId="6" fillId="0" borderId="0" xfId="0" applyNumberFormat="1" applyFont="1" applyAlignment="1">
      <alignment horizontal="left"/>
    </xf>
    <xf numFmtId="37" fontId="6" fillId="29" borderId="0" xfId="0" applyNumberFormat="1" applyFont="1" applyFill="1" applyAlignment="1">
      <alignment horizontal="left"/>
    </xf>
    <xf numFmtId="10" fontId="27" fillId="66" borderId="8" xfId="76" applyFont="1" applyFill="1" applyBorder="1" applyAlignment="1" applyProtection="1">
      <alignment horizontal="center"/>
      <protection locked="0"/>
    </xf>
    <xf numFmtId="0" fontId="5" fillId="0" borderId="145" xfId="71" applyFont="1" applyBorder="1">
      <alignment/>
      <protection/>
    </xf>
    <xf numFmtId="0" fontId="7" fillId="0" borderId="146" xfId="71" applyBorder="1">
      <alignment/>
      <protection/>
    </xf>
    <xf numFmtId="0" fontId="29" fillId="29" borderId="0" xfId="71" applyFont="1" applyFill="1" applyProtection="1">
      <alignment/>
      <protection locked="0"/>
    </xf>
    <xf numFmtId="0" fontId="29" fillId="0" borderId="0" xfId="71" applyFont="1" applyProtection="1">
      <alignment/>
      <protection locked="0"/>
    </xf>
    <xf numFmtId="37" fontId="6" fillId="66" borderId="0" xfId="0" applyNumberFormat="1" applyFont="1" applyFill="1" applyAlignment="1" applyProtection="1">
      <alignment/>
      <protection locked="0"/>
    </xf>
    <xf numFmtId="37" fontId="10" fillId="0" borderId="24" xfId="0" applyNumberFormat="1" applyFont="1" applyBorder="1" applyAlignment="1">
      <alignment/>
    </xf>
    <xf numFmtId="10" fontId="10" fillId="0" borderId="25" xfId="0" applyNumberFormat="1" applyFont="1" applyBorder="1" applyAlignment="1">
      <alignment/>
    </xf>
    <xf numFmtId="0" fontId="8" fillId="67" borderId="0" xfId="71" applyFont="1" applyFill="1">
      <alignment/>
      <protection/>
    </xf>
    <xf numFmtId="0" fontId="7" fillId="67" borderId="0" xfId="71" applyFill="1">
      <alignment/>
      <protection/>
    </xf>
    <xf numFmtId="0" fontId="31" fillId="67" borderId="0" xfId="71" applyFont="1" applyFill="1" applyProtection="1">
      <alignment/>
      <protection locked="0"/>
    </xf>
    <xf numFmtId="0" fontId="53" fillId="68" borderId="26" xfId="72" applyFont="1" applyFill="1" applyBorder="1" applyAlignment="1" applyProtection="1">
      <alignment horizontal="left"/>
      <protection locked="0"/>
    </xf>
    <xf numFmtId="0" fontId="53" fillId="68" borderId="28" xfId="72" applyFont="1" applyFill="1" applyBorder="1" applyAlignment="1">
      <alignment horizontal="center"/>
      <protection/>
    </xf>
    <xf numFmtId="0" fontId="94" fillId="69" borderId="28" xfId="72" applyFont="1" applyFill="1" applyBorder="1">
      <alignment/>
      <protection/>
    </xf>
    <xf numFmtId="0" fontId="94" fillId="69" borderId="60" xfId="72" applyFont="1" applyFill="1" applyBorder="1">
      <alignment/>
      <protection/>
    </xf>
    <xf numFmtId="0" fontId="53" fillId="68" borderId="29" xfId="72" applyFont="1" applyFill="1" applyBorder="1" applyAlignment="1" applyProtection="1">
      <alignment horizontal="left"/>
      <protection locked="0"/>
    </xf>
    <xf numFmtId="0" fontId="53" fillId="68" borderId="18" xfId="72" applyFont="1" applyFill="1" applyBorder="1" applyAlignment="1">
      <alignment horizontal="center"/>
      <protection/>
    </xf>
    <xf numFmtId="0" fontId="94" fillId="69" borderId="18" xfId="72" applyFont="1" applyFill="1" applyBorder="1">
      <alignment/>
      <protection/>
    </xf>
    <xf numFmtId="0" fontId="94" fillId="69" borderId="37" xfId="72" applyFont="1" applyFill="1" applyBorder="1">
      <alignment/>
      <protection/>
    </xf>
    <xf numFmtId="0" fontId="52" fillId="29" borderId="53" xfId="72" applyFont="1" applyFill="1" applyBorder="1">
      <alignment/>
      <protection/>
    </xf>
    <xf numFmtId="1" fontId="22" fillId="0" borderId="8" xfId="84" applyNumberFormat="1" applyFont="1" applyFill="1" applyAlignment="1" applyProtection="1">
      <alignment horizontal="center"/>
      <protection/>
    </xf>
    <xf numFmtId="0" fontId="22" fillId="29" borderId="53" xfId="72" applyFont="1" applyFill="1" applyBorder="1">
      <alignment/>
      <protection/>
    </xf>
    <xf numFmtId="4" fontId="22" fillId="29" borderId="147" xfId="72" applyNumberFormat="1" applyFont="1" applyFill="1" applyBorder="1">
      <alignment/>
      <protection/>
    </xf>
    <xf numFmtId="7" fontId="0" fillId="29" borderId="16" xfId="45" applyFill="1" applyBorder="1" applyAlignment="1">
      <alignment/>
    </xf>
    <xf numFmtId="1" fontId="22" fillId="0" borderId="8" xfId="84" applyNumberFormat="1" applyFont="1" applyFill="1" applyAlignment="1">
      <alignment horizontal="center"/>
      <protection locked="0"/>
    </xf>
    <xf numFmtId="177" fontId="22" fillId="68" borderId="16" xfId="52" applyFont="1" applyFill="1" applyBorder="1" applyAlignment="1">
      <alignment/>
    </xf>
    <xf numFmtId="10" fontId="10" fillId="66" borderId="48" xfId="76" applyFont="1" applyFill="1" applyBorder="1" applyAlignment="1">
      <alignment horizontal="center"/>
    </xf>
    <xf numFmtId="0" fontId="27" fillId="0" borderId="0" xfId="83" applyNumberFormat="1" applyFont="1" applyFill="1" applyBorder="1" applyAlignment="1">
      <alignment horizontal="center"/>
      <protection locked="0"/>
    </xf>
    <xf numFmtId="0" fontId="27" fillId="50" borderId="16" xfId="83" applyNumberFormat="1" applyFont="1" applyFill="1" applyBorder="1" applyAlignment="1">
      <alignment horizontal="center"/>
      <protection locked="0"/>
    </xf>
    <xf numFmtId="0" fontId="6" fillId="0" borderId="64" xfId="71" applyFont="1" applyBorder="1">
      <alignment/>
      <protection/>
    </xf>
    <xf numFmtId="0" fontId="6" fillId="0" borderId="65" xfId="71" applyFont="1" applyBorder="1">
      <alignment/>
      <protection/>
    </xf>
    <xf numFmtId="0" fontId="6" fillId="0" borderId="66" xfId="71" applyFont="1" applyBorder="1">
      <alignment/>
      <protection/>
    </xf>
    <xf numFmtId="5" fontId="6" fillId="0" borderId="66" xfId="71" applyNumberFormat="1" applyFont="1" applyBorder="1">
      <alignment/>
      <protection/>
    </xf>
    <xf numFmtId="0" fontId="6" fillId="0" borderId="67" xfId="71" applyFont="1" applyBorder="1">
      <alignment/>
      <protection/>
    </xf>
    <xf numFmtId="5" fontId="6" fillId="0" borderId="69" xfId="71" applyNumberFormat="1" applyFont="1" applyBorder="1">
      <alignment/>
      <protection/>
    </xf>
    <xf numFmtId="0" fontId="147" fillId="0" borderId="0" xfId="0" applyFont="1" applyAlignment="1" applyProtection="1">
      <alignment/>
      <protection locked="0"/>
    </xf>
    <xf numFmtId="0" fontId="148" fillId="0" borderId="0" xfId="0" applyFont="1" applyAlignment="1" applyProtection="1">
      <alignment/>
      <protection locked="0"/>
    </xf>
    <xf numFmtId="211" fontId="148" fillId="0" borderId="0" xfId="45" applyNumberFormat="1" applyFont="1" applyAlignment="1" applyProtection="1">
      <alignment horizontal="right" vertical="top"/>
      <protection locked="0"/>
    </xf>
    <xf numFmtId="0" fontId="148" fillId="0" borderId="0" xfId="0" applyFont="1" applyAlignment="1">
      <alignment/>
    </xf>
    <xf numFmtId="9" fontId="148" fillId="0" borderId="0" xfId="75" applyNumberFormat="1" applyFont="1" applyBorder="1" applyAlignment="1">
      <alignment horizontal="center"/>
    </xf>
    <xf numFmtId="0" fontId="148" fillId="0" borderId="0" xfId="0" applyFont="1" applyBorder="1" applyAlignment="1">
      <alignment/>
    </xf>
    <xf numFmtId="5" fontId="148" fillId="0" borderId="0" xfId="45" applyNumberFormat="1" applyFont="1" applyBorder="1" applyAlignment="1">
      <alignment horizontal="right" vertical="top"/>
    </xf>
    <xf numFmtId="5" fontId="148" fillId="66" borderId="18" xfId="45" applyNumberFormat="1" applyFont="1" applyFill="1" applyBorder="1" applyAlignment="1" applyProtection="1">
      <alignment horizontal="center"/>
      <protection locked="0"/>
    </xf>
    <xf numFmtId="0" fontId="149" fillId="0" borderId="0" xfId="0" applyFont="1" applyAlignment="1">
      <alignment/>
    </xf>
    <xf numFmtId="37" fontId="6" fillId="48" borderId="148" xfId="0" applyNumberFormat="1" applyFont="1" applyFill="1" applyBorder="1" applyAlignment="1" applyProtection="1">
      <alignment horizontal="center"/>
      <protection locked="0"/>
    </xf>
    <xf numFmtId="37" fontId="6" fillId="48" borderId="36" xfId="0" applyNumberFormat="1" applyFont="1" applyFill="1" applyBorder="1" applyAlignment="1" applyProtection="1">
      <alignment horizontal="center"/>
      <protection locked="0"/>
    </xf>
    <xf numFmtId="0" fontId="6" fillId="48" borderId="8" xfId="0" applyNumberFormat="1" applyFont="1" applyFill="1" applyBorder="1" applyAlignment="1" applyProtection="1">
      <alignment/>
      <protection locked="0"/>
    </xf>
    <xf numFmtId="0" fontId="0" fillId="0" borderId="0" xfId="0" applyAlignment="1">
      <alignment wrapText="1"/>
    </xf>
    <xf numFmtId="0" fontId="147" fillId="0" borderId="0" xfId="0" applyFont="1" applyAlignment="1">
      <alignment horizontal="center"/>
    </xf>
    <xf numFmtId="0" fontId="148" fillId="66" borderId="18" xfId="0" applyFont="1" applyFill="1" applyBorder="1" applyAlignment="1" applyProtection="1">
      <alignment/>
      <protection locked="0"/>
    </xf>
    <xf numFmtId="0" fontId="148" fillId="0" borderId="0" xfId="0" applyFont="1" applyBorder="1" applyAlignment="1" applyProtection="1">
      <alignment/>
      <protection locked="0"/>
    </xf>
    <xf numFmtId="0" fontId="148" fillId="66" borderId="18" xfId="0" applyFont="1" applyFill="1" applyBorder="1" applyAlignment="1" applyProtection="1">
      <alignment horizontal="left"/>
      <protection locked="0"/>
    </xf>
    <xf numFmtId="0" fontId="148" fillId="0" borderId="0" xfId="0" applyFont="1" applyBorder="1" applyAlignment="1" applyProtection="1">
      <alignment horizontal="left"/>
      <protection locked="0"/>
    </xf>
    <xf numFmtId="0" fontId="148" fillId="66" borderId="0" xfId="0" applyFont="1" applyFill="1" applyAlignment="1" applyProtection="1">
      <alignment/>
      <protection locked="0"/>
    </xf>
    <xf numFmtId="0" fontId="148" fillId="0" borderId="0" xfId="0" applyFont="1" applyAlignment="1" applyProtection="1">
      <alignment/>
      <protection locked="0"/>
    </xf>
    <xf numFmtId="2" fontId="148" fillId="66" borderId="18" xfId="0" applyNumberFormat="1" applyFont="1" applyFill="1" applyBorder="1" applyAlignment="1" applyProtection="1">
      <alignment/>
      <protection locked="0"/>
    </xf>
    <xf numFmtId="2" fontId="148" fillId="66" borderId="18" xfId="0" applyNumberFormat="1" applyFont="1" applyFill="1" applyBorder="1" applyAlignment="1" applyProtection="1">
      <alignment horizontal="left"/>
      <protection locked="0"/>
    </xf>
    <xf numFmtId="0" fontId="147" fillId="0" borderId="0" xfId="0" applyFont="1" applyAlignment="1">
      <alignment/>
    </xf>
    <xf numFmtId="2" fontId="148" fillId="66" borderId="0" xfId="0" applyNumberFormat="1" applyFont="1" applyFill="1" applyBorder="1" applyAlignment="1" applyProtection="1">
      <alignment horizontal="left"/>
      <protection locked="0"/>
    </xf>
    <xf numFmtId="2" fontId="148" fillId="70" borderId="0" xfId="0" applyNumberFormat="1" applyFont="1" applyFill="1" applyBorder="1" applyAlignment="1" applyProtection="1">
      <alignment horizontal="left"/>
      <protection locked="0"/>
    </xf>
    <xf numFmtId="0" fontId="0" fillId="0" borderId="0" xfId="0" applyAlignment="1">
      <alignment/>
    </xf>
    <xf numFmtId="37" fontId="10" fillId="0" borderId="0" xfId="0" applyNumberFormat="1" applyFont="1" applyBorder="1" applyAlignment="1">
      <alignment horizontal="center"/>
    </xf>
    <xf numFmtId="37" fontId="6" fillId="49" borderId="18" xfId="0" applyNumberFormat="1" applyFont="1" applyFill="1" applyBorder="1" applyAlignment="1">
      <alignment horizontal="center"/>
    </xf>
    <xf numFmtId="5" fontId="6" fillId="68" borderId="64" xfId="0" applyNumberFormat="1" applyFont="1" applyFill="1" applyBorder="1" applyAlignment="1">
      <alignment/>
    </xf>
    <xf numFmtId="37" fontId="6" fillId="68" borderId="66" xfId="0" applyNumberFormat="1" applyFont="1" applyFill="1" applyBorder="1" applyAlignment="1" applyProtection="1">
      <alignment horizontal="center"/>
      <protection locked="0"/>
    </xf>
    <xf numFmtId="5" fontId="6" fillId="68" borderId="66" xfId="0" applyNumberFormat="1" applyFont="1" applyFill="1" applyBorder="1" applyAlignment="1">
      <alignment/>
    </xf>
    <xf numFmtId="192" fontId="6" fillId="68" borderId="149" xfId="0" applyNumberFormat="1" applyFont="1" applyFill="1" applyBorder="1" applyAlignment="1" applyProtection="1">
      <alignment horizontal="right"/>
      <protection locked="0"/>
    </xf>
    <xf numFmtId="37" fontId="0" fillId="68" borderId="65" xfId="0" applyNumberFormat="1" applyFont="1" applyFill="1" applyBorder="1" applyAlignment="1">
      <alignment horizontal="right"/>
    </xf>
    <xf numFmtId="37" fontId="0" fillId="68" borderId="0" xfId="0" applyNumberFormat="1" applyFont="1" applyFill="1" applyBorder="1" applyAlignment="1">
      <alignment horizontal="right"/>
    </xf>
    <xf numFmtId="192" fontId="6" fillId="68" borderId="69" xfId="0" applyNumberFormat="1" applyFont="1" applyFill="1" applyBorder="1" applyAlignment="1">
      <alignment/>
    </xf>
    <xf numFmtId="37" fontId="6" fillId="70" borderId="0" xfId="0" applyNumberFormat="1" applyFont="1" applyFill="1" applyBorder="1" applyAlignment="1">
      <alignment/>
    </xf>
    <xf numFmtId="187" fontId="6" fillId="70" borderId="0" xfId="0" applyNumberFormat="1" applyFont="1" applyFill="1" applyBorder="1" applyAlignment="1" applyProtection="1">
      <alignment horizontal="center"/>
      <protection locked="0"/>
    </xf>
    <xf numFmtId="37" fontId="6" fillId="49" borderId="18" xfId="0" applyNumberFormat="1" applyFont="1" applyFill="1" applyBorder="1" applyAlignment="1" applyProtection="1">
      <alignment/>
      <protection locked="0"/>
    </xf>
    <xf numFmtId="0" fontId="150" fillId="0" borderId="0" xfId="71" applyFont="1">
      <alignment/>
      <protection/>
    </xf>
    <xf numFmtId="37" fontId="6" fillId="0" borderId="0" xfId="0" applyNumberFormat="1" applyFont="1" applyFill="1" applyAlignment="1">
      <alignment/>
    </xf>
    <xf numFmtId="37" fontId="11" fillId="0" borderId="0" xfId="0" applyNumberFormat="1" applyFont="1" applyFill="1" applyAlignment="1">
      <alignment/>
    </xf>
    <xf numFmtId="37" fontId="6" fillId="0" borderId="0" xfId="0" applyNumberFormat="1" applyFont="1" applyFill="1" applyAlignment="1">
      <alignment horizontal="left"/>
    </xf>
    <xf numFmtId="37" fontId="6" fillId="0" borderId="0" xfId="0" applyNumberFormat="1" applyFont="1" applyFill="1" applyAlignment="1">
      <alignment horizontal="left"/>
    </xf>
    <xf numFmtId="37" fontId="6" fillId="0" borderId="0" xfId="0" applyNumberFormat="1" applyFont="1" applyFill="1" applyAlignment="1">
      <alignment horizontal="right"/>
    </xf>
    <xf numFmtId="37" fontId="10" fillId="0" borderId="0" xfId="0" applyNumberFormat="1" applyFont="1" applyFill="1" applyAlignment="1">
      <alignment/>
    </xf>
    <xf numFmtId="37" fontId="10" fillId="0" borderId="0" xfId="0" applyNumberFormat="1" applyFont="1" applyFill="1" applyAlignment="1">
      <alignment horizontal="right"/>
    </xf>
    <xf numFmtId="37" fontId="10" fillId="0" borderId="0" xfId="0" applyNumberFormat="1" applyFont="1" applyFill="1" applyAlignment="1">
      <alignment horizontal="center"/>
    </xf>
    <xf numFmtId="37" fontId="6" fillId="0" borderId="0" xfId="0" applyNumberFormat="1" applyFont="1" applyFill="1" applyAlignment="1">
      <alignment horizontal="center"/>
    </xf>
    <xf numFmtId="37" fontId="6" fillId="0" borderId="38" xfId="0" applyNumberFormat="1" applyFont="1" applyFill="1" applyBorder="1" applyAlignment="1" applyProtection="1">
      <alignment horizontal="centerContinuous"/>
      <protection locked="0"/>
    </xf>
    <xf numFmtId="37" fontId="6" fillId="0" borderId="11" xfId="0" applyNumberFormat="1" applyFont="1" applyFill="1" applyBorder="1" applyAlignment="1">
      <alignment horizontal="centerContinuous"/>
    </xf>
    <xf numFmtId="37" fontId="6" fillId="0" borderId="38" xfId="0" applyNumberFormat="1" applyFont="1" applyFill="1" applyBorder="1" applyAlignment="1" applyProtection="1">
      <alignment horizontal="centerContinuous"/>
      <protection locked="0"/>
    </xf>
    <xf numFmtId="37" fontId="6" fillId="0" borderId="11" xfId="0" applyNumberFormat="1" applyFont="1" applyFill="1" applyBorder="1" applyAlignment="1">
      <alignment horizontal="centerContinuous"/>
    </xf>
    <xf numFmtId="37" fontId="6" fillId="0" borderId="0" xfId="0" applyNumberFormat="1" applyFont="1" applyFill="1" applyAlignment="1" applyProtection="1">
      <alignment horizontal="left"/>
      <protection locked="0"/>
    </xf>
    <xf numFmtId="37" fontId="10" fillId="0" borderId="0" xfId="0" applyNumberFormat="1" applyFont="1" applyFill="1" applyAlignment="1">
      <alignment horizontal="left"/>
    </xf>
    <xf numFmtId="37" fontId="6" fillId="49" borderId="8" xfId="0" applyNumberFormat="1" applyFont="1" applyFill="1" applyBorder="1" applyAlignment="1" applyProtection="1">
      <alignment/>
      <protection locked="0"/>
    </xf>
    <xf numFmtId="37" fontId="6" fillId="0" borderId="18" xfId="0" applyNumberFormat="1" applyFont="1" applyFill="1" applyBorder="1" applyAlignment="1" applyProtection="1">
      <alignment/>
      <protection/>
    </xf>
    <xf numFmtId="39" fontId="6" fillId="70" borderId="18" xfId="0" applyNumberFormat="1" applyFont="1" applyFill="1" applyBorder="1" applyAlignment="1" applyProtection="1">
      <alignment/>
      <protection/>
    </xf>
    <xf numFmtId="37" fontId="6" fillId="48" borderId="28" xfId="0" applyNumberFormat="1" applyFont="1" applyFill="1" applyBorder="1" applyAlignment="1" applyProtection="1">
      <alignment horizontal="center"/>
      <protection locked="0"/>
    </xf>
    <xf numFmtId="37" fontId="6" fillId="71" borderId="0" xfId="0" applyNumberFormat="1" applyFont="1" applyFill="1" applyBorder="1" applyAlignment="1" applyProtection="1">
      <alignment horizontal="center"/>
      <protection locked="0"/>
    </xf>
    <xf numFmtId="7" fontId="75" fillId="0" borderId="90" xfId="45" applyNumberFormat="1" applyFont="1" applyBorder="1" applyAlignment="1">
      <alignment/>
    </xf>
    <xf numFmtId="7" fontId="75" fillId="0" borderId="150" xfId="0" applyNumberFormat="1" applyFont="1" applyBorder="1" applyAlignment="1">
      <alignment vertical="top"/>
    </xf>
    <xf numFmtId="0" fontId="2" fillId="0" borderId="29" xfId="0" applyFont="1" applyBorder="1" applyAlignment="1">
      <alignment vertical="top"/>
    </xf>
    <xf numFmtId="0" fontId="2" fillId="0" borderId="18" xfId="0" applyFont="1" applyBorder="1" applyAlignment="1">
      <alignment vertical="top"/>
    </xf>
    <xf numFmtId="7" fontId="75" fillId="0" borderId="71" xfId="0" applyNumberFormat="1" applyFont="1" applyBorder="1" applyAlignment="1">
      <alignment vertical="top"/>
    </xf>
    <xf numFmtId="37" fontId="6" fillId="0" borderId="18" xfId="0" applyNumberFormat="1" applyFont="1" applyFill="1" applyBorder="1" applyAlignment="1" applyProtection="1">
      <alignment/>
      <protection locked="0"/>
    </xf>
    <xf numFmtId="37" fontId="6" fillId="0" borderId="0" xfId="0" applyNumberFormat="1" applyFont="1" applyAlignment="1">
      <alignment horizontal="centerContinuous"/>
    </xf>
    <xf numFmtId="10" fontId="6" fillId="49" borderId="17" xfId="0" applyNumberFormat="1" applyFont="1" applyFill="1" applyBorder="1" applyAlignment="1" applyProtection="1">
      <alignment/>
      <protection locked="0"/>
    </xf>
    <xf numFmtId="10" fontId="6" fillId="0" borderId="18" xfId="0" applyNumberFormat="1" applyFont="1" applyFill="1" applyBorder="1" applyAlignment="1" applyProtection="1">
      <alignment/>
      <protection locked="0"/>
    </xf>
    <xf numFmtId="37" fontId="6" fillId="67" borderId="19" xfId="0" applyNumberFormat="1" applyFont="1" applyFill="1" applyBorder="1" applyAlignment="1" applyProtection="1">
      <alignment/>
      <protection/>
    </xf>
    <xf numFmtId="37" fontId="6" fillId="0" borderId="0" xfId="0" applyNumberFormat="1" applyFont="1" applyAlignment="1">
      <alignment horizontal="right"/>
    </xf>
    <xf numFmtId="37" fontId="151" fillId="0" borderId="0" xfId="0" applyNumberFormat="1" applyFont="1" applyAlignment="1">
      <alignment horizontal="left"/>
    </xf>
    <xf numFmtId="37" fontId="151" fillId="0" borderId="0" xfId="0" applyNumberFormat="1" applyFont="1" applyAlignment="1">
      <alignment/>
    </xf>
    <xf numFmtId="9" fontId="10" fillId="29" borderId="119" xfId="0" applyNumberFormat="1" applyFont="1" applyFill="1" applyBorder="1" applyAlignment="1" applyProtection="1">
      <alignment/>
      <protection locked="0"/>
    </xf>
    <xf numFmtId="5" fontId="6" fillId="0" borderId="119" xfId="0" applyNumberFormat="1" applyFont="1" applyBorder="1" applyAlignment="1" applyProtection="1">
      <alignment/>
      <protection/>
    </xf>
    <xf numFmtId="10" fontId="5" fillId="0" borderId="119" xfId="0" applyNumberFormat="1" applyFont="1" applyFill="1" applyBorder="1" applyAlignment="1" applyProtection="1">
      <alignment horizontal="left"/>
      <protection/>
    </xf>
    <xf numFmtId="37" fontId="6" fillId="70" borderId="0" xfId="0" applyNumberFormat="1" applyFont="1" applyFill="1" applyAlignment="1">
      <alignment/>
    </xf>
    <xf numFmtId="10" fontId="0" fillId="0" borderId="0" xfId="75" applyBorder="1" applyAlignment="1">
      <alignment/>
    </xf>
    <xf numFmtId="5" fontId="152" fillId="0" borderId="151" xfId="0" applyNumberFormat="1" applyFont="1" applyBorder="1" applyAlignment="1" applyProtection="1">
      <alignment horizontal="left"/>
      <protection/>
    </xf>
    <xf numFmtId="10" fontId="5" fillId="0" borderId="17" xfId="0" applyNumberFormat="1" applyFont="1" applyFill="1" applyBorder="1" applyAlignment="1">
      <alignment/>
    </xf>
    <xf numFmtId="177" fontId="27" fillId="66" borderId="152" xfId="83" applyFont="1" applyFill="1" applyBorder="1" applyAlignment="1">
      <alignment horizontal="left"/>
      <protection locked="0"/>
    </xf>
    <xf numFmtId="37" fontId="6" fillId="0" borderId="0" xfId="0" applyNumberFormat="1" applyFont="1" applyFill="1" applyBorder="1" applyAlignment="1">
      <alignment horizontal="right"/>
    </xf>
    <xf numFmtId="166" fontId="6" fillId="0" borderId="0" xfId="0" applyNumberFormat="1" applyFont="1" applyFill="1" applyBorder="1" applyAlignment="1" applyProtection="1">
      <alignment horizontal="center"/>
      <protection locked="0"/>
    </xf>
    <xf numFmtId="37" fontId="6" fillId="0" borderId="28" xfId="0" applyNumberFormat="1" applyFont="1" applyFill="1" applyBorder="1" applyAlignment="1" applyProtection="1">
      <alignment/>
      <protection locked="0"/>
    </xf>
    <xf numFmtId="37" fontId="6" fillId="0" borderId="31" xfId="0" applyNumberFormat="1" applyFont="1" applyFill="1" applyBorder="1" applyAlignment="1" applyProtection="1">
      <alignment horizontal="right"/>
      <protection locked="0"/>
    </xf>
    <xf numFmtId="37" fontId="6" fillId="0" borderId="30" xfId="0" applyNumberFormat="1" applyFont="1" applyFill="1" applyBorder="1" applyAlignment="1" applyProtection="1">
      <alignment horizontal="right"/>
      <protection locked="0"/>
    </xf>
    <xf numFmtId="37" fontId="6" fillId="49" borderId="19" xfId="0" applyNumberFormat="1" applyFont="1" applyFill="1" applyBorder="1" applyAlignment="1" applyProtection="1">
      <alignment/>
      <protection locked="0"/>
    </xf>
    <xf numFmtId="37" fontId="153" fillId="0" borderId="0" xfId="0" applyNumberFormat="1" applyFont="1" applyAlignment="1" applyProtection="1">
      <alignment horizontal="center"/>
      <protection locked="0"/>
    </xf>
    <xf numFmtId="37" fontId="154" fillId="0" borderId="0" xfId="0" applyNumberFormat="1" applyFont="1" applyAlignment="1">
      <alignment horizontal="centerContinuous"/>
    </xf>
    <xf numFmtId="37" fontId="155" fillId="0" borderId="0" xfId="0" applyNumberFormat="1" applyFont="1" applyAlignment="1">
      <alignment horizontal="centerContinuous"/>
    </xf>
    <xf numFmtId="37" fontId="156" fillId="0" borderId="0" xfId="0" applyNumberFormat="1" applyFont="1" applyAlignment="1">
      <alignment horizontal="centerContinuous"/>
    </xf>
    <xf numFmtId="177" fontId="2" fillId="0" borderId="0" xfId="47" applyNumberFormat="1" applyFont="1" applyFill="1" applyAlignment="1">
      <alignment/>
    </xf>
    <xf numFmtId="0" fontId="66" fillId="0" borderId="0" xfId="70" applyFont="1" applyAlignment="1">
      <alignment horizontal="center"/>
      <protection/>
    </xf>
    <xf numFmtId="10" fontId="157" fillId="70" borderId="0" xfId="75" applyFont="1" applyFill="1" applyAlignment="1">
      <alignment/>
    </xf>
    <xf numFmtId="0" fontId="31" fillId="0" borderId="0" xfId="70" applyFont="1">
      <alignment/>
      <protection/>
    </xf>
    <xf numFmtId="0" fontId="68" fillId="0" borderId="0" xfId="70" applyFont="1">
      <alignment/>
      <protection/>
    </xf>
    <xf numFmtId="0" fontId="69" fillId="0" borderId="153" xfId="70" applyFont="1" applyBorder="1" applyAlignment="1">
      <alignment horizontal="center"/>
      <protection/>
    </xf>
    <xf numFmtId="0" fontId="69" fillId="0" borderId="85" xfId="70" applyFont="1" applyBorder="1" applyAlignment="1">
      <alignment horizontal="center"/>
      <protection/>
    </xf>
    <xf numFmtId="10" fontId="157" fillId="70" borderId="59" xfId="75" applyFont="1" applyFill="1" applyBorder="1" applyAlignment="1">
      <alignment/>
    </xf>
    <xf numFmtId="0" fontId="68" fillId="0" borderId="59" xfId="70" applyFont="1" applyBorder="1" applyAlignment="1">
      <alignment horizontal="center"/>
      <protection/>
    </xf>
    <xf numFmtId="0" fontId="68" fillId="0" borderId="30" xfId="70" applyFont="1" applyBorder="1" applyAlignment="1">
      <alignment horizontal="center"/>
      <protection/>
    </xf>
    <xf numFmtId="0" fontId="68" fillId="0" borderId="86" xfId="70" applyFont="1" applyBorder="1" applyAlignment="1">
      <alignment horizontal="center"/>
      <protection/>
    </xf>
    <xf numFmtId="0" fontId="68" fillId="0" borderId="26" xfId="70" applyFont="1" applyBorder="1" applyAlignment="1">
      <alignment horizontal="center"/>
      <protection/>
    </xf>
    <xf numFmtId="0" fontId="68" fillId="0" borderId="154" xfId="70" applyFont="1" applyBorder="1" applyAlignment="1" applyProtection="1">
      <alignment horizontal="center"/>
      <protection locked="0"/>
    </xf>
    <xf numFmtId="10" fontId="157" fillId="70" borderId="0" xfId="75" applyFont="1" applyFill="1" applyAlignment="1">
      <alignment horizontal="center"/>
    </xf>
    <xf numFmtId="0" fontId="68" fillId="0" borderId="0" xfId="70" applyFont="1" applyAlignment="1">
      <alignment horizontal="center"/>
      <protection/>
    </xf>
    <xf numFmtId="0" fontId="68" fillId="0" borderId="155" xfId="70" applyFont="1" applyBorder="1" applyAlignment="1">
      <alignment horizontal="center"/>
      <protection/>
    </xf>
    <xf numFmtId="37" fontId="68" fillId="0" borderId="153" xfId="70" applyNumberFormat="1" applyFont="1" applyBorder="1" applyAlignment="1">
      <alignment horizontal="center"/>
      <protection/>
    </xf>
    <xf numFmtId="37" fontId="68" fillId="0" borderId="85" xfId="70" applyNumberFormat="1" applyFont="1" applyBorder="1" applyAlignment="1">
      <alignment horizontal="center"/>
      <protection/>
    </xf>
    <xf numFmtId="37" fontId="6" fillId="48" borderId="42" xfId="0" applyNumberFormat="1" applyFont="1" applyFill="1" applyBorder="1" applyAlignment="1" applyProtection="1">
      <alignment horizontal="center"/>
      <protection locked="0"/>
    </xf>
    <xf numFmtId="201" fontId="68" fillId="0" borderId="85" xfId="70" applyNumberFormat="1" applyFont="1" applyBorder="1" applyAlignment="1">
      <alignment horizontal="center"/>
      <protection/>
    </xf>
    <xf numFmtId="10" fontId="68" fillId="0" borderId="26" xfId="70" applyNumberFormat="1" applyFont="1" applyBorder="1" applyAlignment="1">
      <alignment horizontal="center"/>
      <protection/>
    </xf>
    <xf numFmtId="201" fontId="158" fillId="0" borderId="0" xfId="70" applyNumberFormat="1" applyFont="1">
      <alignment/>
      <protection/>
    </xf>
    <xf numFmtId="10" fontId="0" fillId="0" borderId="0" xfId="75" applyAlignment="1">
      <alignment/>
    </xf>
    <xf numFmtId="37" fontId="6" fillId="48" borderId="35" xfId="0" applyNumberFormat="1" applyFont="1" applyFill="1" applyBorder="1" applyAlignment="1" applyProtection="1">
      <alignment horizontal="center"/>
      <protection locked="0"/>
    </xf>
    <xf numFmtId="201" fontId="68" fillId="0" borderId="26" xfId="70" applyNumberFormat="1" applyFont="1" applyBorder="1" applyAlignment="1">
      <alignment horizontal="center"/>
      <protection/>
    </xf>
    <xf numFmtId="2" fontId="158" fillId="0" borderId="0" xfId="70" applyNumberFormat="1" applyFont="1">
      <alignment/>
      <protection/>
    </xf>
    <xf numFmtId="0" fontId="68" fillId="0" borderId="153" xfId="70" applyFont="1" applyBorder="1" applyProtection="1">
      <alignment/>
      <protection locked="0"/>
    </xf>
    <xf numFmtId="0" fontId="68" fillId="0" borderId="75" xfId="70" applyFont="1" applyBorder="1" applyAlignment="1" applyProtection="1">
      <alignment horizontal="center"/>
      <protection locked="0"/>
    </xf>
    <xf numFmtId="10" fontId="31" fillId="0" borderId="0" xfId="70" applyNumberFormat="1" applyFont="1">
      <alignment/>
      <protection/>
    </xf>
    <xf numFmtId="0" fontId="68" fillId="0" borderId="26" xfId="70" applyFont="1" applyBorder="1" applyAlignment="1" applyProtection="1">
      <alignment horizontal="center"/>
      <protection locked="0"/>
    </xf>
    <xf numFmtId="0" fontId="68" fillId="0" borderId="75" xfId="70" applyFont="1" applyBorder="1" applyAlignment="1">
      <alignment horizontal="center"/>
      <protection/>
    </xf>
    <xf numFmtId="0" fontId="97" fillId="0" borderId="156" xfId="70" applyFont="1" applyBorder="1" applyAlignment="1">
      <alignment horizontal="center"/>
      <protection/>
    </xf>
    <xf numFmtId="0" fontId="97" fillId="0" borderId="157" xfId="70" applyFont="1" applyBorder="1" applyAlignment="1">
      <alignment horizontal="center"/>
      <protection/>
    </xf>
    <xf numFmtId="10" fontId="97" fillId="0" borderId="158" xfId="70" applyNumberFormat="1" applyFont="1" applyBorder="1" applyAlignment="1">
      <alignment horizontal="center"/>
      <protection/>
    </xf>
    <xf numFmtId="0" fontId="159" fillId="0" borderId="0" xfId="71" applyFont="1">
      <alignment/>
      <protection/>
    </xf>
    <xf numFmtId="0" fontId="42" fillId="0" borderId="0" xfId="71" applyFont="1" applyAlignment="1">
      <alignment horizontal="center" wrapText="1"/>
      <protection/>
    </xf>
    <xf numFmtId="0" fontId="160" fillId="0" borderId="0" xfId="71" applyFont="1">
      <alignment/>
      <protection/>
    </xf>
    <xf numFmtId="0" fontId="161" fillId="0" borderId="0" xfId="71" applyFont="1">
      <alignment/>
      <protection/>
    </xf>
    <xf numFmtId="0" fontId="29" fillId="0" borderId="0" xfId="71" applyFont="1">
      <alignment/>
      <protection/>
    </xf>
    <xf numFmtId="0" fontId="30" fillId="0" borderId="0" xfId="71" applyFont="1">
      <alignment/>
      <protection/>
    </xf>
    <xf numFmtId="0" fontId="10" fillId="0" borderId="0" xfId="71" applyFont="1" applyAlignment="1">
      <alignment horizontal="center"/>
      <protection/>
    </xf>
    <xf numFmtId="0" fontId="11" fillId="0" borderId="62" xfId="71" applyFont="1" applyBorder="1">
      <alignment/>
      <protection/>
    </xf>
    <xf numFmtId="0" fontId="6" fillId="0" borderId="0" xfId="71" applyFont="1">
      <alignment/>
      <protection/>
    </xf>
    <xf numFmtId="5" fontId="150" fillId="0" borderId="0" xfId="71" applyNumberFormat="1" applyFont="1">
      <alignment/>
      <protection/>
    </xf>
    <xf numFmtId="0" fontId="10" fillId="0" borderId="0" xfId="71" applyFont="1">
      <alignment/>
      <protection/>
    </xf>
    <xf numFmtId="1" fontId="27" fillId="50" borderId="16" xfId="83" applyNumberFormat="1" applyFont="1" applyFill="1" applyBorder="1" applyAlignment="1">
      <alignment horizontal="center"/>
      <protection locked="0"/>
    </xf>
    <xf numFmtId="0" fontId="7" fillId="0" borderId="159" xfId="71" applyBorder="1" applyAlignment="1">
      <alignment horizontal="center"/>
      <protection/>
    </xf>
    <xf numFmtId="0" fontId="7" fillId="0" borderId="160" xfId="71" applyBorder="1">
      <alignment/>
      <protection/>
    </xf>
    <xf numFmtId="0" fontId="7" fillId="0" borderId="161" xfId="71" applyBorder="1">
      <alignment/>
      <protection/>
    </xf>
    <xf numFmtId="0" fontId="10" fillId="0" borderId="153" xfId="71" applyFont="1" applyBorder="1">
      <alignment/>
      <protection/>
    </xf>
    <xf numFmtId="0" fontId="7" fillId="0" borderId="75" xfId="71" applyBorder="1">
      <alignment/>
      <protection/>
    </xf>
    <xf numFmtId="0" fontId="7" fillId="0" borderId="162" xfId="71" applyBorder="1">
      <alignment/>
      <protection/>
    </xf>
    <xf numFmtId="0" fontId="10" fillId="0" borderId="163" xfId="71" applyFont="1" applyBorder="1">
      <alignment/>
      <protection/>
    </xf>
    <xf numFmtId="0" fontId="10" fillId="0" borderId="16" xfId="71" applyFont="1" applyBorder="1" applyAlignment="1">
      <alignment horizontal="center"/>
      <protection/>
    </xf>
    <xf numFmtId="0" fontId="7" fillId="0" borderId="16" xfId="71" applyBorder="1">
      <alignment/>
      <protection/>
    </xf>
    <xf numFmtId="0" fontId="7" fillId="0" borderId="164" xfId="71" applyBorder="1">
      <alignment/>
      <protection/>
    </xf>
    <xf numFmtId="0" fontId="7" fillId="0" borderId="165" xfId="71" applyBorder="1" applyAlignment="1">
      <alignment horizontal="center"/>
      <protection/>
    </xf>
    <xf numFmtId="0" fontId="7" fillId="0" borderId="147" xfId="71" applyBorder="1" applyAlignment="1">
      <alignment horizontal="center"/>
      <protection/>
    </xf>
    <xf numFmtId="0" fontId="10" fillId="0" borderId="59" xfId="71" applyFont="1" applyBorder="1">
      <alignment/>
      <protection/>
    </xf>
    <xf numFmtId="192" fontId="10" fillId="0" borderId="53" xfId="71" applyNumberFormat="1" applyFont="1" applyBorder="1">
      <alignment/>
      <protection/>
    </xf>
    <xf numFmtId="192" fontId="10" fillId="0" borderId="0" xfId="71" applyNumberFormat="1" applyFont="1">
      <alignment/>
      <protection/>
    </xf>
    <xf numFmtId="0" fontId="6" fillId="0" borderId="147" xfId="71" applyFont="1" applyBorder="1" applyAlignment="1">
      <alignment horizontal="center"/>
      <protection/>
    </xf>
    <xf numFmtId="192" fontId="7" fillId="0" borderId="53" xfId="71" applyNumberFormat="1" applyBorder="1">
      <alignment/>
      <protection/>
    </xf>
    <xf numFmtId="192" fontId="7" fillId="0" borderId="0" xfId="71" applyNumberFormat="1">
      <alignment/>
      <protection/>
    </xf>
    <xf numFmtId="0" fontId="7" fillId="0" borderId="166" xfId="71" applyBorder="1" applyAlignment="1">
      <alignment horizontal="center"/>
      <protection/>
    </xf>
    <xf numFmtId="0" fontId="7" fillId="0" borderId="8" xfId="71" applyBorder="1" applyAlignment="1">
      <alignment horizontal="center"/>
      <protection/>
    </xf>
    <xf numFmtId="0" fontId="7" fillId="0" borderId="167" xfId="71" applyBorder="1" applyAlignment="1">
      <alignment horizontal="center"/>
      <protection/>
    </xf>
    <xf numFmtId="0" fontId="7" fillId="0" borderId="168" xfId="71" applyBorder="1" applyAlignment="1">
      <alignment horizontal="center"/>
      <protection/>
    </xf>
    <xf numFmtId="1" fontId="10" fillId="50" borderId="8" xfId="83" applyNumberFormat="1" applyFont="1" applyFill="1" applyAlignment="1">
      <alignment horizontal="center"/>
      <protection locked="0"/>
    </xf>
    <xf numFmtId="177" fontId="31" fillId="0" borderId="35" xfId="51" applyFont="1" applyFill="1" applyBorder="1" applyAlignment="1">
      <alignment horizontal="center"/>
    </xf>
    <xf numFmtId="192" fontId="6" fillId="0" borderId="169" xfId="51" applyNumberFormat="1" applyFont="1" applyFill="1" applyBorder="1" applyAlignment="1">
      <alignment horizontal="center"/>
    </xf>
    <xf numFmtId="0" fontId="7" fillId="0" borderId="170" xfId="71" applyBorder="1" applyAlignment="1">
      <alignment horizontal="center"/>
      <protection/>
    </xf>
    <xf numFmtId="0" fontId="10" fillId="0" borderId="55" xfId="71" applyFont="1" applyBorder="1">
      <alignment/>
      <protection/>
    </xf>
    <xf numFmtId="5" fontId="7" fillId="0" borderId="0" xfId="45" applyNumberFormat="1" applyFont="1" applyAlignment="1">
      <alignment/>
    </xf>
    <xf numFmtId="192" fontId="5" fillId="0" borderId="171" xfId="0" applyNumberFormat="1" applyFont="1" applyBorder="1" applyAlignment="1">
      <alignment horizontal="right" vertical="top"/>
    </xf>
    <xf numFmtId="192" fontId="5" fillId="0" borderId="0" xfId="0" applyNumberFormat="1" applyFont="1" applyAlignment="1">
      <alignment horizontal="right" vertical="top"/>
    </xf>
    <xf numFmtId="0" fontId="40" fillId="0" borderId="163" xfId="71" applyFont="1" applyBorder="1" applyAlignment="1">
      <alignment horizontal="left"/>
      <protection/>
    </xf>
    <xf numFmtId="1" fontId="28" fillId="0" borderId="172" xfId="71" applyNumberFormat="1" applyFont="1" applyBorder="1" applyAlignment="1">
      <alignment horizontal="center"/>
      <protection/>
    </xf>
    <xf numFmtId="0" fontId="40" fillId="0" borderId="172" xfId="71" applyFont="1" applyBorder="1">
      <alignment/>
      <protection/>
    </xf>
    <xf numFmtId="192" fontId="27" fillId="0" borderId="164" xfId="51" applyNumberFormat="1" applyFont="1" applyFill="1" applyBorder="1" applyAlignment="1">
      <alignment horizontal="center"/>
    </xf>
    <xf numFmtId="0" fontId="7" fillId="0" borderId="0" xfId="71" applyAlignment="1">
      <alignment horizontal="left"/>
      <protection/>
    </xf>
    <xf numFmtId="0" fontId="31" fillId="0" borderId="0" xfId="71" applyFont="1" applyAlignment="1">
      <alignment horizontal="left"/>
      <protection/>
    </xf>
    <xf numFmtId="5" fontId="55" fillId="0" borderId="0" xfId="45" applyNumberFormat="1" applyFont="1" applyAlignment="1">
      <alignment/>
    </xf>
    <xf numFmtId="0" fontId="55" fillId="0" borderId="0" xfId="71" applyFont="1">
      <alignment/>
      <protection/>
    </xf>
    <xf numFmtId="0" fontId="43" fillId="0" borderId="0" xfId="71" applyFont="1">
      <alignment/>
      <protection/>
    </xf>
    <xf numFmtId="0" fontId="31" fillId="0" borderId="0" xfId="71" applyFont="1" applyProtection="1">
      <alignment/>
      <protection locked="0"/>
    </xf>
    <xf numFmtId="177" fontId="43" fillId="0" borderId="0" xfId="71" applyNumberFormat="1" applyFont="1">
      <alignment/>
      <protection/>
    </xf>
    <xf numFmtId="0" fontId="27" fillId="0" borderId="0" xfId="71" applyFont="1">
      <alignment/>
      <protection/>
    </xf>
    <xf numFmtId="200" fontId="28" fillId="50" borderId="8" xfId="83" applyNumberFormat="1" applyFont="1" applyFill="1" applyAlignment="1">
      <alignment horizontal="left"/>
      <protection locked="0"/>
    </xf>
    <xf numFmtId="0" fontId="45" fillId="0" borderId="0" xfId="71" applyFont="1">
      <alignment/>
      <protection/>
    </xf>
    <xf numFmtId="0" fontId="27" fillId="0" borderId="0" xfId="71" applyFont="1" applyAlignment="1">
      <alignment horizontal="right"/>
      <protection/>
    </xf>
    <xf numFmtId="177" fontId="27" fillId="50" borderId="8" xfId="83" applyFont="1" applyFill="1" applyAlignment="1">
      <alignment horizontal="center"/>
      <protection locked="0"/>
    </xf>
    <xf numFmtId="0" fontId="40" fillId="0" borderId="0" xfId="71" applyFont="1" applyAlignment="1" applyProtection="1">
      <alignment horizontal="left"/>
      <protection locked="0"/>
    </xf>
    <xf numFmtId="177" fontId="27" fillId="0" borderId="0" xfId="71" applyNumberFormat="1" applyFont="1" applyAlignment="1">
      <alignment horizontal="left"/>
      <protection/>
    </xf>
    <xf numFmtId="0" fontId="6" fillId="49" borderId="0" xfId="71" applyFont="1" applyFill="1" applyProtection="1">
      <alignment/>
      <protection locked="0"/>
    </xf>
    <xf numFmtId="0" fontId="6" fillId="72" borderId="0" xfId="71" applyFont="1" applyFill="1" applyProtection="1">
      <alignment/>
      <protection locked="0"/>
    </xf>
    <xf numFmtId="0" fontId="27" fillId="0" borderId="0" xfId="71" applyFont="1" applyAlignment="1" applyProtection="1">
      <alignment horizontal="right"/>
      <protection locked="0"/>
    </xf>
    <xf numFmtId="1" fontId="28" fillId="50" borderId="8" xfId="83" applyNumberFormat="1" applyFont="1" applyFill="1" applyAlignment="1">
      <alignment horizontal="center"/>
      <protection locked="0"/>
    </xf>
    <xf numFmtId="0" fontId="31" fillId="0" borderId="0" xfId="71" applyFont="1">
      <alignment/>
      <protection/>
    </xf>
    <xf numFmtId="1" fontId="28" fillId="50" borderId="17" xfId="83" applyNumberFormat="1" applyFont="1" applyFill="1" applyBorder="1" applyAlignment="1">
      <alignment horizontal="center"/>
      <protection locked="0"/>
    </xf>
    <xf numFmtId="0" fontId="6" fillId="34" borderId="0" xfId="71" applyFont="1" applyFill="1" applyProtection="1">
      <alignment/>
      <protection locked="0"/>
    </xf>
    <xf numFmtId="0" fontId="7" fillId="0" borderId="0" xfId="71" applyAlignment="1">
      <alignment horizontal="right"/>
      <protection/>
    </xf>
    <xf numFmtId="0" fontId="36" fillId="0" borderId="0" xfId="71" applyFont="1" applyAlignment="1">
      <alignment horizontal="center"/>
      <protection/>
    </xf>
    <xf numFmtId="0" fontId="40" fillId="0" borderId="0" xfId="71" applyFont="1" applyAlignment="1" applyProtection="1">
      <alignment horizontal="center"/>
      <protection locked="0"/>
    </xf>
    <xf numFmtId="14" fontId="40" fillId="0" borderId="0" xfId="71" applyNumberFormat="1" applyFont="1" applyAlignment="1">
      <alignment horizontal="center"/>
      <protection/>
    </xf>
    <xf numFmtId="0" fontId="40" fillId="0" borderId="0" xfId="71" applyFont="1" applyAlignment="1">
      <alignment horizontal="center"/>
      <protection/>
    </xf>
    <xf numFmtId="177" fontId="46" fillId="0" borderId="0" xfId="51" applyFont="1" applyFill="1" applyAlignment="1">
      <alignment horizontal="center"/>
    </xf>
    <xf numFmtId="0" fontId="6" fillId="29" borderId="0" xfId="71" applyFont="1" applyFill="1" applyProtection="1">
      <alignment/>
      <protection locked="0"/>
    </xf>
    <xf numFmtId="192" fontId="10" fillId="0" borderId="8" xfId="83" applyNumberFormat="1" applyFont="1" applyFill="1">
      <alignment horizontal="right"/>
      <protection locked="0"/>
    </xf>
    <xf numFmtId="192" fontId="6" fillId="0" borderId="0" xfId="51" applyNumberFormat="1" applyFont="1" applyFill="1" applyAlignment="1">
      <alignment/>
    </xf>
    <xf numFmtId="0" fontId="27" fillId="50" borderId="8" xfId="83" applyNumberFormat="1" applyFont="1" applyFill="1" applyAlignment="1">
      <alignment horizontal="left"/>
      <protection locked="0"/>
    </xf>
    <xf numFmtId="37" fontId="27" fillId="0" borderId="8" xfId="83" applyNumberFormat="1" applyFont="1" applyFill="1" applyAlignment="1">
      <alignment horizontal="left"/>
      <protection locked="0"/>
    </xf>
    <xf numFmtId="0" fontId="47" fillId="0" borderId="0" xfId="71" applyFont="1" applyProtection="1">
      <alignment/>
      <protection locked="0"/>
    </xf>
    <xf numFmtId="192" fontId="10" fillId="0" borderId="0" xfId="51" applyNumberFormat="1" applyFont="1" applyFill="1" applyAlignment="1">
      <alignment/>
    </xf>
    <xf numFmtId="192" fontId="31" fillId="0" borderId="0" xfId="51" applyNumberFormat="1" applyFont="1" applyFill="1" applyAlignment="1">
      <alignment/>
    </xf>
    <xf numFmtId="192" fontId="31" fillId="0" borderId="0" xfId="71" applyNumberFormat="1" applyFont="1" applyProtection="1">
      <alignment/>
      <protection locked="0"/>
    </xf>
    <xf numFmtId="192" fontId="40" fillId="0" borderId="0" xfId="51" applyNumberFormat="1" applyFont="1" applyFill="1" applyAlignment="1">
      <alignment/>
    </xf>
    <xf numFmtId="192" fontId="10" fillId="0" borderId="18" xfId="51" applyNumberFormat="1" applyFont="1" applyFill="1" applyBorder="1" applyAlignment="1" applyProtection="1">
      <alignment/>
      <protection locked="0"/>
    </xf>
    <xf numFmtId="0" fontId="29" fillId="0" borderId="0" xfId="71" applyFont="1" applyAlignment="1">
      <alignment horizontal="left"/>
      <protection/>
    </xf>
    <xf numFmtId="37" fontId="27" fillId="0" borderId="0" xfId="83" applyNumberFormat="1" applyFont="1" applyFill="1" applyBorder="1" applyAlignment="1">
      <alignment horizontal="left"/>
      <protection locked="0"/>
    </xf>
    <xf numFmtId="5" fontId="10" fillId="0" borderId="8" xfId="83" applyNumberFormat="1" applyFont="1" applyFill="1">
      <alignment horizontal="right"/>
      <protection locked="0"/>
    </xf>
    <xf numFmtId="0" fontId="31" fillId="29" borderId="0" xfId="71" applyFont="1" applyFill="1">
      <alignment/>
      <protection/>
    </xf>
    <xf numFmtId="192" fontId="36" fillId="0" borderId="0" xfId="71" applyNumberFormat="1" applyFont="1">
      <alignment/>
      <protection/>
    </xf>
    <xf numFmtId="192" fontId="5" fillId="0" borderId="0" xfId="71" applyNumberFormat="1" applyFont="1">
      <alignment/>
      <protection/>
    </xf>
    <xf numFmtId="177" fontId="27" fillId="0" borderId="0" xfId="83" applyFont="1" applyFill="1" applyBorder="1">
      <alignment horizontal="right"/>
      <protection locked="0"/>
    </xf>
    <xf numFmtId="192" fontId="40" fillId="0" borderId="0" xfId="71" applyNumberFormat="1" applyFont="1" applyProtection="1">
      <alignment/>
      <protection locked="0"/>
    </xf>
    <xf numFmtId="0" fontId="31" fillId="49" borderId="0" xfId="71" applyFont="1" applyFill="1">
      <alignment/>
      <protection/>
    </xf>
    <xf numFmtId="201" fontId="31" fillId="0" borderId="0" xfId="71" applyNumberFormat="1" applyFont="1" applyProtection="1">
      <alignment/>
      <protection locked="0"/>
    </xf>
    <xf numFmtId="201" fontId="31" fillId="0" borderId="0" xfId="71" applyNumberFormat="1" applyFont="1">
      <alignment/>
      <protection/>
    </xf>
    <xf numFmtId="192" fontId="27" fillId="0" borderId="16" xfId="51" applyNumberFormat="1" applyFont="1" applyFill="1" applyBorder="1" applyAlignment="1">
      <alignment horizontal="right"/>
    </xf>
    <xf numFmtId="192" fontId="44" fillId="0" borderId="0" xfId="51" applyNumberFormat="1" applyFont="1" applyFill="1" applyAlignment="1">
      <alignment/>
    </xf>
    <xf numFmtId="0" fontId="29" fillId="0" borderId="24" xfId="71" applyFont="1" applyBorder="1">
      <alignment/>
      <protection/>
    </xf>
    <xf numFmtId="0" fontId="31" fillId="0" borderId="19" xfId="71" applyFont="1" applyBorder="1" applyProtection="1">
      <alignment/>
      <protection locked="0"/>
    </xf>
    <xf numFmtId="192" fontId="10" fillId="0" borderId="18" xfId="71" applyNumberFormat="1" applyFont="1" applyBorder="1" applyProtection="1">
      <alignment/>
      <protection locked="0"/>
    </xf>
    <xf numFmtId="192" fontId="10" fillId="50" borderId="0" xfId="71" applyNumberFormat="1" applyFont="1" applyFill="1" applyProtection="1">
      <alignment/>
      <protection locked="0"/>
    </xf>
    <xf numFmtId="192" fontId="10" fillId="66" borderId="0" xfId="71" applyNumberFormat="1" applyFont="1" applyFill="1" applyProtection="1">
      <alignment/>
      <protection locked="0"/>
    </xf>
    <xf numFmtId="192" fontId="29" fillId="0" borderId="8" xfId="51" applyNumberFormat="1" applyFont="1" applyFill="1" applyBorder="1" applyAlignment="1">
      <alignment horizontal="center"/>
    </xf>
    <xf numFmtId="192" fontId="44" fillId="0" borderId="0" xfId="51" applyNumberFormat="1" applyFont="1" applyFill="1" applyAlignment="1" applyProtection="1">
      <alignment/>
      <protection locked="0"/>
    </xf>
    <xf numFmtId="37" fontId="27" fillId="50" borderId="0" xfId="83" applyNumberFormat="1" applyFont="1" applyFill="1" applyBorder="1" applyAlignment="1">
      <alignment horizontal="left"/>
      <protection locked="0"/>
    </xf>
    <xf numFmtId="0" fontId="7" fillId="0" borderId="0" xfId="71" applyProtection="1">
      <alignment/>
      <protection locked="0"/>
    </xf>
    <xf numFmtId="192" fontId="29" fillId="0" borderId="17" xfId="51" applyNumberFormat="1" applyFont="1" applyFill="1" applyBorder="1" applyAlignment="1">
      <alignment horizontal="center"/>
    </xf>
    <xf numFmtId="192" fontId="29" fillId="0" borderId="17" xfId="51" applyNumberFormat="1" applyFont="1" applyFill="1" applyBorder="1" applyAlignment="1" applyProtection="1">
      <alignment horizontal="center"/>
      <protection locked="0"/>
    </xf>
    <xf numFmtId="192" fontId="10" fillId="0" borderId="0" xfId="51" applyNumberFormat="1" applyFont="1" applyFill="1" applyAlignment="1" applyProtection="1">
      <alignment/>
      <protection locked="0"/>
    </xf>
    <xf numFmtId="192" fontId="28" fillId="0" borderId="12" xfId="51" applyNumberFormat="1" applyFont="1" applyFill="1" applyBorder="1" applyAlignment="1">
      <alignment horizontal="right"/>
    </xf>
    <xf numFmtId="192" fontId="28" fillId="0" borderId="0" xfId="51" applyNumberFormat="1" applyFont="1" applyFill="1" applyAlignment="1">
      <alignment/>
    </xf>
    <xf numFmtId="192" fontId="29" fillId="0" borderId="0" xfId="51" applyNumberFormat="1" applyFont="1" applyFill="1" applyAlignment="1">
      <alignment/>
    </xf>
    <xf numFmtId="0" fontId="40" fillId="0" borderId="0" xfId="71" applyFont="1">
      <alignment/>
      <protection/>
    </xf>
    <xf numFmtId="177" fontId="10" fillId="0" borderId="0" xfId="51" applyFont="1" applyFill="1" applyAlignment="1">
      <alignment/>
    </xf>
    <xf numFmtId="177" fontId="27" fillId="0" borderId="0" xfId="51" applyFont="1" applyFill="1" applyAlignment="1">
      <alignment/>
    </xf>
    <xf numFmtId="177" fontId="29" fillId="0" borderId="0" xfId="51" applyFont="1" applyFill="1" applyAlignment="1">
      <alignment/>
    </xf>
    <xf numFmtId="177" fontId="28" fillId="0" borderId="8" xfId="51" applyFont="1" applyFill="1" applyBorder="1" applyAlignment="1">
      <alignment horizontal="right"/>
    </xf>
    <xf numFmtId="177" fontId="6" fillId="0" borderId="0" xfId="51" applyFont="1" applyFill="1" applyAlignment="1">
      <alignment/>
    </xf>
    <xf numFmtId="5" fontId="40" fillId="0" borderId="0" xfId="50" applyFont="1" applyAlignment="1">
      <alignment horizontal="right"/>
    </xf>
    <xf numFmtId="0" fontId="40" fillId="0" borderId="0" xfId="50" applyNumberFormat="1" applyFont="1" applyAlignment="1">
      <alignment horizontal="left"/>
    </xf>
    <xf numFmtId="177" fontId="28" fillId="0" borderId="0" xfId="51" applyFont="1" applyFill="1" applyAlignment="1">
      <alignment/>
    </xf>
    <xf numFmtId="0" fontId="31" fillId="0" borderId="159" xfId="71" applyFont="1" applyBorder="1">
      <alignment/>
      <protection/>
    </xf>
    <xf numFmtId="0" fontId="31" fillId="0" borderId="160" xfId="71" applyFont="1" applyBorder="1">
      <alignment/>
      <protection/>
    </xf>
    <xf numFmtId="177" fontId="31" fillId="0" borderId="160" xfId="51" applyFont="1" applyFill="1" applyBorder="1" applyAlignment="1">
      <alignment/>
    </xf>
    <xf numFmtId="177" fontId="31" fillId="0" borderId="161" xfId="51" applyFont="1" applyFill="1" applyBorder="1" applyAlignment="1">
      <alignment/>
    </xf>
    <xf numFmtId="177" fontId="40" fillId="0" borderId="0" xfId="51" applyFont="1" applyFill="1" applyAlignment="1">
      <alignment horizontal="center"/>
    </xf>
    <xf numFmtId="177" fontId="28" fillId="0" borderId="8" xfId="51" applyFont="1" applyFill="1" applyBorder="1" applyAlignment="1">
      <alignment/>
    </xf>
    <xf numFmtId="0" fontId="31" fillId="0" borderId="165" xfId="71" applyFont="1" applyBorder="1">
      <alignment/>
      <protection/>
    </xf>
    <xf numFmtId="0" fontId="22" fillId="0" borderId="0" xfId="71" applyFont="1">
      <alignment/>
      <protection/>
    </xf>
    <xf numFmtId="177" fontId="10" fillId="0" borderId="0" xfId="51" applyFont="1" applyFill="1" applyAlignment="1">
      <alignment horizontal="center"/>
    </xf>
    <xf numFmtId="177" fontId="27" fillId="0" borderId="147" xfId="51" applyFont="1" applyFill="1" applyBorder="1" applyAlignment="1">
      <alignment horizontal="center"/>
    </xf>
    <xf numFmtId="0" fontId="31" fillId="0" borderId="147" xfId="71" applyFont="1" applyBorder="1">
      <alignment/>
      <protection/>
    </xf>
    <xf numFmtId="177" fontId="27" fillId="0" borderId="0" xfId="51" applyFont="1" applyFill="1" applyAlignment="1">
      <alignment horizontal="center"/>
    </xf>
    <xf numFmtId="9" fontId="28" fillId="0" borderId="8" xfId="76" applyNumberFormat="1" applyFont="1" applyFill="1" applyBorder="1" applyAlignment="1" applyProtection="1">
      <alignment horizontal="right"/>
      <protection locked="0"/>
    </xf>
    <xf numFmtId="177" fontId="27" fillId="0" borderId="59" xfId="51" applyFont="1" applyFill="1" applyBorder="1" applyAlignment="1">
      <alignment/>
    </xf>
    <xf numFmtId="177" fontId="27" fillId="0" borderId="53" xfId="51" applyFont="1" applyFill="1" applyBorder="1" applyAlignment="1">
      <alignment horizontal="center"/>
    </xf>
    <xf numFmtId="177" fontId="29" fillId="0" borderId="0" xfId="51" applyFont="1" applyFill="1" applyAlignment="1">
      <alignment horizontal="right"/>
    </xf>
    <xf numFmtId="10" fontId="27" fillId="0" borderId="8" xfId="75" applyFont="1" applyBorder="1" applyAlignment="1">
      <alignment horizontal="center"/>
    </xf>
    <xf numFmtId="10" fontId="29" fillId="0" borderId="8" xfId="76" applyFont="1" applyFill="1" applyBorder="1" applyAlignment="1" applyProtection="1">
      <alignment horizontal="center"/>
      <protection locked="0"/>
    </xf>
    <xf numFmtId="0" fontId="27" fillId="0" borderId="8" xfId="83" applyNumberFormat="1" applyFont="1" applyFill="1" applyAlignment="1" applyProtection="1">
      <alignment horizontal="center"/>
      <protection/>
    </xf>
    <xf numFmtId="177" fontId="28" fillId="0" borderId="167" xfId="83" applyFont="1" applyFill="1" applyBorder="1">
      <alignment horizontal="right"/>
      <protection locked="0"/>
    </xf>
    <xf numFmtId="177" fontId="28" fillId="0" borderId="0" xfId="51" applyFont="1" applyFill="1" applyAlignment="1">
      <alignment horizontal="right"/>
    </xf>
    <xf numFmtId="0" fontId="36" fillId="66" borderId="11" xfId="71" applyFont="1" applyFill="1" applyBorder="1">
      <alignment/>
      <protection/>
    </xf>
    <xf numFmtId="0" fontId="27" fillId="66" borderId="8" xfId="83" applyNumberFormat="1" applyFont="1" applyFill="1" applyAlignment="1">
      <alignment horizontal="center"/>
      <protection locked="0"/>
    </xf>
    <xf numFmtId="177" fontId="28" fillId="66" borderId="167" xfId="83" applyFont="1" applyFill="1" applyBorder="1">
      <alignment horizontal="right"/>
      <protection locked="0"/>
    </xf>
    <xf numFmtId="10" fontId="28" fillId="0" borderId="8" xfId="76" applyFont="1" applyFill="1" applyBorder="1" applyAlignment="1">
      <alignment horizontal="right"/>
    </xf>
    <xf numFmtId="10" fontId="28" fillId="0" borderId="8" xfId="76" applyFont="1" applyFill="1" applyBorder="1" applyAlignment="1" applyProtection="1">
      <alignment horizontal="right"/>
      <protection locked="0"/>
    </xf>
    <xf numFmtId="177" fontId="6" fillId="0" borderId="0" xfId="51" applyFont="1" applyFill="1" applyAlignment="1">
      <alignment horizontal="center"/>
    </xf>
    <xf numFmtId="0" fontId="48" fillId="0" borderId="53" xfId="71" applyFont="1" applyBorder="1">
      <alignment/>
      <protection/>
    </xf>
    <xf numFmtId="177" fontId="28" fillId="0" borderId="54" xfId="71" applyNumberFormat="1" applyFont="1" applyBorder="1">
      <alignment/>
      <protection/>
    </xf>
    <xf numFmtId="177" fontId="31" fillId="0" borderId="53" xfId="51" applyFont="1" applyFill="1" applyBorder="1" applyAlignment="1">
      <alignment/>
    </xf>
    <xf numFmtId="10" fontId="28" fillId="50" borderId="18" xfId="76" applyFont="1" applyFill="1" applyBorder="1" applyAlignment="1" applyProtection="1">
      <alignment horizontal="left"/>
      <protection locked="0"/>
    </xf>
    <xf numFmtId="177" fontId="28" fillId="0" borderId="0" xfId="51" applyFont="1" applyFill="1" applyAlignment="1" applyProtection="1">
      <alignment/>
      <protection locked="0"/>
    </xf>
    <xf numFmtId="177" fontId="43" fillId="0" borderId="0" xfId="51" applyFont="1" applyFill="1" applyAlignment="1">
      <alignment/>
    </xf>
    <xf numFmtId="177" fontId="49" fillId="0" borderId="16" xfId="51" applyFont="1" applyFill="1" applyBorder="1" applyAlignment="1">
      <alignment horizontal="right"/>
    </xf>
    <xf numFmtId="199" fontId="28" fillId="50" borderId="18" xfId="83" applyNumberFormat="1" applyFont="1" applyFill="1" applyBorder="1" applyAlignment="1">
      <alignment horizontal="left"/>
      <protection locked="0"/>
    </xf>
    <xf numFmtId="0" fontId="48" fillId="0" borderId="0" xfId="71" applyFont="1">
      <alignment/>
      <protection/>
    </xf>
    <xf numFmtId="177" fontId="28" fillId="0" borderId="153" xfId="51" applyFont="1" applyFill="1" applyBorder="1" applyAlignment="1">
      <alignment/>
    </xf>
    <xf numFmtId="177" fontId="31" fillId="0" borderId="75" xfId="51" applyFont="1" applyFill="1" applyBorder="1" applyAlignment="1">
      <alignment/>
    </xf>
    <xf numFmtId="192" fontId="27" fillId="0" borderId="162" xfId="48" applyNumberFormat="1" applyFont="1" applyFill="1" applyBorder="1" applyAlignment="1">
      <alignment horizontal="center"/>
    </xf>
    <xf numFmtId="3" fontId="48" fillId="29" borderId="53" xfId="48" applyNumberFormat="1" applyFont="1" applyBorder="1" applyAlignment="1">
      <alignment/>
    </xf>
    <xf numFmtId="177" fontId="28" fillId="0" borderId="59" xfId="51" applyFont="1" applyFill="1" applyBorder="1" applyAlignment="1">
      <alignment/>
    </xf>
    <xf numFmtId="177" fontId="28" fillId="0" borderId="55" xfId="51" applyFont="1" applyFill="1" applyBorder="1" applyAlignment="1">
      <alignment/>
    </xf>
    <xf numFmtId="177" fontId="31" fillId="0" borderId="56" xfId="51" applyFont="1" applyFill="1" applyBorder="1" applyAlignment="1">
      <alignment/>
    </xf>
    <xf numFmtId="192" fontId="27" fillId="0" borderId="57" xfId="51" applyNumberFormat="1" applyFont="1" applyFill="1" applyBorder="1" applyAlignment="1">
      <alignment horizontal="center"/>
    </xf>
    <xf numFmtId="177" fontId="43" fillId="44" borderId="0" xfId="72" applyNumberFormat="1" applyFont="1" applyFill="1">
      <alignment/>
      <protection/>
    </xf>
    <xf numFmtId="177" fontId="31" fillId="44" borderId="0" xfId="52" applyFont="1" applyFill="1" applyAlignment="1">
      <alignment/>
    </xf>
    <xf numFmtId="177" fontId="46" fillId="44" borderId="0" xfId="52" applyFont="1" applyFill="1" applyAlignment="1">
      <alignment horizontal="center"/>
    </xf>
    <xf numFmtId="0" fontId="36" fillId="44" borderId="0" xfId="72" applyFont="1" applyFill="1" applyAlignment="1">
      <alignment horizontal="center"/>
      <protection/>
    </xf>
    <xf numFmtId="177" fontId="10" fillId="50" borderId="8" xfId="84" applyFont="1" applyFill="1">
      <alignment horizontal="right"/>
      <protection locked="0"/>
    </xf>
    <xf numFmtId="177" fontId="10" fillId="44" borderId="8" xfId="84" applyFont="1" applyFill="1">
      <alignment horizontal="right"/>
      <protection locked="0"/>
    </xf>
    <xf numFmtId="177" fontId="10" fillId="44" borderId="0" xfId="52" applyFont="1" applyFill="1" applyAlignment="1">
      <alignment/>
    </xf>
    <xf numFmtId="177" fontId="29" fillId="44" borderId="8" xfId="84" applyFont="1" applyFill="1">
      <alignment horizontal="right"/>
      <protection locked="0"/>
    </xf>
    <xf numFmtId="0" fontId="29" fillId="0" borderId="0" xfId="71" applyFont="1" applyAlignment="1">
      <alignment horizontal="left" indent="2"/>
      <protection/>
    </xf>
    <xf numFmtId="177" fontId="29" fillId="44" borderId="0" xfId="84" applyFont="1" applyFill="1" applyBorder="1">
      <alignment horizontal="right"/>
      <protection locked="0"/>
    </xf>
    <xf numFmtId="177" fontId="27" fillId="44" borderId="0" xfId="84" applyFont="1" applyFill="1" applyBorder="1">
      <alignment horizontal="right"/>
      <protection locked="0"/>
    </xf>
    <xf numFmtId="177" fontId="10" fillId="44" borderId="0" xfId="52" applyFont="1" applyFill="1" applyAlignment="1" applyProtection="1">
      <alignment/>
      <protection locked="0"/>
    </xf>
    <xf numFmtId="192" fontId="10" fillId="44" borderId="8" xfId="84" applyNumberFormat="1" applyFont="1" applyFill="1">
      <alignment horizontal="right"/>
      <protection locked="0"/>
    </xf>
    <xf numFmtId="177" fontId="10" fillId="44" borderId="16" xfId="52" applyFont="1" applyFill="1" applyBorder="1" applyAlignment="1">
      <alignment horizontal="right"/>
    </xf>
    <xf numFmtId="177" fontId="28" fillId="44" borderId="0" xfId="52" applyFont="1" applyFill="1" applyAlignment="1">
      <alignment/>
    </xf>
    <xf numFmtId="177" fontId="27" fillId="44" borderId="8" xfId="52" applyFont="1" applyFill="1" applyBorder="1" applyAlignment="1">
      <alignment horizontal="center"/>
    </xf>
    <xf numFmtId="177" fontId="44" fillId="44" borderId="0" xfId="52" applyFont="1" applyFill="1" applyAlignment="1">
      <alignment/>
    </xf>
    <xf numFmtId="37" fontId="27" fillId="0" borderId="18" xfId="83" applyNumberFormat="1" applyFont="1" applyFill="1" applyBorder="1" applyAlignment="1">
      <alignment horizontal="left"/>
      <protection locked="0"/>
    </xf>
    <xf numFmtId="177" fontId="10" fillId="44" borderId="173" xfId="84" applyFont="1" applyFill="1" applyBorder="1">
      <alignment horizontal="right"/>
      <protection locked="0"/>
    </xf>
    <xf numFmtId="177" fontId="27" fillId="44" borderId="12" xfId="52" applyFont="1" applyFill="1" applyBorder="1" applyAlignment="1">
      <alignment horizontal="right"/>
    </xf>
    <xf numFmtId="177" fontId="27" fillId="44" borderId="0" xfId="52" applyFont="1" applyFill="1" applyAlignment="1">
      <alignment/>
    </xf>
    <xf numFmtId="177" fontId="31" fillId="29" borderId="0" xfId="52" applyFont="1" applyAlignment="1" applyProtection="1">
      <alignment/>
      <protection locked="0"/>
    </xf>
    <xf numFmtId="0" fontId="22" fillId="0" borderId="0" xfId="72" applyFont="1">
      <alignment/>
      <protection/>
    </xf>
    <xf numFmtId="0" fontId="51" fillId="0" borderId="0" xfId="72" applyFont="1" applyProtection="1">
      <alignment/>
      <protection locked="0"/>
    </xf>
    <xf numFmtId="0" fontId="22" fillId="0" borderId="0" xfId="72" applyFont="1" applyAlignment="1">
      <alignment horizontal="center"/>
      <protection/>
    </xf>
    <xf numFmtId="0" fontId="52" fillId="0" borderId="0" xfId="72" applyFont="1">
      <alignment/>
      <protection/>
    </xf>
    <xf numFmtId="0" fontId="53" fillId="0" borderId="0" xfId="72" applyFont="1">
      <alignment/>
      <protection/>
    </xf>
    <xf numFmtId="0" fontId="49" fillId="0" borderId="0" xfId="72" applyFont="1" applyAlignment="1">
      <alignment horizontal="center"/>
      <protection/>
    </xf>
    <xf numFmtId="0" fontId="49" fillId="0" borderId="0" xfId="72" applyFont="1">
      <alignment/>
      <protection/>
    </xf>
    <xf numFmtId="0" fontId="22" fillId="0" borderId="159" xfId="72" applyFont="1" applyBorder="1">
      <alignment/>
      <protection/>
    </xf>
    <xf numFmtId="0" fontId="54" fillId="0" borderId="160" xfId="72" applyFont="1" applyBorder="1" applyAlignment="1" applyProtection="1">
      <alignment horizontal="left"/>
      <protection locked="0"/>
    </xf>
    <xf numFmtId="0" fontId="22" fillId="0" borderId="160" xfId="72" applyFont="1" applyBorder="1">
      <alignment/>
      <protection/>
    </xf>
    <xf numFmtId="0" fontId="22" fillId="0" borderId="160" xfId="72" applyFont="1" applyBorder="1" applyAlignment="1">
      <alignment horizontal="center"/>
      <protection/>
    </xf>
    <xf numFmtId="0" fontId="22" fillId="0" borderId="161" xfId="72" applyFont="1" applyBorder="1">
      <alignment/>
      <protection/>
    </xf>
    <xf numFmtId="0" fontId="22" fillId="0" borderId="165" xfId="72" applyFont="1" applyBorder="1">
      <alignment/>
      <protection/>
    </xf>
    <xf numFmtId="0" fontId="162" fillId="0" borderId="0" xfId="72" applyFont="1">
      <alignment/>
      <protection/>
    </xf>
    <xf numFmtId="0" fontId="22" fillId="0" borderId="147" xfId="72" applyFont="1" applyBorder="1">
      <alignment/>
      <protection/>
    </xf>
    <xf numFmtId="0" fontId="54" fillId="0" borderId="0" xfId="72" applyFont="1" applyAlignment="1" applyProtection="1">
      <alignment horizontal="left"/>
      <protection locked="0"/>
    </xf>
    <xf numFmtId="0" fontId="53" fillId="0" borderId="165" xfId="72" applyFont="1" applyBorder="1">
      <alignment/>
      <protection/>
    </xf>
    <xf numFmtId="0" fontId="53" fillId="68" borderId="28" xfId="72" applyFont="1" applyFill="1" applyBorder="1">
      <alignment/>
      <protection/>
    </xf>
    <xf numFmtId="0" fontId="22" fillId="0" borderId="0" xfId="71" applyFont="1" applyAlignment="1">
      <alignment horizontal="right"/>
      <protection/>
    </xf>
    <xf numFmtId="177" fontId="22" fillId="66" borderId="8" xfId="83" applyFont="1" applyFill="1" applyAlignment="1">
      <alignment horizontal="center"/>
      <protection locked="0"/>
    </xf>
    <xf numFmtId="0" fontId="22" fillId="0" borderId="0" xfId="71" applyFont="1" applyAlignment="1" applyProtection="1">
      <alignment horizontal="left"/>
      <protection locked="0"/>
    </xf>
    <xf numFmtId="0" fontId="53" fillId="0" borderId="53" xfId="72" applyFont="1" applyBorder="1">
      <alignment/>
      <protection/>
    </xf>
    <xf numFmtId="0" fontId="94" fillId="29" borderId="0" xfId="72" applyFont="1" applyFill="1">
      <alignment/>
      <protection/>
    </xf>
    <xf numFmtId="0" fontId="53" fillId="29" borderId="0" xfId="72" applyFont="1" applyFill="1">
      <alignment/>
      <protection/>
    </xf>
    <xf numFmtId="0" fontId="53" fillId="68" borderId="18" xfId="72" applyFont="1" applyFill="1" applyBorder="1">
      <alignment/>
      <protection/>
    </xf>
    <xf numFmtId="0" fontId="22" fillId="0" borderId="53" xfId="72" applyFont="1" applyBorder="1">
      <alignment/>
      <protection/>
    </xf>
    <xf numFmtId="1" fontId="22" fillId="0" borderId="0" xfId="72" applyNumberFormat="1" applyFont="1" applyAlignment="1">
      <alignment horizontal="center"/>
      <protection/>
    </xf>
    <xf numFmtId="1" fontId="22" fillId="0" borderId="8" xfId="72" applyNumberFormat="1" applyFont="1" applyBorder="1" applyAlignment="1">
      <alignment horizontal="center"/>
      <protection/>
    </xf>
    <xf numFmtId="0" fontId="22" fillId="0" borderId="0" xfId="72" applyFont="1" applyAlignment="1">
      <alignment horizontal="right"/>
      <protection/>
    </xf>
    <xf numFmtId="1" fontId="22" fillId="0" borderId="11" xfId="72" applyNumberFormat="1" applyFont="1" applyBorder="1" applyAlignment="1">
      <alignment horizontal="center"/>
      <protection/>
    </xf>
    <xf numFmtId="0" fontId="22" fillId="0" borderId="0" xfId="72" applyFont="1" quotePrefix="1">
      <alignment/>
      <protection/>
    </xf>
    <xf numFmtId="177" fontId="22" fillId="0" borderId="53" xfId="72" applyNumberFormat="1" applyFont="1" applyBorder="1">
      <alignment/>
      <protection/>
    </xf>
    <xf numFmtId="0" fontId="49" fillId="0" borderId="165" xfId="72" applyFont="1" applyBorder="1">
      <alignment/>
      <protection/>
    </xf>
    <xf numFmtId="0" fontId="22" fillId="29" borderId="0" xfId="72" applyFont="1" applyFill="1" applyAlignment="1">
      <alignment horizontal="right"/>
      <protection/>
    </xf>
    <xf numFmtId="4" fontId="22" fillId="29" borderId="0" xfId="72" applyNumberFormat="1" applyFont="1" applyFill="1">
      <alignment/>
      <protection/>
    </xf>
    <xf numFmtId="4" fontId="52" fillId="29" borderId="0" xfId="72" applyNumberFormat="1" applyFont="1" applyFill="1">
      <alignment/>
      <protection/>
    </xf>
    <xf numFmtId="4" fontId="22" fillId="0" borderId="0" xfId="72" applyNumberFormat="1" applyFont="1">
      <alignment/>
      <protection/>
    </xf>
    <xf numFmtId="4" fontId="7" fillId="0" borderId="147" xfId="72" applyNumberFormat="1" applyBorder="1">
      <alignment/>
      <protection/>
    </xf>
    <xf numFmtId="0" fontId="22" fillId="0" borderId="12" xfId="72" applyFont="1" applyBorder="1">
      <alignment/>
      <protection/>
    </xf>
    <xf numFmtId="0" fontId="22" fillId="0" borderId="12" xfId="72" applyFont="1" applyBorder="1" applyAlignment="1">
      <alignment horizontal="center"/>
      <protection/>
    </xf>
    <xf numFmtId="2" fontId="22" fillId="0" borderId="12" xfId="72" applyNumberFormat="1" applyFont="1" applyBorder="1" applyAlignment="1">
      <alignment horizontal="center"/>
      <protection/>
    </xf>
    <xf numFmtId="1" fontId="22" fillId="0" borderId="16" xfId="72" applyNumberFormat="1" applyFont="1" applyBorder="1" applyAlignment="1">
      <alignment horizontal="center"/>
      <protection/>
    </xf>
    <xf numFmtId="9" fontId="22" fillId="0" borderId="147" xfId="72" applyNumberFormat="1" applyFont="1" applyBorder="1" applyAlignment="1">
      <alignment horizontal="center"/>
      <protection/>
    </xf>
    <xf numFmtId="7" fontId="0" fillId="0" borderId="163" xfId="45" applyBorder="1" applyAlignment="1">
      <alignment/>
    </xf>
    <xf numFmtId="7" fontId="0" fillId="0" borderId="16" xfId="45" applyBorder="1" applyAlignment="1">
      <alignment horizontal="center"/>
    </xf>
    <xf numFmtId="7" fontId="0" fillId="0" borderId="16" xfId="45" applyBorder="1" applyAlignment="1">
      <alignment/>
    </xf>
    <xf numFmtId="7" fontId="0" fillId="0" borderId="164" xfId="45" applyBorder="1" applyAlignment="1">
      <alignment/>
    </xf>
    <xf numFmtId="7" fontId="0" fillId="29" borderId="0" xfId="45" applyFill="1" applyAlignment="1">
      <alignment/>
    </xf>
    <xf numFmtId="0" fontId="54" fillId="0" borderId="0" xfId="72" applyFont="1" applyProtection="1">
      <alignment/>
      <protection locked="0"/>
    </xf>
    <xf numFmtId="1" fontId="22" fillId="0" borderId="0" xfId="72" applyNumberFormat="1" applyFont="1">
      <alignment/>
      <protection/>
    </xf>
    <xf numFmtId="0" fontId="22" fillId="0" borderId="16" xfId="72" applyFont="1" applyBorder="1">
      <alignment/>
      <protection/>
    </xf>
    <xf numFmtId="2" fontId="22" fillId="0" borderId="8" xfId="72" applyNumberFormat="1" applyFont="1" applyBorder="1" applyAlignment="1">
      <alignment horizontal="center"/>
      <protection/>
    </xf>
    <xf numFmtId="2" fontId="22" fillId="0" borderId="11" xfId="72" applyNumberFormat="1" applyFont="1" applyBorder="1" applyAlignment="1">
      <alignment horizontal="center"/>
      <protection/>
    </xf>
    <xf numFmtId="0" fontId="49" fillId="0" borderId="147" xfId="72" applyFont="1" applyBorder="1">
      <alignment/>
      <protection/>
    </xf>
    <xf numFmtId="0" fontId="49" fillId="0" borderId="53" xfId="72" applyFont="1" applyBorder="1">
      <alignment/>
      <protection/>
    </xf>
    <xf numFmtId="2" fontId="22" fillId="0" borderId="16" xfId="72" applyNumberFormat="1" applyFont="1" applyBorder="1" applyAlignment="1">
      <alignment horizontal="center"/>
      <protection/>
    </xf>
    <xf numFmtId="0" fontId="22" fillId="0" borderId="16" xfId="72" applyFont="1" applyBorder="1" applyAlignment="1">
      <alignment horizontal="left"/>
      <protection/>
    </xf>
    <xf numFmtId="0" fontId="49" fillId="0" borderId="16" xfId="72" applyFont="1" applyBorder="1">
      <alignment/>
      <protection/>
    </xf>
    <xf numFmtId="0" fontId="49" fillId="0" borderId="163" xfId="72" applyFont="1" applyBorder="1">
      <alignment/>
      <protection/>
    </xf>
    <xf numFmtId="0" fontId="49" fillId="0" borderId="16" xfId="72" applyFont="1" applyBorder="1" applyAlignment="1">
      <alignment horizontal="center"/>
      <protection/>
    </xf>
    <xf numFmtId="0" fontId="49" fillId="0" borderId="164" xfId="72" applyFont="1" applyBorder="1">
      <alignment/>
      <protection/>
    </xf>
    <xf numFmtId="0" fontId="22" fillId="34" borderId="0" xfId="72" applyFont="1" applyFill="1" applyAlignment="1">
      <alignment horizontal="center"/>
      <protection/>
    </xf>
    <xf numFmtId="0" fontId="56" fillId="0" borderId="0" xfId="72" applyFont="1" applyAlignment="1" applyProtection="1">
      <alignment horizontal="left"/>
      <protection locked="0"/>
    </xf>
    <xf numFmtId="0" fontId="44" fillId="0" borderId="0" xfId="72" applyFont="1" applyProtection="1">
      <alignment/>
      <protection locked="0"/>
    </xf>
    <xf numFmtId="0" fontId="44" fillId="0" borderId="0" xfId="72" applyFont="1" applyAlignment="1" applyProtection="1">
      <alignment horizontal="center"/>
      <protection locked="0"/>
    </xf>
    <xf numFmtId="0" fontId="55" fillId="0" borderId="0" xfId="72" applyFont="1">
      <alignment/>
      <protection/>
    </xf>
    <xf numFmtId="0" fontId="44" fillId="0" borderId="0" xfId="72" applyFont="1" applyAlignment="1" applyProtection="1">
      <alignment horizontal="left"/>
      <protection locked="0"/>
    </xf>
    <xf numFmtId="0" fontId="28" fillId="0" borderId="0" xfId="72" applyFont="1" applyAlignment="1">
      <alignment horizontal="left"/>
      <protection/>
    </xf>
    <xf numFmtId="0" fontId="28" fillId="0" borderId="0" xfId="72" applyFont="1">
      <alignment/>
      <protection/>
    </xf>
    <xf numFmtId="0" fontId="28" fillId="29" borderId="0" xfId="72" applyFont="1" applyFill="1">
      <alignment/>
      <protection/>
    </xf>
    <xf numFmtId="177" fontId="28" fillId="0" borderId="16" xfId="81" applyFont="1" applyFill="1" applyBorder="1" applyAlignment="1">
      <alignment/>
      <protection/>
    </xf>
    <xf numFmtId="177" fontId="44" fillId="0" borderId="16" xfId="81" applyFont="1" applyFill="1" applyBorder="1">
      <alignment horizontal="right"/>
      <protection/>
    </xf>
    <xf numFmtId="0" fontId="53" fillId="0" borderId="0" xfId="72" applyFont="1" applyAlignment="1" applyProtection="1">
      <alignment horizontal="left"/>
      <protection locked="0"/>
    </xf>
    <xf numFmtId="0" fontId="28" fillId="0" borderId="0" xfId="72" applyFont="1" applyAlignment="1" applyProtection="1">
      <alignment horizontal="left"/>
      <protection locked="0"/>
    </xf>
    <xf numFmtId="0" fontId="44" fillId="0" borderId="0" xfId="72" applyFont="1">
      <alignment/>
      <protection/>
    </xf>
    <xf numFmtId="177" fontId="28" fillId="0" borderId="159" xfId="52" applyFont="1" applyFill="1" applyBorder="1" applyAlignment="1">
      <alignment horizontal="left"/>
    </xf>
    <xf numFmtId="177" fontId="28" fillId="0" borderId="160" xfId="52" applyFont="1" applyFill="1" applyBorder="1" applyAlignment="1">
      <alignment/>
    </xf>
    <xf numFmtId="177" fontId="28" fillId="0" borderId="160" xfId="52" applyFont="1" applyFill="1" applyBorder="1" applyAlignment="1" applyProtection="1">
      <alignment/>
      <protection locked="0"/>
    </xf>
    <xf numFmtId="10" fontId="28" fillId="0" borderId="160" xfId="77" applyFont="1" applyFill="1" applyBorder="1" applyAlignment="1">
      <alignment horizontal="center"/>
    </xf>
    <xf numFmtId="0" fontId="28" fillId="0" borderId="160" xfId="72" applyFont="1" applyBorder="1" applyAlignment="1" applyProtection="1">
      <alignment horizontal="center"/>
      <protection locked="0"/>
    </xf>
    <xf numFmtId="0" fontId="28" fillId="0" borderId="161" xfId="72" applyFont="1" applyBorder="1" applyAlignment="1">
      <alignment horizontal="center"/>
      <protection/>
    </xf>
    <xf numFmtId="0" fontId="57" fillId="0" borderId="159" xfId="72" applyFont="1" applyBorder="1">
      <alignment/>
      <protection/>
    </xf>
    <xf numFmtId="0" fontId="44" fillId="0" borderId="160" xfId="72" applyFont="1" applyBorder="1" applyProtection="1">
      <alignment/>
      <protection locked="0"/>
    </xf>
    <xf numFmtId="0" fontId="44" fillId="0" borderId="161" xfId="72" applyFont="1" applyBorder="1">
      <alignment/>
      <protection/>
    </xf>
    <xf numFmtId="177" fontId="28" fillId="0" borderId="165" xfId="52" applyFont="1" applyFill="1" applyBorder="1" applyAlignment="1">
      <alignment horizontal="center"/>
    </xf>
    <xf numFmtId="177" fontId="28" fillId="0" borderId="0" xfId="52" applyFont="1" applyFill="1" applyAlignment="1">
      <alignment/>
    </xf>
    <xf numFmtId="177" fontId="28" fillId="0" borderId="0" xfId="52" applyFont="1" applyFill="1" applyAlignment="1" applyProtection="1">
      <alignment horizontal="right"/>
      <protection locked="0"/>
    </xf>
    <xf numFmtId="10" fontId="28" fillId="0" borderId="0" xfId="77" applyFont="1" applyFill="1" applyAlignment="1">
      <alignment horizontal="center"/>
    </xf>
    <xf numFmtId="0" fontId="28" fillId="0" borderId="0" xfId="72" applyFont="1" applyProtection="1">
      <alignment/>
      <protection locked="0"/>
    </xf>
    <xf numFmtId="0" fontId="28" fillId="0" borderId="147" xfId="72" applyFont="1" applyBorder="1" applyAlignment="1">
      <alignment horizontal="center"/>
      <protection/>
    </xf>
    <xf numFmtId="0" fontId="44" fillId="0" borderId="165" xfId="72" applyFont="1" applyBorder="1">
      <alignment/>
      <protection/>
    </xf>
    <xf numFmtId="0" fontId="44" fillId="0" borderId="147" xfId="72" applyFont="1" applyBorder="1">
      <alignment/>
      <protection/>
    </xf>
    <xf numFmtId="177" fontId="28" fillId="0" borderId="0" xfId="52" applyFont="1" applyFill="1" applyAlignment="1" applyProtection="1">
      <alignment horizontal="center"/>
      <protection locked="0"/>
    </xf>
    <xf numFmtId="0" fontId="28" fillId="0" borderId="165" xfId="72" applyFont="1" applyBorder="1">
      <alignment/>
      <protection/>
    </xf>
    <xf numFmtId="177" fontId="44" fillId="0" borderId="0" xfId="52" applyFont="1" applyFill="1" applyAlignment="1" applyProtection="1">
      <alignment/>
      <protection locked="0"/>
    </xf>
    <xf numFmtId="177" fontId="28" fillId="0" borderId="147" xfId="52" applyFont="1" applyFill="1" applyBorder="1" applyAlignment="1" applyProtection="1">
      <alignment horizontal="center"/>
      <protection locked="0"/>
    </xf>
    <xf numFmtId="0" fontId="28" fillId="0" borderId="174" xfId="72" applyFont="1" applyBorder="1">
      <alignment/>
      <protection/>
    </xf>
    <xf numFmtId="0" fontId="28" fillId="0" borderId="12" xfId="72" applyFont="1" applyBorder="1" applyProtection="1">
      <alignment/>
      <protection locked="0"/>
    </xf>
    <xf numFmtId="177" fontId="44" fillId="0" borderId="12" xfId="52" applyFont="1" applyFill="1" applyBorder="1" applyAlignment="1" applyProtection="1">
      <alignment/>
      <protection locked="0"/>
    </xf>
    <xf numFmtId="177" fontId="28" fillId="0" borderId="163" xfId="52" applyFont="1" applyFill="1" applyBorder="1" applyAlignment="1">
      <alignment horizontal="center"/>
    </xf>
    <xf numFmtId="177" fontId="28" fillId="0" borderId="16" xfId="52" applyFont="1" applyFill="1" applyBorder="1" applyAlignment="1">
      <alignment/>
    </xf>
    <xf numFmtId="177" fontId="28" fillId="0" borderId="16" xfId="52" applyFont="1" applyFill="1" applyBorder="1" applyAlignment="1" applyProtection="1">
      <alignment/>
      <protection locked="0"/>
    </xf>
    <xf numFmtId="10" fontId="28" fillId="0" borderId="16" xfId="77" applyFont="1" applyFill="1" applyBorder="1" applyAlignment="1">
      <alignment horizontal="center"/>
    </xf>
    <xf numFmtId="0" fontId="28" fillId="0" borderId="16" xfId="72" applyFont="1" applyBorder="1" applyProtection="1">
      <alignment/>
      <protection locked="0"/>
    </xf>
    <xf numFmtId="177" fontId="28" fillId="0" borderId="164" xfId="52" applyFont="1" applyFill="1" applyBorder="1" applyAlignment="1" applyProtection="1">
      <alignment horizontal="center"/>
      <protection locked="0"/>
    </xf>
    <xf numFmtId="10" fontId="44" fillId="0" borderId="12" xfId="77" applyFont="1" applyFill="1" applyBorder="1" applyAlignment="1" applyProtection="1">
      <alignment/>
      <protection locked="0"/>
    </xf>
    <xf numFmtId="0" fontId="28" fillId="0" borderId="159" xfId="72" applyFont="1" applyBorder="1" applyAlignment="1">
      <alignment horizontal="left"/>
      <protection/>
    </xf>
    <xf numFmtId="0" fontId="28" fillId="0" borderId="160" xfId="72" applyFont="1" applyBorder="1">
      <alignment/>
      <protection/>
    </xf>
    <xf numFmtId="0" fontId="44" fillId="0" borderId="160" xfId="72" applyFont="1" applyBorder="1">
      <alignment/>
      <protection/>
    </xf>
    <xf numFmtId="0" fontId="22" fillId="0" borderId="161" xfId="72" applyFont="1" applyBorder="1" applyAlignment="1">
      <alignment horizontal="center"/>
      <protection/>
    </xf>
    <xf numFmtId="0" fontId="44" fillId="0" borderId="165" xfId="72" applyFont="1" applyBorder="1" applyAlignment="1">
      <alignment horizontal="left"/>
      <protection/>
    </xf>
    <xf numFmtId="0" fontId="22" fillId="0" borderId="147" xfId="72" applyFont="1" applyBorder="1" applyAlignment="1">
      <alignment horizontal="center"/>
      <protection/>
    </xf>
    <xf numFmtId="0" fontId="28" fillId="0" borderId="163" xfId="72" applyFont="1" applyBorder="1">
      <alignment/>
      <protection/>
    </xf>
    <xf numFmtId="177" fontId="44" fillId="0" borderId="16" xfId="52" applyFont="1" applyFill="1" applyBorder="1" applyAlignment="1" applyProtection="1">
      <alignment/>
      <protection locked="0"/>
    </xf>
    <xf numFmtId="0" fontId="44" fillId="0" borderId="164" xfId="72" applyFont="1" applyBorder="1">
      <alignment/>
      <protection/>
    </xf>
    <xf numFmtId="0" fontId="28" fillId="0" borderId="0" xfId="72" applyFont="1" applyAlignment="1">
      <alignment horizontal="right"/>
      <protection/>
    </xf>
    <xf numFmtId="177" fontId="28" fillId="0" borderId="167" xfId="84" applyFont="1" applyFill="1" applyBorder="1">
      <alignment horizontal="right"/>
      <protection locked="0"/>
    </xf>
    <xf numFmtId="0" fontId="8" fillId="0" borderId="165" xfId="72" applyFont="1" applyBorder="1">
      <alignment/>
      <protection/>
    </xf>
    <xf numFmtId="177" fontId="28" fillId="0" borderId="8" xfId="52" applyFont="1" applyFill="1" applyBorder="1" applyAlignment="1">
      <alignment/>
    </xf>
    <xf numFmtId="0" fontId="28" fillId="0" borderId="12" xfId="72" applyFont="1" applyBorder="1" applyAlignment="1">
      <alignment horizontal="right"/>
      <protection/>
    </xf>
    <xf numFmtId="177" fontId="28" fillId="0" borderId="12" xfId="52" applyFont="1" applyFill="1" applyBorder="1" applyAlignment="1" applyProtection="1">
      <alignment/>
      <protection locked="0"/>
    </xf>
    <xf numFmtId="177" fontId="28" fillId="0" borderId="8" xfId="52" applyFont="1" applyFill="1" applyBorder="1" applyAlignment="1" applyProtection="1">
      <alignment/>
      <protection locked="0"/>
    </xf>
    <xf numFmtId="177" fontId="44" fillId="0" borderId="0" xfId="81" applyFont="1" applyFill="1" applyBorder="1" applyAlignment="1">
      <alignment/>
      <protection/>
    </xf>
    <xf numFmtId="10" fontId="28" fillId="0" borderId="12" xfId="77" applyFont="1" applyFill="1" applyBorder="1" applyAlignment="1" applyProtection="1">
      <alignment/>
      <protection locked="0"/>
    </xf>
    <xf numFmtId="0" fontId="28" fillId="0" borderId="147" xfId="72" applyFont="1" applyBorder="1">
      <alignment/>
      <protection/>
    </xf>
    <xf numFmtId="177" fontId="44" fillId="0" borderId="8" xfId="81" applyFont="1" applyFill="1" applyAlignment="1">
      <alignment/>
      <protection/>
    </xf>
    <xf numFmtId="0" fontId="44" fillId="0" borderId="174" xfId="72" applyFont="1" applyBorder="1" applyAlignment="1">
      <alignment horizontal="left"/>
      <protection/>
    </xf>
    <xf numFmtId="0" fontId="44" fillId="0" borderId="12" xfId="72" applyFont="1" applyBorder="1">
      <alignment/>
      <protection/>
    </xf>
    <xf numFmtId="177" fontId="28" fillId="0" borderId="175" xfId="52" applyFont="1" applyFill="1" applyBorder="1" applyAlignment="1">
      <alignment/>
    </xf>
    <xf numFmtId="0" fontId="43" fillId="0" borderId="163" xfId="72" applyFont="1" applyBorder="1" applyAlignment="1">
      <alignment horizontal="left"/>
      <protection/>
    </xf>
    <xf numFmtId="0" fontId="28" fillId="0" borderId="16" xfId="72" applyFont="1" applyBorder="1">
      <alignment/>
      <protection/>
    </xf>
    <xf numFmtId="0" fontId="44" fillId="0" borderId="16" xfId="72" applyFont="1" applyBorder="1">
      <alignment/>
      <protection/>
    </xf>
    <xf numFmtId="0" fontId="28" fillId="0" borderId="16" xfId="72" applyFont="1" applyBorder="1" applyAlignment="1">
      <alignment horizontal="right"/>
      <protection/>
    </xf>
    <xf numFmtId="177" fontId="28" fillId="0" borderId="164" xfId="52" applyFont="1" applyFill="1" applyBorder="1" applyAlignment="1">
      <alignment/>
    </xf>
    <xf numFmtId="177" fontId="28" fillId="0" borderId="0" xfId="52" applyFont="1" applyFill="1" applyAlignment="1">
      <alignment horizontal="right"/>
    </xf>
    <xf numFmtId="0" fontId="44" fillId="0" borderId="163" xfId="72" applyFont="1" applyBorder="1">
      <alignment/>
      <protection/>
    </xf>
    <xf numFmtId="0" fontId="44" fillId="0" borderId="16" xfId="72" applyFont="1" applyBorder="1" applyAlignment="1" applyProtection="1">
      <alignment horizontal="left"/>
      <protection locked="0"/>
    </xf>
    <xf numFmtId="0" fontId="44" fillId="0" borderId="16" xfId="72" applyFont="1" applyBorder="1" applyProtection="1">
      <alignment/>
      <protection locked="0"/>
    </xf>
    <xf numFmtId="0" fontId="44" fillId="0" borderId="16" xfId="52" applyNumberFormat="1" applyFont="1" applyFill="1" applyBorder="1" applyAlignment="1" applyProtection="1">
      <alignment/>
      <protection locked="0"/>
    </xf>
    <xf numFmtId="0" fontId="44" fillId="0" borderId="176" xfId="72" applyFont="1" applyBorder="1" applyAlignment="1" applyProtection="1">
      <alignment horizontal="left"/>
      <protection locked="0"/>
    </xf>
    <xf numFmtId="0" fontId="44" fillId="0" borderId="176" xfId="72" applyFont="1" applyBorder="1" applyProtection="1">
      <alignment/>
      <protection locked="0"/>
    </xf>
    <xf numFmtId="0" fontId="44" fillId="0" borderId="176" xfId="72" applyFont="1" applyBorder="1">
      <alignment/>
      <protection/>
    </xf>
    <xf numFmtId="0" fontId="44" fillId="29" borderId="176" xfId="72" applyFont="1" applyFill="1" applyBorder="1">
      <alignment/>
      <protection/>
    </xf>
    <xf numFmtId="0" fontId="28" fillId="0" borderId="160" xfId="72" applyFont="1" applyBorder="1" applyProtection="1">
      <alignment/>
      <protection locked="0"/>
    </xf>
    <xf numFmtId="10" fontId="28" fillId="0" borderId="161" xfId="77" applyFont="1" applyFill="1" applyBorder="1" applyAlignment="1">
      <alignment horizontal="center"/>
    </xf>
    <xf numFmtId="177" fontId="43" fillId="0" borderId="0" xfId="52" applyFont="1" applyFill="1" applyAlignment="1">
      <alignment horizontal="center"/>
    </xf>
    <xf numFmtId="177" fontId="28" fillId="0" borderId="165" xfId="52" applyFont="1" applyFill="1" applyBorder="1" applyAlignment="1">
      <alignment horizontal="left"/>
    </xf>
    <xf numFmtId="177" fontId="28" fillId="0" borderId="0" xfId="52" applyFont="1" applyFill="1" applyAlignment="1" applyProtection="1">
      <alignment/>
      <protection locked="0"/>
    </xf>
    <xf numFmtId="10" fontId="28" fillId="0" borderId="147" xfId="77" applyFont="1" applyFill="1" applyBorder="1" applyAlignment="1" applyProtection="1">
      <alignment horizontal="center"/>
      <protection locked="0"/>
    </xf>
    <xf numFmtId="177" fontId="43" fillId="0" borderId="0" xfId="52" applyFont="1" applyFill="1" applyAlignment="1">
      <alignment horizontal="left"/>
    </xf>
    <xf numFmtId="177" fontId="28" fillId="0" borderId="163" xfId="52" applyFont="1" applyFill="1" applyBorder="1" applyAlignment="1">
      <alignment horizontal="left"/>
    </xf>
    <xf numFmtId="10" fontId="28" fillId="0" borderId="164" xfId="77" applyFont="1" applyFill="1" applyBorder="1" applyAlignment="1" applyProtection="1">
      <alignment horizontal="center"/>
      <protection locked="0"/>
    </xf>
    <xf numFmtId="177" fontId="28" fillId="0" borderId="0" xfId="52" applyFont="1" applyFill="1" applyAlignment="1">
      <alignment horizontal="left"/>
    </xf>
    <xf numFmtId="10" fontId="28" fillId="0" borderId="0" xfId="77" applyFont="1" applyFill="1" applyAlignment="1" applyProtection="1">
      <alignment horizontal="center"/>
      <protection locked="0"/>
    </xf>
    <xf numFmtId="10" fontId="28" fillId="0" borderId="12" xfId="77" applyFont="1" applyFill="1" applyBorder="1" applyAlignment="1">
      <alignment horizontal="center"/>
    </xf>
    <xf numFmtId="0" fontId="58" fillId="0" borderId="0" xfId="72" applyFont="1" applyAlignment="1">
      <alignment horizontal="left"/>
      <protection/>
    </xf>
    <xf numFmtId="0" fontId="43" fillId="0" borderId="0" xfId="72" applyFont="1" applyAlignment="1">
      <alignment horizontal="left"/>
      <protection/>
    </xf>
    <xf numFmtId="0" fontId="43" fillId="0" borderId="0" xfId="72" applyFont="1">
      <alignment/>
      <protection/>
    </xf>
    <xf numFmtId="0" fontId="43" fillId="0" borderId="0" xfId="72" applyFont="1" applyAlignment="1">
      <alignment horizontal="center"/>
      <protection/>
    </xf>
    <xf numFmtId="0" fontId="57" fillId="0" borderId="0" xfId="72" applyFont="1">
      <alignment/>
      <protection/>
    </xf>
    <xf numFmtId="0" fontId="43" fillId="0" borderId="0" xfId="72" applyFont="1" applyAlignment="1" applyProtection="1">
      <alignment horizontal="left"/>
      <protection locked="0"/>
    </xf>
    <xf numFmtId="0" fontId="43" fillId="0" borderId="0" xfId="72" applyFont="1" applyProtection="1">
      <alignment/>
      <protection locked="0"/>
    </xf>
    <xf numFmtId="0" fontId="49" fillId="0" borderId="0" xfId="72" applyFont="1" applyProtection="1">
      <alignment/>
      <protection locked="0"/>
    </xf>
    <xf numFmtId="192" fontId="22" fillId="0" borderId="12" xfId="77" applyNumberFormat="1" applyFont="1" applyFill="1" applyBorder="1" applyAlignment="1">
      <alignment horizontal="center"/>
    </xf>
    <xf numFmtId="0" fontId="44" fillId="34" borderId="0" xfId="72" applyFont="1" applyFill="1" applyProtection="1">
      <alignment/>
      <protection locked="0"/>
    </xf>
    <xf numFmtId="0" fontId="44" fillId="29" borderId="0" xfId="72" applyFont="1" applyFill="1" applyProtection="1">
      <alignment/>
      <protection locked="0"/>
    </xf>
    <xf numFmtId="10" fontId="6" fillId="29" borderId="0" xfId="77" applyFont="1" applyAlignment="1">
      <alignment/>
    </xf>
    <xf numFmtId="0" fontId="6" fillId="29" borderId="0" xfId="72" applyFont="1" applyFill="1">
      <alignment/>
      <protection/>
    </xf>
    <xf numFmtId="0" fontId="6" fillId="29" borderId="0" xfId="72" applyFont="1" applyFill="1" applyAlignment="1">
      <alignment horizontal="center"/>
      <protection/>
    </xf>
    <xf numFmtId="10" fontId="6" fillId="29" borderId="0" xfId="77" applyFont="1" applyAlignment="1">
      <alignment horizontal="center"/>
    </xf>
    <xf numFmtId="3" fontId="6" fillId="29" borderId="0" xfId="72" applyNumberFormat="1" applyFont="1" applyFill="1">
      <alignment/>
      <protection/>
    </xf>
    <xf numFmtId="192" fontId="6" fillId="0" borderId="0" xfId="49" applyNumberFormat="1" applyFont="1" applyFill="1" applyAlignment="1">
      <alignment/>
    </xf>
    <xf numFmtId="192" fontId="6" fillId="29" borderId="0" xfId="49" applyNumberFormat="1" applyFont="1" applyAlignment="1">
      <alignment/>
    </xf>
    <xf numFmtId="0" fontId="6" fillId="29" borderId="18" xfId="72" applyFont="1" applyFill="1" applyBorder="1">
      <alignment/>
      <protection/>
    </xf>
    <xf numFmtId="192" fontId="6" fillId="0" borderId="18" xfId="49" applyNumberFormat="1" applyFont="1" applyFill="1" applyBorder="1" applyAlignment="1">
      <alignment/>
    </xf>
    <xf numFmtId="192" fontId="6" fillId="29" borderId="18" xfId="49" applyNumberFormat="1" applyFont="1" applyBorder="1" applyAlignment="1">
      <alignment/>
    </xf>
    <xf numFmtId="9" fontId="10" fillId="0" borderId="0" xfId="72" applyNumberFormat="1" applyFont="1">
      <alignment/>
      <protection/>
    </xf>
    <xf numFmtId="9" fontId="10" fillId="0" borderId="18" xfId="72" applyNumberFormat="1" applyFont="1" applyBorder="1">
      <alignment/>
      <protection/>
    </xf>
    <xf numFmtId="10" fontId="6" fillId="29" borderId="18" xfId="77" applyFont="1" applyBorder="1" applyAlignment="1">
      <alignment/>
    </xf>
    <xf numFmtId="10" fontId="6" fillId="49" borderId="0" xfId="77" applyFont="1" applyFill="1" applyAlignment="1">
      <alignment/>
    </xf>
    <xf numFmtId="192" fontId="6" fillId="49" borderId="0" xfId="49" applyNumberFormat="1" applyFont="1" applyFill="1" applyAlignment="1">
      <alignment/>
    </xf>
    <xf numFmtId="10" fontId="6" fillId="49" borderId="18" xfId="77" applyFont="1" applyFill="1" applyBorder="1" applyAlignment="1">
      <alignment/>
    </xf>
    <xf numFmtId="192" fontId="6" fillId="49" borderId="18" xfId="49" applyNumberFormat="1" applyFont="1" applyFill="1" applyBorder="1" applyAlignment="1">
      <alignment/>
    </xf>
    <xf numFmtId="0" fontId="6" fillId="29" borderId="33" xfId="72" applyFont="1" applyFill="1" applyBorder="1">
      <alignment/>
      <protection/>
    </xf>
    <xf numFmtId="10" fontId="6" fillId="29" borderId="33" xfId="77" applyFont="1" applyBorder="1" applyAlignment="1">
      <alignment/>
    </xf>
    <xf numFmtId="0" fontId="31" fillId="29" borderId="0" xfId="72" applyFont="1" applyFill="1">
      <alignment/>
      <protection/>
    </xf>
    <xf numFmtId="10" fontId="31" fillId="29" borderId="0" xfId="77" applyFont="1" applyAlignment="1">
      <alignment/>
    </xf>
    <xf numFmtId="0" fontId="40" fillId="29" borderId="0" xfId="72" applyFont="1" applyFill="1">
      <alignment/>
      <protection/>
    </xf>
    <xf numFmtId="0" fontId="40" fillId="29" borderId="0" xfId="72" applyFont="1" applyFill="1" applyAlignment="1">
      <alignment horizontal="center"/>
      <protection/>
    </xf>
    <xf numFmtId="10" fontId="40" fillId="29" borderId="0" xfId="77" applyFont="1" applyAlignment="1">
      <alignment horizontal="center"/>
    </xf>
    <xf numFmtId="179" fontId="6" fillId="29" borderId="0" xfId="49" applyFont="1" applyAlignment="1">
      <alignment horizontal="center"/>
    </xf>
    <xf numFmtId="10" fontId="10" fillId="0" borderId="0" xfId="77" applyFont="1" applyFill="1" applyAlignment="1" applyProtection="1">
      <alignment horizontal="center"/>
      <protection locked="0"/>
    </xf>
    <xf numFmtId="10" fontId="6" fillId="44" borderId="0" xfId="77" applyFont="1" applyFill="1" applyAlignment="1" applyProtection="1">
      <alignment horizontal="center"/>
      <protection locked="0"/>
    </xf>
    <xf numFmtId="192" fontId="6" fillId="0" borderId="0" xfId="49" applyNumberFormat="1" applyFont="1" applyFill="1" applyAlignment="1" applyProtection="1">
      <alignment horizontal="right"/>
      <protection locked="0"/>
    </xf>
    <xf numFmtId="192" fontId="6" fillId="29" borderId="0" xfId="72" applyNumberFormat="1" applyFont="1" applyFill="1">
      <alignment/>
      <protection/>
    </xf>
    <xf numFmtId="0" fontId="31" fillId="29" borderId="18" xfId="72" applyFont="1" applyFill="1" applyBorder="1">
      <alignment/>
      <protection/>
    </xf>
    <xf numFmtId="179" fontId="6" fillId="29" borderId="18" xfId="49" applyFont="1" applyBorder="1" applyAlignment="1">
      <alignment horizontal="center"/>
    </xf>
    <xf numFmtId="10" fontId="6" fillId="44" borderId="18" xfId="77" applyFont="1" applyFill="1" applyBorder="1" applyAlignment="1" applyProtection="1">
      <alignment horizontal="center"/>
      <protection locked="0"/>
    </xf>
    <xf numFmtId="192" fontId="6" fillId="0" borderId="18" xfId="49" applyNumberFormat="1" applyFont="1" applyFill="1" applyBorder="1" applyAlignment="1" applyProtection="1">
      <alignment horizontal="right"/>
      <protection locked="0"/>
    </xf>
    <xf numFmtId="192" fontId="6" fillId="29" borderId="18" xfId="72" applyNumberFormat="1" applyFont="1" applyFill="1" applyBorder="1">
      <alignment/>
      <protection/>
    </xf>
    <xf numFmtId="192" fontId="6" fillId="0" borderId="0" xfId="84" applyNumberFormat="1" applyFont="1" applyFill="1" applyBorder="1">
      <alignment horizontal="right"/>
      <protection locked="0"/>
    </xf>
    <xf numFmtId="10" fontId="6" fillId="0" borderId="0" xfId="77" applyFont="1" applyFill="1" applyAlignment="1" applyProtection="1">
      <alignment horizontal="center"/>
      <protection locked="0"/>
    </xf>
    <xf numFmtId="177" fontId="27" fillId="50" borderId="8" xfId="84" applyFont="1" applyFill="1">
      <alignment horizontal="right"/>
      <protection locked="0"/>
    </xf>
    <xf numFmtId="192" fontId="6" fillId="50" borderId="0" xfId="84" applyNumberFormat="1" applyFont="1" applyFill="1" applyBorder="1">
      <alignment horizontal="right"/>
      <protection locked="0"/>
    </xf>
    <xf numFmtId="177" fontId="27" fillId="50" borderId="18" xfId="84" applyFont="1" applyFill="1" applyBorder="1">
      <alignment horizontal="right"/>
      <protection locked="0"/>
    </xf>
    <xf numFmtId="192" fontId="6" fillId="50" borderId="18" xfId="84" applyNumberFormat="1" applyFont="1" applyFill="1" applyBorder="1">
      <alignment horizontal="right"/>
      <protection locked="0"/>
    </xf>
    <xf numFmtId="0" fontId="31" fillId="29" borderId="33" xfId="72" applyFont="1" applyFill="1" applyBorder="1">
      <alignment/>
      <protection/>
    </xf>
    <xf numFmtId="0" fontId="36" fillId="29" borderId="0" xfId="72" applyFont="1" applyFill="1">
      <alignment/>
      <protection/>
    </xf>
    <xf numFmtId="10" fontId="40" fillId="29" borderId="0" xfId="77" applyFont="1" applyAlignment="1">
      <alignment/>
    </xf>
    <xf numFmtId="4" fontId="10" fillId="50" borderId="0" xfId="84" applyNumberFormat="1" applyFont="1" applyFill="1" applyBorder="1" applyAlignment="1">
      <alignment horizontal="center"/>
      <protection locked="0"/>
    </xf>
    <xf numFmtId="10" fontId="40" fillId="29" borderId="0" xfId="77" applyFont="1" applyAlignment="1">
      <alignment horizontal="left"/>
    </xf>
    <xf numFmtId="0" fontId="31" fillId="0" borderId="0" xfId="0" applyFont="1" applyAlignment="1">
      <alignment vertical="top"/>
    </xf>
    <xf numFmtId="10" fontId="31" fillId="29" borderId="0" xfId="75" applyFont="1" applyFill="1" applyAlignment="1">
      <alignment/>
    </xf>
    <xf numFmtId="6" fontId="6" fillId="0" borderId="0" xfId="0" applyNumberFormat="1" applyFont="1" applyAlignment="1">
      <alignment horizontal="right"/>
    </xf>
    <xf numFmtId="10" fontId="10" fillId="50" borderId="0" xfId="77" applyFont="1" applyFill="1" applyAlignment="1" applyProtection="1">
      <alignment horizontal="right"/>
      <protection locked="0"/>
    </xf>
    <xf numFmtId="0" fontId="31" fillId="29" borderId="0" xfId="72" applyFont="1" applyFill="1" applyAlignment="1">
      <alignment horizontal="right"/>
      <protection/>
    </xf>
    <xf numFmtId="192" fontId="10" fillId="0" borderId="0" xfId="77" applyNumberFormat="1" applyFont="1" applyFill="1" applyAlignment="1" applyProtection="1">
      <alignment horizontal="right"/>
      <protection locked="0"/>
    </xf>
    <xf numFmtId="0" fontId="6" fillId="29" borderId="68" xfId="72" applyFont="1" applyFill="1" applyBorder="1">
      <alignment/>
      <protection/>
    </xf>
    <xf numFmtId="0" fontId="6" fillId="29" borderId="0" xfId="72" applyFont="1" applyFill="1" applyAlignment="1">
      <alignment horizontal="left"/>
      <protection/>
    </xf>
    <xf numFmtId="5" fontId="7" fillId="0" borderId="17" xfId="71" applyNumberFormat="1" applyBorder="1" applyAlignment="1">
      <alignment horizontal="right"/>
      <protection/>
    </xf>
    <xf numFmtId="37" fontId="10" fillId="0" borderId="8" xfId="83" applyNumberFormat="1" applyFont="1" applyFill="1">
      <alignment horizontal="right"/>
      <protection locked="0"/>
    </xf>
    <xf numFmtId="192" fontId="6" fillId="68" borderId="66" xfId="0" applyNumberFormat="1" applyFont="1" applyFill="1" applyBorder="1" applyAlignment="1" applyProtection="1">
      <alignment horizontal="right"/>
      <protection/>
    </xf>
    <xf numFmtId="37" fontId="6" fillId="48" borderId="8" xfId="0" applyNumberFormat="1" applyFont="1" applyFill="1" applyBorder="1" applyAlignment="1" applyProtection="1">
      <alignment horizontal="left"/>
      <protection locked="0"/>
    </xf>
    <xf numFmtId="192" fontId="10" fillId="0" borderId="18" xfId="71" applyNumberFormat="1" applyFont="1" applyFill="1" applyBorder="1" applyProtection="1">
      <alignment/>
      <protection locked="0"/>
    </xf>
    <xf numFmtId="192" fontId="27" fillId="0" borderId="177" xfId="51" applyNumberFormat="1" applyFont="1" applyFill="1" applyBorder="1" applyAlignment="1">
      <alignment horizontal="center"/>
    </xf>
    <xf numFmtId="192" fontId="10" fillId="0" borderId="0" xfId="51" applyNumberFormat="1" applyFont="1" applyFill="1" applyBorder="1" applyAlignment="1" applyProtection="1">
      <alignment/>
      <protection locked="0"/>
    </xf>
    <xf numFmtId="37" fontId="6" fillId="0" borderId="0" xfId="71" applyNumberFormat="1" applyFont="1" applyBorder="1" applyProtection="1">
      <alignment/>
      <protection locked="0"/>
    </xf>
    <xf numFmtId="37" fontId="40" fillId="0" borderId="0" xfId="0" applyNumberFormat="1" applyFont="1" applyBorder="1" applyAlignment="1">
      <alignment horizontal="left"/>
    </xf>
    <xf numFmtId="37" fontId="31" fillId="0" borderId="0" xfId="0" applyNumberFormat="1" applyFont="1" applyBorder="1" applyAlignment="1">
      <alignment/>
    </xf>
    <xf numFmtId="37" fontId="31" fillId="39" borderId="0" xfId="0" applyNumberFormat="1" applyFont="1" applyFill="1" applyBorder="1" applyAlignment="1">
      <alignment horizontal="right"/>
    </xf>
    <xf numFmtId="37" fontId="40" fillId="0" borderId="0" xfId="0" applyNumberFormat="1" applyFont="1" applyAlignment="1">
      <alignment horizontal="left"/>
    </xf>
    <xf numFmtId="37" fontId="31" fillId="0" borderId="0" xfId="0" applyNumberFormat="1" applyFont="1" applyAlignment="1">
      <alignment horizontal="center"/>
    </xf>
    <xf numFmtId="37" fontId="31" fillId="0" borderId="0" xfId="0" applyNumberFormat="1" applyFont="1" applyAlignment="1">
      <alignment/>
    </xf>
    <xf numFmtId="0" fontId="76" fillId="0" borderId="0" xfId="0" applyFont="1" applyAlignment="1" applyProtection="1">
      <alignment vertical="top"/>
      <protection locked="0"/>
    </xf>
    <xf numFmtId="0" fontId="0" fillId="0" borderId="0" xfId="0" applyAlignment="1" applyProtection="1">
      <alignment vertical="top"/>
      <protection locked="0"/>
    </xf>
    <xf numFmtId="0" fontId="7" fillId="0" borderId="30" xfId="0" applyFont="1" applyBorder="1" applyAlignment="1">
      <alignment horizontal="right"/>
    </xf>
    <xf numFmtId="0" fontId="91" fillId="0" borderId="0" xfId="0" applyFont="1" applyAlignment="1">
      <alignment vertical="top"/>
    </xf>
    <xf numFmtId="0" fontId="91" fillId="44" borderId="0" xfId="0" applyFont="1" applyFill="1" applyAlignment="1" applyProtection="1">
      <alignment vertical="top"/>
      <protection locked="0"/>
    </xf>
    <xf numFmtId="166" fontId="6" fillId="49" borderId="18" xfId="0" applyNumberFormat="1" applyFont="1" applyFill="1" applyBorder="1" applyAlignment="1" applyProtection="1">
      <alignment horizontal="center"/>
      <protection locked="0"/>
    </xf>
    <xf numFmtId="37" fontId="6" fillId="0" borderId="0" xfId="0" applyNumberFormat="1" applyFont="1" applyAlignment="1">
      <alignment/>
    </xf>
    <xf numFmtId="37" fontId="40" fillId="73" borderId="0" xfId="0" applyNumberFormat="1" applyFont="1" applyFill="1" applyBorder="1" applyAlignment="1">
      <alignment horizontal="center" wrapText="1"/>
    </xf>
    <xf numFmtId="37" fontId="6" fillId="48" borderId="11" xfId="0" applyNumberFormat="1" applyFont="1" applyFill="1" applyBorder="1" applyAlignment="1" applyProtection="1">
      <alignment horizontal="left"/>
      <protection locked="0"/>
    </xf>
    <xf numFmtId="3" fontId="6" fillId="49" borderId="11" xfId="0" applyNumberFormat="1" applyFont="1" applyFill="1" applyBorder="1" applyAlignment="1" applyProtection="1">
      <alignment horizontal="left"/>
      <protection locked="0"/>
    </xf>
    <xf numFmtId="3" fontId="6" fillId="49" borderId="11" xfId="0" applyNumberFormat="1" applyFont="1" applyFill="1" applyBorder="1" applyAlignment="1" applyProtection="1">
      <alignment/>
      <protection locked="0"/>
    </xf>
    <xf numFmtId="37" fontId="6" fillId="48" borderId="17" xfId="0" applyNumberFormat="1" applyFont="1" applyFill="1" applyBorder="1" applyAlignment="1" applyProtection="1">
      <alignment horizontal="left"/>
      <protection locked="0"/>
    </xf>
    <xf numFmtId="3" fontId="6" fillId="49" borderId="17" xfId="0" applyNumberFormat="1" applyFont="1" applyFill="1" applyBorder="1" applyAlignment="1" applyProtection="1">
      <alignment horizontal="left"/>
      <protection locked="0"/>
    </xf>
    <xf numFmtId="3" fontId="6" fillId="49" borderId="17" xfId="0" applyNumberFormat="1" applyFont="1" applyFill="1" applyBorder="1" applyAlignment="1" applyProtection="1">
      <alignment/>
      <protection locked="0"/>
    </xf>
    <xf numFmtId="37" fontId="6" fillId="0" borderId="8" xfId="0" applyNumberFormat="1" applyFont="1" applyFill="1" applyBorder="1" applyAlignment="1" applyProtection="1">
      <alignment horizontal="left"/>
      <protection/>
    </xf>
    <xf numFmtId="3" fontId="6" fillId="0" borderId="8" xfId="0" applyNumberFormat="1" applyFont="1" applyFill="1" applyBorder="1" applyAlignment="1" applyProtection="1">
      <alignment horizontal="left"/>
      <protection/>
    </xf>
    <xf numFmtId="37" fontId="6" fillId="48" borderId="11" xfId="0" applyNumberFormat="1" applyFont="1" applyFill="1" applyBorder="1" applyAlignment="1" applyProtection="1">
      <alignment horizontal="left"/>
      <protection locked="0"/>
    </xf>
    <xf numFmtId="37" fontId="99" fillId="0" borderId="0" xfId="0" applyNumberFormat="1" applyFont="1" applyBorder="1" applyAlignment="1" applyProtection="1">
      <alignment horizontal="right"/>
      <protection/>
    </xf>
    <xf numFmtId="186" fontId="6" fillId="48" borderId="8" xfId="0" applyNumberFormat="1" applyFont="1" applyFill="1" applyBorder="1" applyAlignment="1" applyProtection="1">
      <alignment horizontal="center"/>
      <protection locked="0"/>
    </xf>
    <xf numFmtId="49" fontId="10" fillId="48" borderId="8" xfId="0" applyNumberFormat="1" applyFont="1" applyFill="1" applyBorder="1" applyAlignment="1" applyProtection="1">
      <alignment horizontal="center"/>
      <protection locked="0"/>
    </xf>
    <xf numFmtId="49" fontId="10" fillId="49" borderId="8" xfId="0" applyNumberFormat="1" applyFont="1" applyFill="1" applyBorder="1" applyAlignment="1" applyProtection="1">
      <alignment horizontal="center"/>
      <protection locked="0"/>
    </xf>
    <xf numFmtId="37" fontId="6" fillId="48" borderId="8" xfId="0" applyNumberFormat="1" applyFont="1" applyFill="1" applyBorder="1" applyAlignment="1" applyProtection="1">
      <alignment horizontal="center"/>
      <protection locked="0"/>
    </xf>
    <xf numFmtId="3" fontId="6" fillId="49" borderId="8" xfId="0" applyNumberFormat="1" applyFont="1" applyFill="1" applyBorder="1" applyAlignment="1" applyProtection="1">
      <alignment horizontal="center"/>
      <protection locked="0"/>
    </xf>
    <xf numFmtId="37" fontId="10" fillId="48" borderId="8" xfId="0" applyNumberFormat="1" applyFont="1" applyFill="1" applyBorder="1" applyAlignment="1" applyProtection="1">
      <alignment horizontal="center"/>
      <protection locked="0"/>
    </xf>
    <xf numFmtId="182" fontId="6" fillId="48" borderId="8" xfId="0" applyNumberFormat="1" applyFont="1" applyFill="1" applyBorder="1" applyAlignment="1" applyProtection="1">
      <alignment horizontal="center"/>
      <protection locked="0"/>
    </xf>
    <xf numFmtId="37" fontId="24" fillId="0" borderId="0" xfId="0" applyNumberFormat="1" applyFont="1" applyAlignment="1">
      <alignment horizontal="center"/>
    </xf>
    <xf numFmtId="3" fontId="0" fillId="0" borderId="0" xfId="0" applyNumberFormat="1" applyAlignment="1">
      <alignment/>
    </xf>
    <xf numFmtId="37" fontId="57" fillId="0" borderId="0" xfId="0" applyNumberFormat="1" applyFont="1" applyAlignment="1">
      <alignment horizontal="center"/>
    </xf>
    <xf numFmtId="37" fontId="6" fillId="48" borderId="8" xfId="0" applyNumberFormat="1" applyFont="1" applyFill="1" applyBorder="1" applyAlignment="1" applyProtection="1">
      <alignment horizontal="left"/>
      <protection locked="0"/>
    </xf>
    <xf numFmtId="3" fontId="6" fillId="49" borderId="8" xfId="0" applyNumberFormat="1" applyFont="1" applyFill="1" applyBorder="1" applyAlignment="1" applyProtection="1">
      <alignment horizontal="left"/>
      <protection locked="0"/>
    </xf>
    <xf numFmtId="37" fontId="6" fillId="0" borderId="0" xfId="0" applyNumberFormat="1" applyFont="1" applyFill="1" applyBorder="1" applyAlignment="1" applyProtection="1">
      <alignment/>
      <protection locked="0"/>
    </xf>
    <xf numFmtId="39" fontId="6" fillId="48" borderId="8" xfId="0" applyNumberFormat="1" applyFont="1" applyFill="1" applyBorder="1" applyAlignment="1" applyProtection="1">
      <alignment horizontal="center"/>
      <protection locked="0"/>
    </xf>
    <xf numFmtId="37" fontId="24" fillId="0" borderId="0" xfId="0" applyNumberFormat="1" applyFont="1" applyAlignment="1">
      <alignment horizontal="left"/>
    </xf>
    <xf numFmtId="3" fontId="5" fillId="68" borderId="62" xfId="0" applyNumberFormat="1" applyFont="1" applyFill="1" applyBorder="1" applyAlignment="1" applyProtection="1">
      <alignment horizontal="left"/>
      <protection locked="0"/>
    </xf>
    <xf numFmtId="3" fontId="5" fillId="68" borderId="63" xfId="0" applyNumberFormat="1" applyFont="1" applyFill="1" applyBorder="1" applyAlignment="1" applyProtection="1">
      <alignment horizontal="left"/>
      <protection locked="0"/>
    </xf>
    <xf numFmtId="3" fontId="5" fillId="68" borderId="65" xfId="0" applyNumberFormat="1" applyFont="1" applyFill="1" applyBorder="1" applyAlignment="1" applyProtection="1">
      <alignment horizontal="left"/>
      <protection locked="0"/>
    </xf>
    <xf numFmtId="3" fontId="5" fillId="68" borderId="0" xfId="0" applyNumberFormat="1" applyFont="1" applyFill="1" applyBorder="1" applyAlignment="1" applyProtection="1">
      <alignment horizontal="left"/>
      <protection locked="0"/>
    </xf>
    <xf numFmtId="3" fontId="0" fillId="68" borderId="65" xfId="0" applyNumberFormat="1" applyFont="1" applyFill="1" applyBorder="1" applyAlignment="1" applyProtection="1">
      <alignment horizontal="left"/>
      <protection locked="0"/>
    </xf>
    <xf numFmtId="3" fontId="0" fillId="68" borderId="0" xfId="0" applyNumberFormat="1" applyFont="1" applyFill="1" applyBorder="1" applyAlignment="1" applyProtection="1">
      <alignment horizontal="left"/>
      <protection locked="0"/>
    </xf>
    <xf numFmtId="37" fontId="6" fillId="48" borderId="8" xfId="0" applyNumberFormat="1" applyFont="1" applyFill="1" applyBorder="1" applyAlignment="1" applyProtection="1">
      <alignment horizontal="left"/>
      <protection locked="0"/>
    </xf>
    <xf numFmtId="37" fontId="10" fillId="0" borderId="28" xfId="0" applyNumberFormat="1" applyFont="1" applyFill="1" applyBorder="1" applyAlignment="1">
      <alignment horizontal="center"/>
    </xf>
    <xf numFmtId="187" fontId="6" fillId="48" borderId="8" xfId="0" applyNumberFormat="1" applyFont="1" applyFill="1" applyBorder="1" applyAlignment="1" applyProtection="1">
      <alignment horizontal="center"/>
      <protection locked="0"/>
    </xf>
    <xf numFmtId="37" fontId="6" fillId="0" borderId="9" xfId="0" applyNumberFormat="1" applyFont="1" applyBorder="1" applyAlignment="1">
      <alignment horizontal="center"/>
    </xf>
    <xf numFmtId="3" fontId="0" fillId="0" borderId="9" xfId="0" applyNumberFormat="1" applyBorder="1" applyAlignment="1">
      <alignment horizontal="center"/>
    </xf>
    <xf numFmtId="37" fontId="10" fillId="0" borderId="0" xfId="0" applyNumberFormat="1" applyFont="1" applyFill="1" applyAlignment="1">
      <alignment horizontal="right"/>
    </xf>
    <xf numFmtId="37" fontId="10" fillId="0" borderId="0" xfId="0" applyNumberFormat="1" applyFont="1" applyBorder="1" applyAlignment="1">
      <alignment horizontal="center" vertical="justify"/>
    </xf>
    <xf numFmtId="3" fontId="0" fillId="0" borderId="0" xfId="0" applyNumberFormat="1" applyFont="1" applyBorder="1" applyAlignment="1">
      <alignment horizontal="center" vertical="justify"/>
    </xf>
    <xf numFmtId="3" fontId="5" fillId="68" borderId="67" xfId="0" applyNumberFormat="1" applyFont="1" applyFill="1" applyBorder="1" applyAlignment="1" applyProtection="1">
      <alignment horizontal="left"/>
      <protection locked="0"/>
    </xf>
    <xf numFmtId="3" fontId="5" fillId="68" borderId="68" xfId="0" applyNumberFormat="1" applyFont="1" applyFill="1" applyBorder="1" applyAlignment="1" applyProtection="1">
      <alignment horizontal="left"/>
      <protection locked="0"/>
    </xf>
    <xf numFmtId="3" fontId="6" fillId="49" borderId="8" xfId="0" applyNumberFormat="1" applyFont="1" applyFill="1" applyBorder="1" applyAlignment="1">
      <alignment/>
    </xf>
    <xf numFmtId="37" fontId="6" fillId="48" borderId="8" xfId="0" applyNumberFormat="1" applyFont="1" applyFill="1" applyBorder="1" applyAlignment="1" applyProtection="1">
      <alignment/>
      <protection locked="0"/>
    </xf>
    <xf numFmtId="37" fontId="10" fillId="0" borderId="17" xfId="0" applyNumberFormat="1" applyFont="1" applyFill="1" applyBorder="1" applyAlignment="1" applyProtection="1">
      <alignment horizontal="left"/>
      <protection/>
    </xf>
    <xf numFmtId="3" fontId="10" fillId="0" borderId="17" xfId="0" applyNumberFormat="1" applyFont="1" applyFill="1" applyBorder="1" applyAlignment="1" applyProtection="1">
      <alignment horizontal="left"/>
      <protection/>
    </xf>
    <xf numFmtId="3" fontId="10" fillId="0" borderId="17" xfId="0" applyNumberFormat="1" applyFont="1" applyFill="1" applyBorder="1" applyAlignment="1" applyProtection="1">
      <alignment/>
      <protection/>
    </xf>
    <xf numFmtId="5" fontId="148" fillId="66" borderId="18" xfId="45" applyNumberFormat="1" applyFont="1" applyFill="1" applyBorder="1" applyAlignment="1" applyProtection="1">
      <alignment horizontal="center"/>
      <protection locked="0"/>
    </xf>
    <xf numFmtId="192" fontId="148" fillId="70" borderId="18" xfId="75" applyNumberFormat="1" applyFont="1" applyFill="1" applyBorder="1" applyAlignment="1">
      <alignment horizontal="center"/>
    </xf>
    <xf numFmtId="0" fontId="147" fillId="0" borderId="0" xfId="0" applyFont="1" applyAlignment="1">
      <alignment vertical="center" wrapText="1"/>
    </xf>
    <xf numFmtId="9" fontId="148" fillId="70" borderId="18" xfId="75" applyNumberFormat="1" applyFont="1" applyFill="1" applyBorder="1" applyAlignment="1">
      <alignment horizontal="center"/>
    </xf>
    <xf numFmtId="0" fontId="148" fillId="66" borderId="18" xfId="0" applyFont="1" applyFill="1" applyBorder="1" applyAlignment="1" applyProtection="1">
      <alignment horizontal="left"/>
      <protection locked="0"/>
    </xf>
    <xf numFmtId="5" fontId="148" fillId="70" borderId="18" xfId="45" applyNumberFormat="1" applyFont="1" applyFill="1" applyBorder="1" applyAlignment="1" applyProtection="1">
      <alignment horizontal="center"/>
      <protection locked="0"/>
    </xf>
    <xf numFmtId="0" fontId="148" fillId="66" borderId="18" xfId="0" applyFont="1" applyFill="1" applyBorder="1" applyAlignment="1" applyProtection="1">
      <alignment/>
      <protection locked="0"/>
    </xf>
    <xf numFmtId="0" fontId="148" fillId="0" borderId="0" xfId="0" applyFont="1" applyAlignment="1" applyProtection="1">
      <alignment/>
      <protection locked="0"/>
    </xf>
    <xf numFmtId="9" fontId="148" fillId="0" borderId="0" xfId="75" applyNumberFormat="1" applyFont="1" applyBorder="1" applyAlignment="1">
      <alignment horizontal="center"/>
    </xf>
    <xf numFmtId="0" fontId="36" fillId="0" borderId="24" xfId="0" applyFont="1" applyBorder="1" applyAlignment="1">
      <alignment horizontal="center" vertical="top"/>
    </xf>
    <xf numFmtId="0" fontId="36" fillId="0" borderId="19" xfId="0" applyFont="1" applyBorder="1" applyAlignment="1">
      <alignment horizontal="center" vertical="top"/>
    </xf>
    <xf numFmtId="0" fontId="36" fillId="0" borderId="25" xfId="0" applyFont="1" applyBorder="1" applyAlignment="1">
      <alignment horizontal="center" vertical="top"/>
    </xf>
    <xf numFmtId="0" fontId="2" fillId="0" borderId="30" xfId="0" applyFont="1" applyBorder="1" applyAlignment="1">
      <alignment vertical="top"/>
    </xf>
    <xf numFmtId="0" fontId="2" fillId="0" borderId="0" xfId="0" applyFont="1" applyBorder="1" applyAlignment="1">
      <alignment vertical="top"/>
    </xf>
    <xf numFmtId="0" fontId="59" fillId="0" borderId="62" xfId="68" applyFont="1" applyBorder="1" applyAlignment="1">
      <alignment horizontal="center" wrapText="1"/>
      <protection/>
    </xf>
    <xf numFmtId="0" fontId="59" fillId="0" borderId="63" xfId="68" applyFont="1" applyBorder="1" applyAlignment="1">
      <alignment horizontal="center"/>
      <protection/>
    </xf>
    <xf numFmtId="0" fontId="59" fillId="0" borderId="64" xfId="68" applyFont="1" applyBorder="1" applyAlignment="1">
      <alignment horizontal="center"/>
      <protection/>
    </xf>
    <xf numFmtId="0" fontId="59" fillId="0" borderId="67" xfId="68" applyFont="1" applyBorder="1" applyAlignment="1">
      <alignment horizontal="center"/>
      <protection/>
    </xf>
    <xf numFmtId="0" fontId="59" fillId="0" borderId="68" xfId="68" applyFont="1" applyBorder="1" applyAlignment="1">
      <alignment horizontal="center"/>
      <protection/>
    </xf>
    <xf numFmtId="0" fontId="59" fillId="0" borderId="69" xfId="68" applyFont="1" applyBorder="1" applyAlignment="1">
      <alignment horizontal="center"/>
      <protection/>
    </xf>
    <xf numFmtId="0" fontId="59" fillId="0" borderId="62" xfId="68" applyFont="1" applyBorder="1" applyAlignment="1">
      <alignment horizontal="center"/>
      <protection/>
    </xf>
    <xf numFmtId="0" fontId="2" fillId="0" borderId="65" xfId="68" applyBorder="1" applyAlignment="1">
      <alignment horizontal="left" wrapText="1"/>
      <protection/>
    </xf>
    <xf numFmtId="0" fontId="2" fillId="0" borderId="0" xfId="68" applyAlignment="1">
      <alignment horizontal="left" wrapText="1"/>
      <protection/>
    </xf>
    <xf numFmtId="0" fontId="66" fillId="0" borderId="0" xfId="70" applyFont="1" applyAlignment="1">
      <alignment horizontal="center"/>
      <protection/>
    </xf>
    <xf numFmtId="0" fontId="42" fillId="0" borderId="0" xfId="71" applyFont="1" applyAlignment="1">
      <alignment horizontal="center" wrapText="1"/>
      <protection/>
    </xf>
    <xf numFmtId="0" fontId="55" fillId="0" borderId="68" xfId="71" applyFont="1" applyBorder="1" applyAlignment="1">
      <alignment horizontal="right"/>
      <protection/>
    </xf>
    <xf numFmtId="37" fontId="55" fillId="0" borderId="178" xfId="0" applyNumberFormat="1" applyFont="1" applyBorder="1" applyAlignment="1">
      <alignment horizontal="right" vertical="top"/>
    </xf>
    <xf numFmtId="0" fontId="55" fillId="0" borderId="178" xfId="0" applyFont="1" applyBorder="1" applyAlignment="1">
      <alignment horizontal="right" vertical="top"/>
    </xf>
    <xf numFmtId="177" fontId="27" fillId="66" borderId="152" xfId="83" applyFont="1" applyFill="1" applyBorder="1" applyAlignment="1">
      <alignment horizontal="left"/>
      <protection locked="0"/>
    </xf>
    <xf numFmtId="177" fontId="27" fillId="66" borderId="11" xfId="83" applyFont="1" applyFill="1" applyBorder="1" applyAlignment="1">
      <alignment horizontal="left"/>
      <protection locked="0"/>
    </xf>
    <xf numFmtId="177" fontId="28" fillId="50" borderId="18" xfId="83" applyFont="1" applyFill="1" applyBorder="1" applyAlignment="1">
      <alignment horizontal="left"/>
      <protection locked="0"/>
    </xf>
    <xf numFmtId="49" fontId="27" fillId="0" borderId="68" xfId="71" applyNumberFormat="1" applyFont="1" applyBorder="1">
      <alignment/>
      <protection/>
    </xf>
    <xf numFmtId="0" fontId="30" fillId="0" borderId="68" xfId="71" applyFont="1" applyBorder="1">
      <alignment/>
      <protection/>
    </xf>
    <xf numFmtId="177" fontId="27" fillId="0" borderId="166" xfId="83" applyFont="1" applyFill="1" applyBorder="1" applyAlignment="1" applyProtection="1">
      <alignment horizontal="left"/>
      <protection/>
    </xf>
    <xf numFmtId="0" fontId="36" fillId="0" borderId="8" xfId="71" applyFont="1" applyBorder="1">
      <alignment/>
      <protection/>
    </xf>
    <xf numFmtId="0" fontId="36" fillId="66" borderId="11" xfId="71" applyFont="1" applyFill="1" applyBorder="1">
      <alignment/>
      <protection/>
    </xf>
    <xf numFmtId="0" fontId="22" fillId="68" borderId="16" xfId="72" applyFont="1" applyFill="1" applyBorder="1" applyAlignment="1">
      <alignment horizontal="center"/>
      <protection/>
    </xf>
    <xf numFmtId="3" fontId="22" fillId="68" borderId="56" xfId="72" applyNumberFormat="1" applyFont="1" applyFill="1" applyBorder="1" applyAlignment="1">
      <alignment horizontal="center"/>
      <protection/>
    </xf>
    <xf numFmtId="3" fontId="22" fillId="68" borderId="57" xfId="72" applyNumberFormat="1" applyFont="1" applyFill="1" applyBorder="1" applyAlignment="1">
      <alignment horizontal="center"/>
      <protection/>
    </xf>
    <xf numFmtId="4" fontId="22" fillId="68" borderId="56" xfId="72" applyNumberFormat="1" applyFont="1" applyFill="1" applyBorder="1" applyAlignment="1">
      <alignment horizontal="center"/>
      <protection/>
    </xf>
    <xf numFmtId="4" fontId="22" fillId="68" borderId="57" xfId="72" applyNumberFormat="1" applyFont="1" applyFill="1" applyBorder="1" applyAlignment="1">
      <alignment horizontal="center"/>
      <protection/>
    </xf>
    <xf numFmtId="4" fontId="22" fillId="68" borderId="179" xfId="72" applyNumberFormat="1" applyFont="1" applyFill="1" applyBorder="1" applyAlignment="1">
      <alignment horizontal="center"/>
      <protection/>
    </xf>
    <xf numFmtId="192" fontId="22" fillId="68" borderId="56" xfId="72" applyNumberFormat="1" applyFont="1" applyFill="1" applyBorder="1" applyAlignment="1">
      <alignment horizontal="center"/>
      <protection/>
    </xf>
    <xf numFmtId="192" fontId="22" fillId="68" borderId="57" xfId="72" applyNumberFormat="1" applyFont="1" applyFill="1" applyBorder="1" applyAlignment="1">
      <alignment horizontal="center"/>
      <protection/>
    </xf>
    <xf numFmtId="192" fontId="6" fillId="49" borderId="0" xfId="49" applyNumberFormat="1" applyFont="1" applyFill="1" applyAlignment="1">
      <alignment/>
    </xf>
    <xf numFmtId="0" fontId="6" fillId="49" borderId="18" xfId="49" applyNumberFormat="1" applyFont="1" applyFill="1" applyBorder="1" applyAlignment="1">
      <alignment horizontal="left"/>
    </xf>
    <xf numFmtId="0" fontId="7" fillId="29" borderId="18" xfId="72" applyFill="1" applyBorder="1">
      <alignment/>
      <protection/>
    </xf>
    <xf numFmtId="0" fontId="27" fillId="29" borderId="0" xfId="72" applyFont="1" applyFill="1" applyAlignment="1">
      <alignment horizontal="center"/>
      <protection/>
    </xf>
    <xf numFmtId="0" fontId="7" fillId="29" borderId="0" xfId="72" applyFill="1" applyAlignment="1">
      <alignment horizontal="center"/>
      <protection/>
    </xf>
    <xf numFmtId="0" fontId="131" fillId="0" borderId="0" xfId="71" applyFont="1" applyAlignment="1">
      <alignment horizontal="left"/>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PART IV - PROJECT COSTS" xfId="47"/>
    <cellStyle name="Currency_t2" xfId="48"/>
    <cellStyle name="Currency_t2t" xfId="49"/>
    <cellStyle name="Currency0" xfId="50"/>
    <cellStyle name="Currency0_t2" xfId="51"/>
    <cellStyle name="Currency0_t2t" xfId="52"/>
    <cellStyle name="Date" xfId="53"/>
    <cellStyle name="Explanatory Text" xfId="54"/>
    <cellStyle name="Fixed" xfId="55"/>
    <cellStyle name="Followed Hyperlink" xfId="56"/>
    <cellStyle name="Good" xfId="57"/>
    <cellStyle name="Heading 1" xfId="58"/>
    <cellStyle name="Heading 2" xfId="59"/>
    <cellStyle name="Heading 3" xfId="60"/>
    <cellStyle name="Heading 4" xfId="61"/>
    <cellStyle name="HEADING1" xfId="62"/>
    <cellStyle name="HEADING2" xfId="63"/>
    <cellStyle name="Hyperlink" xfId="64"/>
    <cellStyle name="Input" xfId="65"/>
    <cellStyle name="Linked Cell" xfId="66"/>
    <cellStyle name="Neutral" xfId="67"/>
    <cellStyle name="Normal_Book1" xfId="68"/>
    <cellStyle name="Normal_PART II - ELIGIBILITY" xfId="69"/>
    <cellStyle name="Normal_PG 21 RENT CHART" xfId="70"/>
    <cellStyle name="Normal_t2" xfId="71"/>
    <cellStyle name="Normal_t2t" xfId="72"/>
    <cellStyle name="Note" xfId="73"/>
    <cellStyle name="Output" xfId="74"/>
    <cellStyle name="Percent" xfId="75"/>
    <cellStyle name="Percent_t2" xfId="76"/>
    <cellStyle name="Percent_t2t" xfId="77"/>
    <cellStyle name="Title" xfId="78"/>
    <cellStyle name="Total" xfId="79"/>
    <cellStyle name="Warning Text" xfId="80"/>
    <cellStyle name="white" xfId="81"/>
    <cellStyle name="Yellow" xfId="82"/>
    <cellStyle name="Yellow_t2" xfId="83"/>
    <cellStyle name="Yellow_t2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 Id="rId3" Type="http://schemas.openxmlformats.org/officeDocument/2006/relationships/image" Target="../media/image10.emf" /><Relationship Id="rId4" Type="http://schemas.openxmlformats.org/officeDocument/2006/relationships/image" Target="../media/image23.emf" /><Relationship Id="rId5" Type="http://schemas.openxmlformats.org/officeDocument/2006/relationships/image" Target="../media/image8.emf" /><Relationship Id="rId6" Type="http://schemas.openxmlformats.org/officeDocument/2006/relationships/image" Target="../media/image19.emf" /><Relationship Id="rId7" Type="http://schemas.openxmlformats.org/officeDocument/2006/relationships/image" Target="../media/image15.emf" /><Relationship Id="rId8" Type="http://schemas.openxmlformats.org/officeDocument/2006/relationships/image" Target="../media/image6.emf" /><Relationship Id="rId9" Type="http://schemas.openxmlformats.org/officeDocument/2006/relationships/image" Target="../media/image2.emf" /><Relationship Id="rId10" Type="http://schemas.openxmlformats.org/officeDocument/2006/relationships/image" Target="../media/image18.emf" /><Relationship Id="rId1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 Id="rId7" Type="http://schemas.openxmlformats.org/officeDocument/2006/relationships/image" Target="../media/image14.emf" /><Relationship Id="rId8" Type="http://schemas.openxmlformats.org/officeDocument/2006/relationships/image" Target="../media/image16.emf" /><Relationship Id="rId9" Type="http://schemas.openxmlformats.org/officeDocument/2006/relationships/image" Target="../media/image17.emf" /><Relationship Id="rId10" Type="http://schemas.openxmlformats.org/officeDocument/2006/relationships/image" Target="../media/image20.emf" /><Relationship Id="rId11" Type="http://schemas.openxmlformats.org/officeDocument/2006/relationships/image" Target="../media/image21.emf" /><Relationship Id="rId12"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104775</xdr:rowOff>
    </xdr:from>
    <xdr:to>
      <xdr:col>8</xdr:col>
      <xdr:colOff>561975</xdr:colOff>
      <xdr:row>2</xdr:row>
      <xdr:rowOff>66675</xdr:rowOff>
    </xdr:to>
    <xdr:pic>
      <xdr:nvPicPr>
        <xdr:cNvPr id="1" name="Label1"/>
        <xdr:cNvPicPr preferRelativeResize="1">
          <a:picLocks noChangeAspect="1"/>
        </xdr:cNvPicPr>
      </xdr:nvPicPr>
      <xdr:blipFill>
        <a:blip r:embed="rId1"/>
        <a:stretch>
          <a:fillRect/>
        </a:stretch>
      </xdr:blipFill>
      <xdr:spPr>
        <a:xfrm>
          <a:off x="390525" y="95250"/>
          <a:ext cx="4810125" cy="314325"/>
        </a:xfrm>
        <a:prstGeom prst="rect">
          <a:avLst/>
        </a:prstGeom>
        <a:noFill/>
        <a:ln w="9525" cmpd="sng">
          <a:noFill/>
        </a:ln>
      </xdr:spPr>
    </xdr:pic>
    <xdr:clientData/>
  </xdr:twoCellAnchor>
  <xdr:twoCellAnchor>
    <xdr:from>
      <xdr:col>0</xdr:col>
      <xdr:colOff>390525</xdr:colOff>
      <xdr:row>4</xdr:row>
      <xdr:rowOff>85725</xdr:rowOff>
    </xdr:from>
    <xdr:to>
      <xdr:col>8</xdr:col>
      <xdr:colOff>542925</xdr:colOff>
      <xdr:row>5</xdr:row>
      <xdr:rowOff>152400</xdr:rowOff>
    </xdr:to>
    <xdr:pic>
      <xdr:nvPicPr>
        <xdr:cNvPr id="2" name="Sched_A"/>
        <xdr:cNvPicPr preferRelativeResize="1">
          <a:picLocks noChangeAspect="1"/>
        </xdr:cNvPicPr>
      </xdr:nvPicPr>
      <xdr:blipFill>
        <a:blip r:embed="rId2"/>
        <a:stretch>
          <a:fillRect/>
        </a:stretch>
      </xdr:blipFill>
      <xdr:spPr>
        <a:xfrm>
          <a:off x="390525" y="781050"/>
          <a:ext cx="4791075" cy="219075"/>
        </a:xfrm>
        <a:prstGeom prst="rect">
          <a:avLst/>
        </a:prstGeom>
        <a:noFill/>
        <a:ln w="9525" cmpd="sng">
          <a:noFill/>
        </a:ln>
      </xdr:spPr>
    </xdr:pic>
    <xdr:clientData/>
  </xdr:twoCellAnchor>
  <xdr:twoCellAnchor>
    <xdr:from>
      <xdr:col>0</xdr:col>
      <xdr:colOff>390525</xdr:colOff>
      <xdr:row>6</xdr:row>
      <xdr:rowOff>0</xdr:rowOff>
    </xdr:from>
    <xdr:to>
      <xdr:col>8</xdr:col>
      <xdr:colOff>542925</xdr:colOff>
      <xdr:row>7</xdr:row>
      <xdr:rowOff>57150</xdr:rowOff>
    </xdr:to>
    <xdr:pic>
      <xdr:nvPicPr>
        <xdr:cNvPr id="3" name="Sched_B"/>
        <xdr:cNvPicPr preferRelativeResize="1">
          <a:picLocks noChangeAspect="1"/>
        </xdr:cNvPicPr>
      </xdr:nvPicPr>
      <xdr:blipFill>
        <a:blip r:embed="rId3"/>
        <a:stretch>
          <a:fillRect/>
        </a:stretch>
      </xdr:blipFill>
      <xdr:spPr>
        <a:xfrm>
          <a:off x="390525" y="1028700"/>
          <a:ext cx="4791075" cy="209550"/>
        </a:xfrm>
        <a:prstGeom prst="rect">
          <a:avLst/>
        </a:prstGeom>
        <a:noFill/>
        <a:ln w="9525" cmpd="sng">
          <a:noFill/>
        </a:ln>
      </xdr:spPr>
    </xdr:pic>
    <xdr:clientData/>
  </xdr:twoCellAnchor>
  <xdr:twoCellAnchor>
    <xdr:from>
      <xdr:col>0</xdr:col>
      <xdr:colOff>390525</xdr:colOff>
      <xdr:row>7</xdr:row>
      <xdr:rowOff>123825</xdr:rowOff>
    </xdr:from>
    <xdr:to>
      <xdr:col>8</xdr:col>
      <xdr:colOff>533400</xdr:colOff>
      <xdr:row>8</xdr:row>
      <xdr:rowOff>190500</xdr:rowOff>
    </xdr:to>
    <xdr:pic>
      <xdr:nvPicPr>
        <xdr:cNvPr id="4" name="Sched_C"/>
        <xdr:cNvPicPr preferRelativeResize="1">
          <a:picLocks noChangeAspect="1"/>
        </xdr:cNvPicPr>
      </xdr:nvPicPr>
      <xdr:blipFill>
        <a:blip r:embed="rId4"/>
        <a:stretch>
          <a:fillRect/>
        </a:stretch>
      </xdr:blipFill>
      <xdr:spPr>
        <a:xfrm>
          <a:off x="390525" y="1314450"/>
          <a:ext cx="4781550" cy="200025"/>
        </a:xfrm>
        <a:prstGeom prst="rect">
          <a:avLst/>
        </a:prstGeom>
        <a:noFill/>
        <a:ln w="9525" cmpd="sng">
          <a:noFill/>
        </a:ln>
      </xdr:spPr>
    </xdr:pic>
    <xdr:clientData/>
  </xdr:twoCellAnchor>
  <xdr:twoCellAnchor>
    <xdr:from>
      <xdr:col>0</xdr:col>
      <xdr:colOff>381000</xdr:colOff>
      <xdr:row>9</xdr:row>
      <xdr:rowOff>47625</xdr:rowOff>
    </xdr:from>
    <xdr:to>
      <xdr:col>8</xdr:col>
      <xdr:colOff>542925</xdr:colOff>
      <xdr:row>10</xdr:row>
      <xdr:rowOff>85725</xdr:rowOff>
    </xdr:to>
    <xdr:pic>
      <xdr:nvPicPr>
        <xdr:cNvPr id="5" name="Sched_D"/>
        <xdr:cNvPicPr preferRelativeResize="1">
          <a:picLocks noChangeAspect="1"/>
        </xdr:cNvPicPr>
      </xdr:nvPicPr>
      <xdr:blipFill>
        <a:blip r:embed="rId5"/>
        <a:stretch>
          <a:fillRect/>
        </a:stretch>
      </xdr:blipFill>
      <xdr:spPr>
        <a:xfrm>
          <a:off x="381000" y="1552575"/>
          <a:ext cx="4800600" cy="200025"/>
        </a:xfrm>
        <a:prstGeom prst="rect">
          <a:avLst/>
        </a:prstGeom>
        <a:noFill/>
        <a:ln w="9525" cmpd="sng">
          <a:noFill/>
        </a:ln>
      </xdr:spPr>
    </xdr:pic>
    <xdr:clientData/>
  </xdr:twoCellAnchor>
  <xdr:twoCellAnchor>
    <xdr:from>
      <xdr:col>0</xdr:col>
      <xdr:colOff>381000</xdr:colOff>
      <xdr:row>10</xdr:row>
      <xdr:rowOff>161925</xdr:rowOff>
    </xdr:from>
    <xdr:to>
      <xdr:col>8</xdr:col>
      <xdr:colOff>561975</xdr:colOff>
      <xdr:row>12</xdr:row>
      <xdr:rowOff>0</xdr:rowOff>
    </xdr:to>
    <xdr:pic>
      <xdr:nvPicPr>
        <xdr:cNvPr id="6" name="Sched_E"/>
        <xdr:cNvPicPr preferRelativeResize="1">
          <a:picLocks noChangeAspect="1"/>
        </xdr:cNvPicPr>
      </xdr:nvPicPr>
      <xdr:blipFill>
        <a:blip r:embed="rId6"/>
        <a:stretch>
          <a:fillRect/>
        </a:stretch>
      </xdr:blipFill>
      <xdr:spPr>
        <a:xfrm>
          <a:off x="381000" y="1838325"/>
          <a:ext cx="4819650" cy="190500"/>
        </a:xfrm>
        <a:prstGeom prst="rect">
          <a:avLst/>
        </a:prstGeom>
        <a:noFill/>
        <a:ln w="9525" cmpd="sng">
          <a:noFill/>
        </a:ln>
      </xdr:spPr>
    </xdr:pic>
    <xdr:clientData/>
  </xdr:twoCellAnchor>
  <xdr:twoCellAnchor>
    <xdr:from>
      <xdr:col>0</xdr:col>
      <xdr:colOff>390525</xdr:colOff>
      <xdr:row>3</xdr:row>
      <xdr:rowOff>9525</xdr:rowOff>
    </xdr:from>
    <xdr:to>
      <xdr:col>5</xdr:col>
      <xdr:colOff>514350</xdr:colOff>
      <xdr:row>4</xdr:row>
      <xdr:rowOff>123825</xdr:rowOff>
    </xdr:to>
    <xdr:pic>
      <xdr:nvPicPr>
        <xdr:cNvPr id="7" name="Label8"/>
        <xdr:cNvPicPr preferRelativeResize="1">
          <a:picLocks noChangeAspect="1"/>
        </xdr:cNvPicPr>
      </xdr:nvPicPr>
      <xdr:blipFill>
        <a:blip r:embed="rId7"/>
        <a:stretch>
          <a:fillRect/>
        </a:stretch>
      </xdr:blipFill>
      <xdr:spPr>
        <a:xfrm>
          <a:off x="390525" y="523875"/>
          <a:ext cx="2933700" cy="276225"/>
        </a:xfrm>
        <a:prstGeom prst="rect">
          <a:avLst/>
        </a:prstGeom>
        <a:noFill/>
        <a:ln w="9525" cmpd="sng">
          <a:noFill/>
        </a:ln>
      </xdr:spPr>
    </xdr:pic>
    <xdr:clientData/>
  </xdr:twoCellAnchor>
  <xdr:twoCellAnchor>
    <xdr:from>
      <xdr:col>0</xdr:col>
      <xdr:colOff>438150</xdr:colOff>
      <xdr:row>16</xdr:row>
      <xdr:rowOff>0</xdr:rowOff>
    </xdr:from>
    <xdr:to>
      <xdr:col>5</xdr:col>
      <xdr:colOff>228600</xdr:colOff>
      <xdr:row>17</xdr:row>
      <xdr:rowOff>152400</xdr:rowOff>
    </xdr:to>
    <xdr:pic>
      <xdr:nvPicPr>
        <xdr:cNvPr id="8" name="MortgageCalculation"/>
        <xdr:cNvPicPr preferRelativeResize="1">
          <a:picLocks noChangeAspect="1"/>
        </xdr:cNvPicPr>
      </xdr:nvPicPr>
      <xdr:blipFill>
        <a:blip r:embed="rId8"/>
        <a:stretch>
          <a:fillRect/>
        </a:stretch>
      </xdr:blipFill>
      <xdr:spPr>
        <a:xfrm>
          <a:off x="438150" y="2733675"/>
          <a:ext cx="2600325" cy="295275"/>
        </a:xfrm>
        <a:prstGeom prst="rect">
          <a:avLst/>
        </a:prstGeom>
        <a:noFill/>
        <a:ln w="9525" cmpd="sng">
          <a:noFill/>
        </a:ln>
      </xdr:spPr>
    </xdr:pic>
    <xdr:clientData/>
  </xdr:twoCellAnchor>
  <xdr:twoCellAnchor>
    <xdr:from>
      <xdr:col>0</xdr:col>
      <xdr:colOff>381000</xdr:colOff>
      <xdr:row>12</xdr:row>
      <xdr:rowOff>85725</xdr:rowOff>
    </xdr:from>
    <xdr:to>
      <xdr:col>8</xdr:col>
      <xdr:colOff>561975</xdr:colOff>
      <xdr:row>13</xdr:row>
      <xdr:rowOff>152400</xdr:rowOff>
    </xdr:to>
    <xdr:pic>
      <xdr:nvPicPr>
        <xdr:cNvPr id="9" name="Cash_Flow"/>
        <xdr:cNvPicPr preferRelativeResize="1">
          <a:picLocks noChangeAspect="1"/>
        </xdr:cNvPicPr>
      </xdr:nvPicPr>
      <xdr:blipFill>
        <a:blip r:embed="rId9"/>
        <a:stretch>
          <a:fillRect/>
        </a:stretch>
      </xdr:blipFill>
      <xdr:spPr>
        <a:xfrm>
          <a:off x="381000" y="2085975"/>
          <a:ext cx="4819650" cy="209550"/>
        </a:xfrm>
        <a:prstGeom prst="rect">
          <a:avLst/>
        </a:prstGeom>
        <a:noFill/>
        <a:ln w="9525" cmpd="sng">
          <a:noFill/>
        </a:ln>
      </xdr:spPr>
    </xdr:pic>
    <xdr:clientData/>
  </xdr:twoCellAnchor>
  <xdr:twoCellAnchor>
    <xdr:from>
      <xdr:col>5</xdr:col>
      <xdr:colOff>352425</xdr:colOff>
      <xdr:row>16</xdr:row>
      <xdr:rowOff>95250</xdr:rowOff>
    </xdr:from>
    <xdr:to>
      <xdr:col>8</xdr:col>
      <xdr:colOff>561975</xdr:colOff>
      <xdr:row>20</xdr:row>
      <xdr:rowOff>9525</xdr:rowOff>
    </xdr:to>
    <xdr:pic>
      <xdr:nvPicPr>
        <xdr:cNvPr id="10" name="GoToTaxCredits"/>
        <xdr:cNvPicPr preferRelativeResize="1">
          <a:picLocks noChangeAspect="1"/>
        </xdr:cNvPicPr>
      </xdr:nvPicPr>
      <xdr:blipFill>
        <a:blip r:embed="rId10"/>
        <a:stretch>
          <a:fillRect/>
        </a:stretch>
      </xdr:blipFill>
      <xdr:spPr>
        <a:xfrm>
          <a:off x="3162300" y="2800350"/>
          <a:ext cx="2038350" cy="619125"/>
        </a:xfrm>
        <a:prstGeom prst="rect">
          <a:avLst/>
        </a:prstGeom>
        <a:noFill/>
        <a:ln w="9525" cmpd="sng">
          <a:noFill/>
        </a:ln>
      </xdr:spPr>
    </xdr:pic>
    <xdr:clientData/>
  </xdr:twoCellAnchor>
  <xdr:twoCellAnchor>
    <xdr:from>
      <xdr:col>0</xdr:col>
      <xdr:colOff>466725</xdr:colOff>
      <xdr:row>18</xdr:row>
      <xdr:rowOff>104775</xdr:rowOff>
    </xdr:from>
    <xdr:to>
      <xdr:col>5</xdr:col>
      <xdr:colOff>238125</xdr:colOff>
      <xdr:row>20</xdr:row>
      <xdr:rowOff>19050</xdr:rowOff>
    </xdr:to>
    <xdr:pic>
      <xdr:nvPicPr>
        <xdr:cNvPr id="11" name="Print_Menu"/>
        <xdr:cNvPicPr preferRelativeResize="1">
          <a:picLocks noChangeAspect="1"/>
        </xdr:cNvPicPr>
      </xdr:nvPicPr>
      <xdr:blipFill>
        <a:blip r:embed="rId11"/>
        <a:stretch>
          <a:fillRect/>
        </a:stretch>
      </xdr:blipFill>
      <xdr:spPr>
        <a:xfrm>
          <a:off x="466725" y="3124200"/>
          <a:ext cx="25812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169</xdr:row>
      <xdr:rowOff>142875</xdr:rowOff>
    </xdr:from>
    <xdr:to>
      <xdr:col>4</xdr:col>
      <xdr:colOff>600075</xdr:colOff>
      <xdr:row>170</xdr:row>
      <xdr:rowOff>161925</xdr:rowOff>
    </xdr:to>
    <xdr:sp>
      <xdr:nvSpPr>
        <xdr:cNvPr id="1" name="AutoShape 70"/>
        <xdr:cNvSpPr>
          <a:spLocks/>
        </xdr:cNvSpPr>
      </xdr:nvSpPr>
      <xdr:spPr>
        <a:xfrm>
          <a:off x="1457325" y="33118425"/>
          <a:ext cx="3343275"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1085850</xdr:colOff>
      <xdr:row>170</xdr:row>
      <xdr:rowOff>142875</xdr:rowOff>
    </xdr:from>
    <xdr:to>
      <xdr:col>4</xdr:col>
      <xdr:colOff>609600</xdr:colOff>
      <xdr:row>171</xdr:row>
      <xdr:rowOff>171450</xdr:rowOff>
    </xdr:to>
    <xdr:sp>
      <xdr:nvSpPr>
        <xdr:cNvPr id="2" name="Line 71"/>
        <xdr:cNvSpPr>
          <a:spLocks/>
        </xdr:cNvSpPr>
      </xdr:nvSpPr>
      <xdr:spPr>
        <a:xfrm flipV="1">
          <a:off x="4200525" y="33308925"/>
          <a:ext cx="6096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14</xdr:row>
      <xdr:rowOff>47625</xdr:rowOff>
    </xdr:from>
    <xdr:to>
      <xdr:col>2</xdr:col>
      <xdr:colOff>838200</xdr:colOff>
      <xdr:row>15</xdr:row>
      <xdr:rowOff>9525</xdr:rowOff>
    </xdr:to>
    <xdr:sp>
      <xdr:nvSpPr>
        <xdr:cNvPr id="1" name="AutoShape 5"/>
        <xdr:cNvSpPr>
          <a:spLocks/>
        </xdr:cNvSpPr>
      </xdr:nvSpPr>
      <xdr:spPr>
        <a:xfrm>
          <a:off x="3895725" y="2724150"/>
          <a:ext cx="5715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13</xdr:row>
      <xdr:rowOff>38100</xdr:rowOff>
    </xdr:from>
    <xdr:to>
      <xdr:col>2</xdr:col>
      <xdr:colOff>971550</xdr:colOff>
      <xdr:row>14</xdr:row>
      <xdr:rowOff>0</xdr:rowOff>
    </xdr:to>
    <xdr:sp>
      <xdr:nvSpPr>
        <xdr:cNvPr id="2" name="AutoShape 7"/>
        <xdr:cNvSpPr>
          <a:spLocks/>
        </xdr:cNvSpPr>
      </xdr:nvSpPr>
      <xdr:spPr>
        <a:xfrm>
          <a:off x="4038600" y="2495550"/>
          <a:ext cx="5619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142875</xdr:rowOff>
    </xdr:from>
    <xdr:to>
      <xdr:col>7</xdr:col>
      <xdr:colOff>609600</xdr:colOff>
      <xdr:row>2</xdr:row>
      <xdr:rowOff>171450</xdr:rowOff>
    </xdr:to>
    <xdr:pic>
      <xdr:nvPicPr>
        <xdr:cNvPr id="1" name="Label1"/>
        <xdr:cNvPicPr preferRelativeResize="1">
          <a:picLocks noChangeAspect="0"/>
        </xdr:cNvPicPr>
      </xdr:nvPicPr>
      <xdr:blipFill>
        <a:blip r:embed="rId1"/>
        <a:stretch>
          <a:fillRect/>
        </a:stretch>
      </xdr:blipFill>
      <xdr:spPr>
        <a:xfrm>
          <a:off x="466725" y="123825"/>
          <a:ext cx="4171950" cy="381000"/>
        </a:xfrm>
        <a:prstGeom prst="rect">
          <a:avLst/>
        </a:prstGeom>
        <a:noFill/>
        <a:ln w="9525" cmpd="sng">
          <a:noFill/>
        </a:ln>
      </xdr:spPr>
    </xdr:pic>
    <xdr:clientData/>
  </xdr:twoCellAnchor>
  <xdr:twoCellAnchor>
    <xdr:from>
      <xdr:col>0</xdr:col>
      <xdr:colOff>428625</xdr:colOff>
      <xdr:row>7</xdr:row>
      <xdr:rowOff>142875</xdr:rowOff>
    </xdr:from>
    <xdr:to>
      <xdr:col>8</xdr:col>
      <xdr:colOff>0</xdr:colOff>
      <xdr:row>8</xdr:row>
      <xdr:rowOff>190500</xdr:rowOff>
    </xdr:to>
    <xdr:pic>
      <xdr:nvPicPr>
        <xdr:cNvPr id="2" name="Label2"/>
        <xdr:cNvPicPr preferRelativeResize="1">
          <a:picLocks noChangeAspect="0"/>
        </xdr:cNvPicPr>
      </xdr:nvPicPr>
      <xdr:blipFill>
        <a:blip r:embed="rId2"/>
        <a:stretch>
          <a:fillRect/>
        </a:stretch>
      </xdr:blipFill>
      <xdr:spPr>
        <a:xfrm>
          <a:off x="428625" y="1400175"/>
          <a:ext cx="4210050" cy="200025"/>
        </a:xfrm>
        <a:prstGeom prst="rect">
          <a:avLst/>
        </a:prstGeom>
        <a:noFill/>
        <a:ln w="9525" cmpd="sng">
          <a:noFill/>
        </a:ln>
      </xdr:spPr>
    </xdr:pic>
    <xdr:clientData/>
  </xdr:twoCellAnchor>
  <xdr:twoCellAnchor>
    <xdr:from>
      <xdr:col>0</xdr:col>
      <xdr:colOff>428625</xdr:colOff>
      <xdr:row>9</xdr:row>
      <xdr:rowOff>47625</xdr:rowOff>
    </xdr:from>
    <xdr:to>
      <xdr:col>8</xdr:col>
      <xdr:colOff>0</xdr:colOff>
      <xdr:row>10</xdr:row>
      <xdr:rowOff>95250</xdr:rowOff>
    </xdr:to>
    <xdr:pic>
      <xdr:nvPicPr>
        <xdr:cNvPr id="3" name="Label3"/>
        <xdr:cNvPicPr preferRelativeResize="1">
          <a:picLocks noChangeAspect="0"/>
        </xdr:cNvPicPr>
      </xdr:nvPicPr>
      <xdr:blipFill>
        <a:blip r:embed="rId3"/>
        <a:stretch>
          <a:fillRect/>
        </a:stretch>
      </xdr:blipFill>
      <xdr:spPr>
        <a:xfrm>
          <a:off x="428625" y="1638300"/>
          <a:ext cx="4210050" cy="209550"/>
        </a:xfrm>
        <a:prstGeom prst="rect">
          <a:avLst/>
        </a:prstGeom>
        <a:noFill/>
        <a:ln w="9525" cmpd="sng">
          <a:noFill/>
        </a:ln>
      </xdr:spPr>
    </xdr:pic>
    <xdr:clientData/>
  </xdr:twoCellAnchor>
  <xdr:twoCellAnchor>
    <xdr:from>
      <xdr:col>0</xdr:col>
      <xdr:colOff>419100</xdr:colOff>
      <xdr:row>12</xdr:row>
      <xdr:rowOff>95250</xdr:rowOff>
    </xdr:from>
    <xdr:to>
      <xdr:col>7</xdr:col>
      <xdr:colOff>609600</xdr:colOff>
      <xdr:row>13</xdr:row>
      <xdr:rowOff>171450</xdr:rowOff>
    </xdr:to>
    <xdr:pic>
      <xdr:nvPicPr>
        <xdr:cNvPr id="4" name="Label4"/>
        <xdr:cNvPicPr preferRelativeResize="1">
          <a:picLocks noChangeAspect="0"/>
        </xdr:cNvPicPr>
      </xdr:nvPicPr>
      <xdr:blipFill>
        <a:blip r:embed="rId4"/>
        <a:stretch>
          <a:fillRect/>
        </a:stretch>
      </xdr:blipFill>
      <xdr:spPr>
        <a:xfrm>
          <a:off x="419100" y="2200275"/>
          <a:ext cx="4219575" cy="228600"/>
        </a:xfrm>
        <a:prstGeom prst="rect">
          <a:avLst/>
        </a:prstGeom>
        <a:noFill/>
        <a:ln w="9525" cmpd="sng">
          <a:noFill/>
        </a:ln>
      </xdr:spPr>
    </xdr:pic>
    <xdr:clientData/>
  </xdr:twoCellAnchor>
  <xdr:twoCellAnchor>
    <xdr:from>
      <xdr:col>0</xdr:col>
      <xdr:colOff>419100</xdr:colOff>
      <xdr:row>14</xdr:row>
      <xdr:rowOff>19050</xdr:rowOff>
    </xdr:from>
    <xdr:to>
      <xdr:col>7</xdr:col>
      <xdr:colOff>609600</xdr:colOff>
      <xdr:row>15</xdr:row>
      <xdr:rowOff>95250</xdr:rowOff>
    </xdr:to>
    <xdr:pic>
      <xdr:nvPicPr>
        <xdr:cNvPr id="5" name="Label5"/>
        <xdr:cNvPicPr preferRelativeResize="1">
          <a:picLocks noChangeAspect="0"/>
        </xdr:cNvPicPr>
      </xdr:nvPicPr>
      <xdr:blipFill>
        <a:blip r:embed="rId5"/>
        <a:stretch>
          <a:fillRect/>
        </a:stretch>
      </xdr:blipFill>
      <xdr:spPr>
        <a:xfrm>
          <a:off x="419100" y="2457450"/>
          <a:ext cx="4219575" cy="228600"/>
        </a:xfrm>
        <a:prstGeom prst="rect">
          <a:avLst/>
        </a:prstGeom>
        <a:noFill/>
        <a:ln w="9525" cmpd="sng">
          <a:noFill/>
        </a:ln>
      </xdr:spPr>
    </xdr:pic>
    <xdr:clientData/>
  </xdr:twoCellAnchor>
  <xdr:twoCellAnchor>
    <xdr:from>
      <xdr:col>0</xdr:col>
      <xdr:colOff>428625</xdr:colOff>
      <xdr:row>3</xdr:row>
      <xdr:rowOff>0</xdr:rowOff>
    </xdr:from>
    <xdr:to>
      <xdr:col>6</xdr:col>
      <xdr:colOff>57150</xdr:colOff>
      <xdr:row>4</xdr:row>
      <xdr:rowOff>95250</xdr:rowOff>
    </xdr:to>
    <xdr:pic>
      <xdr:nvPicPr>
        <xdr:cNvPr id="6" name="Label8"/>
        <xdr:cNvPicPr preferRelativeResize="1">
          <a:picLocks noChangeAspect="1"/>
        </xdr:cNvPicPr>
      </xdr:nvPicPr>
      <xdr:blipFill>
        <a:blip r:embed="rId6"/>
        <a:stretch>
          <a:fillRect/>
        </a:stretch>
      </xdr:blipFill>
      <xdr:spPr>
        <a:xfrm>
          <a:off x="428625" y="514350"/>
          <a:ext cx="3048000" cy="247650"/>
        </a:xfrm>
        <a:prstGeom prst="rect">
          <a:avLst/>
        </a:prstGeom>
        <a:noFill/>
        <a:ln w="9525" cmpd="sng">
          <a:noFill/>
        </a:ln>
      </xdr:spPr>
    </xdr:pic>
    <xdr:clientData/>
  </xdr:twoCellAnchor>
  <xdr:twoCellAnchor>
    <xdr:from>
      <xdr:col>0</xdr:col>
      <xdr:colOff>428625</xdr:colOff>
      <xdr:row>19</xdr:row>
      <xdr:rowOff>104775</xdr:rowOff>
    </xdr:from>
    <xdr:to>
      <xdr:col>7</xdr:col>
      <xdr:colOff>609600</xdr:colOff>
      <xdr:row>21</xdr:row>
      <xdr:rowOff>47625</xdr:rowOff>
    </xdr:to>
    <xdr:pic>
      <xdr:nvPicPr>
        <xdr:cNvPr id="7" name="CommandButton1"/>
        <xdr:cNvPicPr preferRelativeResize="1">
          <a:picLocks noChangeAspect="1"/>
        </xdr:cNvPicPr>
      </xdr:nvPicPr>
      <xdr:blipFill>
        <a:blip r:embed="rId7"/>
        <a:stretch>
          <a:fillRect/>
        </a:stretch>
      </xdr:blipFill>
      <xdr:spPr>
        <a:xfrm>
          <a:off x="428625" y="3371850"/>
          <a:ext cx="4210050" cy="295275"/>
        </a:xfrm>
        <a:prstGeom prst="rect">
          <a:avLst/>
        </a:prstGeom>
        <a:noFill/>
        <a:ln w="9525" cmpd="sng">
          <a:noFill/>
        </a:ln>
      </xdr:spPr>
    </xdr:pic>
    <xdr:clientData/>
  </xdr:twoCellAnchor>
  <xdr:twoCellAnchor>
    <xdr:from>
      <xdr:col>0</xdr:col>
      <xdr:colOff>428625</xdr:colOff>
      <xdr:row>10</xdr:row>
      <xdr:rowOff>161925</xdr:rowOff>
    </xdr:from>
    <xdr:to>
      <xdr:col>8</xdr:col>
      <xdr:colOff>0</xdr:colOff>
      <xdr:row>12</xdr:row>
      <xdr:rowOff>0</xdr:rowOff>
    </xdr:to>
    <xdr:pic>
      <xdr:nvPicPr>
        <xdr:cNvPr id="8" name="Label6"/>
        <xdr:cNvPicPr preferRelativeResize="1">
          <a:picLocks noChangeAspect="0"/>
        </xdr:cNvPicPr>
      </xdr:nvPicPr>
      <xdr:blipFill>
        <a:blip r:embed="rId8"/>
        <a:stretch>
          <a:fillRect/>
        </a:stretch>
      </xdr:blipFill>
      <xdr:spPr>
        <a:xfrm>
          <a:off x="428625" y="1866900"/>
          <a:ext cx="4210050" cy="190500"/>
        </a:xfrm>
        <a:prstGeom prst="rect">
          <a:avLst/>
        </a:prstGeom>
        <a:noFill/>
        <a:ln w="9525" cmpd="sng">
          <a:noFill/>
        </a:ln>
      </xdr:spPr>
    </xdr:pic>
    <xdr:clientData/>
  </xdr:twoCellAnchor>
  <xdr:twoCellAnchor>
    <xdr:from>
      <xdr:col>0</xdr:col>
      <xdr:colOff>419100</xdr:colOff>
      <xdr:row>15</xdr:row>
      <xdr:rowOff>161925</xdr:rowOff>
    </xdr:from>
    <xdr:to>
      <xdr:col>7</xdr:col>
      <xdr:colOff>609600</xdr:colOff>
      <xdr:row>17</xdr:row>
      <xdr:rowOff>19050</xdr:rowOff>
    </xdr:to>
    <xdr:pic>
      <xdr:nvPicPr>
        <xdr:cNvPr id="9" name="Label7"/>
        <xdr:cNvPicPr preferRelativeResize="1">
          <a:picLocks noChangeAspect="0"/>
        </xdr:cNvPicPr>
      </xdr:nvPicPr>
      <xdr:blipFill>
        <a:blip r:embed="rId9"/>
        <a:stretch>
          <a:fillRect/>
        </a:stretch>
      </xdr:blipFill>
      <xdr:spPr>
        <a:xfrm>
          <a:off x="419100" y="2705100"/>
          <a:ext cx="4219575" cy="209550"/>
        </a:xfrm>
        <a:prstGeom prst="rect">
          <a:avLst/>
        </a:prstGeom>
        <a:noFill/>
        <a:ln w="9525" cmpd="sng">
          <a:noFill/>
        </a:ln>
      </xdr:spPr>
    </xdr:pic>
    <xdr:clientData/>
  </xdr:twoCellAnchor>
  <xdr:twoCellAnchor>
    <xdr:from>
      <xdr:col>0</xdr:col>
      <xdr:colOff>419100</xdr:colOff>
      <xdr:row>17</xdr:row>
      <xdr:rowOff>123825</xdr:rowOff>
    </xdr:from>
    <xdr:to>
      <xdr:col>7</xdr:col>
      <xdr:colOff>609600</xdr:colOff>
      <xdr:row>18</xdr:row>
      <xdr:rowOff>190500</xdr:rowOff>
    </xdr:to>
    <xdr:pic>
      <xdr:nvPicPr>
        <xdr:cNvPr id="10" name="Label9"/>
        <xdr:cNvPicPr preferRelativeResize="1">
          <a:picLocks noChangeAspect="0"/>
        </xdr:cNvPicPr>
      </xdr:nvPicPr>
      <xdr:blipFill>
        <a:blip r:embed="rId10"/>
        <a:stretch>
          <a:fillRect/>
        </a:stretch>
      </xdr:blipFill>
      <xdr:spPr>
        <a:xfrm>
          <a:off x="419100" y="3019425"/>
          <a:ext cx="4219575" cy="200025"/>
        </a:xfrm>
        <a:prstGeom prst="rect">
          <a:avLst/>
        </a:prstGeom>
        <a:noFill/>
        <a:ln w="9525" cmpd="sng">
          <a:noFill/>
        </a:ln>
      </xdr:spPr>
    </xdr:pic>
    <xdr:clientData/>
  </xdr:twoCellAnchor>
  <xdr:twoCellAnchor>
    <xdr:from>
      <xdr:col>0</xdr:col>
      <xdr:colOff>428625</xdr:colOff>
      <xdr:row>4</xdr:row>
      <xdr:rowOff>76200</xdr:rowOff>
    </xdr:from>
    <xdr:to>
      <xdr:col>8</xdr:col>
      <xdr:colOff>0</xdr:colOff>
      <xdr:row>5</xdr:row>
      <xdr:rowOff>142875</xdr:rowOff>
    </xdr:to>
    <xdr:pic>
      <xdr:nvPicPr>
        <xdr:cNvPr id="11" name="Label11"/>
        <xdr:cNvPicPr preferRelativeResize="1">
          <a:picLocks noChangeAspect="0"/>
        </xdr:cNvPicPr>
      </xdr:nvPicPr>
      <xdr:blipFill>
        <a:blip r:embed="rId11"/>
        <a:stretch>
          <a:fillRect/>
        </a:stretch>
      </xdr:blipFill>
      <xdr:spPr>
        <a:xfrm>
          <a:off x="428625" y="752475"/>
          <a:ext cx="4210050" cy="209550"/>
        </a:xfrm>
        <a:prstGeom prst="rect">
          <a:avLst/>
        </a:prstGeom>
        <a:noFill/>
        <a:ln w="9525" cmpd="sng">
          <a:noFill/>
        </a:ln>
      </xdr:spPr>
    </xdr:pic>
    <xdr:clientData/>
  </xdr:twoCellAnchor>
  <xdr:twoCellAnchor>
    <xdr:from>
      <xdr:col>0</xdr:col>
      <xdr:colOff>428625</xdr:colOff>
      <xdr:row>5</xdr:row>
      <xdr:rowOff>161925</xdr:rowOff>
    </xdr:from>
    <xdr:to>
      <xdr:col>8</xdr:col>
      <xdr:colOff>0</xdr:colOff>
      <xdr:row>7</xdr:row>
      <xdr:rowOff>38100</xdr:rowOff>
    </xdr:to>
    <xdr:pic>
      <xdr:nvPicPr>
        <xdr:cNvPr id="12" name="Label12"/>
        <xdr:cNvPicPr preferRelativeResize="1">
          <a:picLocks noChangeAspect="0"/>
        </xdr:cNvPicPr>
      </xdr:nvPicPr>
      <xdr:blipFill>
        <a:blip r:embed="rId12"/>
        <a:stretch>
          <a:fillRect/>
        </a:stretch>
      </xdr:blipFill>
      <xdr:spPr>
        <a:xfrm>
          <a:off x="428625" y="1000125"/>
          <a:ext cx="421005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AUERBACH\Local%20Settings\Temp\Form10ccp_LIH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kcluster\aeustice$\DOCUME~1\AAUERB~1\LOCALS~1\Temp\macro%20PART%20IV%20-%20PROJECT%20COS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Shields\AppData\Local\Microsoft\Windows\INetCache\Content.Outlook\E26T79W8\12.%20%20PART_IV_PROJECT_C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FORM-10 (A-F)"/>
      <sheetName val="RFA Sheet"/>
      <sheetName val="S &amp; U"/>
      <sheetName val="Cash Flow"/>
      <sheetName val="CONTENTS TC"/>
      <sheetName val="Signature Page"/>
      <sheetName val="Rent Qual. Chart"/>
      <sheetName val="EligBasisLimits"/>
      <sheetName val="Breakdown"/>
      <sheetName val="Carryover"/>
      <sheetName val="Ties"/>
      <sheetName val="Percentage_Limits"/>
      <sheetName val="OPER INCOME"/>
      <sheetName val="NO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ignature Page"/>
      <sheetName val="EligBasisLimits"/>
      <sheetName val="Breakdown"/>
      <sheetName val="Carryover"/>
      <sheetName val="Ties"/>
      <sheetName val="Percentage_Limits"/>
      <sheetName val="OPER INCOME"/>
      <sheetName val="NOI"/>
    </sheetNames>
    <sheetDataSet>
      <sheetData sheetId="3">
        <row r="81">
          <cell r="B81" t="str">
            <v>FUNDING SOURCE</v>
          </cell>
          <cell r="D81" t="str">
            <v>INTEREST</v>
          </cell>
          <cell r="F81" t="str">
            <v>    AMORTIZATION</v>
          </cell>
          <cell r="H81" t="str">
            <v>AMOUNT</v>
          </cell>
        </row>
        <row r="82">
          <cell r="D82" t="str">
            <v>RATE</v>
          </cell>
        </row>
        <row r="83">
          <cell r="B83" t="str">
            <v>&lt;&lt; First Mortgage &gt;&gt;</v>
          </cell>
        </row>
      </sheetData>
      <sheetData sheetId="5">
        <row r="43">
          <cell r="C43">
            <v>0</v>
          </cell>
        </row>
        <row r="44">
          <cell r="C44">
            <v>0</v>
          </cell>
        </row>
        <row r="45">
          <cell r="C45">
            <v>0</v>
          </cell>
        </row>
        <row r="46">
          <cell r="C46">
            <v>0</v>
          </cell>
        </row>
        <row r="47">
          <cell r="C47">
            <v>0</v>
          </cell>
        </row>
        <row r="48">
          <cell r="C4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CROS"/>
      <sheetName val="CONTENTS TC"/>
      <sheetName val="Signature Page"/>
      <sheetName val="Rent Qual. Chart"/>
      <sheetName val="EligBasisLimits"/>
      <sheetName val="Breakdown"/>
      <sheetName val="Carryover"/>
      <sheetName val="Ties"/>
      <sheetName val="Percentage_Limits"/>
      <sheetName val="OPER INCOME"/>
      <sheetName val="NO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51"/>
  <dimension ref="B3:L25"/>
  <sheetViews>
    <sheetView zoomScalePageLayoutView="0" workbookViewId="0" topLeftCell="A1">
      <selection activeCell="C5" sqref="C5:D5"/>
    </sheetView>
  </sheetViews>
  <sheetFormatPr defaultColWidth="9.77734375" defaultRowHeight="15"/>
  <cols>
    <col min="1" max="14" width="9.6640625" style="1" customWidth="1"/>
  </cols>
  <sheetData>
    <row r="3" spans="2:4" ht="15">
      <c r="B3" s="1" t="s">
        <v>595</v>
      </c>
      <c r="C3" s="1" t="s">
        <v>596</v>
      </c>
      <c r="D3" s="1" t="s">
        <v>597</v>
      </c>
    </row>
    <row r="4" spans="2:4" ht="15">
      <c r="B4" s="1">
        <f>7/2/93</f>
        <v>0.03763440860215054</v>
      </c>
      <c r="C4" s="1" t="s">
        <v>598</v>
      </c>
      <c r="D4" s="1" t="s">
        <v>599</v>
      </c>
    </row>
    <row r="5" ht="15">
      <c r="D5" s="1" t="s">
        <v>600</v>
      </c>
    </row>
    <row r="6" ht="15">
      <c r="D6" s="1" t="s">
        <v>601</v>
      </c>
    </row>
    <row r="8" spans="2:4" ht="15">
      <c r="B8" s="1" t="s">
        <v>602</v>
      </c>
      <c r="C8" s="1" t="s">
        <v>603</v>
      </c>
      <c r="D8" s="1" t="s">
        <v>604</v>
      </c>
    </row>
    <row r="9" ht="15">
      <c r="D9" s="1" t="s">
        <v>605</v>
      </c>
    </row>
    <row r="10" ht="15">
      <c r="D10" s="1" t="s">
        <v>606</v>
      </c>
    </row>
    <row r="12" spans="2:4" ht="15">
      <c r="B12" s="1">
        <f>7/15/93</f>
        <v>0.005017921146953405</v>
      </c>
      <c r="C12" s="1" t="s">
        <v>603</v>
      </c>
      <c r="D12" s="1" t="s">
        <v>607</v>
      </c>
    </row>
    <row r="14" spans="2:4" ht="15">
      <c r="B14" s="1">
        <f>8/10/93</f>
        <v>0.008602150537634409</v>
      </c>
      <c r="C14" s="1" t="s">
        <v>603</v>
      </c>
      <c r="D14" s="1" t="s">
        <v>608</v>
      </c>
    </row>
    <row r="15" spans="2:12" ht="15">
      <c r="B15" s="2"/>
      <c r="C15" s="2"/>
      <c r="D15" s="2" t="s">
        <v>616</v>
      </c>
      <c r="E15" s="2"/>
      <c r="F15" s="2"/>
      <c r="G15" s="2"/>
      <c r="H15" s="2"/>
      <c r="I15" s="2"/>
      <c r="J15" s="2"/>
      <c r="K15" s="2"/>
      <c r="L15" s="2"/>
    </row>
    <row r="16" spans="4:12" ht="15">
      <c r="D16" s="2" t="s">
        <v>617</v>
      </c>
      <c r="E16" s="2"/>
      <c r="F16" s="2"/>
      <c r="G16" s="2"/>
      <c r="H16" s="2"/>
      <c r="I16" s="2"/>
      <c r="J16" s="2"/>
      <c r="K16" s="2"/>
      <c r="L16" s="2"/>
    </row>
    <row r="17" spans="2:12" ht="15">
      <c r="B17" s="2"/>
      <c r="C17" s="2"/>
      <c r="D17" s="2"/>
      <c r="E17" s="2"/>
      <c r="F17" s="2"/>
      <c r="G17" s="2"/>
      <c r="H17" s="2"/>
      <c r="I17" s="2"/>
      <c r="J17" s="2"/>
      <c r="K17" s="2"/>
      <c r="L17" s="2"/>
    </row>
    <row r="18" spans="2:12" ht="15">
      <c r="B18" s="2">
        <f>9/20/93</f>
        <v>0.004838709677419355</v>
      </c>
      <c r="C18" s="2" t="s">
        <v>603</v>
      </c>
      <c r="D18" s="2" t="s">
        <v>618</v>
      </c>
      <c r="E18" s="2"/>
      <c r="F18" s="2"/>
      <c r="G18" s="2"/>
      <c r="H18" s="2"/>
      <c r="I18" s="2"/>
      <c r="J18" s="2"/>
      <c r="K18" s="2"/>
      <c r="L18" s="2"/>
    </row>
    <row r="19" spans="2:12" ht="15">
      <c r="B19" s="2"/>
      <c r="C19" s="2"/>
      <c r="D19" s="2" t="s">
        <v>666</v>
      </c>
      <c r="E19" s="2"/>
      <c r="F19" s="2"/>
      <c r="G19" s="2"/>
      <c r="H19" s="2"/>
      <c r="I19" s="2"/>
      <c r="J19" s="2"/>
      <c r="K19" s="2"/>
      <c r="L19" s="2"/>
    </row>
    <row r="20" spans="2:12" ht="15">
      <c r="B20" s="2"/>
      <c r="C20" s="2"/>
      <c r="D20" s="2" t="s">
        <v>667</v>
      </c>
      <c r="E20" s="2"/>
      <c r="F20" s="2"/>
      <c r="G20" s="2"/>
      <c r="H20" s="2"/>
      <c r="I20" s="2"/>
      <c r="J20" s="2"/>
      <c r="K20" s="2"/>
      <c r="L20" s="2"/>
    </row>
    <row r="21" spans="2:12" ht="15">
      <c r="B21" s="2"/>
      <c r="C21" s="2"/>
      <c r="D21" s="2" t="s">
        <v>668</v>
      </c>
      <c r="E21" s="2"/>
      <c r="F21" s="2"/>
      <c r="G21" s="2"/>
      <c r="H21" s="2"/>
      <c r="I21" s="2"/>
      <c r="J21" s="2"/>
      <c r="K21" s="2"/>
      <c r="L21" s="2"/>
    </row>
    <row r="22" spans="2:12" ht="15">
      <c r="B22" s="2"/>
      <c r="C22" s="2"/>
      <c r="D22" s="2" t="s">
        <v>670</v>
      </c>
      <c r="E22" s="2"/>
      <c r="F22" s="2"/>
      <c r="G22" s="2"/>
      <c r="H22" s="2"/>
      <c r="I22" s="2"/>
      <c r="J22" s="2"/>
      <c r="K22" s="2"/>
      <c r="L22" s="2"/>
    </row>
    <row r="23" spans="2:12" ht="15">
      <c r="B23" s="2"/>
      <c r="C23" s="2"/>
      <c r="D23" s="2"/>
      <c r="E23" s="2"/>
      <c r="F23" s="2"/>
      <c r="G23" s="2"/>
      <c r="H23" s="2"/>
      <c r="I23" s="2"/>
      <c r="J23" s="2"/>
      <c r="K23" s="2"/>
      <c r="L23" s="2"/>
    </row>
    <row r="24" spans="2:4" ht="15">
      <c r="B24" s="1" t="s">
        <v>672</v>
      </c>
      <c r="C24" s="1" t="s">
        <v>603</v>
      </c>
      <c r="D24" s="1" t="s">
        <v>673</v>
      </c>
    </row>
    <row r="25" ht="15">
      <c r="D25" s="1" t="s">
        <v>674</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6"/>
  <dimension ref="A1:L53"/>
  <sheetViews>
    <sheetView showGridLines="0" zoomScaleSheetLayoutView="100" workbookViewId="0" topLeftCell="A1">
      <selection activeCell="L3" sqref="L3"/>
    </sheetView>
  </sheetViews>
  <sheetFormatPr defaultColWidth="6.21484375" defaultRowHeight="15"/>
  <cols>
    <col min="1" max="1" width="2.4453125" style="475" customWidth="1"/>
    <col min="2" max="2" width="9.5546875" style="475" bestFit="1" customWidth="1"/>
    <col min="3" max="3" width="6.21484375" style="475" customWidth="1"/>
    <col min="4" max="4" width="1.88671875" style="475" customWidth="1"/>
    <col min="5" max="5" width="9.5546875" style="475" bestFit="1" customWidth="1"/>
    <col min="6" max="16384" width="6.21484375" style="475" customWidth="1"/>
  </cols>
  <sheetData>
    <row r="1" spans="1:12" ht="9.75">
      <c r="A1" s="1762" t="s">
        <v>1245</v>
      </c>
      <c r="B1" s="1763"/>
      <c r="C1" s="1763"/>
      <c r="D1" s="1763"/>
      <c r="E1" s="1763"/>
      <c r="F1" s="1763"/>
      <c r="G1" s="1763"/>
      <c r="H1" s="1763"/>
      <c r="I1" s="1763"/>
      <c r="J1" s="1763"/>
      <c r="K1" s="1763"/>
      <c r="L1" s="1764"/>
    </row>
    <row r="2" spans="1:12" ht="10.5" thickBot="1">
      <c r="A2" s="1765"/>
      <c r="B2" s="1766"/>
      <c r="C2" s="1766"/>
      <c r="D2" s="1766"/>
      <c r="E2" s="1766"/>
      <c r="F2" s="1766"/>
      <c r="G2" s="1766"/>
      <c r="H2" s="1766"/>
      <c r="I2" s="1766"/>
      <c r="J2" s="1766"/>
      <c r="K2" s="1766"/>
      <c r="L2" s="1767"/>
    </row>
    <row r="3" spans="1:12" ht="9.75">
      <c r="A3" s="477"/>
      <c r="B3" s="477"/>
      <c r="C3" s="477"/>
      <c r="D3" s="477"/>
      <c r="E3" s="477"/>
      <c r="F3" s="477"/>
      <c r="G3" s="477"/>
      <c r="H3" s="477"/>
      <c r="I3" s="477"/>
      <c r="J3" s="477"/>
      <c r="K3" s="477"/>
      <c r="L3" s="477"/>
    </row>
    <row r="4" spans="1:12" ht="9.75">
      <c r="A4" s="477"/>
      <c r="B4" s="477"/>
      <c r="C4" s="477"/>
      <c r="D4" s="477"/>
      <c r="E4" s="477"/>
      <c r="F4" s="477"/>
      <c r="G4" s="477"/>
      <c r="H4" s="477"/>
      <c r="I4" s="477"/>
      <c r="J4" s="477"/>
      <c r="K4" s="477"/>
      <c r="L4" s="477"/>
    </row>
    <row r="5" spans="1:12" ht="9.75">
      <c r="A5" s="477"/>
      <c r="B5" s="477"/>
      <c r="C5" s="477"/>
      <c r="D5" s="477"/>
      <c r="E5" s="477"/>
      <c r="F5" s="477"/>
      <c r="G5" s="477"/>
      <c r="H5" s="477"/>
      <c r="I5" s="477"/>
      <c r="J5" s="477"/>
      <c r="K5" s="477"/>
      <c r="L5" s="477"/>
    </row>
    <row r="8" ht="9.75">
      <c r="A8" s="475" t="s">
        <v>1247</v>
      </c>
    </row>
    <row r="10" spans="1:3" ht="9.75">
      <c r="A10" s="475" t="s">
        <v>1248</v>
      </c>
      <c r="C10" s="475" t="s">
        <v>1249</v>
      </c>
    </row>
    <row r="12" ht="9.75">
      <c r="B12" s="476" t="s">
        <v>1250</v>
      </c>
    </row>
    <row r="14" spans="1:3" ht="9.75">
      <c r="A14" s="475" t="s">
        <v>1251</v>
      </c>
      <c r="C14" s="475" t="s">
        <v>1249</v>
      </c>
    </row>
    <row r="15" ht="9.75">
      <c r="A15" s="475" t="s">
        <v>1252</v>
      </c>
    </row>
    <row r="17" ht="10.5" thickBot="1"/>
    <row r="18" spans="1:12" ht="9.75">
      <c r="A18" s="1768" t="s">
        <v>1506</v>
      </c>
      <c r="B18" s="1763"/>
      <c r="C18" s="1763"/>
      <c r="D18" s="1763"/>
      <c r="E18" s="1763"/>
      <c r="F18" s="1763"/>
      <c r="G18" s="1763"/>
      <c r="H18" s="1763"/>
      <c r="I18" s="1763"/>
      <c r="J18" s="1763"/>
      <c r="K18" s="1763"/>
      <c r="L18" s="1764"/>
    </row>
    <row r="19" spans="1:12" ht="10.5" thickBot="1">
      <c r="A19" s="1765" t="s">
        <v>1507</v>
      </c>
      <c r="B19" s="1766"/>
      <c r="C19" s="1766"/>
      <c r="D19" s="1766"/>
      <c r="E19" s="1766"/>
      <c r="F19" s="1766"/>
      <c r="G19" s="1766"/>
      <c r="H19" s="1766"/>
      <c r="I19" s="1766"/>
      <c r="J19" s="1766"/>
      <c r="K19" s="1766"/>
      <c r="L19" s="1767"/>
    </row>
    <row r="22" ht="9.75">
      <c r="A22" s="475" t="s">
        <v>1508</v>
      </c>
    </row>
    <row r="24" ht="10.5" thickBot="1"/>
    <row r="25" spans="1:2" ht="10.5" thickBot="1">
      <c r="A25" s="1096"/>
      <c r="B25" s="475" t="s">
        <v>1509</v>
      </c>
    </row>
    <row r="28" spans="1:4" ht="9.75">
      <c r="A28" s="475" t="s">
        <v>1248</v>
      </c>
      <c r="D28" s="475" t="s">
        <v>1249</v>
      </c>
    </row>
    <row r="30" spans="1:4" ht="9.75">
      <c r="A30" s="475" t="s">
        <v>1251</v>
      </c>
      <c r="D30" s="475" t="s">
        <v>1249</v>
      </c>
    </row>
    <row r="32" ht="10.5" thickBot="1"/>
    <row r="33" spans="1:5" ht="10.5" thickBot="1">
      <c r="A33" s="1096"/>
      <c r="B33" s="475" t="s">
        <v>1510</v>
      </c>
      <c r="C33" s="477" t="s">
        <v>1250</v>
      </c>
      <c r="D33" s="1096"/>
      <c r="E33" s="478">
        <v>8609</v>
      </c>
    </row>
    <row r="36" spans="1:4" ht="9.75">
      <c r="A36" s="475" t="s">
        <v>1248</v>
      </c>
      <c r="D36" s="475" t="s">
        <v>1249</v>
      </c>
    </row>
    <row r="38" spans="1:4" ht="9.75">
      <c r="A38" s="475" t="s">
        <v>1251</v>
      </c>
      <c r="D38" s="475" t="s">
        <v>1249</v>
      </c>
    </row>
    <row r="39" ht="9.75">
      <c r="A39" s="475" t="s">
        <v>1414</v>
      </c>
    </row>
    <row r="40" spans="1:4" ht="9.75">
      <c r="A40" s="475" t="s">
        <v>1511</v>
      </c>
      <c r="D40" s="475" t="s">
        <v>1249</v>
      </c>
    </row>
    <row r="41" spans="1:7" ht="15">
      <c r="A41"/>
      <c r="B41"/>
      <c r="C41"/>
      <c r="D41"/>
      <c r="E41"/>
      <c r="F41"/>
      <c r="G41"/>
    </row>
    <row r="42" spans="1:7" ht="15">
      <c r="A42"/>
      <c r="B42"/>
      <c r="C42"/>
      <c r="D42"/>
      <c r="E42"/>
      <c r="F42"/>
      <c r="G42"/>
    </row>
    <row r="45" ht="10.5" thickBot="1">
      <c r="A45" s="475" t="s">
        <v>1253</v>
      </c>
    </row>
    <row r="46" spans="2:6" ht="9.75">
      <c r="B46" s="479" t="s">
        <v>1243</v>
      </c>
      <c r="C46" s="480"/>
      <c r="D46" s="480"/>
      <c r="E46" s="481">
        <f ca="1">+NOW()</f>
        <v>44686.49283645833</v>
      </c>
      <c r="F46" s="482"/>
    </row>
    <row r="47" spans="2:6" ht="9.75">
      <c r="B47" s="483"/>
      <c r="F47" s="484"/>
    </row>
    <row r="48" spans="2:6" ht="9.75">
      <c r="B48" s="483" t="s">
        <v>1254</v>
      </c>
      <c r="E48" s="1240">
        <f>+'OPER INCOME'!J58</f>
        <v>0</v>
      </c>
      <c r="F48" s="484"/>
    </row>
    <row r="49" spans="2:6" ht="9.75">
      <c r="B49" s="483" t="s">
        <v>1255</v>
      </c>
      <c r="E49" s="1240">
        <f>+NOI!J36</f>
        <v>0</v>
      </c>
      <c r="F49" s="484"/>
    </row>
    <row r="50" spans="2:6" ht="9.75">
      <c r="B50" s="483"/>
      <c r="F50" s="484"/>
    </row>
    <row r="51" spans="2:6" ht="9.75">
      <c r="B51" s="483" t="s">
        <v>1074</v>
      </c>
      <c r="E51" s="1240" t="e">
        <f>+Breakdown!L89</f>
        <v>#REF!</v>
      </c>
      <c r="F51" s="484"/>
    </row>
    <row r="52" spans="2:6" ht="9.75">
      <c r="B52" s="1769" t="s">
        <v>1256</v>
      </c>
      <c r="C52" s="1770"/>
      <c r="D52" s="1770"/>
      <c r="E52" s="1240">
        <f>+Breakdown!H100</f>
      </c>
      <c r="F52" s="484"/>
    </row>
    <row r="53" spans="2:6" ht="10.5" thickBot="1">
      <c r="B53" s="485"/>
      <c r="C53" s="486"/>
      <c r="D53" s="486"/>
      <c r="E53" s="486"/>
      <c r="F53" s="487"/>
    </row>
  </sheetData>
  <sheetProtection/>
  <mergeCells count="4">
    <mergeCell ref="A1:L2"/>
    <mergeCell ref="A18:L18"/>
    <mergeCell ref="A19:L19"/>
    <mergeCell ref="B52:D52"/>
  </mergeCells>
  <printOptions/>
  <pageMargins left="0.75" right="0.75" top="1" bottom="1"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sheetPr codeName="Sheet16">
    <pageSetUpPr fitToPage="1"/>
  </sheetPr>
  <dimension ref="B1:IV78"/>
  <sheetViews>
    <sheetView showGridLines="0" zoomScale="80" zoomScaleNormal="80" zoomScaleSheetLayoutView="80" workbookViewId="0" topLeftCell="A1">
      <selection activeCell="K38" sqref="K38"/>
    </sheetView>
  </sheetViews>
  <sheetFormatPr defaultColWidth="8.5546875" defaultRowHeight="15"/>
  <cols>
    <col min="1" max="1" width="3.3359375" style="1243" customWidth="1"/>
    <col min="2" max="2" width="10.6640625" style="1243" customWidth="1"/>
    <col min="3" max="3" width="14.99609375" style="1243" customWidth="1"/>
    <col min="4" max="4" width="13.3359375" style="1243" customWidth="1"/>
    <col min="5" max="5" width="12.5546875" style="1243" customWidth="1"/>
    <col min="6" max="6" width="12.3359375" style="1243" customWidth="1"/>
    <col min="7" max="7" width="17.21484375" style="1243" customWidth="1"/>
    <col min="8" max="8" width="13.6640625" style="1243" customWidth="1"/>
    <col min="9" max="9" width="16.4453125" style="1243" customWidth="1"/>
    <col min="10" max="10" width="21.3359375" style="1243" customWidth="1"/>
    <col min="11" max="11" width="17.10546875" style="1243" customWidth="1"/>
    <col min="12" max="12" width="19.21484375" style="1243" customWidth="1"/>
    <col min="13" max="13" width="2.4453125" style="1242" customWidth="1"/>
    <col min="14" max="14" width="12.3359375" style="1243" customWidth="1"/>
    <col min="15" max="15" width="8.5546875" style="1243" customWidth="1"/>
    <col min="16" max="16" width="8.99609375" style="1243" bestFit="1" customWidth="1"/>
    <col min="17" max="16384" width="8.5546875" style="1243" customWidth="1"/>
  </cols>
  <sheetData>
    <row r="1" spans="2:12" ht="22.5">
      <c r="B1" s="1771" t="s">
        <v>425</v>
      </c>
      <c r="C1" s="1771"/>
      <c r="D1" s="1771"/>
      <c r="E1" s="1771"/>
      <c r="F1" s="1771"/>
      <c r="G1" s="1771"/>
      <c r="H1" s="1771"/>
      <c r="I1" s="1771"/>
      <c r="J1" s="1771"/>
      <c r="K1" s="1771"/>
      <c r="L1" s="1771"/>
    </row>
    <row r="2" spans="2:12" ht="15" customHeight="1">
      <c r="B2" s="1241"/>
      <c r="C2" s="1241"/>
      <c r="D2" s="1241"/>
      <c r="E2" s="1241"/>
      <c r="F2" s="1241"/>
      <c r="G2" s="1241"/>
      <c r="H2" s="1241"/>
      <c r="I2" s="1241"/>
      <c r="J2" s="1241"/>
      <c r="K2" s="1241"/>
      <c r="L2" s="1241"/>
    </row>
    <row r="3" spans="2:7" ht="15">
      <c r="B3" s="1244" t="s">
        <v>426</v>
      </c>
      <c r="F3" s="1244"/>
      <c r="G3" s="1244"/>
    </row>
    <row r="4" spans="2:7" ht="15">
      <c r="B4" s="1244"/>
      <c r="F4" s="1244"/>
      <c r="G4" s="1244"/>
    </row>
    <row r="5" spans="2:7" ht="6.75" customHeight="1" thickBot="1">
      <c r="B5" s="1244"/>
      <c r="F5" s="1244"/>
      <c r="G5" s="1244"/>
    </row>
    <row r="6" spans="2:13" ht="11.25" customHeight="1" thickTop="1">
      <c r="B6" s="1245" t="s">
        <v>427</v>
      </c>
      <c r="C6" s="1246" t="s">
        <v>428</v>
      </c>
      <c r="D6" s="1246" t="s">
        <v>429</v>
      </c>
      <c r="E6" s="1246" t="s">
        <v>430</v>
      </c>
      <c r="F6" s="1246" t="s">
        <v>431</v>
      </c>
      <c r="G6" s="1246" t="s">
        <v>432</v>
      </c>
      <c r="H6" s="1246" t="s">
        <v>433</v>
      </c>
      <c r="I6" s="1246" t="s">
        <v>434</v>
      </c>
      <c r="J6" s="1246" t="s">
        <v>435</v>
      </c>
      <c r="K6" s="1246" t="s">
        <v>436</v>
      </c>
      <c r="L6" s="1246" t="s">
        <v>437</v>
      </c>
      <c r="M6" s="1247"/>
    </row>
    <row r="7" spans="2:13" ht="15">
      <c r="B7" s="1248"/>
      <c r="C7" s="1249"/>
      <c r="D7" s="1249"/>
      <c r="E7" s="1249"/>
      <c r="F7" s="1249"/>
      <c r="G7" s="1249"/>
      <c r="H7" s="1249" t="s">
        <v>438</v>
      </c>
      <c r="I7" s="1249" t="s">
        <v>439</v>
      </c>
      <c r="J7" s="1249"/>
      <c r="K7" s="1249" t="s">
        <v>440</v>
      </c>
      <c r="L7" s="1249" t="s">
        <v>441</v>
      </c>
      <c r="M7" s="1247"/>
    </row>
    <row r="8" spans="2:256" ht="15">
      <c r="B8" s="1250"/>
      <c r="C8" s="1251" t="s">
        <v>442</v>
      </c>
      <c r="D8" s="1251" t="s">
        <v>443</v>
      </c>
      <c r="E8" s="1251"/>
      <c r="F8" s="1251"/>
      <c r="G8" s="1251" t="s">
        <v>412</v>
      </c>
      <c r="H8" s="1251"/>
      <c r="I8" s="1251"/>
      <c r="J8" s="1251" t="s">
        <v>444</v>
      </c>
      <c r="K8" s="1251" t="s">
        <v>445</v>
      </c>
      <c r="L8" s="1252" t="s">
        <v>446</v>
      </c>
      <c r="M8" s="1253"/>
      <c r="N8" s="1254"/>
      <c r="O8" s="1254"/>
      <c r="P8" s="1254"/>
      <c r="Q8" s="1254"/>
      <c r="R8" s="1254"/>
      <c r="S8" s="1254"/>
      <c r="T8" s="1254"/>
      <c r="U8" s="1254"/>
      <c r="V8" s="1254"/>
      <c r="W8" s="1254"/>
      <c r="X8" s="1254"/>
      <c r="Y8" s="1254"/>
      <c r="Z8" s="1254"/>
      <c r="AA8" s="1254"/>
      <c r="AB8" s="1254"/>
      <c r="AC8" s="1254"/>
      <c r="AD8" s="1254"/>
      <c r="AE8" s="1254"/>
      <c r="AF8" s="1254"/>
      <c r="AG8" s="1254"/>
      <c r="AH8" s="1254"/>
      <c r="AI8" s="1254"/>
      <c r="AJ8" s="1254"/>
      <c r="AK8" s="1254"/>
      <c r="AL8" s="1254"/>
      <c r="AM8" s="1254"/>
      <c r="AN8" s="1254"/>
      <c r="AO8" s="1254"/>
      <c r="AP8" s="1254"/>
      <c r="AQ8" s="1254"/>
      <c r="AR8" s="1254"/>
      <c r="AS8" s="1254"/>
      <c r="AT8" s="1254"/>
      <c r="AU8" s="1254"/>
      <c r="AV8" s="1254"/>
      <c r="AW8" s="1254"/>
      <c r="AX8" s="1254"/>
      <c r="AY8" s="1254"/>
      <c r="AZ8" s="1254"/>
      <c r="BA8" s="1254"/>
      <c r="BB8" s="1254"/>
      <c r="BC8" s="1254"/>
      <c r="BD8" s="1254"/>
      <c r="BE8" s="1254"/>
      <c r="BF8" s="1254"/>
      <c r="BG8" s="1254"/>
      <c r="BH8" s="1254"/>
      <c r="BI8" s="1254"/>
      <c r="BJ8" s="1254"/>
      <c r="BK8" s="1254"/>
      <c r="BL8" s="1254"/>
      <c r="BM8" s="1254"/>
      <c r="BN8" s="1254"/>
      <c r="BO8" s="1254"/>
      <c r="BP8" s="1254"/>
      <c r="BQ8" s="1254"/>
      <c r="BR8" s="1254"/>
      <c r="BS8" s="1254"/>
      <c r="BT8" s="1254"/>
      <c r="BU8" s="1254"/>
      <c r="BV8" s="1254"/>
      <c r="BW8" s="1254"/>
      <c r="BX8" s="1254"/>
      <c r="BY8" s="1254"/>
      <c r="BZ8" s="1254"/>
      <c r="CA8" s="1254"/>
      <c r="CB8" s="1254"/>
      <c r="CC8" s="1254"/>
      <c r="CD8" s="1254"/>
      <c r="CE8" s="1254"/>
      <c r="CF8" s="1254"/>
      <c r="CG8" s="1254"/>
      <c r="CH8" s="1254"/>
      <c r="CI8" s="1254"/>
      <c r="CJ8" s="1254"/>
      <c r="CK8" s="1254"/>
      <c r="CL8" s="1254"/>
      <c r="CM8" s="1254"/>
      <c r="CN8" s="1254"/>
      <c r="CO8" s="1254"/>
      <c r="CP8" s="1254"/>
      <c r="CQ8" s="1254"/>
      <c r="CR8" s="1254"/>
      <c r="CS8" s="1254"/>
      <c r="CT8" s="1254"/>
      <c r="CU8" s="1254"/>
      <c r="CV8" s="1254"/>
      <c r="CW8" s="1254"/>
      <c r="CX8" s="1254"/>
      <c r="CY8" s="1254"/>
      <c r="CZ8" s="1254"/>
      <c r="DA8" s="1254"/>
      <c r="DB8" s="1254"/>
      <c r="DC8" s="1254"/>
      <c r="DD8" s="1254"/>
      <c r="DE8" s="1254"/>
      <c r="DF8" s="1254"/>
      <c r="DG8" s="1254"/>
      <c r="DH8" s="1254"/>
      <c r="DI8" s="1254"/>
      <c r="DJ8" s="1254"/>
      <c r="DK8" s="1254"/>
      <c r="DL8" s="1254"/>
      <c r="DM8" s="1254"/>
      <c r="DN8" s="1254"/>
      <c r="DO8" s="1254"/>
      <c r="DP8" s="1254"/>
      <c r="DQ8" s="1254"/>
      <c r="DR8" s="1254"/>
      <c r="DS8" s="1254"/>
      <c r="DT8" s="1254"/>
      <c r="DU8" s="1254"/>
      <c r="DV8" s="1254"/>
      <c r="DW8" s="1254"/>
      <c r="DX8" s="1254"/>
      <c r="DY8" s="1254"/>
      <c r="DZ8" s="1254"/>
      <c r="EA8" s="1254"/>
      <c r="EB8" s="1254"/>
      <c r="EC8" s="1254"/>
      <c r="ED8" s="1254"/>
      <c r="EE8" s="1254"/>
      <c r="EF8" s="1254"/>
      <c r="EG8" s="1254"/>
      <c r="EH8" s="1254"/>
      <c r="EI8" s="1254"/>
      <c r="EJ8" s="1254"/>
      <c r="EK8" s="1254"/>
      <c r="EL8" s="1254"/>
      <c r="EM8" s="1254"/>
      <c r="EN8" s="1254"/>
      <c r="EO8" s="1254"/>
      <c r="EP8" s="1254"/>
      <c r="EQ8" s="1254"/>
      <c r="ER8" s="1254"/>
      <c r="ES8" s="1254"/>
      <c r="ET8" s="1254"/>
      <c r="EU8" s="1254"/>
      <c r="EV8" s="1254"/>
      <c r="EW8" s="1254"/>
      <c r="EX8" s="1254"/>
      <c r="EY8" s="1254"/>
      <c r="EZ8" s="1254"/>
      <c r="FA8" s="1254"/>
      <c r="FB8" s="1254"/>
      <c r="FC8" s="1254"/>
      <c r="FD8" s="1254"/>
      <c r="FE8" s="1254"/>
      <c r="FF8" s="1254"/>
      <c r="FG8" s="1254"/>
      <c r="FH8" s="1254"/>
      <c r="FI8" s="1254"/>
      <c r="FJ8" s="1254"/>
      <c r="FK8" s="1254"/>
      <c r="FL8" s="1254"/>
      <c r="FM8" s="1254"/>
      <c r="FN8" s="1254"/>
      <c r="FO8" s="1254"/>
      <c r="FP8" s="1254"/>
      <c r="FQ8" s="1254"/>
      <c r="FR8" s="1254"/>
      <c r="FS8" s="1254"/>
      <c r="FT8" s="1254"/>
      <c r="FU8" s="1254"/>
      <c r="FV8" s="1254"/>
      <c r="FW8" s="1254"/>
      <c r="FX8" s="1254"/>
      <c r="FY8" s="1254"/>
      <c r="FZ8" s="1254"/>
      <c r="GA8" s="1254"/>
      <c r="GB8" s="1254"/>
      <c r="GC8" s="1254"/>
      <c r="GD8" s="1254"/>
      <c r="GE8" s="1254"/>
      <c r="GF8" s="1254"/>
      <c r="GG8" s="1254"/>
      <c r="GH8" s="1254"/>
      <c r="GI8" s="1254"/>
      <c r="GJ8" s="1254"/>
      <c r="GK8" s="1254"/>
      <c r="GL8" s="1254"/>
      <c r="GM8" s="1254"/>
      <c r="GN8" s="1254"/>
      <c r="GO8" s="1254"/>
      <c r="GP8" s="1254"/>
      <c r="GQ8" s="1254"/>
      <c r="GR8" s="1254"/>
      <c r="GS8" s="1254"/>
      <c r="GT8" s="1254"/>
      <c r="GU8" s="1254"/>
      <c r="GV8" s="1254"/>
      <c r="GW8" s="1254"/>
      <c r="GX8" s="1254"/>
      <c r="GY8" s="1254"/>
      <c r="GZ8" s="1254"/>
      <c r="HA8" s="1254"/>
      <c r="HB8" s="1254"/>
      <c r="HC8" s="1254"/>
      <c r="HD8" s="1254"/>
      <c r="HE8" s="1254"/>
      <c r="HF8" s="1254"/>
      <c r="HG8" s="1254"/>
      <c r="HH8" s="1254"/>
      <c r="HI8" s="1254"/>
      <c r="HJ8" s="1254"/>
      <c r="HK8" s="1254"/>
      <c r="HL8" s="1254"/>
      <c r="HM8" s="1254"/>
      <c r="HN8" s="1254"/>
      <c r="HO8" s="1254"/>
      <c r="HP8" s="1254"/>
      <c r="HQ8" s="1254"/>
      <c r="HR8" s="1254"/>
      <c r="HS8" s="1254"/>
      <c r="HT8" s="1254"/>
      <c r="HU8" s="1254"/>
      <c r="HV8" s="1254"/>
      <c r="HW8" s="1254"/>
      <c r="HX8" s="1254"/>
      <c r="HY8" s="1254"/>
      <c r="HZ8" s="1254"/>
      <c r="IA8" s="1254"/>
      <c r="IB8" s="1254"/>
      <c r="IC8" s="1254"/>
      <c r="ID8" s="1254"/>
      <c r="IE8" s="1254"/>
      <c r="IF8" s="1254"/>
      <c r="IG8" s="1254"/>
      <c r="IH8" s="1254"/>
      <c r="II8" s="1254"/>
      <c r="IJ8" s="1254"/>
      <c r="IK8" s="1254"/>
      <c r="IL8" s="1254"/>
      <c r="IM8" s="1254"/>
      <c r="IN8" s="1254"/>
      <c r="IO8" s="1254"/>
      <c r="IP8" s="1254"/>
      <c r="IQ8" s="1254"/>
      <c r="IR8" s="1254"/>
      <c r="IS8" s="1254"/>
      <c r="IT8" s="1254"/>
      <c r="IU8" s="1254"/>
      <c r="IV8" s="1254"/>
    </row>
    <row r="9" spans="2:256" ht="15" thickBot="1">
      <c r="B9" s="1248" t="s">
        <v>984</v>
      </c>
      <c r="C9" s="1249" t="s">
        <v>1091</v>
      </c>
      <c r="D9" s="1249" t="s">
        <v>447</v>
      </c>
      <c r="E9" s="1249" t="s">
        <v>448</v>
      </c>
      <c r="F9" s="1249" t="s">
        <v>899</v>
      </c>
      <c r="G9" s="1249" t="s">
        <v>449</v>
      </c>
      <c r="H9" s="1249" t="s">
        <v>450</v>
      </c>
      <c r="I9" s="1249" t="s">
        <v>451</v>
      </c>
      <c r="J9" s="1249" t="s">
        <v>452</v>
      </c>
      <c r="K9" s="1249" t="s">
        <v>453</v>
      </c>
      <c r="L9" s="1255" t="s">
        <v>454</v>
      </c>
      <c r="M9" s="1253"/>
      <c r="N9" s="1254"/>
      <c r="O9" s="1254"/>
      <c r="P9" s="1254"/>
      <c r="Q9" s="1254"/>
      <c r="R9" s="1254"/>
      <c r="S9" s="1254"/>
      <c r="T9" s="1254"/>
      <c r="U9" s="1254"/>
      <c r="V9" s="1254"/>
      <c r="W9" s="1254"/>
      <c r="X9" s="1254"/>
      <c r="Y9" s="1254"/>
      <c r="Z9" s="1254"/>
      <c r="AA9" s="1254"/>
      <c r="AB9" s="1254"/>
      <c r="AC9" s="1254"/>
      <c r="AD9" s="1254"/>
      <c r="AE9" s="1254"/>
      <c r="AF9" s="1254"/>
      <c r="AG9" s="1254"/>
      <c r="AH9" s="1254"/>
      <c r="AI9" s="1254"/>
      <c r="AJ9" s="1254"/>
      <c r="AK9" s="1254"/>
      <c r="AL9" s="1254"/>
      <c r="AM9" s="1254"/>
      <c r="AN9" s="1254"/>
      <c r="AO9" s="1254"/>
      <c r="AP9" s="1254"/>
      <c r="AQ9" s="1254"/>
      <c r="AR9" s="1254"/>
      <c r="AS9" s="1254"/>
      <c r="AT9" s="1254"/>
      <c r="AU9" s="1254"/>
      <c r="AV9" s="1254"/>
      <c r="AW9" s="1254"/>
      <c r="AX9" s="1254"/>
      <c r="AY9" s="1254"/>
      <c r="AZ9" s="1254"/>
      <c r="BA9" s="1254"/>
      <c r="BB9" s="1254"/>
      <c r="BC9" s="1254"/>
      <c r="BD9" s="1254"/>
      <c r="BE9" s="1254"/>
      <c r="BF9" s="1254"/>
      <c r="BG9" s="1254"/>
      <c r="BH9" s="1254"/>
      <c r="BI9" s="1254"/>
      <c r="BJ9" s="1254"/>
      <c r="BK9" s="1254"/>
      <c r="BL9" s="1254"/>
      <c r="BM9" s="1254"/>
      <c r="BN9" s="1254"/>
      <c r="BO9" s="1254"/>
      <c r="BP9" s="1254"/>
      <c r="BQ9" s="1254"/>
      <c r="BR9" s="1254"/>
      <c r="BS9" s="1254"/>
      <c r="BT9" s="1254"/>
      <c r="BU9" s="1254"/>
      <c r="BV9" s="1254"/>
      <c r="BW9" s="1254"/>
      <c r="BX9" s="1254"/>
      <c r="BY9" s="1254"/>
      <c r="BZ9" s="1254"/>
      <c r="CA9" s="1254"/>
      <c r="CB9" s="1254"/>
      <c r="CC9" s="1254"/>
      <c r="CD9" s="1254"/>
      <c r="CE9" s="1254"/>
      <c r="CF9" s="1254"/>
      <c r="CG9" s="1254"/>
      <c r="CH9" s="1254"/>
      <c r="CI9" s="1254"/>
      <c r="CJ9" s="1254"/>
      <c r="CK9" s="1254"/>
      <c r="CL9" s="1254"/>
      <c r="CM9" s="1254"/>
      <c r="CN9" s="1254"/>
      <c r="CO9" s="1254"/>
      <c r="CP9" s="1254"/>
      <c r="CQ9" s="1254"/>
      <c r="CR9" s="1254"/>
      <c r="CS9" s="1254"/>
      <c r="CT9" s="1254"/>
      <c r="CU9" s="1254"/>
      <c r="CV9" s="1254"/>
      <c r="CW9" s="1254"/>
      <c r="CX9" s="1254"/>
      <c r="CY9" s="1254"/>
      <c r="CZ9" s="1254"/>
      <c r="DA9" s="1254"/>
      <c r="DB9" s="1254"/>
      <c r="DC9" s="1254"/>
      <c r="DD9" s="1254"/>
      <c r="DE9" s="1254"/>
      <c r="DF9" s="1254"/>
      <c r="DG9" s="1254"/>
      <c r="DH9" s="1254"/>
      <c r="DI9" s="1254"/>
      <c r="DJ9" s="1254"/>
      <c r="DK9" s="1254"/>
      <c r="DL9" s="1254"/>
      <c r="DM9" s="1254"/>
      <c r="DN9" s="1254"/>
      <c r="DO9" s="1254"/>
      <c r="DP9" s="1254"/>
      <c r="DQ9" s="1254"/>
      <c r="DR9" s="1254"/>
      <c r="DS9" s="1254"/>
      <c r="DT9" s="1254"/>
      <c r="DU9" s="1254"/>
      <c r="DV9" s="1254"/>
      <c r="DW9" s="1254"/>
      <c r="DX9" s="1254"/>
      <c r="DY9" s="1254"/>
      <c r="DZ9" s="1254"/>
      <c r="EA9" s="1254"/>
      <c r="EB9" s="1254"/>
      <c r="EC9" s="1254"/>
      <c r="ED9" s="1254"/>
      <c r="EE9" s="1254"/>
      <c r="EF9" s="1254"/>
      <c r="EG9" s="1254"/>
      <c r="EH9" s="1254"/>
      <c r="EI9" s="1254"/>
      <c r="EJ9" s="1254"/>
      <c r="EK9" s="1254"/>
      <c r="EL9" s="1254"/>
      <c r="EM9" s="1254"/>
      <c r="EN9" s="1254"/>
      <c r="EO9" s="1254"/>
      <c r="EP9" s="1254"/>
      <c r="EQ9" s="1254"/>
      <c r="ER9" s="1254"/>
      <c r="ES9" s="1254"/>
      <c r="ET9" s="1254"/>
      <c r="EU9" s="1254"/>
      <c r="EV9" s="1254"/>
      <c r="EW9" s="1254"/>
      <c r="EX9" s="1254"/>
      <c r="EY9" s="1254"/>
      <c r="EZ9" s="1254"/>
      <c r="FA9" s="1254"/>
      <c r="FB9" s="1254"/>
      <c r="FC9" s="1254"/>
      <c r="FD9" s="1254"/>
      <c r="FE9" s="1254"/>
      <c r="FF9" s="1254"/>
      <c r="FG9" s="1254"/>
      <c r="FH9" s="1254"/>
      <c r="FI9" s="1254"/>
      <c r="FJ9" s="1254"/>
      <c r="FK9" s="1254"/>
      <c r="FL9" s="1254"/>
      <c r="FM9" s="1254"/>
      <c r="FN9" s="1254"/>
      <c r="FO9" s="1254"/>
      <c r="FP9" s="1254"/>
      <c r="FQ9" s="1254"/>
      <c r="FR9" s="1254"/>
      <c r="FS9" s="1254"/>
      <c r="FT9" s="1254"/>
      <c r="FU9" s="1254"/>
      <c r="FV9" s="1254"/>
      <c r="FW9" s="1254"/>
      <c r="FX9" s="1254"/>
      <c r="FY9" s="1254"/>
      <c r="FZ9" s="1254"/>
      <c r="GA9" s="1254"/>
      <c r="GB9" s="1254"/>
      <c r="GC9" s="1254"/>
      <c r="GD9" s="1254"/>
      <c r="GE9" s="1254"/>
      <c r="GF9" s="1254"/>
      <c r="GG9" s="1254"/>
      <c r="GH9" s="1254"/>
      <c r="GI9" s="1254"/>
      <c r="GJ9" s="1254"/>
      <c r="GK9" s="1254"/>
      <c r="GL9" s="1254"/>
      <c r="GM9" s="1254"/>
      <c r="GN9" s="1254"/>
      <c r="GO9" s="1254"/>
      <c r="GP9" s="1254"/>
      <c r="GQ9" s="1254"/>
      <c r="GR9" s="1254"/>
      <c r="GS9" s="1254"/>
      <c r="GT9" s="1254"/>
      <c r="GU9" s="1254"/>
      <c r="GV9" s="1254"/>
      <c r="GW9" s="1254"/>
      <c r="GX9" s="1254"/>
      <c r="GY9" s="1254"/>
      <c r="GZ9" s="1254"/>
      <c r="HA9" s="1254"/>
      <c r="HB9" s="1254"/>
      <c r="HC9" s="1254"/>
      <c r="HD9" s="1254"/>
      <c r="HE9" s="1254"/>
      <c r="HF9" s="1254"/>
      <c r="HG9" s="1254"/>
      <c r="HH9" s="1254"/>
      <c r="HI9" s="1254"/>
      <c r="HJ9" s="1254"/>
      <c r="HK9" s="1254"/>
      <c r="HL9" s="1254"/>
      <c r="HM9" s="1254"/>
      <c r="HN9" s="1254"/>
      <c r="HO9" s="1254"/>
      <c r="HP9" s="1254"/>
      <c r="HQ9" s="1254"/>
      <c r="HR9" s="1254"/>
      <c r="HS9" s="1254"/>
      <c r="HT9" s="1254"/>
      <c r="HU9" s="1254"/>
      <c r="HV9" s="1254"/>
      <c r="HW9" s="1254"/>
      <c r="HX9" s="1254"/>
      <c r="HY9" s="1254"/>
      <c r="HZ9" s="1254"/>
      <c r="IA9" s="1254"/>
      <c r="IB9" s="1254"/>
      <c r="IC9" s="1254"/>
      <c r="ID9" s="1254"/>
      <c r="IE9" s="1254"/>
      <c r="IF9" s="1254"/>
      <c r="IG9" s="1254"/>
      <c r="IH9" s="1254"/>
      <c r="II9" s="1254"/>
      <c r="IJ9" s="1254"/>
      <c r="IK9" s="1254"/>
      <c r="IL9" s="1254"/>
      <c r="IM9" s="1254"/>
      <c r="IN9" s="1254"/>
      <c r="IO9" s="1254"/>
      <c r="IP9" s="1254"/>
      <c r="IQ9" s="1254"/>
      <c r="IR9" s="1254"/>
      <c r="IS9" s="1254"/>
      <c r="IT9" s="1254"/>
      <c r="IU9" s="1254"/>
      <c r="IV9" s="1254"/>
    </row>
    <row r="10" spans="2:16" ht="15.75" customHeight="1" thickBot="1" thickTop="1">
      <c r="B10" s="1256"/>
      <c r="C10" s="1257"/>
      <c r="D10" s="1257"/>
      <c r="E10" s="1258"/>
      <c r="F10" s="1259"/>
      <c r="G10" s="1259"/>
      <c r="H10" s="1259">
        <f aca="true" t="shared" si="0" ref="H10:H28">+F10+G10</f>
        <v>0</v>
      </c>
      <c r="I10" s="1259">
        <f aca="true" t="shared" si="1" ref="I10:I28">+H10*12</f>
        <v>0</v>
      </c>
      <c r="J10" s="677"/>
      <c r="K10" s="1259">
        <f aca="true" t="shared" si="2" ref="K10:K28">+J10*0.3</f>
        <v>0</v>
      </c>
      <c r="L10" s="1260">
        <f>_xlfn.IFERROR(+I10/K10,"")</f>
      </c>
      <c r="M10" s="1247">
        <f aca="true" t="shared" si="3" ref="M10:M15">_xlfn.IFERROR(L10*B10,"")</f>
      </c>
      <c r="N10" s="1261">
        <f>+F10*B10*12</f>
        <v>0</v>
      </c>
      <c r="P10" s="1262"/>
    </row>
    <row r="11" spans="2:16" ht="15.75" customHeight="1" thickBot="1" thickTop="1">
      <c r="B11" s="1256"/>
      <c r="C11" s="1257"/>
      <c r="D11" s="1257"/>
      <c r="E11" s="1263"/>
      <c r="F11" s="1259"/>
      <c r="G11" s="1259"/>
      <c r="H11" s="1264">
        <f t="shared" si="0"/>
        <v>0</v>
      </c>
      <c r="I11" s="1264">
        <f t="shared" si="1"/>
        <v>0</v>
      </c>
      <c r="J11" s="680"/>
      <c r="K11" s="1264">
        <f t="shared" si="2"/>
        <v>0</v>
      </c>
      <c r="L11" s="1260">
        <f aca="true" t="shared" si="4" ref="L11:L27">_xlfn.IFERROR(+I11/K11,"")</f>
      </c>
      <c r="M11" s="1247">
        <f t="shared" si="3"/>
      </c>
      <c r="N11" s="1265">
        <f aca="true" t="shared" si="5" ref="N11:N30">+F11*B11*12</f>
        <v>0</v>
      </c>
      <c r="P11" s="1262"/>
    </row>
    <row r="12" spans="2:16" ht="15.75" customHeight="1" thickBot="1" thickTop="1">
      <c r="B12" s="1256"/>
      <c r="C12" s="1257"/>
      <c r="D12" s="1257"/>
      <c r="E12" s="1263"/>
      <c r="F12" s="1259"/>
      <c r="G12" s="1259"/>
      <c r="H12" s="1264">
        <f t="shared" si="0"/>
        <v>0</v>
      </c>
      <c r="I12" s="1264">
        <f t="shared" si="1"/>
        <v>0</v>
      </c>
      <c r="J12" s="680"/>
      <c r="K12" s="1264">
        <f t="shared" si="2"/>
        <v>0</v>
      </c>
      <c r="L12" s="1260">
        <f t="shared" si="4"/>
      </c>
      <c r="M12" s="1247">
        <f t="shared" si="3"/>
      </c>
      <c r="N12" s="1265">
        <f t="shared" si="5"/>
        <v>0</v>
      </c>
      <c r="P12" s="1262"/>
    </row>
    <row r="13" spans="2:16" ht="15.75" customHeight="1" thickBot="1" thickTop="1">
      <c r="B13" s="1256"/>
      <c r="C13" s="1257"/>
      <c r="D13" s="1257"/>
      <c r="E13" s="1263"/>
      <c r="F13" s="1259"/>
      <c r="G13" s="1259"/>
      <c r="H13" s="1264">
        <f t="shared" si="0"/>
        <v>0</v>
      </c>
      <c r="I13" s="1264">
        <f t="shared" si="1"/>
        <v>0</v>
      </c>
      <c r="J13" s="680"/>
      <c r="K13" s="1264">
        <f t="shared" si="2"/>
        <v>0</v>
      </c>
      <c r="L13" s="1260">
        <f t="shared" si="4"/>
      </c>
      <c r="M13" s="1247">
        <f t="shared" si="3"/>
      </c>
      <c r="N13" s="1265">
        <f t="shared" si="5"/>
        <v>0</v>
      </c>
      <c r="P13" s="1262"/>
    </row>
    <row r="14" spans="2:16" ht="15.75" customHeight="1" thickBot="1" thickTop="1">
      <c r="B14" s="1256"/>
      <c r="C14" s="1257"/>
      <c r="D14" s="1257"/>
      <c r="E14" s="679"/>
      <c r="F14" s="1259"/>
      <c r="G14" s="1259"/>
      <c r="H14" s="1264">
        <f t="shared" si="0"/>
        <v>0</v>
      </c>
      <c r="I14" s="1264">
        <f t="shared" si="1"/>
        <v>0</v>
      </c>
      <c r="J14" s="680"/>
      <c r="K14" s="1264">
        <f t="shared" si="2"/>
        <v>0</v>
      </c>
      <c r="L14" s="1260">
        <f t="shared" si="4"/>
      </c>
      <c r="M14" s="1247">
        <f t="shared" si="3"/>
      </c>
      <c r="N14" s="1265">
        <f t="shared" si="5"/>
        <v>0</v>
      </c>
      <c r="P14" s="1262"/>
    </row>
    <row r="15" spans="2:16" ht="15.75" customHeight="1" thickBot="1" thickTop="1">
      <c r="B15" s="1256"/>
      <c r="C15" s="1257"/>
      <c r="D15" s="1257"/>
      <c r="E15" s="679"/>
      <c r="F15" s="1259"/>
      <c r="G15" s="1259"/>
      <c r="H15" s="1264">
        <f t="shared" si="0"/>
        <v>0</v>
      </c>
      <c r="I15" s="1264">
        <f t="shared" si="1"/>
        <v>0</v>
      </c>
      <c r="J15" s="680"/>
      <c r="K15" s="1264">
        <f t="shared" si="2"/>
        <v>0</v>
      </c>
      <c r="L15" s="1260">
        <f t="shared" si="4"/>
      </c>
      <c r="M15" s="1247">
        <f t="shared" si="3"/>
      </c>
      <c r="N15" s="1265">
        <f t="shared" si="5"/>
        <v>0</v>
      </c>
      <c r="P15" s="1262"/>
    </row>
    <row r="16" spans="2:16" ht="15.75" customHeight="1" thickBot="1" thickTop="1">
      <c r="B16" s="1256"/>
      <c r="C16" s="1257"/>
      <c r="D16" s="1257"/>
      <c r="E16" s="679"/>
      <c r="F16" s="1259"/>
      <c r="G16" s="1259"/>
      <c r="H16" s="1264">
        <f t="shared" si="0"/>
        <v>0</v>
      </c>
      <c r="I16" s="1264">
        <f t="shared" si="1"/>
        <v>0</v>
      </c>
      <c r="J16" s="680"/>
      <c r="K16" s="1264">
        <f t="shared" si="2"/>
        <v>0</v>
      </c>
      <c r="L16" s="1260">
        <f t="shared" si="4"/>
      </c>
      <c r="M16" s="1247">
        <f>_xlfn.IFERROR(L16*B16,"")</f>
      </c>
      <c r="N16" s="1265">
        <f t="shared" si="5"/>
        <v>0</v>
      </c>
      <c r="P16" s="1262"/>
    </row>
    <row r="17" spans="2:16" ht="15.75" customHeight="1" thickBot="1" thickTop="1">
      <c r="B17" s="1256"/>
      <c r="C17" s="1257"/>
      <c r="D17" s="1257"/>
      <c r="E17" s="679"/>
      <c r="F17" s="1259"/>
      <c r="G17" s="1259"/>
      <c r="H17" s="1264">
        <f t="shared" si="0"/>
        <v>0</v>
      </c>
      <c r="I17" s="1264">
        <f t="shared" si="1"/>
        <v>0</v>
      </c>
      <c r="J17" s="680"/>
      <c r="K17" s="1264">
        <f t="shared" si="2"/>
        <v>0</v>
      </c>
      <c r="L17" s="1260">
        <f t="shared" si="4"/>
      </c>
      <c r="M17" s="1247">
        <f aca="true" t="shared" si="6" ref="M17:M28">_xlfn.IFERROR(L17*B17,"")</f>
      </c>
      <c r="N17" s="1265">
        <f t="shared" si="5"/>
        <v>0</v>
      </c>
      <c r="P17" s="1262"/>
    </row>
    <row r="18" spans="2:16" ht="15.75" customHeight="1" thickBot="1" thickTop="1">
      <c r="B18" s="1256"/>
      <c r="C18" s="1257"/>
      <c r="D18" s="1257"/>
      <c r="E18" s="679"/>
      <c r="F18" s="1259"/>
      <c r="G18" s="1259"/>
      <c r="H18" s="1264">
        <f t="shared" si="0"/>
        <v>0</v>
      </c>
      <c r="I18" s="1264">
        <f t="shared" si="1"/>
        <v>0</v>
      </c>
      <c r="J18" s="680"/>
      <c r="K18" s="1264">
        <f t="shared" si="2"/>
        <v>0</v>
      </c>
      <c r="L18" s="1260">
        <f t="shared" si="4"/>
      </c>
      <c r="M18" s="1247">
        <f t="shared" si="6"/>
      </c>
      <c r="N18" s="1265">
        <f t="shared" si="5"/>
        <v>0</v>
      </c>
      <c r="P18" s="1262"/>
    </row>
    <row r="19" spans="2:16" ht="15.75" customHeight="1" thickBot="1" thickTop="1">
      <c r="B19" s="1256"/>
      <c r="C19" s="1257"/>
      <c r="D19" s="1257"/>
      <c r="E19" s="679"/>
      <c r="F19" s="1259"/>
      <c r="G19" s="1259"/>
      <c r="H19" s="1264">
        <f t="shared" si="0"/>
        <v>0</v>
      </c>
      <c r="I19" s="1264">
        <f t="shared" si="1"/>
        <v>0</v>
      </c>
      <c r="J19" s="680"/>
      <c r="K19" s="1264">
        <f t="shared" si="2"/>
        <v>0</v>
      </c>
      <c r="L19" s="1260">
        <f t="shared" si="4"/>
      </c>
      <c r="M19" s="1247">
        <f t="shared" si="6"/>
      </c>
      <c r="N19" s="1265">
        <f t="shared" si="5"/>
        <v>0</v>
      </c>
      <c r="P19" s="1262"/>
    </row>
    <row r="20" spans="2:16" ht="15.75" customHeight="1" thickBot="1" thickTop="1">
      <c r="B20" s="1256"/>
      <c r="C20" s="1257"/>
      <c r="D20" s="1257"/>
      <c r="E20" s="679"/>
      <c r="F20" s="1259"/>
      <c r="G20" s="1259"/>
      <c r="H20" s="1264">
        <f t="shared" si="0"/>
        <v>0</v>
      </c>
      <c r="I20" s="1264">
        <f t="shared" si="1"/>
        <v>0</v>
      </c>
      <c r="J20" s="680"/>
      <c r="K20" s="1264">
        <f t="shared" si="2"/>
        <v>0</v>
      </c>
      <c r="L20" s="1260">
        <f t="shared" si="4"/>
      </c>
      <c r="M20" s="1247">
        <f t="shared" si="6"/>
      </c>
      <c r="N20" s="1265">
        <f t="shared" si="5"/>
        <v>0</v>
      </c>
      <c r="P20" s="1262"/>
    </row>
    <row r="21" spans="2:16" ht="15.75" customHeight="1" thickBot="1" thickTop="1">
      <c r="B21" s="1256"/>
      <c r="C21" s="1257"/>
      <c r="D21" s="1257"/>
      <c r="E21" s="679"/>
      <c r="F21" s="1259"/>
      <c r="G21" s="1259"/>
      <c r="H21" s="1264">
        <f t="shared" si="0"/>
        <v>0</v>
      </c>
      <c r="I21" s="1264">
        <f t="shared" si="1"/>
        <v>0</v>
      </c>
      <c r="J21" s="680"/>
      <c r="K21" s="1264">
        <f t="shared" si="2"/>
        <v>0</v>
      </c>
      <c r="L21" s="1260">
        <f t="shared" si="4"/>
      </c>
      <c r="M21" s="1247">
        <f t="shared" si="6"/>
      </c>
      <c r="N21" s="1265">
        <f t="shared" si="5"/>
        <v>0</v>
      </c>
      <c r="P21" s="1262"/>
    </row>
    <row r="22" spans="2:16" ht="15.75" customHeight="1" thickBot="1" thickTop="1">
      <c r="B22" s="1256"/>
      <c r="C22" s="1257"/>
      <c r="D22" s="1257"/>
      <c r="E22" s="679"/>
      <c r="F22" s="1259"/>
      <c r="G22" s="1259"/>
      <c r="H22" s="1264">
        <f t="shared" si="0"/>
        <v>0</v>
      </c>
      <c r="I22" s="1264">
        <f t="shared" si="1"/>
        <v>0</v>
      </c>
      <c r="J22" s="680"/>
      <c r="K22" s="1264">
        <f t="shared" si="2"/>
        <v>0</v>
      </c>
      <c r="L22" s="1260">
        <f t="shared" si="4"/>
      </c>
      <c r="M22" s="1247">
        <f t="shared" si="6"/>
      </c>
      <c r="N22" s="1265">
        <f t="shared" si="5"/>
        <v>0</v>
      </c>
      <c r="P22" s="1262"/>
    </row>
    <row r="23" spans="2:16" ht="15.75" customHeight="1" thickBot="1" thickTop="1">
      <c r="B23" s="1256"/>
      <c r="C23" s="1257"/>
      <c r="D23" s="1257"/>
      <c r="E23" s="679"/>
      <c r="F23" s="1259"/>
      <c r="G23" s="1259"/>
      <c r="H23" s="1264">
        <f t="shared" si="0"/>
        <v>0</v>
      </c>
      <c r="I23" s="1264">
        <f t="shared" si="1"/>
        <v>0</v>
      </c>
      <c r="J23" s="680"/>
      <c r="K23" s="1264">
        <f t="shared" si="2"/>
        <v>0</v>
      </c>
      <c r="L23" s="1260">
        <f t="shared" si="4"/>
      </c>
      <c r="M23" s="1247">
        <f t="shared" si="6"/>
      </c>
      <c r="N23" s="1265">
        <f t="shared" si="5"/>
        <v>0</v>
      </c>
      <c r="P23" s="1262"/>
    </row>
    <row r="24" spans="2:16" ht="15.75" customHeight="1" thickBot="1" thickTop="1">
      <c r="B24" s="1256"/>
      <c r="C24" s="1257"/>
      <c r="D24" s="1257"/>
      <c r="E24" s="679"/>
      <c r="F24" s="1259"/>
      <c r="G24" s="1259"/>
      <c r="H24" s="1264">
        <f t="shared" si="0"/>
        <v>0</v>
      </c>
      <c r="I24" s="1264">
        <f t="shared" si="1"/>
        <v>0</v>
      </c>
      <c r="J24" s="680"/>
      <c r="K24" s="1264">
        <f t="shared" si="2"/>
        <v>0</v>
      </c>
      <c r="L24" s="1260">
        <f t="shared" si="4"/>
      </c>
      <c r="M24" s="1247">
        <f t="shared" si="6"/>
      </c>
      <c r="N24" s="1265">
        <f t="shared" si="5"/>
        <v>0</v>
      </c>
      <c r="P24" s="1262"/>
    </row>
    <row r="25" spans="2:16" ht="15.75" customHeight="1" thickBot="1" thickTop="1">
      <c r="B25" s="1256"/>
      <c r="C25" s="1257"/>
      <c r="D25" s="1257"/>
      <c r="E25" s="679"/>
      <c r="F25" s="1259"/>
      <c r="G25" s="1259"/>
      <c r="H25" s="1264">
        <f t="shared" si="0"/>
        <v>0</v>
      </c>
      <c r="I25" s="1264">
        <f t="shared" si="1"/>
        <v>0</v>
      </c>
      <c r="J25" s="680"/>
      <c r="K25" s="1264">
        <f t="shared" si="2"/>
        <v>0</v>
      </c>
      <c r="L25" s="1260">
        <f t="shared" si="4"/>
      </c>
      <c r="M25" s="1247">
        <f t="shared" si="6"/>
      </c>
      <c r="N25" s="1265">
        <f t="shared" si="5"/>
        <v>0</v>
      </c>
      <c r="P25" s="1262"/>
    </row>
    <row r="26" spans="2:16" ht="15.75" customHeight="1" thickBot="1" thickTop="1">
      <c r="B26" s="1256"/>
      <c r="C26" s="1257"/>
      <c r="D26" s="1257"/>
      <c r="E26" s="679"/>
      <c r="F26" s="1259"/>
      <c r="G26" s="1259"/>
      <c r="H26" s="1264">
        <f t="shared" si="0"/>
        <v>0</v>
      </c>
      <c r="I26" s="1264">
        <f t="shared" si="1"/>
        <v>0</v>
      </c>
      <c r="J26" s="680"/>
      <c r="K26" s="1264">
        <f t="shared" si="2"/>
        <v>0</v>
      </c>
      <c r="L26" s="1260">
        <f t="shared" si="4"/>
      </c>
      <c r="M26" s="1247">
        <f t="shared" si="6"/>
      </c>
      <c r="N26" s="1265">
        <f t="shared" si="5"/>
        <v>0</v>
      </c>
      <c r="P26" s="1262"/>
    </row>
    <row r="27" spans="2:16" ht="15.75" customHeight="1" thickBot="1" thickTop="1">
      <c r="B27" s="1256"/>
      <c r="C27" s="1257"/>
      <c r="D27" s="1257"/>
      <c r="E27" s="679"/>
      <c r="F27" s="1259"/>
      <c r="G27" s="1259"/>
      <c r="H27" s="1264">
        <f t="shared" si="0"/>
        <v>0</v>
      </c>
      <c r="I27" s="1264">
        <f t="shared" si="1"/>
        <v>0</v>
      </c>
      <c r="J27" s="680"/>
      <c r="K27" s="1264">
        <f t="shared" si="2"/>
        <v>0</v>
      </c>
      <c r="L27" s="1260">
        <f t="shared" si="4"/>
      </c>
      <c r="M27" s="1247">
        <f t="shared" si="6"/>
      </c>
      <c r="N27" s="1265">
        <f t="shared" si="5"/>
        <v>0</v>
      </c>
      <c r="P27" s="1262"/>
    </row>
    <row r="28" spans="2:16" ht="15.75" customHeight="1" thickBot="1" thickTop="1">
      <c r="B28" s="1256"/>
      <c r="C28" s="1257"/>
      <c r="D28" s="1257"/>
      <c r="E28" s="679"/>
      <c r="F28" s="1259"/>
      <c r="G28" s="1259"/>
      <c r="H28" s="1264">
        <f t="shared" si="0"/>
        <v>0</v>
      </c>
      <c r="I28" s="1264">
        <f t="shared" si="1"/>
        <v>0</v>
      </c>
      <c r="J28" s="680"/>
      <c r="K28" s="1264">
        <f t="shared" si="2"/>
        <v>0</v>
      </c>
      <c r="L28" s="1260">
        <f>_xlfn.IFERROR(+I28/K28,"")</f>
      </c>
      <c r="M28" s="1247">
        <f t="shared" si="6"/>
      </c>
      <c r="N28" s="1265">
        <f t="shared" si="5"/>
        <v>0</v>
      </c>
      <c r="P28" s="1262"/>
    </row>
    <row r="29" spans="2:16" ht="18.75" customHeight="1" thickTop="1">
      <c r="B29" s="1266" t="s">
        <v>455</v>
      </c>
      <c r="C29" s="1267"/>
      <c r="D29" s="1267"/>
      <c r="E29" s="1267"/>
      <c r="F29" s="1267"/>
      <c r="G29" s="1267"/>
      <c r="H29" s="1267"/>
      <c r="I29" s="1267"/>
      <c r="J29" s="1267"/>
      <c r="K29" s="1267"/>
      <c r="L29" s="1267"/>
      <c r="M29" s="1247"/>
      <c r="N29" s="1265"/>
      <c r="P29" s="1268"/>
    </row>
    <row r="30" spans="2:14" ht="15.75" customHeight="1" thickBot="1">
      <c r="B30" s="678"/>
      <c r="C30" s="679"/>
      <c r="D30" s="679"/>
      <c r="E30" s="679"/>
      <c r="F30" s="679"/>
      <c r="G30" s="679"/>
      <c r="H30" s="1269"/>
      <c r="I30" s="1269"/>
      <c r="J30" s="679"/>
      <c r="K30" s="1269"/>
      <c r="L30" s="1269"/>
      <c r="M30" s="1247"/>
      <c r="N30" s="1265">
        <f t="shared" si="5"/>
        <v>0</v>
      </c>
    </row>
    <row r="31" spans="2:14" ht="15" thickTop="1">
      <c r="B31" s="1270"/>
      <c r="C31" s="1270"/>
      <c r="D31" s="1270"/>
      <c r="E31" s="1270"/>
      <c r="F31" s="1270"/>
      <c r="G31" s="1270"/>
      <c r="H31" s="1270"/>
      <c r="I31" s="1270"/>
      <c r="J31" s="1270"/>
      <c r="K31" s="1270"/>
      <c r="L31" s="1270"/>
      <c r="N31" s="1261">
        <f>SUM(N10:N30)</f>
        <v>0</v>
      </c>
    </row>
    <row r="32" spans="2:12" ht="15">
      <c r="B32" s="1244" t="s">
        <v>456</v>
      </c>
      <c r="C32" s="1244" t="s">
        <v>458</v>
      </c>
      <c r="D32" s="1254"/>
      <c r="E32" s="1254"/>
      <c r="F32" s="1254"/>
      <c r="G32" s="1254"/>
      <c r="H32" s="1254"/>
      <c r="I32" s="1254"/>
      <c r="J32" s="1254"/>
      <c r="K32" s="1254"/>
      <c r="L32" s="1254"/>
    </row>
    <row r="33" spans="2:12" ht="3.75" customHeight="1" thickBot="1">
      <c r="B33" s="1244"/>
      <c r="C33" s="1244"/>
      <c r="D33" s="1254"/>
      <c r="E33" s="1254"/>
      <c r="F33" s="1254"/>
      <c r="G33" s="1254"/>
      <c r="H33" s="1254"/>
      <c r="I33" s="1254"/>
      <c r="J33" s="1254"/>
      <c r="K33" s="1254"/>
      <c r="L33" s="1254"/>
    </row>
    <row r="34" spans="2:12" ht="15">
      <c r="B34" s="1244" t="s">
        <v>459</v>
      </c>
      <c r="C34" s="1244" t="s">
        <v>460</v>
      </c>
      <c r="D34" s="1254"/>
      <c r="E34" s="1254"/>
      <c r="F34" s="1254"/>
      <c r="G34" s="1254"/>
      <c r="H34" s="1254"/>
      <c r="I34" s="1254"/>
      <c r="J34" s="1254"/>
      <c r="K34" s="1254"/>
      <c r="L34" s="1271" t="s">
        <v>1679</v>
      </c>
    </row>
    <row r="35" spans="2:12" ht="3.75" customHeight="1">
      <c r="B35" s="1244"/>
      <c r="C35" s="1244"/>
      <c r="D35" s="1254"/>
      <c r="E35" s="1254"/>
      <c r="F35" s="1254"/>
      <c r="G35" s="1254"/>
      <c r="H35" s="1254"/>
      <c r="I35" s="1254"/>
      <c r="J35" s="1254"/>
      <c r="K35" s="1254"/>
      <c r="L35" s="1272" t="s">
        <v>1680</v>
      </c>
    </row>
    <row r="36" spans="2:12" ht="15" thickBot="1">
      <c r="B36" s="1244" t="s">
        <v>461</v>
      </c>
      <c r="C36" s="1244" t="s">
        <v>462</v>
      </c>
      <c r="D36" s="1254"/>
      <c r="E36" s="1254"/>
      <c r="F36" s="1254"/>
      <c r="G36" s="1254"/>
      <c r="H36" s="1254"/>
      <c r="I36" s="1254"/>
      <c r="J36" s="1254"/>
      <c r="K36" s="1254"/>
      <c r="L36" s="1273" t="str">
        <f>_xlfn.IFERROR(SUM(M10:M28)/SUM(B10:B28),"%")</f>
        <v>%</v>
      </c>
    </row>
    <row r="37" spans="2:12" ht="3.75" customHeight="1">
      <c r="B37" s="1244"/>
      <c r="C37" s="1244"/>
      <c r="D37" s="1254"/>
      <c r="E37" s="1254"/>
      <c r="F37" s="1254"/>
      <c r="G37" s="1254"/>
      <c r="H37" s="1254"/>
      <c r="I37" s="1254"/>
      <c r="J37" s="1254"/>
      <c r="K37" s="1254"/>
      <c r="L37" s="1254"/>
    </row>
    <row r="38" spans="2:12" ht="15">
      <c r="B38" s="1244" t="s">
        <v>463</v>
      </c>
      <c r="C38" s="1244" t="s">
        <v>464</v>
      </c>
      <c r="D38" s="1254"/>
      <c r="E38" s="1254"/>
      <c r="F38" s="1254"/>
      <c r="G38" s="1254"/>
      <c r="H38" s="1254"/>
      <c r="I38" s="1254"/>
      <c r="J38" s="1254"/>
      <c r="K38" s="1254"/>
      <c r="L38" s="1254"/>
    </row>
    <row r="39" spans="2:12" ht="3.75" customHeight="1">
      <c r="B39" s="1244"/>
      <c r="C39" s="1244"/>
      <c r="D39" s="1254"/>
      <c r="E39" s="1254"/>
      <c r="F39" s="1254"/>
      <c r="G39" s="1254"/>
      <c r="H39" s="1254"/>
      <c r="I39" s="1254"/>
      <c r="J39" s="1254"/>
      <c r="K39" s="1254"/>
      <c r="L39" s="1254"/>
    </row>
    <row r="40" spans="2:12" ht="15">
      <c r="B40" s="1244" t="s">
        <v>465</v>
      </c>
      <c r="C40" s="1244" t="s">
        <v>466</v>
      </c>
      <c r="D40" s="1254"/>
      <c r="E40" s="1254"/>
      <c r="F40" s="1254"/>
      <c r="G40" s="1254"/>
      <c r="H40" s="1254"/>
      <c r="I40" s="1254"/>
      <c r="J40" s="1254"/>
      <c r="K40" s="1254"/>
      <c r="L40" s="1254"/>
    </row>
    <row r="41" spans="2:12" ht="15">
      <c r="B41" s="1254"/>
      <c r="C41" s="1244" t="s">
        <v>467</v>
      </c>
      <c r="D41" s="1254"/>
      <c r="E41" s="1254"/>
      <c r="F41" s="1254"/>
      <c r="G41" s="1254"/>
      <c r="H41" s="1254"/>
      <c r="I41" s="1254"/>
      <c r="J41" s="1254"/>
      <c r="K41" s="1254"/>
      <c r="L41" s="1254"/>
    </row>
    <row r="42" spans="2:12" ht="3.75" customHeight="1">
      <c r="B42" s="1244"/>
      <c r="C42" s="1244"/>
      <c r="D42" s="1244"/>
      <c r="E42" s="1244"/>
      <c r="F42" s="1244"/>
      <c r="G42" s="1244"/>
      <c r="H42" s="1244"/>
      <c r="I42" s="1244"/>
      <c r="J42" s="1244"/>
      <c r="K42" s="1244"/>
      <c r="L42" s="1244"/>
    </row>
    <row r="43" spans="2:12" ht="15">
      <c r="B43" s="1244" t="s">
        <v>468</v>
      </c>
      <c r="C43" s="1244" t="s">
        <v>469</v>
      </c>
      <c r="D43" s="1244"/>
      <c r="E43" s="1244"/>
      <c r="F43" s="1244"/>
      <c r="G43" s="1244"/>
      <c r="H43" s="1244"/>
      <c r="I43" s="1244"/>
      <c r="J43" s="1244"/>
      <c r="K43" s="1244"/>
      <c r="L43" s="1244"/>
    </row>
    <row r="44" spans="2:12" ht="3.75" customHeight="1">
      <c r="B44" s="1244"/>
      <c r="C44" s="1244"/>
      <c r="D44" s="1244"/>
      <c r="E44" s="1244"/>
      <c r="F44" s="1244"/>
      <c r="G44" s="1244"/>
      <c r="H44" s="1244"/>
      <c r="I44" s="1244"/>
      <c r="J44" s="1244"/>
      <c r="K44" s="1244"/>
      <c r="L44" s="1244"/>
    </row>
    <row r="45" spans="2:12" ht="15">
      <c r="B45" s="1244" t="s">
        <v>470</v>
      </c>
      <c r="C45" s="1244" t="s">
        <v>471</v>
      </c>
      <c r="D45" s="1244"/>
      <c r="E45" s="1244"/>
      <c r="F45" s="1244"/>
      <c r="G45" s="1244"/>
      <c r="H45" s="1244"/>
      <c r="I45" s="1244"/>
      <c r="J45" s="1244"/>
      <c r="K45" s="1244"/>
      <c r="L45" s="1244"/>
    </row>
    <row r="46" spans="2:12" ht="3.75" customHeight="1">
      <c r="B46" s="1244"/>
      <c r="C46" s="1244"/>
      <c r="D46" s="1244"/>
      <c r="E46" s="1244"/>
      <c r="F46" s="1244"/>
      <c r="G46" s="1244"/>
      <c r="H46" s="1244"/>
      <c r="I46" s="1244"/>
      <c r="J46" s="1244"/>
      <c r="K46" s="1244"/>
      <c r="L46" s="1244"/>
    </row>
    <row r="47" spans="2:12" ht="15">
      <c r="B47" s="1244" t="s">
        <v>472</v>
      </c>
      <c r="C47" s="1244" t="s">
        <v>473</v>
      </c>
      <c r="D47" s="1244"/>
      <c r="E47" s="1244"/>
      <c r="F47" s="1244"/>
      <c r="G47" s="1244"/>
      <c r="H47" s="1244"/>
      <c r="I47" s="1244"/>
      <c r="J47" s="1244"/>
      <c r="K47" s="1244"/>
      <c r="L47" s="1244"/>
    </row>
    <row r="48" spans="2:12" ht="3.75" customHeight="1">
      <c r="B48" s="1244"/>
      <c r="C48" s="1244"/>
      <c r="D48" s="1244"/>
      <c r="E48" s="1244"/>
      <c r="F48" s="1244"/>
      <c r="G48" s="1244"/>
      <c r="H48" s="1244"/>
      <c r="I48" s="1244"/>
      <c r="J48" s="1244"/>
      <c r="K48" s="1244"/>
      <c r="L48" s="1244"/>
    </row>
    <row r="49" spans="2:12" ht="15">
      <c r="B49" s="1244" t="s">
        <v>474</v>
      </c>
      <c r="C49" s="1244" t="s">
        <v>495</v>
      </c>
      <c r="D49" s="1244"/>
      <c r="E49" s="1244"/>
      <c r="F49" s="1244"/>
      <c r="G49" s="1244"/>
      <c r="H49" s="1244"/>
      <c r="I49" s="1244"/>
      <c r="J49" s="1244"/>
      <c r="K49" s="1244"/>
      <c r="L49" s="1244"/>
    </row>
    <row r="50" spans="2:12" ht="3.75" customHeight="1">
      <c r="B50" s="1244"/>
      <c r="C50" s="1244"/>
      <c r="D50" s="1244"/>
      <c r="E50" s="1244"/>
      <c r="F50" s="1244"/>
      <c r="G50" s="1244"/>
      <c r="H50" s="1244"/>
      <c r="I50" s="1244"/>
      <c r="J50" s="1244"/>
      <c r="K50" s="1244"/>
      <c r="L50" s="1244"/>
    </row>
    <row r="51" spans="2:12" ht="15">
      <c r="B51" s="1244" t="s">
        <v>496</v>
      </c>
      <c r="C51" s="1244" t="s">
        <v>497</v>
      </c>
      <c r="D51" s="1244"/>
      <c r="E51" s="1244"/>
      <c r="F51" s="1244"/>
      <c r="G51" s="1244"/>
      <c r="H51" s="1244"/>
      <c r="I51" s="1244"/>
      <c r="J51" s="1244"/>
      <c r="K51" s="1244"/>
      <c r="L51" s="1244"/>
    </row>
    <row r="52" spans="2:12" ht="3.75" customHeight="1">
      <c r="B52" s="1244"/>
      <c r="C52" s="1244"/>
      <c r="D52" s="1244"/>
      <c r="E52" s="1244"/>
      <c r="F52" s="1244"/>
      <c r="G52" s="1244"/>
      <c r="H52" s="1244"/>
      <c r="I52" s="1244"/>
      <c r="J52" s="1244"/>
      <c r="K52" s="1244"/>
      <c r="L52" s="1244"/>
    </row>
    <row r="53" spans="2:12" ht="15">
      <c r="B53" s="1244" t="s">
        <v>498</v>
      </c>
      <c r="C53" s="1244" t="s">
        <v>499</v>
      </c>
      <c r="D53" s="1244"/>
      <c r="E53" s="1244"/>
      <c r="F53" s="1244"/>
      <c r="G53" s="1244"/>
      <c r="H53" s="1244"/>
      <c r="I53" s="1244"/>
      <c r="J53" s="1244"/>
      <c r="K53" s="1244"/>
      <c r="L53" s="1244"/>
    </row>
    <row r="54" spans="2:12" ht="9.75" customHeight="1">
      <c r="B54" s="1244"/>
      <c r="C54" s="1244"/>
      <c r="D54" s="1244"/>
      <c r="E54" s="1244"/>
      <c r="F54" s="1244"/>
      <c r="G54" s="1244"/>
      <c r="H54" s="1244"/>
      <c r="I54" s="1244"/>
      <c r="J54" s="1244"/>
      <c r="K54" s="1244"/>
      <c r="L54" s="1244"/>
    </row>
    <row r="55" spans="2:12" ht="15">
      <c r="B55" s="1244"/>
      <c r="C55" s="1244"/>
      <c r="D55" s="1244"/>
      <c r="E55" s="1244"/>
      <c r="F55" s="1244"/>
      <c r="G55" s="1244"/>
      <c r="H55" s="1244"/>
      <c r="I55" s="1244"/>
      <c r="J55" s="1244"/>
      <c r="K55" s="1244"/>
      <c r="L55" s="1244"/>
    </row>
    <row r="56" spans="2:12" ht="15">
      <c r="B56" s="1244"/>
      <c r="C56" s="1244"/>
      <c r="D56" s="1244"/>
      <c r="E56" s="1244"/>
      <c r="F56" s="1244"/>
      <c r="G56" s="1244"/>
      <c r="H56" s="1244"/>
      <c r="I56" s="1244"/>
      <c r="J56" s="1244"/>
      <c r="K56" s="1244"/>
      <c r="L56" s="1244"/>
    </row>
    <row r="57" spans="2:12" ht="15">
      <c r="B57" s="1244" t="s">
        <v>500</v>
      </c>
      <c r="C57" s="1244"/>
      <c r="D57" s="1244"/>
      <c r="E57" s="1244"/>
      <c r="F57" s="1244"/>
      <c r="G57" s="1244"/>
      <c r="H57" s="1244"/>
      <c r="I57" s="1244"/>
      <c r="J57" s="1244"/>
      <c r="K57" s="1244"/>
      <c r="L57" s="1244"/>
    </row>
    <row r="58" spans="2:12" ht="15">
      <c r="B58" s="1244" t="s">
        <v>501</v>
      </c>
      <c r="C58" s="1244"/>
      <c r="D58" s="1244"/>
      <c r="E58" s="1244"/>
      <c r="F58" s="1244"/>
      <c r="G58" s="1244"/>
      <c r="H58" s="1244"/>
      <c r="I58" s="1244"/>
      <c r="J58" s="1244"/>
      <c r="K58" s="1244"/>
      <c r="L58" s="1244"/>
    </row>
    <row r="59" spans="2:12" ht="15">
      <c r="B59" s="1244" t="s">
        <v>502</v>
      </c>
      <c r="C59" s="1244"/>
      <c r="D59" s="1244"/>
      <c r="E59" s="1244"/>
      <c r="F59" s="1244"/>
      <c r="G59" s="1244"/>
      <c r="H59" s="1244"/>
      <c r="I59" s="1244"/>
      <c r="J59" s="1244"/>
      <c r="K59" s="1244"/>
      <c r="L59" s="1244"/>
    </row>
    <row r="60" spans="2:12" ht="15">
      <c r="B60" s="1244"/>
      <c r="C60" s="1244"/>
      <c r="D60" s="1244"/>
      <c r="E60" s="1244"/>
      <c r="F60" s="1244"/>
      <c r="G60" s="1244"/>
      <c r="H60" s="1244"/>
      <c r="I60" s="1244"/>
      <c r="J60" s="1244"/>
      <c r="K60" s="1244"/>
      <c r="L60" s="1244"/>
    </row>
    <row r="61" spans="2:12" ht="15">
      <c r="B61" s="1244"/>
      <c r="C61" s="1244"/>
      <c r="D61" s="1244"/>
      <c r="E61" s="1244"/>
      <c r="F61" s="1244"/>
      <c r="G61" s="1244"/>
      <c r="H61" s="1244"/>
      <c r="I61" s="1244"/>
      <c r="J61" s="1244"/>
      <c r="K61" s="1244"/>
      <c r="L61" s="1244"/>
    </row>
    <row r="62" spans="2:12" ht="15">
      <c r="B62" s="1244"/>
      <c r="C62" s="1244"/>
      <c r="D62" s="1244"/>
      <c r="E62" s="1244"/>
      <c r="F62" s="1244"/>
      <c r="G62" s="1244"/>
      <c r="H62" s="1244"/>
      <c r="I62" s="1244"/>
      <c r="J62" s="1244"/>
      <c r="K62" s="1244"/>
      <c r="L62" s="1244"/>
    </row>
    <row r="63" spans="2:12" ht="15">
      <c r="B63" s="1244"/>
      <c r="C63" s="1244"/>
      <c r="D63" s="1244"/>
      <c r="E63" s="1244"/>
      <c r="F63" s="1244"/>
      <c r="G63" s="1244"/>
      <c r="H63" s="1244"/>
      <c r="I63" s="1244"/>
      <c r="J63" s="1244"/>
      <c r="K63" s="1244"/>
      <c r="L63" s="1244"/>
    </row>
    <row r="64" spans="2:12" ht="15">
      <c r="B64" s="1244"/>
      <c r="C64" s="1244"/>
      <c r="D64" s="1244"/>
      <c r="E64" s="1244"/>
      <c r="F64" s="1244"/>
      <c r="G64" s="1244"/>
      <c r="H64" s="1244"/>
      <c r="I64" s="1244"/>
      <c r="J64" s="1244"/>
      <c r="K64" s="1244"/>
      <c r="L64" s="1244"/>
    </row>
    <row r="65" spans="2:12" ht="15">
      <c r="B65" s="1244"/>
      <c r="C65" s="1244"/>
      <c r="D65" s="1244"/>
      <c r="E65" s="1244"/>
      <c r="F65" s="1244"/>
      <c r="G65" s="1244"/>
      <c r="H65" s="1244"/>
      <c r="I65" s="1244"/>
      <c r="J65" s="1244"/>
      <c r="K65" s="1244"/>
      <c r="L65" s="1244"/>
    </row>
    <row r="66" spans="2:12" ht="15">
      <c r="B66" s="1244"/>
      <c r="C66" s="1244"/>
      <c r="D66" s="1244"/>
      <c r="E66" s="1244"/>
      <c r="F66" s="1244"/>
      <c r="G66" s="1244"/>
      <c r="H66" s="1244"/>
      <c r="I66" s="1244"/>
      <c r="J66" s="1244"/>
      <c r="K66" s="1244"/>
      <c r="L66" s="1244"/>
    </row>
    <row r="67" spans="2:12" ht="15">
      <c r="B67" s="1244"/>
      <c r="C67" s="1244"/>
      <c r="D67" s="1244"/>
      <c r="E67" s="1244"/>
      <c r="F67" s="1244"/>
      <c r="G67" s="1244"/>
      <c r="H67" s="1244"/>
      <c r="I67" s="1244"/>
      <c r="J67" s="1244"/>
      <c r="K67" s="1244"/>
      <c r="L67" s="1244"/>
    </row>
    <row r="68" spans="2:12" ht="15">
      <c r="B68" s="1244"/>
      <c r="C68" s="1244"/>
      <c r="D68" s="1244"/>
      <c r="E68" s="1244"/>
      <c r="F68" s="1244"/>
      <c r="G68" s="1244"/>
      <c r="H68" s="1244"/>
      <c r="I68" s="1244"/>
      <c r="J68" s="1244"/>
      <c r="K68" s="1244"/>
      <c r="L68" s="1244"/>
    </row>
    <row r="69" spans="2:12" ht="15">
      <c r="B69" s="1244"/>
      <c r="C69" s="1244"/>
      <c r="D69" s="1244"/>
      <c r="E69" s="1244"/>
      <c r="F69" s="1244"/>
      <c r="G69" s="1244"/>
      <c r="H69" s="1244"/>
      <c r="I69" s="1244"/>
      <c r="J69" s="1244"/>
      <c r="K69" s="1244"/>
      <c r="L69" s="1244"/>
    </row>
    <row r="70" spans="2:12" ht="15">
      <c r="B70" s="1244"/>
      <c r="C70" s="1244"/>
      <c r="D70" s="1244"/>
      <c r="E70" s="1244"/>
      <c r="F70" s="1244"/>
      <c r="G70" s="1244"/>
      <c r="H70" s="1244"/>
      <c r="I70" s="1244"/>
      <c r="J70" s="1244"/>
      <c r="K70" s="1244"/>
      <c r="L70" s="1244"/>
    </row>
    <row r="71" spans="2:12" ht="15">
      <c r="B71" s="1244"/>
      <c r="C71" s="1244"/>
      <c r="D71" s="1244"/>
      <c r="E71" s="1244"/>
      <c r="F71" s="1244"/>
      <c r="G71" s="1244"/>
      <c r="H71" s="1244"/>
      <c r="I71" s="1244"/>
      <c r="J71" s="1244"/>
      <c r="K71" s="1244"/>
      <c r="L71" s="1244"/>
    </row>
    <row r="72" spans="2:12" ht="15">
      <c r="B72" s="1244"/>
      <c r="C72" s="1244"/>
      <c r="D72" s="1244"/>
      <c r="E72" s="1244"/>
      <c r="F72" s="1244"/>
      <c r="G72" s="1244"/>
      <c r="H72" s="1244"/>
      <c r="I72" s="1244"/>
      <c r="J72" s="1244"/>
      <c r="K72" s="1244"/>
      <c r="L72" s="1244"/>
    </row>
    <row r="73" spans="2:12" ht="15">
      <c r="B73" s="1244"/>
      <c r="C73" s="1244"/>
      <c r="D73" s="1244"/>
      <c r="E73" s="1244"/>
      <c r="F73" s="1244"/>
      <c r="G73" s="1244"/>
      <c r="H73" s="1244"/>
      <c r="I73" s="1244"/>
      <c r="J73" s="1244"/>
      <c r="K73" s="1244"/>
      <c r="L73" s="1244"/>
    </row>
    <row r="74" spans="2:12" ht="15">
      <c r="B74" s="1244"/>
      <c r="C74" s="1244"/>
      <c r="D74" s="1244"/>
      <c r="E74" s="1244"/>
      <c r="F74" s="1244"/>
      <c r="G74" s="1244"/>
      <c r="H74" s="1244"/>
      <c r="I74" s="1244"/>
      <c r="J74" s="1244"/>
      <c r="K74" s="1244"/>
      <c r="L74" s="1244"/>
    </row>
    <row r="75" spans="2:7" ht="15">
      <c r="B75" s="1244"/>
      <c r="F75" s="1244"/>
      <c r="G75" s="1244"/>
    </row>
    <row r="76" spans="2:7" ht="15">
      <c r="B76" s="1244"/>
      <c r="F76" s="1244"/>
      <c r="G76" s="1244"/>
    </row>
    <row r="77" spans="2:7" ht="15">
      <c r="B77" s="1244"/>
      <c r="F77" s="1244"/>
      <c r="G77" s="1244"/>
    </row>
    <row r="78" ht="15">
      <c r="B78" s="1244"/>
    </row>
  </sheetData>
  <sheetProtection/>
  <mergeCells count="1">
    <mergeCell ref="B1:L1"/>
  </mergeCells>
  <printOptions/>
  <pageMargins left="0.25" right="0.25" top="0.75" bottom="0.75" header="0.3" footer="0.3"/>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codeName="Sheet13"/>
  <dimension ref="A2:IV59"/>
  <sheetViews>
    <sheetView showGridLines="0" view="pageBreakPreview" zoomScale="60" zoomScaleNormal="60" zoomScalePageLayoutView="0" workbookViewId="0" topLeftCell="A1">
      <selection activeCell="E42" sqref="E42"/>
    </sheetView>
  </sheetViews>
  <sheetFormatPr defaultColWidth="8.88671875" defaultRowHeight="15"/>
  <cols>
    <col min="1" max="1" width="3.5546875" style="447" customWidth="1"/>
    <col min="2" max="2" width="32.77734375" style="453" customWidth="1"/>
    <col min="3" max="3" width="16.88671875" style="447" customWidth="1"/>
    <col min="4" max="4" width="16.77734375" style="447" customWidth="1"/>
    <col min="5" max="5" width="16.99609375" style="447" customWidth="1"/>
    <col min="6" max="6" width="3.6640625" style="447" customWidth="1"/>
    <col min="7" max="7" width="27.4453125" style="447" customWidth="1"/>
    <col min="8" max="11" width="16.88671875" style="447" customWidth="1"/>
    <col min="12" max="12" width="16.99609375" style="1188" customWidth="1"/>
    <col min="13" max="13" width="8.88671875" style="1188" customWidth="1"/>
    <col min="14" max="19" width="8.88671875" style="1274" customWidth="1"/>
    <col min="20" max="16384" width="8.88671875" style="447" customWidth="1"/>
  </cols>
  <sheetData>
    <row r="2" spans="1:256" ht="33" customHeight="1">
      <c r="A2" s="1772" t="s">
        <v>1719</v>
      </c>
      <c r="B2" s="1772"/>
      <c r="C2" s="1772"/>
      <c r="D2" s="1772"/>
      <c r="E2" s="1772"/>
      <c r="F2" s="1772"/>
      <c r="G2" s="1772"/>
      <c r="H2" s="1772"/>
      <c r="I2" s="1772"/>
      <c r="J2" s="1275"/>
      <c r="K2" s="1275"/>
      <c r="L2" s="1276"/>
      <c r="M2" s="1276"/>
      <c r="N2" s="1277"/>
      <c r="O2" s="1277"/>
      <c r="P2" s="1277"/>
      <c r="Q2" s="1277"/>
      <c r="R2" s="1277"/>
      <c r="S2" s="1277"/>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8"/>
      <c r="CD2" s="448"/>
      <c r="CE2" s="448"/>
      <c r="CF2" s="448"/>
      <c r="CG2" s="448"/>
      <c r="CH2" s="448"/>
      <c r="CI2" s="448"/>
      <c r="CJ2" s="448"/>
      <c r="CK2" s="448"/>
      <c r="CL2" s="448"/>
      <c r="CM2" s="448"/>
      <c r="CN2" s="448"/>
      <c r="CO2" s="448"/>
      <c r="CP2" s="448"/>
      <c r="CQ2" s="448"/>
      <c r="CR2" s="448"/>
      <c r="CS2" s="448"/>
      <c r="CT2" s="448"/>
      <c r="CU2" s="448"/>
      <c r="CV2" s="448"/>
      <c r="CW2" s="448"/>
      <c r="CX2" s="448"/>
      <c r="CY2" s="448"/>
      <c r="CZ2" s="448"/>
      <c r="DA2" s="448"/>
      <c r="DB2" s="448"/>
      <c r="DC2" s="448"/>
      <c r="DD2" s="448"/>
      <c r="DE2" s="448"/>
      <c r="DF2" s="448"/>
      <c r="DG2" s="448"/>
      <c r="DH2" s="448"/>
      <c r="DI2" s="448"/>
      <c r="DJ2" s="448"/>
      <c r="DK2" s="448"/>
      <c r="DL2" s="448"/>
      <c r="DM2" s="448"/>
      <c r="DN2" s="448"/>
      <c r="DO2" s="448"/>
      <c r="DP2" s="448"/>
      <c r="DQ2" s="448"/>
      <c r="DR2" s="448"/>
      <c r="DS2" s="448"/>
      <c r="DT2" s="448"/>
      <c r="DU2" s="448"/>
      <c r="DV2" s="448"/>
      <c r="DW2" s="448"/>
      <c r="DX2" s="448"/>
      <c r="DY2" s="448"/>
      <c r="DZ2" s="448"/>
      <c r="EA2" s="448"/>
      <c r="EB2" s="448"/>
      <c r="EC2" s="448"/>
      <c r="ED2" s="448"/>
      <c r="EE2" s="448"/>
      <c r="EF2" s="448"/>
      <c r="EG2" s="448"/>
      <c r="EH2" s="448"/>
      <c r="EI2" s="448"/>
      <c r="EJ2" s="448"/>
      <c r="EK2" s="448"/>
      <c r="EL2" s="448"/>
      <c r="EM2" s="448"/>
      <c r="EN2" s="448"/>
      <c r="EO2" s="448"/>
      <c r="EP2" s="448"/>
      <c r="EQ2" s="448"/>
      <c r="ER2" s="448"/>
      <c r="ES2" s="448"/>
      <c r="ET2" s="448"/>
      <c r="EU2" s="448"/>
      <c r="EV2" s="448"/>
      <c r="EW2" s="448"/>
      <c r="EX2" s="448"/>
      <c r="EY2" s="448"/>
      <c r="EZ2" s="448"/>
      <c r="FA2" s="448"/>
      <c r="FB2" s="448"/>
      <c r="FC2" s="448"/>
      <c r="FD2" s="448"/>
      <c r="FE2" s="448"/>
      <c r="FF2" s="448"/>
      <c r="FG2" s="448"/>
      <c r="FH2" s="448"/>
      <c r="FI2" s="448"/>
      <c r="FJ2" s="448"/>
      <c r="FK2" s="448"/>
      <c r="FL2" s="448"/>
      <c r="FM2" s="448"/>
      <c r="FN2" s="448"/>
      <c r="FO2" s="448"/>
      <c r="FP2" s="448"/>
      <c r="FQ2" s="448"/>
      <c r="FR2" s="448"/>
      <c r="FS2" s="448"/>
      <c r="FT2" s="448"/>
      <c r="FU2" s="448"/>
      <c r="FV2" s="448"/>
      <c r="FW2" s="448"/>
      <c r="FX2" s="448"/>
      <c r="FY2" s="448"/>
      <c r="FZ2" s="448"/>
      <c r="GA2" s="448"/>
      <c r="GB2" s="448"/>
      <c r="GC2" s="448"/>
      <c r="GD2" s="448"/>
      <c r="GE2" s="448"/>
      <c r="GF2" s="448"/>
      <c r="GG2" s="448"/>
      <c r="GH2" s="448"/>
      <c r="GI2" s="448"/>
      <c r="GJ2" s="448"/>
      <c r="GK2" s="448"/>
      <c r="GL2" s="448"/>
      <c r="GM2" s="448"/>
      <c r="GN2" s="448"/>
      <c r="GO2" s="448"/>
      <c r="GP2" s="448"/>
      <c r="GQ2" s="448"/>
      <c r="GR2" s="448"/>
      <c r="GS2" s="448"/>
      <c r="GT2" s="448"/>
      <c r="GU2" s="448"/>
      <c r="GV2" s="448"/>
      <c r="GW2" s="448"/>
      <c r="GX2" s="448"/>
      <c r="GY2" s="448"/>
      <c r="GZ2" s="448"/>
      <c r="HA2" s="448"/>
      <c r="HB2" s="448"/>
      <c r="HC2" s="448"/>
      <c r="HD2" s="448"/>
      <c r="HE2" s="448"/>
      <c r="HF2" s="448"/>
      <c r="HG2" s="448"/>
      <c r="HH2" s="448"/>
      <c r="HI2" s="448"/>
      <c r="HJ2" s="448"/>
      <c r="HK2" s="448"/>
      <c r="HL2" s="448"/>
      <c r="HM2" s="448"/>
      <c r="HN2" s="448"/>
      <c r="HO2" s="448"/>
      <c r="HP2" s="448"/>
      <c r="HQ2" s="448"/>
      <c r="HR2" s="448"/>
      <c r="HS2" s="448"/>
      <c r="HT2" s="448"/>
      <c r="HU2" s="448"/>
      <c r="HV2" s="448"/>
      <c r="HW2" s="448"/>
      <c r="HX2" s="448"/>
      <c r="HY2" s="448"/>
      <c r="HZ2" s="448"/>
      <c r="IA2" s="448"/>
      <c r="IB2" s="448"/>
      <c r="IC2" s="448"/>
      <c r="ID2" s="448"/>
      <c r="IE2" s="448"/>
      <c r="IF2" s="448"/>
      <c r="IG2" s="448"/>
      <c r="IH2" s="448"/>
      <c r="II2" s="448"/>
      <c r="IJ2" s="448"/>
      <c r="IK2" s="448"/>
      <c r="IL2" s="448"/>
      <c r="IM2" s="448"/>
      <c r="IN2" s="448"/>
      <c r="IO2" s="448"/>
      <c r="IP2" s="448"/>
      <c r="IQ2" s="448"/>
      <c r="IR2" s="448"/>
      <c r="IS2" s="448"/>
      <c r="IT2" s="448"/>
      <c r="IU2" s="448"/>
      <c r="IV2" s="448"/>
    </row>
    <row r="3" spans="2:3" ht="33" customHeight="1">
      <c r="B3" s="1278"/>
      <c r="C3" s="1279"/>
    </row>
    <row r="4" spans="2:4" ht="24.75" customHeight="1" thickBot="1">
      <c r="B4" s="1278" t="s">
        <v>950</v>
      </c>
      <c r="C4" s="1773"/>
      <c r="D4" s="1773"/>
    </row>
    <row r="5" spans="2:4" ht="24.75" customHeight="1" thickBot="1">
      <c r="B5" s="1278" t="s">
        <v>951</v>
      </c>
      <c r="C5" s="1774"/>
      <c r="D5" s="1775"/>
    </row>
    <row r="6" spans="2:4" ht="24.75" customHeight="1" thickBot="1">
      <c r="B6" s="1278" t="s">
        <v>954</v>
      </c>
      <c r="C6" s="1774"/>
      <c r="D6" s="1775"/>
    </row>
    <row r="9" ht="13.5" thickBot="1"/>
    <row r="10" spans="2:13" ht="24.75" customHeight="1">
      <c r="B10" s="447"/>
      <c r="D10" s="1280"/>
      <c r="G10" s="1281" t="s">
        <v>1559</v>
      </c>
      <c r="H10" s="1144"/>
      <c r="I10" s="1282"/>
      <c r="J10" s="1282"/>
      <c r="K10" s="1282"/>
      <c r="L10" s="1188">
        <v>1</v>
      </c>
      <c r="M10" s="1283">
        <f>H12</f>
        <v>275000</v>
      </c>
    </row>
    <row r="11" spans="2:13" ht="9.75" customHeight="1">
      <c r="B11" s="447"/>
      <c r="G11" s="1145"/>
      <c r="H11" s="1146"/>
      <c r="I11" s="1282"/>
      <c r="J11" s="1282"/>
      <c r="K11" s="1282"/>
      <c r="L11" s="1188">
        <v>2</v>
      </c>
      <c r="M11" s="1283">
        <f>H12</f>
        <v>275000</v>
      </c>
    </row>
    <row r="12" spans="2:13" ht="24.75" customHeight="1" thickBot="1">
      <c r="B12" s="1284" t="s">
        <v>980</v>
      </c>
      <c r="C12" s="1143"/>
      <c r="D12" s="1280" t="s">
        <v>981</v>
      </c>
      <c r="G12" s="1145" t="s">
        <v>1560</v>
      </c>
      <c r="H12" s="1147">
        <v>275000</v>
      </c>
      <c r="I12" s="1282"/>
      <c r="J12" s="1282"/>
      <c r="K12" s="1282"/>
      <c r="L12" s="1188">
        <v>3</v>
      </c>
      <c r="M12" s="1283">
        <f>H12</f>
        <v>275000</v>
      </c>
    </row>
    <row r="13" spans="2:13" ht="9.75" customHeight="1" thickTop="1">
      <c r="B13" s="447"/>
      <c r="C13" s="1279"/>
      <c r="G13" s="1145"/>
      <c r="H13" s="1147"/>
      <c r="I13" s="1282"/>
      <c r="J13" s="1282"/>
      <c r="K13" s="1282"/>
      <c r="L13" s="1188">
        <v>4</v>
      </c>
      <c r="M13" s="1283">
        <f>H12</f>
        <v>275000</v>
      </c>
    </row>
    <row r="14" spans="2:13" ht="24.75" customHeight="1" thickBot="1">
      <c r="B14" s="1284" t="s">
        <v>982</v>
      </c>
      <c r="C14" s="1143"/>
      <c r="D14" s="1280" t="s">
        <v>981</v>
      </c>
      <c r="G14" s="1145" t="s">
        <v>1561</v>
      </c>
      <c r="H14" s="1147">
        <v>300000</v>
      </c>
      <c r="I14" s="1282"/>
      <c r="J14" s="1282"/>
      <c r="K14" s="1282"/>
      <c r="L14" s="1188">
        <v>5</v>
      </c>
      <c r="M14" s="1283">
        <f>H14</f>
        <v>300000</v>
      </c>
    </row>
    <row r="15" spans="2:13" ht="9.75" customHeight="1" thickTop="1">
      <c r="B15" s="447"/>
      <c r="C15" s="1279"/>
      <c r="G15" s="1145"/>
      <c r="H15" s="1147"/>
      <c r="I15" s="1282"/>
      <c r="J15" s="1282"/>
      <c r="K15" s="1282"/>
      <c r="L15" s="1188">
        <v>6</v>
      </c>
      <c r="M15" s="1283">
        <f>H14</f>
        <v>300000</v>
      </c>
    </row>
    <row r="16" spans="2:13" ht="24.75" customHeight="1" thickBot="1">
      <c r="B16" s="1284" t="s">
        <v>983</v>
      </c>
      <c r="C16" s="1285">
        <f>C32</f>
      </c>
      <c r="D16" s="1280"/>
      <c r="G16" s="1148" t="s">
        <v>1562</v>
      </c>
      <c r="H16" s="1149">
        <v>325000</v>
      </c>
      <c r="I16" s="1282"/>
      <c r="J16" s="1282"/>
      <c r="K16" s="1282"/>
      <c r="L16" s="1188">
        <v>7</v>
      </c>
      <c r="M16" s="1283">
        <f>H16</f>
        <v>325000</v>
      </c>
    </row>
    <row r="17" spans="2:13" ht="9.75" customHeight="1" thickTop="1">
      <c r="B17" s="1284"/>
      <c r="C17" s="1142"/>
      <c r="D17" s="1280"/>
      <c r="L17" s="1188">
        <v>8</v>
      </c>
      <c r="M17" s="1283">
        <f>$H$16</f>
        <v>325000</v>
      </c>
    </row>
    <row r="18" spans="2:13" ht="24.75" customHeight="1" thickBot="1">
      <c r="B18" s="1284" t="s">
        <v>1558</v>
      </c>
      <c r="C18" s="1143"/>
      <c r="D18" s="1280"/>
      <c r="L18" s="1188">
        <v>9</v>
      </c>
      <c r="M18" s="1283">
        <f aca="true" t="shared" si="0" ref="M18:M59">$H$16</f>
        <v>325000</v>
      </c>
    </row>
    <row r="19" spans="3:13" ht="24.75" customHeight="1" thickTop="1">
      <c r="C19" s="1279"/>
      <c r="L19" s="1188">
        <v>10</v>
      </c>
      <c r="M19" s="1283">
        <f t="shared" si="0"/>
        <v>325000</v>
      </c>
    </row>
    <row r="20" spans="12:13" ht="13.5" thickBot="1">
      <c r="L20" s="1188">
        <v>11</v>
      </c>
      <c r="M20" s="1283">
        <f t="shared" si="0"/>
        <v>325000</v>
      </c>
    </row>
    <row r="21" spans="2:13" ht="15.75" thickTop="1">
      <c r="B21" s="1286"/>
      <c r="C21" s="1287"/>
      <c r="D21" s="1287"/>
      <c r="E21" s="1288"/>
      <c r="G21" s="1289" t="s">
        <v>979</v>
      </c>
      <c r="H21" s="1290"/>
      <c r="I21" s="1291"/>
      <c r="L21" s="1188">
        <v>12</v>
      </c>
      <c r="M21" s="1283">
        <f t="shared" si="0"/>
        <v>325000</v>
      </c>
    </row>
    <row r="22" spans="2:13" ht="15.75" thickBot="1">
      <c r="B22" s="1292"/>
      <c r="C22" s="1293"/>
      <c r="D22" s="1294"/>
      <c r="E22" s="1295"/>
      <c r="G22" s="449"/>
      <c r="I22" s="450"/>
      <c r="L22" s="1188">
        <v>13</v>
      </c>
      <c r="M22" s="1283">
        <f t="shared" si="0"/>
        <v>325000</v>
      </c>
    </row>
    <row r="23" spans="2:13" ht="15.75" thickTop="1">
      <c r="B23" s="1296"/>
      <c r="C23" s="453"/>
      <c r="D23" s="453"/>
      <c r="E23" s="1297" t="s">
        <v>984</v>
      </c>
      <c r="G23" s="1298" t="s">
        <v>1229</v>
      </c>
      <c r="I23" s="1299">
        <f>+Breakdown!L24</f>
        <v>0</v>
      </c>
      <c r="J23" s="1300"/>
      <c r="K23" s="1300"/>
      <c r="L23" s="1188">
        <v>14</v>
      </c>
      <c r="M23" s="1283">
        <f t="shared" si="0"/>
        <v>325000</v>
      </c>
    </row>
    <row r="24" spans="2:13" ht="15">
      <c r="B24" s="1296" t="s">
        <v>809</v>
      </c>
      <c r="C24" s="453" t="s">
        <v>984</v>
      </c>
      <c r="D24" s="453" t="s">
        <v>985</v>
      </c>
      <c r="E24" s="1301" t="s">
        <v>986</v>
      </c>
      <c r="G24" s="449"/>
      <c r="I24" s="1302"/>
      <c r="J24" s="1303"/>
      <c r="K24" s="1303"/>
      <c r="L24" s="1188">
        <v>15</v>
      </c>
      <c r="M24" s="1283">
        <f t="shared" si="0"/>
        <v>325000</v>
      </c>
    </row>
    <row r="25" spans="2:13" ht="15">
      <c r="B25" s="1304"/>
      <c r="C25" s="1305" t="s">
        <v>987</v>
      </c>
      <c r="D25" s="1305" t="s">
        <v>988</v>
      </c>
      <c r="E25" s="1306" t="s">
        <v>989</v>
      </c>
      <c r="G25" s="1298" t="s">
        <v>1681</v>
      </c>
      <c r="I25" s="1299">
        <f>+Breakdown!L25</f>
        <v>0</v>
      </c>
      <c r="J25" s="1300"/>
      <c r="K25" s="1300"/>
      <c r="L25" s="1188">
        <f>L24+1</f>
        <v>16</v>
      </c>
      <c r="M25" s="1283">
        <f t="shared" si="0"/>
        <v>325000</v>
      </c>
    </row>
    <row r="26" spans="2:13" ht="24.75" customHeight="1">
      <c r="B26" s="1307" t="s">
        <v>990</v>
      </c>
      <c r="C26" s="1308"/>
      <c r="D26" s="1309" t="e">
        <f>IF(OR(C12="Y",C14="Y"),"N/A",(VLOOKUP(C18,L10:M59,2)))</f>
        <v>#N/A</v>
      </c>
      <c r="E26" s="1310">
        <f aca="true" t="shared" si="1" ref="E26:E31">_xlfn.IFERROR(+C26*D26,"")</f>
      </c>
      <c r="G26" s="449"/>
      <c r="I26" s="450"/>
      <c r="L26" s="1188">
        <f aca="true" t="shared" si="2" ref="L26:L59">L25+1</f>
        <v>17</v>
      </c>
      <c r="M26" s="1283">
        <f t="shared" si="0"/>
        <v>325000</v>
      </c>
    </row>
    <row r="27" spans="2:13" ht="24.75" customHeight="1" thickBot="1">
      <c r="B27" s="1311" t="s">
        <v>991</v>
      </c>
      <c r="C27" s="1308"/>
      <c r="D27" s="1309" t="e">
        <f>$D$26</f>
        <v>#N/A</v>
      </c>
      <c r="E27" s="1310">
        <f t="shared" si="1"/>
      </c>
      <c r="G27" s="1312" t="s">
        <v>832</v>
      </c>
      <c r="H27" s="451"/>
      <c r="I27" s="452">
        <f>+I23+I25</f>
        <v>0</v>
      </c>
      <c r="J27" s="1300"/>
      <c r="K27" s="1300"/>
      <c r="L27" s="1188">
        <f t="shared" si="2"/>
        <v>18</v>
      </c>
      <c r="M27" s="1283">
        <f t="shared" si="0"/>
        <v>325000</v>
      </c>
    </row>
    <row r="28" spans="2:13" ht="24.75" customHeight="1" thickTop="1">
      <c r="B28" s="1311" t="s">
        <v>992</v>
      </c>
      <c r="C28" s="1308"/>
      <c r="D28" s="1309" t="e">
        <f>$D$26</f>
        <v>#N/A</v>
      </c>
      <c r="E28" s="1310">
        <f t="shared" si="1"/>
      </c>
      <c r="G28" s="1313"/>
      <c r="H28" s="1313"/>
      <c r="I28" s="1313"/>
      <c r="J28" s="1313"/>
      <c r="K28" s="1313"/>
      <c r="L28" s="1188">
        <f t="shared" si="2"/>
        <v>19</v>
      </c>
      <c r="M28" s="1283">
        <f t="shared" si="0"/>
        <v>325000</v>
      </c>
    </row>
    <row r="29" spans="2:13" ht="24.75" customHeight="1" thickBot="1">
      <c r="B29" s="1311" t="s">
        <v>993</v>
      </c>
      <c r="C29" s="1308"/>
      <c r="D29" s="1309" t="e">
        <f>$D$26</f>
        <v>#N/A</v>
      </c>
      <c r="E29" s="1310">
        <f t="shared" si="1"/>
      </c>
      <c r="G29" s="1313"/>
      <c r="H29" s="1313"/>
      <c r="I29" s="1313"/>
      <c r="J29" s="1313"/>
      <c r="K29" s="1313"/>
      <c r="L29" s="1188">
        <f t="shared" si="2"/>
        <v>20</v>
      </c>
      <c r="M29" s="1283">
        <f t="shared" si="0"/>
        <v>325000</v>
      </c>
    </row>
    <row r="30" spans="2:13" ht="24.75" customHeight="1" thickBot="1" thickTop="1">
      <c r="B30" s="1311" t="s">
        <v>994</v>
      </c>
      <c r="C30" s="1308"/>
      <c r="D30" s="1309" t="e">
        <f>$D$26</f>
        <v>#N/A</v>
      </c>
      <c r="E30" s="1310">
        <f t="shared" si="1"/>
      </c>
      <c r="G30" s="1116" t="s">
        <v>1534</v>
      </c>
      <c r="H30" s="1117"/>
      <c r="I30" s="1314">
        <f>+I27+E32</f>
        <v>0</v>
      </c>
      <c r="J30" s="1315"/>
      <c r="K30" s="1315"/>
      <c r="L30" s="1188">
        <f t="shared" si="2"/>
        <v>21</v>
      </c>
      <c r="M30" s="1283">
        <f t="shared" si="0"/>
        <v>325000</v>
      </c>
    </row>
    <row r="31" spans="2:13" ht="24.75" customHeight="1" thickTop="1">
      <c r="B31" s="1311" t="s">
        <v>995</v>
      </c>
      <c r="C31" s="1308"/>
      <c r="D31" s="1309" t="e">
        <f>$D$26</f>
        <v>#N/A</v>
      </c>
      <c r="E31" s="1310">
        <f t="shared" si="1"/>
      </c>
      <c r="G31" s="1313"/>
      <c r="H31" s="1313"/>
      <c r="I31" s="1313"/>
      <c r="J31" s="1313"/>
      <c r="K31" s="1313"/>
      <c r="L31" s="1188">
        <f t="shared" si="2"/>
        <v>22</v>
      </c>
      <c r="M31" s="1283">
        <f t="shared" si="0"/>
        <v>325000</v>
      </c>
    </row>
    <row r="32" spans="2:13" ht="24.75" customHeight="1" thickBot="1">
      <c r="B32" s="1316" t="s">
        <v>1682</v>
      </c>
      <c r="C32" s="1317">
        <f>IF(SUM(C26:C31)=0,"",SUM(C26:C31))</f>
      </c>
      <c r="D32" s="1318"/>
      <c r="E32" s="1319">
        <f>SUM(E26:E31)</f>
        <v>0</v>
      </c>
      <c r="G32" s="1313"/>
      <c r="H32" s="1313"/>
      <c r="I32" s="1313"/>
      <c r="J32" s="1313"/>
      <c r="K32" s="1313"/>
      <c r="L32" s="1188">
        <f t="shared" si="2"/>
        <v>23</v>
      </c>
      <c r="M32" s="1283">
        <f t="shared" si="0"/>
        <v>325000</v>
      </c>
    </row>
    <row r="33" spans="7:13" ht="13.5" thickTop="1">
      <c r="G33" s="1313"/>
      <c r="H33" s="1313"/>
      <c r="I33" s="1313"/>
      <c r="J33" s="1313"/>
      <c r="K33" s="1313"/>
      <c r="L33" s="1188">
        <f t="shared" si="2"/>
        <v>24</v>
      </c>
      <c r="M33" s="1283">
        <f t="shared" si="0"/>
        <v>325000</v>
      </c>
    </row>
    <row r="34" spans="12:13" ht="12.75">
      <c r="L34" s="1188">
        <f t="shared" si="2"/>
        <v>25</v>
      </c>
      <c r="M34" s="1283">
        <f t="shared" si="0"/>
        <v>325000</v>
      </c>
    </row>
    <row r="35" spans="2:13" ht="12.75">
      <c r="B35" s="1320"/>
      <c r="L35" s="1188">
        <f t="shared" si="2"/>
        <v>26</v>
      </c>
      <c r="M35" s="1283">
        <f t="shared" si="0"/>
        <v>325000</v>
      </c>
    </row>
    <row r="36" spans="2:13" ht="16.5">
      <c r="B36" s="1797" t="s">
        <v>997</v>
      </c>
      <c r="L36" s="1188">
        <f t="shared" si="2"/>
        <v>27</v>
      </c>
      <c r="M36" s="1283">
        <f t="shared" si="0"/>
        <v>325000</v>
      </c>
    </row>
    <row r="37" spans="2:13" ht="12.75">
      <c r="B37" s="1321"/>
      <c r="L37" s="1188">
        <f t="shared" si="2"/>
        <v>28</v>
      </c>
      <c r="M37" s="1283">
        <f t="shared" si="0"/>
        <v>325000</v>
      </c>
    </row>
    <row r="38" spans="4:13" ht="20.25">
      <c r="D38" s="1322"/>
      <c r="E38" s="1322"/>
      <c r="F38" s="1322"/>
      <c r="L38" s="1188">
        <f t="shared" si="2"/>
        <v>29</v>
      </c>
      <c r="M38" s="1283">
        <f t="shared" si="0"/>
        <v>325000</v>
      </c>
    </row>
    <row r="39" spans="2:13" ht="12.75">
      <c r="B39" s="1321"/>
      <c r="D39" s="1313"/>
      <c r="E39" s="1313"/>
      <c r="F39" s="1313"/>
      <c r="L39" s="1188">
        <f t="shared" si="2"/>
        <v>30</v>
      </c>
      <c r="M39" s="1283">
        <f t="shared" si="0"/>
        <v>325000</v>
      </c>
    </row>
    <row r="40" spans="4:13" ht="24.75" customHeight="1">
      <c r="D40" s="1313"/>
      <c r="E40" s="1313"/>
      <c r="F40" s="1313"/>
      <c r="L40" s="1188">
        <f t="shared" si="2"/>
        <v>31</v>
      </c>
      <c r="M40" s="1283">
        <f t="shared" si="0"/>
        <v>325000</v>
      </c>
    </row>
    <row r="41" spans="4:13" ht="24.75" customHeight="1">
      <c r="D41" s="1313"/>
      <c r="E41" s="1313"/>
      <c r="F41" s="1313"/>
      <c r="L41" s="1188">
        <f t="shared" si="2"/>
        <v>32</v>
      </c>
      <c r="M41" s="1283">
        <f t="shared" si="0"/>
        <v>325000</v>
      </c>
    </row>
    <row r="42" spans="4:13" ht="24.75" customHeight="1">
      <c r="D42" s="1313"/>
      <c r="E42" s="1313"/>
      <c r="F42" s="1313"/>
      <c r="L42" s="1188">
        <f t="shared" si="2"/>
        <v>33</v>
      </c>
      <c r="M42" s="1283">
        <f t="shared" si="0"/>
        <v>325000</v>
      </c>
    </row>
    <row r="43" spans="4:13" ht="24.75" customHeight="1">
      <c r="D43" s="1313"/>
      <c r="E43" s="1313"/>
      <c r="F43" s="1313"/>
      <c r="L43" s="1188">
        <f t="shared" si="2"/>
        <v>34</v>
      </c>
      <c r="M43" s="1283">
        <f t="shared" si="0"/>
        <v>325000</v>
      </c>
    </row>
    <row r="44" spans="4:13" ht="24.75" customHeight="1">
      <c r="D44" s="1313"/>
      <c r="E44" s="1313"/>
      <c r="F44" s="1313"/>
      <c r="L44" s="1188">
        <f t="shared" si="2"/>
        <v>35</v>
      </c>
      <c r="M44" s="1283">
        <f t="shared" si="0"/>
        <v>325000</v>
      </c>
    </row>
    <row r="45" spans="4:13" ht="24.75" customHeight="1">
      <c r="D45" s="1313"/>
      <c r="E45" s="1313"/>
      <c r="F45" s="1313"/>
      <c r="L45" s="1188">
        <f t="shared" si="2"/>
        <v>36</v>
      </c>
      <c r="M45" s="1283">
        <f t="shared" si="0"/>
        <v>325000</v>
      </c>
    </row>
    <row r="46" spans="12:13" ht="24.75" customHeight="1">
      <c r="L46" s="1188">
        <f t="shared" si="2"/>
        <v>37</v>
      </c>
      <c r="M46" s="1283">
        <f t="shared" si="0"/>
        <v>325000</v>
      </c>
    </row>
    <row r="47" spans="12:13" ht="12.75">
      <c r="L47" s="1188">
        <f t="shared" si="2"/>
        <v>38</v>
      </c>
      <c r="M47" s="1283">
        <f t="shared" si="0"/>
        <v>325000</v>
      </c>
    </row>
    <row r="48" spans="4:13" ht="20.25">
      <c r="D48" s="1323"/>
      <c r="L48" s="1188">
        <f t="shared" si="2"/>
        <v>39</v>
      </c>
      <c r="M48" s="1283">
        <f t="shared" si="0"/>
        <v>325000</v>
      </c>
    </row>
    <row r="49" spans="4:13" ht="20.25">
      <c r="D49" s="1323"/>
      <c r="L49" s="1188">
        <f t="shared" si="2"/>
        <v>40</v>
      </c>
      <c r="M49" s="1283">
        <f t="shared" si="0"/>
        <v>325000</v>
      </c>
    </row>
    <row r="50" spans="12:13" ht="12.75">
      <c r="L50" s="1188">
        <f t="shared" si="2"/>
        <v>41</v>
      </c>
      <c r="M50" s="1283">
        <f t="shared" si="0"/>
        <v>325000</v>
      </c>
    </row>
    <row r="51" spans="12:13" ht="12.75">
      <c r="L51" s="1188">
        <f t="shared" si="2"/>
        <v>42</v>
      </c>
      <c r="M51" s="1283">
        <f t="shared" si="0"/>
        <v>325000</v>
      </c>
    </row>
    <row r="52" spans="12:13" ht="12.75">
      <c r="L52" s="1188">
        <f t="shared" si="2"/>
        <v>43</v>
      </c>
      <c r="M52" s="1283">
        <f t="shared" si="0"/>
        <v>325000</v>
      </c>
    </row>
    <row r="53" spans="12:13" ht="12.75">
      <c r="L53" s="1188">
        <f t="shared" si="2"/>
        <v>44</v>
      </c>
      <c r="M53" s="1283">
        <f t="shared" si="0"/>
        <v>325000</v>
      </c>
    </row>
    <row r="54" spans="12:13" ht="12.75">
      <c r="L54" s="1188">
        <f t="shared" si="2"/>
        <v>45</v>
      </c>
      <c r="M54" s="1283">
        <f t="shared" si="0"/>
        <v>325000</v>
      </c>
    </row>
    <row r="55" spans="2:13" ht="12.75">
      <c r="B55" s="1321"/>
      <c r="L55" s="1188">
        <f t="shared" si="2"/>
        <v>46</v>
      </c>
      <c r="M55" s="1283">
        <f t="shared" si="0"/>
        <v>325000</v>
      </c>
    </row>
    <row r="56" spans="12:13" ht="12.75">
      <c r="L56" s="1188">
        <f t="shared" si="2"/>
        <v>47</v>
      </c>
      <c r="M56" s="1283">
        <f t="shared" si="0"/>
        <v>325000</v>
      </c>
    </row>
    <row r="57" spans="12:13" ht="12.75">
      <c r="L57" s="1188">
        <f t="shared" si="2"/>
        <v>48</v>
      </c>
      <c r="M57" s="1283">
        <f t="shared" si="0"/>
        <v>325000</v>
      </c>
    </row>
    <row r="58" spans="12:13" ht="12.75">
      <c r="L58" s="1188">
        <f t="shared" si="2"/>
        <v>49</v>
      </c>
      <c r="M58" s="1283">
        <f t="shared" si="0"/>
        <v>325000</v>
      </c>
    </row>
    <row r="59" spans="12:13" ht="12.75">
      <c r="L59" s="1188">
        <f t="shared" si="2"/>
        <v>50</v>
      </c>
      <c r="M59" s="1283">
        <f t="shared" si="0"/>
        <v>325000</v>
      </c>
    </row>
  </sheetData>
  <sheetProtection password="EE60" sheet="1"/>
  <mergeCells count="4">
    <mergeCell ref="A2:I2"/>
    <mergeCell ref="C4:D4"/>
    <mergeCell ref="C5:D5"/>
    <mergeCell ref="C6:D6"/>
  </mergeCells>
  <printOptions/>
  <pageMargins left="0.75" right="0.75" top="1" bottom="1" header="0.5" footer="0.5"/>
  <pageSetup horizontalDpi="600" verticalDpi="600" orientation="landscape" scale="65" r:id="rId1"/>
  <colBreaks count="1" manualBreakCount="1">
    <brk id="12" max="65535" man="1"/>
  </colBreaks>
</worksheet>
</file>

<file path=xl/worksheets/sheet13.xml><?xml version="1.0" encoding="utf-8"?>
<worksheet xmlns="http://schemas.openxmlformats.org/spreadsheetml/2006/main" xmlns:r="http://schemas.openxmlformats.org/officeDocument/2006/relationships">
  <sheetPr codeName="Sheet8">
    <pageSetUpPr fitToPage="1"/>
  </sheetPr>
  <dimension ref="A2:IT138"/>
  <sheetViews>
    <sheetView showGridLines="0" showZeros="0" zoomScale="60" zoomScaleNormal="60" zoomScalePageLayoutView="0" workbookViewId="0" topLeftCell="A1">
      <selection activeCell="B3" sqref="B3"/>
    </sheetView>
  </sheetViews>
  <sheetFormatPr defaultColWidth="7.99609375" defaultRowHeight="15"/>
  <cols>
    <col min="1" max="1" width="2.77734375" style="363" customWidth="1"/>
    <col min="2" max="2" width="25.99609375" style="367" customWidth="1"/>
    <col min="3" max="3" width="22.4453125" style="367" customWidth="1"/>
    <col min="4" max="4" width="12.3359375" style="367" customWidth="1"/>
    <col min="5" max="5" width="1.4375" style="367" customWidth="1"/>
    <col min="6" max="6" width="19.99609375" style="394" customWidth="1"/>
    <col min="7" max="7" width="3.77734375" style="393" customWidth="1"/>
    <col min="8" max="8" width="19.99609375" style="393" customWidth="1"/>
    <col min="9" max="9" width="6.10546875" style="393" customWidth="1"/>
    <col min="10" max="10" width="24.21484375" style="394" customWidth="1"/>
    <col min="11" max="11" width="8.21484375" style="393" customWidth="1"/>
    <col min="12" max="12" width="19.99609375" style="394" customWidth="1"/>
    <col min="13" max="13" width="16.21484375" style="394" customWidth="1"/>
    <col min="14" max="14" width="19.99609375" style="394" customWidth="1"/>
    <col min="15" max="15" width="1.77734375" style="367" customWidth="1"/>
    <col min="16" max="16" width="24.6640625" style="367" customWidth="1"/>
    <col min="17" max="17" width="7.99609375" style="367" hidden="1" customWidth="1"/>
    <col min="18" max="18" width="7.99609375" style="367" customWidth="1"/>
    <col min="19" max="19" width="15.3359375" style="367" customWidth="1"/>
    <col min="20" max="24" width="7.99609375" style="367" customWidth="1"/>
    <col min="25" max="25" width="12.21484375" style="367" customWidth="1"/>
    <col min="26" max="26" width="10.5546875" style="367" customWidth="1"/>
    <col min="27" max="27" width="8.99609375" style="367" customWidth="1"/>
    <col min="28" max="28" width="12.99609375" style="367" customWidth="1"/>
    <col min="29" max="29" width="9.10546875" style="367" customWidth="1"/>
    <col min="30" max="30" width="9.99609375" style="367" customWidth="1"/>
    <col min="31" max="31" width="12.5546875" style="367" customWidth="1"/>
    <col min="32" max="16384" width="7.99609375" style="367" customWidth="1"/>
  </cols>
  <sheetData>
    <row r="2" spans="1:14" ht="24" customHeight="1">
      <c r="A2" s="447"/>
      <c r="B2" s="1324" t="s">
        <v>1720</v>
      </c>
      <c r="C2" s="1325"/>
      <c r="D2" s="1326"/>
      <c r="E2" s="1326"/>
      <c r="F2" s="381"/>
      <c r="G2" s="364"/>
      <c r="H2" s="365" t="s">
        <v>998</v>
      </c>
      <c r="I2" s="366"/>
      <c r="J2" s="366"/>
      <c r="K2" s="364"/>
      <c r="M2" s="1327" t="s">
        <v>1244</v>
      </c>
      <c r="N2" s="1328">
        <f ca="1">+NOW()</f>
        <v>44686.49283645833</v>
      </c>
    </row>
    <row r="3" spans="1:14" ht="24" customHeight="1">
      <c r="A3" s="447"/>
      <c r="B3" s="1325"/>
      <c r="C3" s="1325"/>
      <c r="D3" s="1325"/>
      <c r="E3" s="1325"/>
      <c r="F3" s="364"/>
      <c r="G3" s="364"/>
      <c r="H3" s="365" t="s">
        <v>999</v>
      </c>
      <c r="I3" s="502"/>
      <c r="J3" s="368"/>
      <c r="K3" s="364"/>
      <c r="L3" s="1329"/>
      <c r="M3" s="364"/>
      <c r="N3" s="447"/>
    </row>
    <row r="4" spans="1:14" ht="24" customHeight="1">
      <c r="A4" s="447"/>
      <c r="B4" s="1325"/>
      <c r="C4" s="1325"/>
      <c r="D4" s="1325"/>
      <c r="E4" s="1325"/>
      <c r="F4" s="364"/>
      <c r="G4" s="381"/>
      <c r="H4" s="1330" t="s">
        <v>1000</v>
      </c>
      <c r="I4" s="1331"/>
      <c r="J4" s="1332" t="s">
        <v>1001</v>
      </c>
      <c r="K4" s="364"/>
      <c r="L4" s="1327"/>
      <c r="M4" s="364"/>
      <c r="N4" s="364"/>
    </row>
    <row r="5" spans="1:23" ht="24" customHeight="1" thickBot="1">
      <c r="A5" s="447"/>
      <c r="B5" s="1333" t="s">
        <v>1002</v>
      </c>
      <c r="C5" s="1779">
        <f>+EligBasisLimits!C4</f>
        <v>0</v>
      </c>
      <c r="D5" s="1780"/>
      <c r="E5" s="447"/>
      <c r="F5" s="447"/>
      <c r="G5" s="364"/>
      <c r="H5" s="1330" t="s">
        <v>1003</v>
      </c>
      <c r="I5" s="1331"/>
      <c r="J5" s="1332" t="s">
        <v>1001</v>
      </c>
      <c r="K5" s="364"/>
      <c r="L5" s="1327"/>
      <c r="M5" s="364"/>
      <c r="N5" s="364"/>
      <c r="Q5" s="1334" t="s">
        <v>1004</v>
      </c>
      <c r="R5" s="369"/>
      <c r="T5" s="369"/>
      <c r="U5" s="369"/>
      <c r="V5" s="369"/>
      <c r="W5" s="369"/>
    </row>
    <row r="6" spans="1:23" ht="24" customHeight="1" thickBot="1">
      <c r="A6" s="447"/>
      <c r="B6" s="1327" t="s">
        <v>951</v>
      </c>
      <c r="C6" s="1779">
        <f>+EligBasisLimits!C5</f>
        <v>0</v>
      </c>
      <c r="D6" s="1780"/>
      <c r="E6" s="447"/>
      <c r="F6" s="447"/>
      <c r="G6" s="364"/>
      <c r="H6" s="1330" t="s">
        <v>1683</v>
      </c>
      <c r="I6" s="1331"/>
      <c r="J6" s="1332" t="s">
        <v>1001</v>
      </c>
      <c r="K6" s="364"/>
      <c r="L6" s="1327"/>
      <c r="M6" s="364"/>
      <c r="N6" s="364"/>
      <c r="Q6" s="1335"/>
      <c r="R6" s="370"/>
      <c r="S6" s="371"/>
      <c r="T6" s="370"/>
      <c r="U6" s="370"/>
      <c r="V6" s="370"/>
      <c r="W6" s="370"/>
    </row>
    <row r="7" spans="1:23" ht="24" customHeight="1" thickBot="1">
      <c r="A7" s="447"/>
      <c r="B7" s="1327" t="s">
        <v>954</v>
      </c>
      <c r="C7" s="1779">
        <f>+EligBasisLimits!C6</f>
        <v>0</v>
      </c>
      <c r="D7" s="1780"/>
      <c r="E7" s="447"/>
      <c r="F7" s="447"/>
      <c r="G7" s="1327"/>
      <c r="H7" s="1336" t="s">
        <v>1005</v>
      </c>
      <c r="I7" s="1337"/>
      <c r="J7" s="1332" t="s">
        <v>1001</v>
      </c>
      <c r="K7" s="364"/>
      <c r="L7" s="1327"/>
      <c r="M7" s="364"/>
      <c r="N7" s="364"/>
      <c r="Q7" s="1335"/>
      <c r="R7" s="370"/>
      <c r="S7" s="371"/>
      <c r="T7" s="370"/>
      <c r="U7" s="370"/>
      <c r="V7" s="370"/>
      <c r="W7" s="370"/>
    </row>
    <row r="8" spans="1:84" ht="22.5" customHeight="1">
      <c r="A8" s="447"/>
      <c r="B8" s="1338"/>
      <c r="C8" s="1338"/>
      <c r="D8" s="1325"/>
      <c r="E8" s="1325"/>
      <c r="F8" s="381"/>
      <c r="G8" s="381"/>
      <c r="H8" s="1336" t="s">
        <v>1006</v>
      </c>
      <c r="I8" s="1339"/>
      <c r="J8" s="1332" t="s">
        <v>1001</v>
      </c>
      <c r="K8" s="381"/>
      <c r="L8" s="381"/>
      <c r="M8" s="381"/>
      <c r="N8" s="381"/>
      <c r="Q8" s="1340"/>
      <c r="R8" s="370"/>
      <c r="S8" s="371"/>
      <c r="T8" s="370"/>
      <c r="U8" s="370"/>
      <c r="V8" s="370"/>
      <c r="W8" s="370"/>
      <c r="BP8" s="371"/>
      <c r="BQ8" s="371"/>
      <c r="BR8" s="371"/>
      <c r="BS8" s="371"/>
      <c r="BT8" s="371"/>
      <c r="BU8" s="371"/>
      <c r="BV8" s="371"/>
      <c r="BW8" s="371"/>
      <c r="BX8" s="371"/>
      <c r="BY8" s="371"/>
      <c r="BZ8" s="371"/>
      <c r="CA8" s="371"/>
      <c r="CB8" s="371"/>
      <c r="CC8" s="371"/>
      <c r="CD8" s="371"/>
      <c r="CE8" s="371"/>
      <c r="CF8" s="371"/>
    </row>
    <row r="9" spans="2:14" s="363" customFormat="1" ht="23.25" customHeight="1">
      <c r="B9" s="447"/>
      <c r="C9" s="447"/>
      <c r="D9" s="447"/>
      <c r="E9" s="447"/>
      <c r="F9" s="447"/>
      <c r="G9" s="447"/>
      <c r="H9" s="1341"/>
      <c r="I9" s="447"/>
      <c r="J9" s="447"/>
      <c r="K9" s="447"/>
      <c r="L9" s="447"/>
      <c r="M9" s="447"/>
      <c r="N9" s="447"/>
    </row>
    <row r="10" spans="1:23" ht="18">
      <c r="A10" s="1342"/>
      <c r="B10" s="1343"/>
      <c r="C10" s="1344"/>
      <c r="D10" s="1345"/>
      <c r="E10" s="1344"/>
      <c r="F10" s="1346" t="s">
        <v>1007</v>
      </c>
      <c r="G10" s="1346"/>
      <c r="H10" s="1346" t="s">
        <v>1008</v>
      </c>
      <c r="I10" s="1346"/>
      <c r="J10" s="1346" t="s">
        <v>1009</v>
      </c>
      <c r="K10" s="1346"/>
      <c r="L10" s="1346" t="s">
        <v>1010</v>
      </c>
      <c r="M10" s="1346"/>
      <c r="N10" s="1346" t="s">
        <v>1011</v>
      </c>
      <c r="Q10" s="1347"/>
      <c r="R10" s="369"/>
      <c r="T10" s="369"/>
      <c r="U10" s="369"/>
      <c r="V10" s="369"/>
      <c r="W10" s="369"/>
    </row>
    <row r="11" spans="1:23" ht="18">
      <c r="A11" s="1342"/>
      <c r="B11" s="1343"/>
      <c r="C11" s="363"/>
      <c r="D11" s="1345"/>
      <c r="E11" s="1345"/>
      <c r="F11" s="1346" t="s">
        <v>790</v>
      </c>
      <c r="G11" s="1346"/>
      <c r="H11" s="1346" t="s">
        <v>791</v>
      </c>
      <c r="I11" s="1346"/>
      <c r="J11" s="1346" t="s">
        <v>791</v>
      </c>
      <c r="K11" s="1346"/>
      <c r="L11" s="1346" t="s">
        <v>1012</v>
      </c>
      <c r="M11" s="1346"/>
      <c r="N11" s="1346" t="s">
        <v>1013</v>
      </c>
      <c r="R11" s="369"/>
      <c r="T11" s="369"/>
      <c r="U11" s="369"/>
      <c r="V11" s="369"/>
      <c r="W11" s="369"/>
    </row>
    <row r="12" spans="1:23" ht="18">
      <c r="A12" s="447"/>
      <c r="B12" s="1278" t="s">
        <v>1014</v>
      </c>
      <c r="C12" s="1325"/>
      <c r="D12" s="1338"/>
      <c r="E12" s="1338"/>
      <c r="F12" s="381"/>
      <c r="G12" s="381"/>
      <c r="H12" s="381"/>
      <c r="I12" s="381"/>
      <c r="J12" s="381"/>
      <c r="K12" s="381"/>
      <c r="L12" s="1325"/>
      <c r="M12" s="381"/>
      <c r="N12" s="364"/>
      <c r="Q12" s="1125"/>
      <c r="R12" s="369"/>
      <c r="T12" s="369"/>
      <c r="U12" s="369"/>
      <c r="V12" s="369"/>
      <c r="W12" s="369"/>
    </row>
    <row r="13" spans="1:18" ht="18">
      <c r="A13" s="447"/>
      <c r="B13" s="1278" t="s">
        <v>1015</v>
      </c>
      <c r="C13" s="1325"/>
      <c r="D13" s="1338"/>
      <c r="E13" s="1338"/>
      <c r="F13" s="1348">
        <f>'FORM-10 (A-F)'!H120</f>
        <v>0</v>
      </c>
      <c r="G13" s="1349"/>
      <c r="H13" s="372"/>
      <c r="I13" s="1349"/>
      <c r="J13" s="372"/>
      <c r="K13" s="373"/>
      <c r="L13" s="374"/>
      <c r="M13" s="1349"/>
      <c r="N13" s="1348">
        <f>F13</f>
        <v>0</v>
      </c>
      <c r="R13" s="369"/>
    </row>
    <row r="14" spans="1:23" ht="18">
      <c r="A14" s="447"/>
      <c r="B14" s="1278" t="s">
        <v>1016</v>
      </c>
      <c r="C14" s="1350"/>
      <c r="D14" s="1338"/>
      <c r="E14" s="1338"/>
      <c r="F14" s="1348">
        <f>+'FORM-10 (A-F)'!H121</f>
        <v>0</v>
      </c>
      <c r="G14" s="1349"/>
      <c r="H14" s="372"/>
      <c r="I14" s="1349"/>
      <c r="J14" s="372"/>
      <c r="K14" s="373"/>
      <c r="L14" s="375">
        <f>F14-H14-J14-N14</f>
        <v>0</v>
      </c>
      <c r="M14" s="1349"/>
      <c r="N14" s="372"/>
      <c r="T14" s="369"/>
      <c r="U14" s="369"/>
      <c r="V14" s="369"/>
      <c r="W14" s="369"/>
    </row>
    <row r="15" spans="1:14" ht="18">
      <c r="A15" s="447"/>
      <c r="B15" s="1278" t="s">
        <v>1017</v>
      </c>
      <c r="C15" s="1351"/>
      <c r="D15" s="1352"/>
      <c r="E15" s="1352"/>
      <c r="F15" s="1348">
        <f>+'FORM-10 (A-F)'!H122</f>
        <v>0</v>
      </c>
      <c r="G15" s="1349"/>
      <c r="H15" s="372"/>
      <c r="I15" s="1349"/>
      <c r="J15" s="372"/>
      <c r="K15" s="373"/>
      <c r="L15" s="375">
        <f>F15-H15-J15-N15</f>
        <v>0</v>
      </c>
      <c r="M15" s="1349"/>
      <c r="N15" s="372"/>
    </row>
    <row r="16" spans="1:14" ht="15">
      <c r="A16" s="447"/>
      <c r="B16" s="1325"/>
      <c r="C16" s="1325"/>
      <c r="D16" s="1325"/>
      <c r="E16" s="1325"/>
      <c r="F16" s="1353"/>
      <c r="G16" s="1349"/>
      <c r="H16" s="1349"/>
      <c r="I16" s="1349"/>
      <c r="J16" s="1349"/>
      <c r="K16" s="1354"/>
      <c r="L16" s="1353"/>
      <c r="M16" s="1349"/>
      <c r="N16" s="1355"/>
    </row>
    <row r="17" spans="1:14" ht="18">
      <c r="A17" s="447"/>
      <c r="B17" s="1278" t="s">
        <v>1018</v>
      </c>
      <c r="C17" s="1325"/>
      <c r="D17" s="1325"/>
      <c r="E17" s="1325"/>
      <c r="F17" s="1356"/>
      <c r="G17" s="1349"/>
      <c r="H17" s="1354"/>
      <c r="I17" s="1349"/>
      <c r="J17" s="1354"/>
      <c r="K17" s="1354"/>
      <c r="L17" s="1353"/>
      <c r="M17" s="1349"/>
      <c r="N17" s="1355"/>
    </row>
    <row r="18" spans="1:23" ht="18">
      <c r="A18" s="447"/>
      <c r="B18" s="1278" t="s">
        <v>1019</v>
      </c>
      <c r="C18" s="1325"/>
      <c r="D18" s="1338"/>
      <c r="E18" s="1338"/>
      <c r="F18" s="1348">
        <f>+'FORM-10 (A-F)'!H124</f>
        <v>0</v>
      </c>
      <c r="G18" s="1349"/>
      <c r="H18" s="372"/>
      <c r="I18" s="1349"/>
      <c r="J18" s="372"/>
      <c r="K18" s="373"/>
      <c r="L18" s="1357">
        <f aca="true" t="shared" si="0" ref="L18:L26">F18-H18-J18</f>
        <v>0</v>
      </c>
      <c r="M18" s="1349"/>
      <c r="N18" s="1355"/>
      <c r="R18" s="369"/>
      <c r="T18" s="369"/>
      <c r="U18" s="369"/>
      <c r="V18" s="369"/>
      <c r="W18" s="369"/>
    </row>
    <row r="19" spans="1:23" ht="18">
      <c r="A19" s="447"/>
      <c r="B19" s="1278" t="s">
        <v>1020</v>
      </c>
      <c r="C19" s="1325"/>
      <c r="D19" s="1338"/>
      <c r="E19" s="1338"/>
      <c r="F19" s="1348">
        <f>+'FORM-10 (A-F)'!H125</f>
        <v>0</v>
      </c>
      <c r="G19" s="1349"/>
      <c r="H19" s="1348">
        <f>F19</f>
        <v>0</v>
      </c>
      <c r="I19" s="1349"/>
      <c r="J19" s="372"/>
      <c r="K19" s="373"/>
      <c r="L19" s="1357">
        <f t="shared" si="0"/>
        <v>0</v>
      </c>
      <c r="M19" s="1349"/>
      <c r="N19" s="1355"/>
      <c r="R19" s="369"/>
      <c r="T19" s="369"/>
      <c r="U19" s="369"/>
      <c r="V19" s="369"/>
      <c r="W19" s="369"/>
    </row>
    <row r="20" spans="1:23" ht="18">
      <c r="A20" s="447"/>
      <c r="B20" s="1278" t="s">
        <v>1021</v>
      </c>
      <c r="C20" s="1325"/>
      <c r="D20" s="1338"/>
      <c r="E20" s="1338"/>
      <c r="F20" s="1348">
        <f>+'FORM-10 (A-F)'!H126</f>
        <v>0</v>
      </c>
      <c r="G20" s="1349"/>
      <c r="H20" s="372"/>
      <c r="I20" s="1349"/>
      <c r="J20" s="372"/>
      <c r="K20" s="373"/>
      <c r="L20" s="1357">
        <f t="shared" si="0"/>
        <v>0</v>
      </c>
      <c r="M20" s="1349"/>
      <c r="N20" s="1355"/>
      <c r="R20" s="369"/>
      <c r="T20" s="369"/>
      <c r="U20" s="369"/>
      <c r="V20" s="369"/>
      <c r="W20" s="369"/>
    </row>
    <row r="21" spans="1:23" ht="18">
      <c r="A21" s="447"/>
      <c r="B21" s="1278" t="s">
        <v>1022</v>
      </c>
      <c r="C21" s="1325"/>
      <c r="D21" s="1338"/>
      <c r="E21" s="1338"/>
      <c r="F21" s="1348">
        <f>+'FORM-10 (A-F)'!H128</f>
        <v>0</v>
      </c>
      <c r="G21" s="1349"/>
      <c r="H21" s="372"/>
      <c r="I21" s="1349"/>
      <c r="J21" s="372"/>
      <c r="K21" s="373"/>
      <c r="L21" s="1357">
        <f t="shared" si="0"/>
        <v>0</v>
      </c>
      <c r="M21" s="1349"/>
      <c r="N21" s="1355"/>
      <c r="R21" s="369"/>
      <c r="T21" s="369"/>
      <c r="U21" s="369"/>
      <c r="V21" s="369"/>
      <c r="W21" s="369"/>
    </row>
    <row r="22" spans="1:23" ht="18">
      <c r="A22" s="447"/>
      <c r="B22" s="1278" t="s">
        <v>1023</v>
      </c>
      <c r="C22" s="1325"/>
      <c r="D22" s="1338"/>
      <c r="E22" s="1338"/>
      <c r="F22" s="1348">
        <f>+'FORM-10 (A-F)'!H129</f>
        <v>0</v>
      </c>
      <c r="G22" s="1349"/>
      <c r="H22" s="372"/>
      <c r="I22" s="1349"/>
      <c r="J22" s="372"/>
      <c r="K22" s="373"/>
      <c r="L22" s="1357">
        <f t="shared" si="0"/>
        <v>0</v>
      </c>
      <c r="M22" s="1349"/>
      <c r="N22" s="1355"/>
      <c r="R22" s="369"/>
      <c r="T22" s="369"/>
      <c r="U22" s="369"/>
      <c r="V22" s="369"/>
      <c r="W22" s="369"/>
    </row>
    <row r="23" spans="1:23" ht="18">
      <c r="A23" s="447"/>
      <c r="B23" s="1278" t="s">
        <v>1024</v>
      </c>
      <c r="C23" s="1325"/>
      <c r="D23" s="1338"/>
      <c r="E23" s="1338"/>
      <c r="F23" s="1348">
        <f>+'FORM-10 (A-F)'!H130</f>
        <v>0</v>
      </c>
      <c r="G23" s="1349"/>
      <c r="H23" s="372"/>
      <c r="I23" s="1349"/>
      <c r="J23" s="372"/>
      <c r="K23" s="373"/>
      <c r="L23" s="1357">
        <f t="shared" si="0"/>
        <v>0</v>
      </c>
      <c r="M23" s="1349"/>
      <c r="N23" s="1355"/>
      <c r="R23" s="369"/>
      <c r="T23" s="369"/>
      <c r="U23" s="369"/>
      <c r="V23" s="369"/>
      <c r="W23" s="369"/>
    </row>
    <row r="24" spans="1:23" ht="18">
      <c r="A24" s="447"/>
      <c r="B24" s="1278" t="s">
        <v>1231</v>
      </c>
      <c r="C24" s="1325"/>
      <c r="D24" s="1338"/>
      <c r="E24" s="1338"/>
      <c r="F24" s="1348">
        <f>+'FORM-10 (A-F)'!H127</f>
        <v>0</v>
      </c>
      <c r="G24" s="1349"/>
      <c r="H24" s="372"/>
      <c r="I24" s="1349"/>
      <c r="J24" s="372"/>
      <c r="K24" s="373"/>
      <c r="L24" s="1357">
        <f t="shared" si="0"/>
        <v>0</v>
      </c>
      <c r="M24" s="1349"/>
      <c r="N24" s="1355"/>
      <c r="R24" s="369"/>
      <c r="T24" s="369"/>
      <c r="U24" s="369"/>
      <c r="V24" s="369"/>
      <c r="W24" s="369"/>
    </row>
    <row r="25" spans="1:23" ht="18">
      <c r="A25" s="447"/>
      <c r="B25" s="1278" t="s">
        <v>1232</v>
      </c>
      <c r="C25" s="1325"/>
      <c r="D25" s="1338"/>
      <c r="E25" s="1338"/>
      <c r="F25" s="1348">
        <f>+'FORM-10 (A-F)'!H131</f>
        <v>0</v>
      </c>
      <c r="G25" s="1349"/>
      <c r="H25" s="372"/>
      <c r="I25" s="1349"/>
      <c r="J25" s="372"/>
      <c r="K25" s="373"/>
      <c r="L25" s="1357">
        <f t="shared" si="0"/>
        <v>0</v>
      </c>
      <c r="M25" s="1349"/>
      <c r="N25" s="1355"/>
      <c r="R25" s="369"/>
      <c r="T25" s="369"/>
      <c r="U25" s="369"/>
      <c r="V25" s="369"/>
      <c r="W25" s="369"/>
    </row>
    <row r="26" spans="1:23" ht="18">
      <c r="A26" s="447"/>
      <c r="B26" s="1358" t="s">
        <v>625</v>
      </c>
      <c r="C26" s="1359"/>
      <c r="D26" s="1325"/>
      <c r="E26" s="1325"/>
      <c r="F26" s="1348" t="e">
        <f>+'FORM-10 (A-F)'!#REF!</f>
        <v>#REF!</v>
      </c>
      <c r="G26" s="1349"/>
      <c r="H26" s="372"/>
      <c r="I26" s="1349"/>
      <c r="J26" s="372"/>
      <c r="K26" s="373"/>
      <c r="L26" s="1357" t="e">
        <f t="shared" si="0"/>
        <v>#REF!</v>
      </c>
      <c r="M26" s="1349"/>
      <c r="N26" s="1355"/>
      <c r="R26" s="369"/>
      <c r="T26" s="369"/>
      <c r="U26" s="369"/>
      <c r="V26" s="369"/>
      <c r="W26" s="369"/>
    </row>
    <row r="27" spans="1:23" ht="18">
      <c r="A27" s="447"/>
      <c r="B27" s="1118" t="s">
        <v>1288</v>
      </c>
      <c r="D27" s="1325"/>
      <c r="E27" s="1325"/>
      <c r="F27" s="1360">
        <f>+'FORM-10 (A-F)'!H134</f>
        <v>0</v>
      </c>
      <c r="G27" s="1349"/>
      <c r="H27" s="372"/>
      <c r="I27" s="1349"/>
      <c r="J27" s="372"/>
      <c r="K27" s="373"/>
      <c r="L27" s="1357">
        <f>F27-H27-J27</f>
        <v>0</v>
      </c>
      <c r="M27" s="1349"/>
      <c r="N27" s="1355"/>
      <c r="R27" s="369"/>
      <c r="T27" s="369"/>
      <c r="U27" s="369"/>
      <c r="V27" s="369"/>
      <c r="W27" s="369"/>
    </row>
    <row r="28" spans="1:23" ht="18">
      <c r="A28" s="447"/>
      <c r="B28" s="1118" t="s">
        <v>1288</v>
      </c>
      <c r="C28" s="1687"/>
      <c r="D28" s="1325"/>
      <c r="E28" s="1325"/>
      <c r="F28" s="1681">
        <f>+'FORM-10 (A-F)'!H135</f>
        <v>0</v>
      </c>
      <c r="G28" s="1349"/>
      <c r="H28" s="372"/>
      <c r="I28" s="1349"/>
      <c r="J28" s="372"/>
      <c r="K28" s="373"/>
      <c r="L28" s="1357">
        <f>F28-H28-J28</f>
        <v>0</v>
      </c>
      <c r="M28" s="1349"/>
      <c r="N28" s="1355"/>
      <c r="R28" s="369"/>
      <c r="T28" s="369"/>
      <c r="U28" s="369"/>
      <c r="V28" s="369"/>
      <c r="W28" s="369"/>
    </row>
    <row r="29" spans="1:23" ht="15">
      <c r="A29" s="447"/>
      <c r="B29" s="1325"/>
      <c r="C29" s="1325"/>
      <c r="D29" s="1338"/>
      <c r="E29" s="1338"/>
      <c r="F29" s="1353"/>
      <c r="G29" s="1349"/>
      <c r="H29" s="1354"/>
      <c r="I29" s="1349"/>
      <c r="J29" s="1349"/>
      <c r="K29" s="1354"/>
      <c r="L29" s="1349"/>
      <c r="M29" s="1349"/>
      <c r="N29" s="1355"/>
      <c r="Q29" s="1361"/>
      <c r="R29" s="376"/>
      <c r="T29" s="376"/>
      <c r="U29" s="376"/>
      <c r="V29" s="376"/>
      <c r="W29" s="376"/>
    </row>
    <row r="30" spans="1:23" ht="18">
      <c r="A30" s="447"/>
      <c r="B30" s="1278" t="s">
        <v>1025</v>
      </c>
      <c r="C30" s="1325"/>
      <c r="D30" s="1338"/>
      <c r="E30" s="1338"/>
      <c r="F30" s="1356"/>
      <c r="G30" s="1349"/>
      <c r="H30" s="1354"/>
      <c r="I30" s="1349"/>
      <c r="J30" s="1354"/>
      <c r="K30" s="1354"/>
      <c r="L30" s="1349"/>
      <c r="M30" s="1349"/>
      <c r="N30" s="1355"/>
      <c r="Q30" s="1361"/>
      <c r="R30" s="377"/>
      <c r="T30" s="377"/>
      <c r="U30" s="377"/>
      <c r="V30" s="377"/>
      <c r="W30" s="377"/>
    </row>
    <row r="31" spans="1:254" ht="18">
      <c r="A31" s="447"/>
      <c r="B31" s="1278" t="s">
        <v>1026</v>
      </c>
      <c r="C31" s="1338"/>
      <c r="D31" s="1284"/>
      <c r="E31" s="1338"/>
      <c r="F31" s="1348">
        <f>+'FORM-10 (A-F)'!CNTRCTFE</f>
        <v>0</v>
      </c>
      <c r="G31" s="1349"/>
      <c r="H31" s="372"/>
      <c r="I31" s="1349"/>
      <c r="J31" s="372"/>
      <c r="K31" s="373"/>
      <c r="L31" s="1357">
        <f>F31-H31-J31</f>
        <v>0</v>
      </c>
      <c r="M31" s="1349"/>
      <c r="N31" s="1355"/>
      <c r="Q31" s="371"/>
      <c r="R31" s="376"/>
      <c r="S31" s="371"/>
      <c r="T31" s="376"/>
      <c r="U31" s="376"/>
      <c r="V31" s="376"/>
      <c r="W31" s="376"/>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1"/>
      <c r="CJ31" s="371"/>
      <c r="CK31" s="371"/>
      <c r="CL31" s="371"/>
      <c r="CM31" s="371"/>
      <c r="CN31" s="371"/>
      <c r="CO31" s="371"/>
      <c r="CP31" s="371"/>
      <c r="CQ31" s="371"/>
      <c r="CR31" s="371"/>
      <c r="CS31" s="371"/>
      <c r="CT31" s="371"/>
      <c r="CU31" s="371"/>
      <c r="CV31" s="371"/>
      <c r="CW31" s="371"/>
      <c r="CX31" s="371"/>
      <c r="CY31" s="371"/>
      <c r="CZ31" s="371"/>
      <c r="DA31" s="371"/>
      <c r="DB31" s="371"/>
      <c r="DC31" s="371"/>
      <c r="DD31" s="371"/>
      <c r="DE31" s="371"/>
      <c r="DF31" s="371"/>
      <c r="DG31" s="371"/>
      <c r="DH31" s="371"/>
      <c r="DI31" s="371"/>
      <c r="DJ31" s="371"/>
      <c r="DK31" s="371"/>
      <c r="DL31" s="371"/>
      <c r="DM31" s="371"/>
      <c r="DN31" s="371"/>
      <c r="DO31" s="371"/>
      <c r="DP31" s="371"/>
      <c r="DQ31" s="371"/>
      <c r="DR31" s="371"/>
      <c r="DS31" s="371"/>
      <c r="DT31" s="371"/>
      <c r="DU31" s="371"/>
      <c r="DV31" s="371"/>
      <c r="DW31" s="371"/>
      <c r="DX31" s="371"/>
      <c r="DY31" s="371"/>
      <c r="DZ31" s="371"/>
      <c r="EA31" s="371"/>
      <c r="EB31" s="371"/>
      <c r="EC31" s="371"/>
      <c r="ED31" s="371"/>
      <c r="EE31" s="371"/>
      <c r="EF31" s="371"/>
      <c r="EG31" s="371"/>
      <c r="EH31" s="371"/>
      <c r="EI31" s="371"/>
      <c r="EJ31" s="371"/>
      <c r="EK31" s="371"/>
      <c r="EL31" s="371"/>
      <c r="EM31" s="371"/>
      <c r="EN31" s="371"/>
      <c r="EO31" s="371"/>
      <c r="EP31" s="371"/>
      <c r="EQ31" s="371"/>
      <c r="ER31" s="371"/>
      <c r="ES31" s="371"/>
      <c r="ET31" s="371"/>
      <c r="EU31" s="371"/>
      <c r="EV31" s="371"/>
      <c r="EW31" s="371"/>
      <c r="EX31" s="371"/>
      <c r="EY31" s="371"/>
      <c r="EZ31" s="371"/>
      <c r="FA31" s="371"/>
      <c r="FB31" s="371"/>
      <c r="FC31" s="371"/>
      <c r="FD31" s="371"/>
      <c r="FE31" s="371"/>
      <c r="FF31" s="371"/>
      <c r="FG31" s="371"/>
      <c r="FH31" s="371"/>
      <c r="FI31" s="371"/>
      <c r="FJ31" s="371"/>
      <c r="FK31" s="371"/>
      <c r="FL31" s="371"/>
      <c r="FM31" s="371"/>
      <c r="FN31" s="371"/>
      <c r="FO31" s="371"/>
      <c r="FP31" s="371"/>
      <c r="FQ31" s="371"/>
      <c r="FR31" s="371"/>
      <c r="FS31" s="371"/>
      <c r="FT31" s="371"/>
      <c r="FU31" s="371"/>
      <c r="FV31" s="371"/>
      <c r="FW31" s="371"/>
      <c r="FX31" s="371"/>
      <c r="FY31" s="371"/>
      <c r="FZ31" s="371"/>
      <c r="GA31" s="371"/>
      <c r="GB31" s="371"/>
      <c r="GC31" s="371"/>
      <c r="GD31" s="371"/>
      <c r="GE31" s="371"/>
      <c r="GF31" s="371"/>
      <c r="GG31" s="371"/>
      <c r="GH31" s="371"/>
      <c r="GI31" s="371"/>
      <c r="GJ31" s="371"/>
      <c r="GK31" s="371"/>
      <c r="GL31" s="371"/>
      <c r="GM31" s="371"/>
      <c r="GN31" s="371"/>
      <c r="GO31" s="371"/>
      <c r="GP31" s="371"/>
      <c r="GQ31" s="371"/>
      <c r="GR31" s="371"/>
      <c r="GS31" s="371"/>
      <c r="GT31" s="371"/>
      <c r="GU31" s="371"/>
      <c r="GV31" s="371"/>
      <c r="GW31" s="371"/>
      <c r="GX31" s="371"/>
      <c r="GY31" s="371"/>
      <c r="GZ31" s="371"/>
      <c r="HA31" s="371"/>
      <c r="HB31" s="371"/>
      <c r="HC31" s="371"/>
      <c r="HD31" s="371"/>
      <c r="HE31" s="371"/>
      <c r="HF31" s="371"/>
      <c r="HG31" s="371"/>
      <c r="HH31" s="371"/>
      <c r="HI31" s="371"/>
      <c r="HJ31" s="371"/>
      <c r="HK31" s="371"/>
      <c r="HL31" s="371"/>
      <c r="HM31" s="371"/>
      <c r="HN31" s="371"/>
      <c r="HO31" s="371"/>
      <c r="HP31" s="371"/>
      <c r="HQ31" s="371"/>
      <c r="HR31" s="371"/>
      <c r="HS31" s="371"/>
      <c r="HT31" s="371"/>
      <c r="HU31" s="371"/>
      <c r="HV31" s="371"/>
      <c r="HW31" s="371"/>
      <c r="HX31" s="371"/>
      <c r="HY31" s="371"/>
      <c r="HZ31" s="371"/>
      <c r="IA31" s="371"/>
      <c r="IB31" s="371"/>
      <c r="IC31" s="371"/>
      <c r="ID31" s="371"/>
      <c r="IE31" s="371"/>
      <c r="IF31" s="371"/>
      <c r="IG31" s="371"/>
      <c r="IH31" s="371"/>
      <c r="II31" s="371"/>
      <c r="IJ31" s="371"/>
      <c r="IK31" s="371"/>
      <c r="IL31" s="371"/>
      <c r="IM31" s="371"/>
      <c r="IN31" s="371"/>
      <c r="IO31" s="371"/>
      <c r="IP31" s="371"/>
      <c r="IQ31" s="371"/>
      <c r="IR31" s="371"/>
      <c r="IS31" s="371"/>
      <c r="IT31" s="371"/>
    </row>
    <row r="32" spans="1:23" ht="18">
      <c r="A32" s="447"/>
      <c r="B32" s="1278" t="s">
        <v>1027</v>
      </c>
      <c r="C32" s="1325"/>
      <c r="D32" s="1338"/>
      <c r="E32" s="1338"/>
      <c r="F32" s="1348">
        <f>+'FORM-10 (A-F)'!H132</f>
        <v>0</v>
      </c>
      <c r="G32" s="1349"/>
      <c r="H32" s="372"/>
      <c r="I32" s="1349"/>
      <c r="J32" s="372"/>
      <c r="K32" s="373"/>
      <c r="L32" s="1357">
        <f>F32-H32-J32</f>
        <v>0</v>
      </c>
      <c r="M32" s="1349"/>
      <c r="N32" s="1355"/>
      <c r="R32" s="369"/>
      <c r="T32" s="369"/>
      <c r="U32" s="369"/>
      <c r="V32" s="369"/>
      <c r="W32" s="369"/>
    </row>
    <row r="33" spans="1:23" ht="18">
      <c r="A33" s="447"/>
      <c r="B33" s="1278"/>
      <c r="C33" s="1325"/>
      <c r="D33" s="1338"/>
      <c r="E33" s="1338"/>
      <c r="F33" s="1362"/>
      <c r="G33" s="1303"/>
      <c r="H33" s="1303"/>
      <c r="I33" s="1303"/>
      <c r="J33" s="1303"/>
      <c r="K33" s="1303"/>
      <c r="L33" s="1363"/>
      <c r="M33" s="1349"/>
      <c r="N33" s="1355"/>
      <c r="R33" s="369"/>
      <c r="T33" s="369"/>
      <c r="U33" s="369"/>
      <c r="V33" s="369"/>
      <c r="W33" s="369"/>
    </row>
    <row r="34" spans="1:23" ht="18">
      <c r="A34" s="447"/>
      <c r="B34" s="1278" t="s">
        <v>1028</v>
      </c>
      <c r="C34" s="1325"/>
      <c r="D34" s="1338"/>
      <c r="E34" s="1338"/>
      <c r="F34" s="1356"/>
      <c r="G34" s="1303"/>
      <c r="H34" s="1354"/>
      <c r="I34" s="1303"/>
      <c r="J34" s="1354"/>
      <c r="K34" s="1303"/>
      <c r="L34" s="1363"/>
      <c r="M34" s="1303"/>
      <c r="N34" s="1303"/>
      <c r="Q34" s="1125"/>
      <c r="R34" s="369"/>
      <c r="T34" s="369"/>
      <c r="U34" s="369"/>
      <c r="V34" s="369"/>
      <c r="W34" s="369"/>
    </row>
    <row r="35" spans="1:23" ht="18">
      <c r="A35" s="447"/>
      <c r="B35" s="1119" t="s">
        <v>1029</v>
      </c>
      <c r="C35" s="1364"/>
      <c r="D35" s="378" t="e">
        <f>IF(SUM(F18:F32)&lt;&gt;0,F35/SUM(F18:F32),"")</f>
        <v>#REF!</v>
      </c>
      <c r="E35" s="1338"/>
      <c r="F35" s="1348">
        <f>+'FORM-10 (A-F)'!H141</f>
        <v>0</v>
      </c>
      <c r="G35" s="1349"/>
      <c r="H35" s="372"/>
      <c r="I35" s="1349"/>
      <c r="J35" s="372"/>
      <c r="K35" s="373"/>
      <c r="L35" s="1357">
        <f>F35-H35-J35</f>
        <v>0</v>
      </c>
      <c r="M35" s="1349"/>
      <c r="N35" s="373"/>
      <c r="R35" s="369"/>
      <c r="T35" s="369"/>
      <c r="U35" s="369"/>
      <c r="V35" s="369"/>
      <c r="W35" s="369"/>
    </row>
    <row r="36" spans="1:23" ht="18">
      <c r="A36" s="447"/>
      <c r="B36" s="1119" t="s">
        <v>1030</v>
      </c>
      <c r="C36" s="1364"/>
      <c r="D36" s="378">
        <f>IF(SUM(F39:F61)&lt;&gt;0,F36/SUM(F39:F61),"")</f>
      </c>
      <c r="E36" s="1338"/>
      <c r="F36" s="1348">
        <f>+'FORM-10 (A-F)'!H142</f>
        <v>0</v>
      </c>
      <c r="G36" s="1349"/>
      <c r="H36" s="372"/>
      <c r="I36" s="1349"/>
      <c r="J36" s="372"/>
      <c r="K36" s="373"/>
      <c r="L36" s="1357">
        <f>F36-H36-J36</f>
        <v>0</v>
      </c>
      <c r="M36" s="1349"/>
      <c r="N36" s="1355"/>
      <c r="Q36" s="1125"/>
      <c r="R36" s="369"/>
      <c r="T36" s="369"/>
      <c r="U36" s="369"/>
      <c r="V36" s="369"/>
      <c r="W36" s="369"/>
    </row>
    <row r="37" spans="1:23" ht="15">
      <c r="A37" s="447"/>
      <c r="B37" s="1325"/>
      <c r="C37" s="1325"/>
      <c r="D37" s="1338"/>
      <c r="E37" s="1338"/>
      <c r="F37" s="1356"/>
      <c r="G37" s="1349"/>
      <c r="H37" s="1354"/>
      <c r="I37" s="1349"/>
      <c r="J37" s="1354"/>
      <c r="K37" s="373"/>
      <c r="L37" s="1349"/>
      <c r="M37" s="1349"/>
      <c r="N37" s="1355"/>
      <c r="R37" s="369"/>
      <c r="T37" s="369"/>
      <c r="U37" s="369"/>
      <c r="V37" s="369"/>
      <c r="W37" s="369"/>
    </row>
    <row r="38" spans="1:23" ht="18">
      <c r="A38" s="447"/>
      <c r="B38" s="1278" t="s">
        <v>1031</v>
      </c>
      <c r="C38" s="1325"/>
      <c r="D38" s="1338"/>
      <c r="E38" s="1338"/>
      <c r="F38" s="1356"/>
      <c r="G38" s="1349"/>
      <c r="H38" s="1354"/>
      <c r="I38" s="1349"/>
      <c r="J38" s="1354"/>
      <c r="K38" s="373"/>
      <c r="L38" s="1349"/>
      <c r="M38" s="1349"/>
      <c r="N38" s="1355"/>
      <c r="R38" s="369"/>
      <c r="T38" s="369"/>
      <c r="U38" s="369"/>
      <c r="V38" s="369"/>
      <c r="W38" s="369"/>
    </row>
    <row r="39" spans="1:23" ht="18">
      <c r="A39" s="447"/>
      <c r="B39" s="1278" t="s">
        <v>1032</v>
      </c>
      <c r="C39" s="1325"/>
      <c r="D39" s="1338"/>
      <c r="E39" s="1338"/>
      <c r="F39" s="1348">
        <f>+'FORM-10 (A-F)'!H144</f>
        <v>0</v>
      </c>
      <c r="G39" s="1349"/>
      <c r="H39" s="372"/>
      <c r="I39" s="1349"/>
      <c r="J39" s="372"/>
      <c r="K39" s="373"/>
      <c r="L39" s="375">
        <f>F39-H39-J39-N39</f>
        <v>0</v>
      </c>
      <c r="M39" s="1349"/>
      <c r="N39" s="372"/>
      <c r="R39" s="369"/>
      <c r="T39" s="369"/>
      <c r="U39" s="369"/>
      <c r="V39" s="369"/>
      <c r="W39" s="369"/>
    </row>
    <row r="40" spans="1:23" ht="18">
      <c r="A40" s="447"/>
      <c r="B40" s="1278" t="s">
        <v>1033</v>
      </c>
      <c r="C40" s="1325"/>
      <c r="D40" s="1338"/>
      <c r="E40" s="1338"/>
      <c r="F40" s="1348">
        <f>+'FORM-10 (A-F)'!H145</f>
        <v>0</v>
      </c>
      <c r="G40" s="1349"/>
      <c r="H40" s="372"/>
      <c r="I40" s="1349"/>
      <c r="J40" s="372"/>
      <c r="K40" s="373"/>
      <c r="L40" s="1357">
        <f aca="true" t="shared" si="1" ref="L40:L45">F40-H40-J40</f>
        <v>0</v>
      </c>
      <c r="M40" s="1349"/>
      <c r="N40" s="1355"/>
      <c r="R40" s="369"/>
      <c r="T40" s="369"/>
      <c r="U40" s="369"/>
      <c r="V40" s="369"/>
      <c r="W40" s="369"/>
    </row>
    <row r="41" spans="1:23" ht="18">
      <c r="A41" s="447"/>
      <c r="B41" s="1278" t="s">
        <v>1034</v>
      </c>
      <c r="C41" s="1325"/>
      <c r="D41" s="1338"/>
      <c r="E41" s="1338"/>
      <c r="F41" s="1348">
        <f>+'FORM-10 (A-F)'!H147</f>
        <v>0</v>
      </c>
      <c r="G41" s="1349"/>
      <c r="H41" s="372"/>
      <c r="I41" s="1349"/>
      <c r="J41" s="372"/>
      <c r="K41" s="373"/>
      <c r="L41" s="1357">
        <f t="shared" si="1"/>
        <v>0</v>
      </c>
      <c r="M41" s="1349"/>
      <c r="N41" s="1355"/>
      <c r="R41" s="369"/>
      <c r="T41" s="369"/>
      <c r="U41" s="369"/>
      <c r="V41" s="369"/>
      <c r="W41" s="369"/>
    </row>
    <row r="42" spans="1:23" ht="18">
      <c r="A42" s="447"/>
      <c r="B42" s="1278" t="s">
        <v>1035</v>
      </c>
      <c r="C42" s="1325"/>
      <c r="D42" s="1338"/>
      <c r="E42" s="1338"/>
      <c r="F42" s="1348">
        <f>+'FORM-10 (A-F)'!H148</f>
        <v>0</v>
      </c>
      <c r="G42" s="1349"/>
      <c r="H42" s="372"/>
      <c r="I42" s="1349"/>
      <c r="J42" s="372"/>
      <c r="K42" s="373"/>
      <c r="L42" s="1357">
        <f t="shared" si="1"/>
        <v>0</v>
      </c>
      <c r="M42" s="1349"/>
      <c r="N42" s="1355"/>
      <c r="R42" s="369"/>
      <c r="T42" s="369"/>
      <c r="U42" s="369"/>
      <c r="V42" s="369"/>
      <c r="W42" s="369"/>
    </row>
    <row r="43" spans="1:23" ht="18">
      <c r="A43" s="447"/>
      <c r="B43" s="1278" t="s">
        <v>1036</v>
      </c>
      <c r="C43" s="1325"/>
      <c r="D43" s="1338"/>
      <c r="E43" s="1338"/>
      <c r="F43" s="1348">
        <f>+'FORM-10 (A-F)'!H146</f>
        <v>0</v>
      </c>
      <c r="G43" s="1349"/>
      <c r="H43" s="372"/>
      <c r="I43" s="1349"/>
      <c r="J43" s="372"/>
      <c r="K43" s="373"/>
      <c r="L43" s="1357">
        <f t="shared" si="1"/>
        <v>0</v>
      </c>
      <c r="M43" s="1349"/>
      <c r="N43" s="1355"/>
      <c r="R43" s="369"/>
      <c r="T43" s="369"/>
      <c r="U43" s="369"/>
      <c r="V43" s="369"/>
      <c r="W43" s="369"/>
    </row>
    <row r="44" spans="1:23" ht="18">
      <c r="A44" s="447"/>
      <c r="B44" s="1278" t="s">
        <v>1037</v>
      </c>
      <c r="C44" s="1325"/>
      <c r="D44" s="1338"/>
      <c r="E44" s="1338"/>
      <c r="F44" s="1348">
        <f>+'FORM-10 (A-F)'!H149</f>
        <v>0</v>
      </c>
      <c r="G44" s="1349"/>
      <c r="H44" s="372"/>
      <c r="I44" s="1349"/>
      <c r="J44" s="372"/>
      <c r="K44" s="373"/>
      <c r="L44" s="1357">
        <f t="shared" si="1"/>
        <v>0</v>
      </c>
      <c r="M44" s="1349"/>
      <c r="N44" s="1355"/>
      <c r="R44" s="369"/>
      <c r="T44" s="369"/>
      <c r="U44" s="369"/>
      <c r="V44" s="369"/>
      <c r="W44" s="369"/>
    </row>
    <row r="45" spans="1:23" ht="18">
      <c r="A45" s="447"/>
      <c r="B45" s="1278" t="s">
        <v>1038</v>
      </c>
      <c r="C45" s="1325"/>
      <c r="D45" s="1338"/>
      <c r="E45" s="1338"/>
      <c r="F45" s="1348">
        <f>+'FORM-10 (A-F)'!H150</f>
        <v>0</v>
      </c>
      <c r="G45" s="1349"/>
      <c r="H45" s="372"/>
      <c r="I45" s="1349"/>
      <c r="J45" s="372"/>
      <c r="K45" s="373"/>
      <c r="L45" s="1357">
        <f t="shared" si="1"/>
        <v>0</v>
      </c>
      <c r="M45" s="1349"/>
      <c r="N45" s="1355"/>
      <c r="R45" s="369"/>
      <c r="T45" s="369"/>
      <c r="U45" s="369"/>
      <c r="V45" s="369"/>
      <c r="W45" s="369"/>
    </row>
    <row r="46" spans="1:23" ht="18">
      <c r="A46" s="447"/>
      <c r="B46" s="1278" t="s">
        <v>1704</v>
      </c>
      <c r="C46" s="1325"/>
      <c r="D46" s="1338"/>
      <c r="E46" s="1338"/>
      <c r="F46" s="1348">
        <f>'FORM-10 (A-F)'!H152</f>
        <v>0</v>
      </c>
      <c r="G46" s="1349"/>
      <c r="H46" s="372"/>
      <c r="I46" s="1349"/>
      <c r="J46" s="372"/>
      <c r="K46" s="373"/>
      <c r="L46" s="1686"/>
      <c r="M46" s="1349"/>
      <c r="N46" s="1355"/>
      <c r="R46" s="369"/>
      <c r="T46" s="369"/>
      <c r="U46" s="369"/>
      <c r="V46" s="369"/>
      <c r="W46" s="369"/>
    </row>
    <row r="47" spans="1:23" ht="18">
      <c r="A47" s="447"/>
      <c r="B47" s="1278" t="s">
        <v>1039</v>
      </c>
      <c r="C47" s="1325"/>
      <c r="D47" s="1338"/>
      <c r="E47" s="1338"/>
      <c r="F47" s="1348">
        <f>'FORM-10 (A-F)'!H154</f>
        <v>0</v>
      </c>
      <c r="G47" s="1349"/>
      <c r="H47" s="372"/>
      <c r="I47" s="1349"/>
      <c r="J47" s="372"/>
      <c r="K47" s="373"/>
      <c r="L47" s="375">
        <f>F47-H47-J47-N47</f>
        <v>0</v>
      </c>
      <c r="M47" s="1349"/>
      <c r="N47" s="372"/>
      <c r="Q47" s="1125"/>
      <c r="R47" s="369"/>
      <c r="T47" s="369"/>
      <c r="U47" s="369"/>
      <c r="V47" s="369"/>
      <c r="W47" s="369"/>
    </row>
    <row r="48" spans="1:23" ht="18">
      <c r="A48" s="447"/>
      <c r="B48" s="1278" t="s">
        <v>1040</v>
      </c>
      <c r="C48" s="1325"/>
      <c r="D48" s="1338"/>
      <c r="E48" s="1338"/>
      <c r="F48" s="1348">
        <f>+'FORM-10 (A-F)'!H151</f>
        <v>0</v>
      </c>
      <c r="G48" s="1349"/>
      <c r="H48" s="372"/>
      <c r="I48" s="1349"/>
      <c r="J48" s="372"/>
      <c r="K48" s="373"/>
      <c r="L48" s="1357">
        <f>F48-H48-J48</f>
        <v>0</v>
      </c>
      <c r="M48" s="1349"/>
      <c r="N48" s="1365"/>
      <c r="Q48" s="1125"/>
      <c r="R48" s="369"/>
      <c r="T48" s="369"/>
      <c r="U48" s="369"/>
      <c r="V48" s="369"/>
      <c r="W48" s="369"/>
    </row>
    <row r="49" spans="1:23" ht="18">
      <c r="A49" s="447"/>
      <c r="B49" s="1278" t="s">
        <v>1041</v>
      </c>
      <c r="C49" s="1325"/>
      <c r="D49" s="1338"/>
      <c r="E49" s="1338"/>
      <c r="F49" s="1348">
        <f>+'FORM-10 (A-F)'!H153</f>
        <v>0</v>
      </c>
      <c r="G49" s="1349"/>
      <c r="H49" s="372"/>
      <c r="I49" s="1349"/>
      <c r="J49" s="372"/>
      <c r="K49" s="373"/>
      <c r="L49" s="375">
        <f>F49-H49-J49-N49</f>
        <v>0</v>
      </c>
      <c r="M49" s="1349"/>
      <c r="N49" s="372"/>
      <c r="R49" s="369"/>
      <c r="T49" s="369"/>
      <c r="U49" s="369"/>
      <c r="V49" s="369"/>
      <c r="W49" s="369"/>
    </row>
    <row r="50" spans="1:23" ht="15">
      <c r="A50" s="447"/>
      <c r="B50" s="1325"/>
      <c r="C50" s="1325"/>
      <c r="D50" s="1338"/>
      <c r="E50" s="1338"/>
      <c r="F50" s="1354">
        <f>'FORM-10 (A-F)'!H155</f>
        <v>0</v>
      </c>
      <c r="G50" s="1349"/>
      <c r="H50" s="1354"/>
      <c r="I50" s="1349"/>
      <c r="J50" s="1354"/>
      <c r="K50" s="1354"/>
      <c r="L50" s="1349"/>
      <c r="M50" s="1349"/>
      <c r="N50" s="1365"/>
      <c r="Q50" s="1361"/>
      <c r="R50" s="376"/>
      <c r="T50" s="376"/>
      <c r="U50" s="376"/>
      <c r="V50" s="376"/>
      <c r="W50" s="376"/>
    </row>
    <row r="51" spans="1:23" ht="18">
      <c r="A51" s="447"/>
      <c r="B51" s="1278" t="s">
        <v>1042</v>
      </c>
      <c r="C51" s="1325"/>
      <c r="D51" s="1338"/>
      <c r="E51" s="1338"/>
      <c r="F51" s="1354"/>
      <c r="G51" s="1349"/>
      <c r="H51" s="1354"/>
      <c r="I51" s="1349"/>
      <c r="J51" s="1354"/>
      <c r="K51" s="1354"/>
      <c r="L51" s="1349"/>
      <c r="M51" s="1349"/>
      <c r="N51" s="1365"/>
      <c r="Q51" s="1366"/>
      <c r="R51" s="376"/>
      <c r="T51" s="376"/>
      <c r="U51" s="376"/>
      <c r="V51" s="376"/>
      <c r="W51" s="376"/>
    </row>
    <row r="52" spans="1:23" ht="18">
      <c r="A52" s="447"/>
      <c r="B52" s="1278" t="s">
        <v>1043</v>
      </c>
      <c r="C52" s="1325"/>
      <c r="D52" s="1338"/>
      <c r="E52" s="1338"/>
      <c r="F52" s="1348">
        <f>+'FORM-10 (A-F)'!H163+'FORM-10 (A-F)'!F235</f>
        <v>0</v>
      </c>
      <c r="G52" s="1349"/>
      <c r="H52" s="372"/>
      <c r="I52" s="1349"/>
      <c r="J52" s="372"/>
      <c r="K52" s="373"/>
      <c r="L52" s="375">
        <f>F52-H52-J52-N52</f>
        <v>0</v>
      </c>
      <c r="M52" s="1349"/>
      <c r="N52" s="372"/>
      <c r="R52" s="369"/>
      <c r="T52" s="369"/>
      <c r="U52" s="369"/>
      <c r="V52" s="369"/>
      <c r="W52" s="369"/>
    </row>
    <row r="53" spans="1:23" ht="18">
      <c r="A53" s="447"/>
      <c r="B53" s="1278" t="s">
        <v>1044</v>
      </c>
      <c r="C53" s="1325"/>
      <c r="D53" s="1338"/>
      <c r="E53" s="1338"/>
      <c r="F53" s="685">
        <f>'FORM-10 (A-F)'!H168+'FORM-10 (A-F)'!H169+SUM('FORM-10 (A-F)'!J193:J195)</f>
        <v>0</v>
      </c>
      <c r="G53" s="1349"/>
      <c r="H53" s="372"/>
      <c r="I53" s="1349"/>
      <c r="J53" s="372"/>
      <c r="K53" s="373"/>
      <c r="L53" s="375">
        <f>F53-H53-J53-N53</f>
        <v>0</v>
      </c>
      <c r="M53" s="1349"/>
      <c r="N53" s="372"/>
      <c r="Q53" s="1125"/>
      <c r="R53" s="369"/>
      <c r="T53" s="369"/>
      <c r="U53" s="369"/>
      <c r="V53" s="369"/>
      <c r="W53" s="369"/>
    </row>
    <row r="54" spans="1:23" ht="18">
      <c r="A54" s="447"/>
      <c r="B54" s="1278" t="s">
        <v>1045</v>
      </c>
      <c r="C54" s="1325"/>
      <c r="D54" s="1338"/>
      <c r="E54" s="1338"/>
      <c r="F54" s="1348">
        <f>+'FORM-10 (A-F)'!H164</f>
        <v>0</v>
      </c>
      <c r="G54" s="1349"/>
      <c r="H54" s="372"/>
      <c r="I54" s="1349"/>
      <c r="J54" s="372"/>
      <c r="K54" s="373"/>
      <c r="L54" s="375">
        <f>F54-H54-J54-N54</f>
        <v>0</v>
      </c>
      <c r="M54" s="1349"/>
      <c r="N54" s="372"/>
      <c r="R54" s="369"/>
      <c r="T54" s="369"/>
      <c r="U54" s="369"/>
      <c r="V54" s="369"/>
      <c r="W54" s="369"/>
    </row>
    <row r="55" spans="1:23" ht="18">
      <c r="A55" s="447"/>
      <c r="B55" s="1278" t="s">
        <v>1046</v>
      </c>
      <c r="C55" s="1325"/>
      <c r="D55" s="1338"/>
      <c r="E55" s="1338"/>
      <c r="F55" s="1348">
        <f>+'FORM-10 (A-F)'!H165</f>
        <v>0</v>
      </c>
      <c r="G55" s="1349"/>
      <c r="H55" s="372"/>
      <c r="I55" s="1349"/>
      <c r="J55" s="372"/>
      <c r="K55" s="373"/>
      <c r="L55" s="375">
        <f>F55-H55-J55-N55</f>
        <v>0</v>
      </c>
      <c r="M55" s="1349"/>
      <c r="N55" s="372"/>
      <c r="R55" s="369"/>
      <c r="T55" s="369"/>
      <c r="U55" s="369"/>
      <c r="V55" s="369"/>
      <c r="W55" s="369"/>
    </row>
    <row r="56" spans="1:23" ht="18">
      <c r="A56" s="447"/>
      <c r="B56" s="1278" t="s">
        <v>1047</v>
      </c>
      <c r="C56" s="1325"/>
      <c r="D56" s="1338"/>
      <c r="E56" s="1338"/>
      <c r="F56" s="1348">
        <f>'FORM-10 (A-F)'!H166</f>
        <v>0</v>
      </c>
      <c r="G56" s="1349"/>
      <c r="H56" s="372"/>
      <c r="I56" s="1349"/>
      <c r="J56" s="372"/>
      <c r="K56" s="373"/>
      <c r="L56" s="375">
        <f>F56-H56-J56-N56</f>
        <v>0</v>
      </c>
      <c r="M56" s="1349"/>
      <c r="N56" s="372"/>
      <c r="R56" s="369"/>
      <c r="T56" s="369"/>
      <c r="U56" s="369"/>
      <c r="V56" s="369"/>
      <c r="W56" s="369"/>
    </row>
    <row r="57" spans="1:23" ht="18">
      <c r="A57" s="447"/>
      <c r="B57" s="1278" t="s">
        <v>1048</v>
      </c>
      <c r="C57" s="1325"/>
      <c r="D57" s="1338"/>
      <c r="E57" s="1338"/>
      <c r="F57" s="1348">
        <f>+'FORM-10 (A-F)'!H167</f>
        <v>0</v>
      </c>
      <c r="G57" s="1349"/>
      <c r="H57" s="372"/>
      <c r="I57" s="1349"/>
      <c r="J57" s="372"/>
      <c r="K57" s="373"/>
      <c r="L57" s="1357">
        <f>F57-H57-J57</f>
        <v>0</v>
      </c>
      <c r="M57" s="1349"/>
      <c r="N57" s="1365"/>
      <c r="R57" s="369"/>
      <c r="T57" s="369"/>
      <c r="U57" s="369"/>
      <c r="V57" s="369"/>
      <c r="W57" s="369"/>
    </row>
    <row r="58" spans="1:23" ht="18">
      <c r="A58" s="447"/>
      <c r="B58" s="1278" t="s">
        <v>1049</v>
      </c>
      <c r="C58" s="1325"/>
      <c r="D58" s="1338"/>
      <c r="E58" s="1338"/>
      <c r="F58" s="372"/>
      <c r="G58" s="1349"/>
      <c r="H58" s="372"/>
      <c r="I58" s="1349"/>
      <c r="J58" s="372"/>
      <c r="K58" s="373"/>
      <c r="L58" s="1357">
        <f>F58-H58-J58</f>
        <v>0</v>
      </c>
      <c r="M58" s="1349"/>
      <c r="N58" s="1365"/>
      <c r="R58" s="369"/>
      <c r="T58" s="369"/>
      <c r="U58" s="369"/>
      <c r="V58" s="369"/>
      <c r="W58" s="369"/>
    </row>
    <row r="59" spans="1:23" ht="18">
      <c r="A59" s="447"/>
      <c r="B59" s="1278" t="s">
        <v>1050</v>
      </c>
      <c r="C59" s="1325"/>
      <c r="D59" s="1338"/>
      <c r="E59" s="1338"/>
      <c r="F59" s="1348">
        <f>+'FORM-10 (A-F)'!H170+'FORM-10 (A-F)'!J201</f>
        <v>0</v>
      </c>
      <c r="G59" s="1349"/>
      <c r="H59" s="685">
        <f>F59</f>
        <v>0</v>
      </c>
      <c r="I59" s="1349"/>
      <c r="J59" s="372"/>
      <c r="K59" s="373"/>
      <c r="L59" s="375">
        <f>F59-H59-J59-N59</f>
        <v>0</v>
      </c>
      <c r="M59" s="1349"/>
      <c r="N59" s="372"/>
      <c r="R59" s="369"/>
      <c r="T59" s="369"/>
      <c r="U59" s="369"/>
      <c r="V59" s="369"/>
      <c r="W59" s="369"/>
    </row>
    <row r="60" spans="1:23" ht="18">
      <c r="A60" s="447"/>
      <c r="B60" s="1278" t="s">
        <v>1684</v>
      </c>
      <c r="C60" s="1325"/>
      <c r="D60" s="1338"/>
      <c r="E60" s="1338"/>
      <c r="F60" s="1348">
        <f>'FORM-10 (A-F)'!H198+'FORM-10 (A-F)'!H171+'FORM-10 (A-F)'!H199</f>
        <v>0</v>
      </c>
      <c r="G60" s="1349"/>
      <c r="H60" s="685">
        <f>+F60</f>
        <v>0</v>
      </c>
      <c r="I60" s="1349"/>
      <c r="J60" s="372"/>
      <c r="K60" s="373"/>
      <c r="L60" s="375"/>
      <c r="M60" s="1349"/>
      <c r="N60" s="372"/>
      <c r="R60" s="369"/>
      <c r="T60" s="369"/>
      <c r="U60" s="369"/>
      <c r="V60" s="369"/>
      <c r="W60" s="369"/>
    </row>
    <row r="61" spans="1:23" ht="18">
      <c r="A61" s="447"/>
      <c r="B61" s="1278" t="s">
        <v>1685</v>
      </c>
      <c r="C61" s="1359"/>
      <c r="D61" s="1325"/>
      <c r="E61" s="1325"/>
      <c r="F61" s="1348">
        <f>'FORM-10 (A-F)'!H172</f>
        <v>0</v>
      </c>
      <c r="G61" s="1349"/>
      <c r="H61" s="372"/>
      <c r="I61" s="1349"/>
      <c r="J61" s="372"/>
      <c r="K61" s="373"/>
      <c r="L61" s="1357">
        <f>F61-H61-J61</f>
        <v>0</v>
      </c>
      <c r="M61" s="1349"/>
      <c r="N61" s="1355"/>
      <c r="R61" s="369"/>
      <c r="T61" s="369"/>
      <c r="U61" s="369"/>
      <c r="V61" s="369"/>
      <c r="W61" s="369"/>
    </row>
    <row r="62" ht="12.75">
      <c r="A62" s="447"/>
    </row>
    <row r="63" spans="1:23" ht="21" thickBot="1">
      <c r="A63" s="447"/>
      <c r="B63" s="1327" t="s">
        <v>1051</v>
      </c>
      <c r="C63" s="1367"/>
      <c r="D63" s="1368"/>
      <c r="E63" s="1338"/>
      <c r="F63" s="1369" t="e">
        <f>SUM(F13:F62)</f>
        <v>#REF!</v>
      </c>
      <c r="G63" s="1349"/>
      <c r="H63" s="1369">
        <f>SUM(H13:H61)</f>
        <v>0</v>
      </c>
      <c r="I63" s="1370"/>
      <c r="J63" s="1369">
        <f>SUM(J13:J61)</f>
        <v>0</v>
      </c>
      <c r="K63" s="1370"/>
      <c r="L63" s="1369" t="e">
        <f>SUM(L13:L61)</f>
        <v>#REF!</v>
      </c>
      <c r="M63" s="1349"/>
      <c r="N63" s="1369">
        <f>SUM(N13:N61)</f>
        <v>0</v>
      </c>
      <c r="R63" s="369"/>
      <c r="T63" s="369"/>
      <c r="U63" s="369"/>
      <c r="V63" s="369"/>
      <c r="W63" s="369"/>
    </row>
    <row r="64" spans="1:23" ht="15.75" thickTop="1">
      <c r="A64" s="447"/>
      <c r="B64" s="1325"/>
      <c r="C64" s="1325"/>
      <c r="D64" s="1338"/>
      <c r="E64" s="1338"/>
      <c r="F64" s="1354"/>
      <c r="G64" s="1349"/>
      <c r="H64" s="1349"/>
      <c r="I64" s="1349"/>
      <c r="J64" s="1349"/>
      <c r="K64" s="1354"/>
      <c r="L64" s="1349"/>
      <c r="M64" s="1349"/>
      <c r="N64" s="1349"/>
      <c r="R64" s="369"/>
      <c r="T64" s="369"/>
      <c r="U64" s="369"/>
      <c r="V64" s="369"/>
      <c r="W64" s="369"/>
    </row>
    <row r="65" spans="1:14" ht="18">
      <c r="A65" s="447"/>
      <c r="B65" s="1371" t="s">
        <v>1545</v>
      </c>
      <c r="C65" s="1372"/>
      <c r="D65" s="1141">
        <f>IF(F65&gt;0,L65/(F63-F13),"")</f>
      </c>
      <c r="E65" s="1338"/>
      <c r="F65" s="1684">
        <f>'FORM-10 (A-F)'!H137</f>
        <v>0</v>
      </c>
      <c r="G65" s="373"/>
      <c r="H65" s="379"/>
      <c r="I65" s="1355"/>
      <c r="J65" s="379"/>
      <c r="L65" s="375">
        <f>F65-H65-J65</f>
        <v>0</v>
      </c>
      <c r="M65" s="378"/>
      <c r="N65" s="1373"/>
    </row>
    <row r="66" spans="1:14" ht="18">
      <c r="A66" s="447"/>
      <c r="B66" s="1371" t="s">
        <v>1546</v>
      </c>
      <c r="C66" s="1372"/>
      <c r="D66" s="1141">
        <f>IF(F13&gt;0,F66/F13,"")</f>
      </c>
      <c r="E66" s="1338"/>
      <c r="F66" s="1348">
        <f>IF(F13&gt;0,(F13*0.04),0)</f>
        <v>0</v>
      </c>
      <c r="G66" s="373"/>
      <c r="H66" s="1374"/>
      <c r="I66" s="1355"/>
      <c r="J66" s="1374"/>
      <c r="L66" s="375"/>
      <c r="M66" s="378"/>
      <c r="N66" s="1375">
        <f>F66</f>
        <v>0</v>
      </c>
    </row>
    <row r="67" spans="1:23" ht="18">
      <c r="A67" s="447"/>
      <c r="B67" s="1278" t="s">
        <v>1052</v>
      </c>
      <c r="C67" s="1325"/>
      <c r="D67" s="1338"/>
      <c r="E67" s="1338"/>
      <c r="F67" s="1348"/>
      <c r="G67" s="1349"/>
      <c r="H67" s="380">
        <f aca="true" t="shared" si="2" ref="H67:H73">F67</f>
        <v>0</v>
      </c>
      <c r="I67" s="1349"/>
      <c r="J67" s="1376" t="s">
        <v>583</v>
      </c>
      <c r="K67" s="373"/>
      <c r="L67" s="1376" t="s">
        <v>583</v>
      </c>
      <c r="M67" s="1349"/>
      <c r="N67" s="1349"/>
      <c r="R67" s="369"/>
      <c r="T67" s="369"/>
      <c r="U67" s="369"/>
      <c r="V67" s="369"/>
      <c r="W67" s="369"/>
    </row>
    <row r="68" spans="1:22" ht="18">
      <c r="A68" s="447"/>
      <c r="B68" s="1278" t="s">
        <v>1053</v>
      </c>
      <c r="C68" s="1325"/>
      <c r="D68" s="1338"/>
      <c r="E68" s="1338"/>
      <c r="F68" s="372"/>
      <c r="G68" s="1349"/>
      <c r="H68" s="380">
        <f t="shared" si="2"/>
        <v>0</v>
      </c>
      <c r="I68" s="1349"/>
      <c r="J68" s="1376" t="s">
        <v>583</v>
      </c>
      <c r="K68" s="373"/>
      <c r="L68" s="1376" t="s">
        <v>583</v>
      </c>
      <c r="M68" s="1349"/>
      <c r="N68" s="1349"/>
      <c r="T68" s="371"/>
      <c r="U68" s="371"/>
      <c r="V68" s="371"/>
    </row>
    <row r="69" spans="1:22" ht="18">
      <c r="A69" s="447"/>
      <c r="B69" s="1278" t="s">
        <v>1054</v>
      </c>
      <c r="C69" s="1325"/>
      <c r="D69" s="1338"/>
      <c r="E69" s="1338"/>
      <c r="F69" s="372"/>
      <c r="G69" s="1349"/>
      <c r="H69" s="380">
        <f t="shared" si="2"/>
        <v>0</v>
      </c>
      <c r="I69" s="1349"/>
      <c r="J69" s="1376" t="s">
        <v>583</v>
      </c>
      <c r="K69" s="373"/>
      <c r="L69" s="1376" t="s">
        <v>583</v>
      </c>
      <c r="M69" s="1349"/>
      <c r="N69" s="1349"/>
      <c r="T69" s="371"/>
      <c r="U69" s="371"/>
      <c r="V69" s="371"/>
    </row>
    <row r="70" spans="1:14" ht="18">
      <c r="A70" s="447"/>
      <c r="B70" s="1278" t="s">
        <v>1055</v>
      </c>
      <c r="C70" s="1325"/>
      <c r="D70" s="1338"/>
      <c r="E70" s="1338"/>
      <c r="F70" s="1348">
        <f>+'FORM-10 (A-F)'!H157+'FORM-10 (A-F)'!H158+'FORM-10 (A-F)'!H159+'FORM-10 (A-F)'!H160+'FORM-10 (A-F)'!H161+'FORM-10 (A-F)'!J211+'FORM-10 (A-F)'!J212</f>
        <v>0</v>
      </c>
      <c r="G70" s="1349"/>
      <c r="H70" s="380">
        <f t="shared" si="2"/>
        <v>0</v>
      </c>
      <c r="I70" s="1349"/>
      <c r="J70" s="1376" t="s">
        <v>583</v>
      </c>
      <c r="K70" s="373"/>
      <c r="L70" s="1376" t="s">
        <v>583</v>
      </c>
      <c r="M70" s="1349"/>
      <c r="N70" s="1349"/>
    </row>
    <row r="71" spans="1:252" ht="21">
      <c r="A71" s="447"/>
      <c r="B71" s="1278" t="s">
        <v>1056</v>
      </c>
      <c r="C71" s="1119" t="s">
        <v>1057</v>
      </c>
      <c r="D71" s="1338"/>
      <c r="E71" s="1338"/>
      <c r="F71" s="1348">
        <f>+'FORM-10 (A-F)'!J210</f>
        <v>0</v>
      </c>
      <c r="G71" s="1370"/>
      <c r="H71" s="380">
        <f t="shared" si="2"/>
        <v>0</v>
      </c>
      <c r="I71" s="1370"/>
      <c r="J71" s="1376" t="s">
        <v>583</v>
      </c>
      <c r="K71" s="1377"/>
      <c r="L71" s="1376" t="s">
        <v>583</v>
      </c>
      <c r="M71" s="1370"/>
      <c r="N71" s="1355"/>
      <c r="O71" s="371"/>
      <c r="P71" s="371"/>
      <c r="Q71" s="371"/>
      <c r="R71" s="371"/>
      <c r="S71" s="371"/>
      <c r="T71" s="371"/>
      <c r="U71" s="371"/>
      <c r="V71" s="371"/>
      <c r="W71" s="371"/>
      <c r="X71" s="371"/>
      <c r="Y71" s="371"/>
      <c r="Z71" s="371"/>
      <c r="AB71" s="371"/>
      <c r="AC71" s="371"/>
      <c r="AD71" s="371"/>
      <c r="AE71" s="371"/>
      <c r="AF71" s="371"/>
      <c r="AG71" s="371"/>
      <c r="AH71" s="371"/>
      <c r="AI71" s="371"/>
      <c r="AJ71" s="371"/>
      <c r="AK71" s="371"/>
      <c r="AL71" s="371"/>
      <c r="AM71" s="371"/>
      <c r="AN71" s="371"/>
      <c r="AO71" s="371"/>
      <c r="AP71" s="371"/>
      <c r="AQ71" s="371"/>
      <c r="AR71" s="371"/>
      <c r="AS71" s="371"/>
      <c r="AT71" s="371"/>
      <c r="AU71" s="371"/>
      <c r="AV71" s="371"/>
      <c r="AW71" s="371"/>
      <c r="AX71" s="371"/>
      <c r="AY71" s="371"/>
      <c r="AZ71" s="371"/>
      <c r="BA71" s="371"/>
      <c r="BB71" s="371"/>
      <c r="BC71" s="371"/>
      <c r="BD71" s="371"/>
      <c r="BE71" s="371"/>
      <c r="BF71" s="371"/>
      <c r="BG71" s="371"/>
      <c r="BH71" s="371"/>
      <c r="BI71" s="371"/>
      <c r="BJ71" s="371"/>
      <c r="BK71" s="371"/>
      <c r="BL71" s="371"/>
      <c r="BM71" s="371"/>
      <c r="BN71" s="371"/>
      <c r="BO71" s="371"/>
      <c r="BP71" s="371"/>
      <c r="BQ71" s="371"/>
      <c r="BR71" s="371"/>
      <c r="BS71" s="371"/>
      <c r="BT71" s="371"/>
      <c r="BU71" s="371"/>
      <c r="BV71" s="371"/>
      <c r="BW71" s="371"/>
      <c r="BX71" s="371"/>
      <c r="BY71" s="371"/>
      <c r="BZ71" s="371"/>
      <c r="CA71" s="371"/>
      <c r="CB71" s="371"/>
      <c r="CC71" s="371"/>
      <c r="CD71" s="371"/>
      <c r="CE71" s="371"/>
      <c r="CF71" s="371"/>
      <c r="CG71" s="371"/>
      <c r="CH71" s="371"/>
      <c r="CI71" s="371"/>
      <c r="CJ71" s="371"/>
      <c r="CK71" s="371"/>
      <c r="CL71" s="371"/>
      <c r="CM71" s="371"/>
      <c r="CN71" s="371"/>
      <c r="CO71" s="371"/>
      <c r="CP71" s="371"/>
      <c r="CQ71" s="371"/>
      <c r="CR71" s="371"/>
      <c r="CS71" s="371"/>
      <c r="CT71" s="371"/>
      <c r="CU71" s="371"/>
      <c r="CV71" s="371"/>
      <c r="CW71" s="371"/>
      <c r="CX71" s="371"/>
      <c r="CY71" s="371"/>
      <c r="CZ71" s="371"/>
      <c r="DA71" s="371"/>
      <c r="DB71" s="371"/>
      <c r="DC71" s="371"/>
      <c r="DD71" s="371"/>
      <c r="DE71" s="371"/>
      <c r="DF71" s="371"/>
      <c r="DG71" s="371"/>
      <c r="DH71" s="371"/>
      <c r="DI71" s="371"/>
      <c r="DJ71" s="371"/>
      <c r="DK71" s="371"/>
      <c r="DL71" s="371"/>
      <c r="DM71" s="371"/>
      <c r="DN71" s="371"/>
      <c r="DO71" s="371"/>
      <c r="DP71" s="371"/>
      <c r="DQ71" s="371"/>
      <c r="DR71" s="371"/>
      <c r="DS71" s="371"/>
      <c r="DT71" s="371"/>
      <c r="DU71" s="371"/>
      <c r="DV71" s="371"/>
      <c r="DW71" s="371"/>
      <c r="DX71" s="371"/>
      <c r="DY71" s="371"/>
      <c r="DZ71" s="371"/>
      <c r="EA71" s="371"/>
      <c r="EB71" s="371"/>
      <c r="EC71" s="371"/>
      <c r="ED71" s="371"/>
      <c r="EE71" s="371"/>
      <c r="EF71" s="371"/>
      <c r="EG71" s="371"/>
      <c r="EH71" s="371"/>
      <c r="EI71" s="371"/>
      <c r="EJ71" s="371"/>
      <c r="EK71" s="371"/>
      <c r="EL71" s="371"/>
      <c r="EM71" s="371"/>
      <c r="EN71" s="371"/>
      <c r="EO71" s="371"/>
      <c r="EP71" s="371"/>
      <c r="EQ71" s="371"/>
      <c r="ER71" s="371"/>
      <c r="ES71" s="371"/>
      <c r="ET71" s="371"/>
      <c r="EU71" s="371"/>
      <c r="EV71" s="371"/>
      <c r="EW71" s="371"/>
      <c r="EX71" s="371"/>
      <c r="EY71" s="371"/>
      <c r="EZ71" s="371"/>
      <c r="FA71" s="371"/>
      <c r="FB71" s="371"/>
      <c r="FC71" s="371"/>
      <c r="FD71" s="371"/>
      <c r="FE71" s="371"/>
      <c r="FF71" s="371"/>
      <c r="FG71" s="371"/>
      <c r="FH71" s="371"/>
      <c r="FI71" s="371"/>
      <c r="FJ71" s="371"/>
      <c r="FK71" s="371"/>
      <c r="FL71" s="371"/>
      <c r="FM71" s="371"/>
      <c r="FN71" s="371"/>
      <c r="FO71" s="371"/>
      <c r="FP71" s="371"/>
      <c r="FQ71" s="371"/>
      <c r="FR71" s="371"/>
      <c r="FS71" s="371"/>
      <c r="FT71" s="371"/>
      <c r="FU71" s="371"/>
      <c r="FV71" s="371"/>
      <c r="FW71" s="371"/>
      <c r="FX71" s="371"/>
      <c r="FY71" s="371"/>
      <c r="FZ71" s="371"/>
      <c r="GA71" s="371"/>
      <c r="GB71" s="371"/>
      <c r="GC71" s="371"/>
      <c r="GD71" s="371"/>
      <c r="GE71" s="371"/>
      <c r="GF71" s="371"/>
      <c r="GG71" s="371"/>
      <c r="GH71" s="371"/>
      <c r="GI71" s="371"/>
      <c r="GJ71" s="371"/>
      <c r="GK71" s="371"/>
      <c r="GL71" s="371"/>
      <c r="GM71" s="371"/>
      <c r="GN71" s="371"/>
      <c r="GO71" s="371"/>
      <c r="GP71" s="371"/>
      <c r="GQ71" s="371"/>
      <c r="GR71" s="371"/>
      <c r="GS71" s="371"/>
      <c r="GT71" s="371"/>
      <c r="GU71" s="371"/>
      <c r="GV71" s="371"/>
      <c r="GW71" s="371"/>
      <c r="GX71" s="371"/>
      <c r="GY71" s="371"/>
      <c r="GZ71" s="371"/>
      <c r="HA71" s="371"/>
      <c r="HB71" s="371"/>
      <c r="HC71" s="371"/>
      <c r="HD71" s="371"/>
      <c r="HE71" s="371"/>
      <c r="HF71" s="371"/>
      <c r="HG71" s="371"/>
      <c r="HH71" s="371"/>
      <c r="HI71" s="371"/>
      <c r="HJ71" s="371"/>
      <c r="HK71" s="371"/>
      <c r="HL71" s="371"/>
      <c r="HM71" s="371"/>
      <c r="HN71" s="371"/>
      <c r="HO71" s="371"/>
      <c r="HP71" s="371"/>
      <c r="HQ71" s="371"/>
      <c r="HR71" s="371"/>
      <c r="HS71" s="371"/>
      <c r="HT71" s="371"/>
      <c r="HU71" s="371"/>
      <c r="HV71" s="371"/>
      <c r="HW71" s="371"/>
      <c r="HX71" s="371"/>
      <c r="HY71" s="371"/>
      <c r="HZ71" s="371"/>
      <c r="IA71" s="371"/>
      <c r="IB71" s="371"/>
      <c r="IC71" s="371"/>
      <c r="ID71" s="371"/>
      <c r="IE71" s="371"/>
      <c r="IF71" s="371"/>
      <c r="IG71" s="371"/>
      <c r="IH71" s="371"/>
      <c r="II71" s="371"/>
      <c r="IJ71" s="371"/>
      <c r="IK71" s="371"/>
      <c r="IL71" s="371"/>
      <c r="IM71" s="371"/>
      <c r="IN71" s="371"/>
      <c r="IO71" s="371"/>
      <c r="IP71" s="371"/>
      <c r="IQ71" s="371"/>
      <c r="IR71" s="371"/>
    </row>
    <row r="72" spans="1:252" ht="21">
      <c r="A72" s="447"/>
      <c r="B72" s="1278"/>
      <c r="C72" s="1119" t="s">
        <v>883</v>
      </c>
      <c r="D72" s="1338"/>
      <c r="E72" s="1338"/>
      <c r="F72" s="1348">
        <f>+'FORM-10 (A-F)'!J218</f>
        <v>0</v>
      </c>
      <c r="G72" s="1370"/>
      <c r="H72" s="380">
        <f t="shared" si="2"/>
        <v>0</v>
      </c>
      <c r="I72" s="1370"/>
      <c r="J72" s="1376" t="s">
        <v>583</v>
      </c>
      <c r="K72" s="1377"/>
      <c r="L72" s="1376" t="s">
        <v>583</v>
      </c>
      <c r="M72" s="1370"/>
      <c r="N72" s="1355"/>
      <c r="O72" s="371"/>
      <c r="P72" s="371"/>
      <c r="Q72" s="371"/>
      <c r="R72" s="371"/>
      <c r="S72" s="371"/>
      <c r="T72" s="371"/>
      <c r="U72" s="371"/>
      <c r="V72" s="371"/>
      <c r="W72" s="371"/>
      <c r="X72" s="371"/>
      <c r="Y72" s="371"/>
      <c r="Z72" s="371"/>
      <c r="AB72" s="371"/>
      <c r="AC72" s="371"/>
      <c r="AD72" s="371"/>
      <c r="AE72" s="371"/>
      <c r="AF72" s="371"/>
      <c r="AG72" s="371"/>
      <c r="AH72" s="371"/>
      <c r="AI72" s="371"/>
      <c r="AJ72" s="371"/>
      <c r="AK72" s="371"/>
      <c r="AL72" s="371"/>
      <c r="AM72" s="371"/>
      <c r="AN72" s="371"/>
      <c r="AO72" s="371"/>
      <c r="AP72" s="371"/>
      <c r="AQ72" s="371"/>
      <c r="AR72" s="371"/>
      <c r="AS72" s="371"/>
      <c r="AT72" s="371"/>
      <c r="AU72" s="371"/>
      <c r="AV72" s="371"/>
      <c r="AW72" s="371"/>
      <c r="AX72" s="371"/>
      <c r="AY72" s="371"/>
      <c r="AZ72" s="371"/>
      <c r="BA72" s="371"/>
      <c r="BB72" s="371"/>
      <c r="BC72" s="371"/>
      <c r="BD72" s="371"/>
      <c r="BE72" s="371"/>
      <c r="BF72" s="371"/>
      <c r="BG72" s="371"/>
      <c r="BH72" s="371"/>
      <c r="BI72" s="371"/>
      <c r="BJ72" s="371"/>
      <c r="BK72" s="371"/>
      <c r="BL72" s="371"/>
      <c r="BM72" s="371"/>
      <c r="BN72" s="371"/>
      <c r="BO72" s="371"/>
      <c r="BP72" s="371"/>
      <c r="BQ72" s="371"/>
      <c r="BR72" s="371"/>
      <c r="BS72" s="371"/>
      <c r="BT72" s="371"/>
      <c r="BU72" s="371"/>
      <c r="BV72" s="371"/>
      <c r="BW72" s="371"/>
      <c r="BX72" s="371"/>
      <c r="BY72" s="371"/>
      <c r="BZ72" s="371"/>
      <c r="CA72" s="371"/>
      <c r="CB72" s="371"/>
      <c r="CC72" s="371"/>
      <c r="CD72" s="371"/>
      <c r="CE72" s="371"/>
      <c r="CF72" s="371"/>
      <c r="CG72" s="371"/>
      <c r="CH72" s="371"/>
      <c r="CI72" s="371"/>
      <c r="CJ72" s="371"/>
      <c r="CK72" s="371"/>
      <c r="CL72" s="371"/>
      <c r="CM72" s="371"/>
      <c r="CN72" s="371"/>
      <c r="CO72" s="371"/>
      <c r="CP72" s="371"/>
      <c r="CQ72" s="371"/>
      <c r="CR72" s="371"/>
      <c r="CS72" s="371"/>
      <c r="CT72" s="371"/>
      <c r="CU72" s="371"/>
      <c r="CV72" s="371"/>
      <c r="CW72" s="371"/>
      <c r="CX72" s="371"/>
      <c r="CY72" s="371"/>
      <c r="CZ72" s="371"/>
      <c r="DA72" s="371"/>
      <c r="DB72" s="371"/>
      <c r="DC72" s="371"/>
      <c r="DD72" s="371"/>
      <c r="DE72" s="371"/>
      <c r="DF72" s="371"/>
      <c r="DG72" s="371"/>
      <c r="DH72" s="371"/>
      <c r="DI72" s="371"/>
      <c r="DJ72" s="371"/>
      <c r="DK72" s="371"/>
      <c r="DL72" s="371"/>
      <c r="DM72" s="371"/>
      <c r="DN72" s="371"/>
      <c r="DO72" s="371"/>
      <c r="DP72" s="371"/>
      <c r="DQ72" s="371"/>
      <c r="DR72" s="371"/>
      <c r="DS72" s="371"/>
      <c r="DT72" s="371"/>
      <c r="DU72" s="371"/>
      <c r="DV72" s="371"/>
      <c r="DW72" s="371"/>
      <c r="DX72" s="371"/>
      <c r="DY72" s="371"/>
      <c r="DZ72" s="371"/>
      <c r="EA72" s="371"/>
      <c r="EB72" s="371"/>
      <c r="EC72" s="371"/>
      <c r="ED72" s="371"/>
      <c r="EE72" s="371"/>
      <c r="EF72" s="371"/>
      <c r="EG72" s="371"/>
      <c r="EH72" s="371"/>
      <c r="EI72" s="371"/>
      <c r="EJ72" s="371"/>
      <c r="EK72" s="371"/>
      <c r="EL72" s="371"/>
      <c r="EM72" s="371"/>
      <c r="EN72" s="371"/>
      <c r="EO72" s="371"/>
      <c r="EP72" s="371"/>
      <c r="EQ72" s="371"/>
      <c r="ER72" s="371"/>
      <c r="ES72" s="371"/>
      <c r="ET72" s="371"/>
      <c r="EU72" s="371"/>
      <c r="EV72" s="371"/>
      <c r="EW72" s="371"/>
      <c r="EX72" s="371"/>
      <c r="EY72" s="371"/>
      <c r="EZ72" s="371"/>
      <c r="FA72" s="371"/>
      <c r="FB72" s="371"/>
      <c r="FC72" s="371"/>
      <c r="FD72" s="371"/>
      <c r="FE72" s="371"/>
      <c r="FF72" s="371"/>
      <c r="FG72" s="371"/>
      <c r="FH72" s="371"/>
      <c r="FI72" s="371"/>
      <c r="FJ72" s="371"/>
      <c r="FK72" s="371"/>
      <c r="FL72" s="371"/>
      <c r="FM72" s="371"/>
      <c r="FN72" s="371"/>
      <c r="FO72" s="371"/>
      <c r="FP72" s="371"/>
      <c r="FQ72" s="371"/>
      <c r="FR72" s="371"/>
      <c r="FS72" s="371"/>
      <c r="FT72" s="371"/>
      <c r="FU72" s="371"/>
      <c r="FV72" s="371"/>
      <c r="FW72" s="371"/>
      <c r="FX72" s="371"/>
      <c r="FY72" s="371"/>
      <c r="FZ72" s="371"/>
      <c r="GA72" s="371"/>
      <c r="GB72" s="371"/>
      <c r="GC72" s="371"/>
      <c r="GD72" s="371"/>
      <c r="GE72" s="371"/>
      <c r="GF72" s="371"/>
      <c r="GG72" s="371"/>
      <c r="GH72" s="371"/>
      <c r="GI72" s="371"/>
      <c r="GJ72" s="371"/>
      <c r="GK72" s="371"/>
      <c r="GL72" s="371"/>
      <c r="GM72" s="371"/>
      <c r="GN72" s="371"/>
      <c r="GO72" s="371"/>
      <c r="GP72" s="371"/>
      <c r="GQ72" s="371"/>
      <c r="GR72" s="371"/>
      <c r="GS72" s="371"/>
      <c r="GT72" s="371"/>
      <c r="GU72" s="371"/>
      <c r="GV72" s="371"/>
      <c r="GW72" s="371"/>
      <c r="GX72" s="371"/>
      <c r="GY72" s="371"/>
      <c r="GZ72" s="371"/>
      <c r="HA72" s="371"/>
      <c r="HB72" s="371"/>
      <c r="HC72" s="371"/>
      <c r="HD72" s="371"/>
      <c r="HE72" s="371"/>
      <c r="HF72" s="371"/>
      <c r="HG72" s="371"/>
      <c r="HH72" s="371"/>
      <c r="HI72" s="371"/>
      <c r="HJ72" s="371"/>
      <c r="HK72" s="371"/>
      <c r="HL72" s="371"/>
      <c r="HM72" s="371"/>
      <c r="HN72" s="371"/>
      <c r="HO72" s="371"/>
      <c r="HP72" s="371"/>
      <c r="HQ72" s="371"/>
      <c r="HR72" s="371"/>
      <c r="HS72" s="371"/>
      <c r="HT72" s="371"/>
      <c r="HU72" s="371"/>
      <c r="HV72" s="371"/>
      <c r="HW72" s="371"/>
      <c r="HX72" s="371"/>
      <c r="HY72" s="371"/>
      <c r="HZ72" s="371"/>
      <c r="IA72" s="371"/>
      <c r="IB72" s="371"/>
      <c r="IC72" s="371"/>
      <c r="ID72" s="371"/>
      <c r="IE72" s="371"/>
      <c r="IF72" s="371"/>
      <c r="IG72" s="371"/>
      <c r="IH72" s="371"/>
      <c r="II72" s="371"/>
      <c r="IJ72" s="371"/>
      <c r="IK72" s="371"/>
      <c r="IL72" s="371"/>
      <c r="IM72" s="371"/>
      <c r="IN72" s="371"/>
      <c r="IO72" s="371"/>
      <c r="IP72" s="371"/>
      <c r="IQ72" s="371"/>
      <c r="IR72" s="371"/>
    </row>
    <row r="73" spans="1:14" ht="21">
      <c r="A73" s="447"/>
      <c r="B73" s="1278"/>
      <c r="C73" s="1119" t="s">
        <v>1058</v>
      </c>
      <c r="D73" s="1338"/>
      <c r="E73" s="1338"/>
      <c r="F73" s="1348">
        <f>+'FORM-10 (A-F)'!J219</f>
        <v>0</v>
      </c>
      <c r="G73" s="1370"/>
      <c r="H73" s="380">
        <f t="shared" si="2"/>
        <v>0</v>
      </c>
      <c r="I73" s="1370"/>
      <c r="J73" s="1376" t="s">
        <v>583</v>
      </c>
      <c r="K73" s="1377"/>
      <c r="L73" s="1376" t="s">
        <v>583</v>
      </c>
      <c r="M73" s="1370"/>
      <c r="N73" s="1355"/>
    </row>
    <row r="74" spans="1:14" ht="21">
      <c r="A74" s="447"/>
      <c r="B74" s="1278"/>
      <c r="C74" s="1278" t="s">
        <v>1059</v>
      </c>
      <c r="D74" s="1338"/>
      <c r="E74" s="1338"/>
      <c r="F74" s="1348">
        <f>+'FORM-10 (A-F)'!J216+'FORM-10 (A-F)'!J214+'FORM-10 (A-F)'!J217</f>
        <v>0</v>
      </c>
      <c r="G74" s="1370"/>
      <c r="H74" s="380">
        <f>F74</f>
        <v>0</v>
      </c>
      <c r="I74" s="1370"/>
      <c r="J74" s="1376" t="s">
        <v>583</v>
      </c>
      <c r="K74" s="1377"/>
      <c r="L74" s="1376" t="s">
        <v>583</v>
      </c>
      <c r="M74" s="1370"/>
      <c r="N74" s="1355"/>
    </row>
    <row r="75" spans="1:14" ht="21">
      <c r="A75" s="447"/>
      <c r="B75" s="1278"/>
      <c r="C75" s="1278" t="s">
        <v>1060</v>
      </c>
      <c r="D75" s="1338"/>
      <c r="E75" s="1338"/>
      <c r="F75" s="685">
        <f>+'FORM-10 (A-F)'!J215</f>
        <v>0</v>
      </c>
      <c r="G75" s="1370"/>
      <c r="H75" s="380">
        <f>F75</f>
        <v>0</v>
      </c>
      <c r="I75" s="1370"/>
      <c r="J75" s="1376" t="s">
        <v>583</v>
      </c>
      <c r="K75" s="1377"/>
      <c r="L75" s="1376" t="s">
        <v>583</v>
      </c>
      <c r="M75" s="1370"/>
      <c r="N75" s="1355"/>
    </row>
    <row r="76" spans="1:16" ht="18">
      <c r="A76" s="447"/>
      <c r="B76" s="1278"/>
      <c r="C76" s="1278" t="s">
        <v>325</v>
      </c>
      <c r="D76" s="1378"/>
      <c r="E76" s="1379"/>
      <c r="F76" s="1680">
        <f>'FORM-10 (A-F)'!J220</f>
        <v>0</v>
      </c>
      <c r="G76" s="669"/>
      <c r="H76" s="380">
        <f>F76</f>
        <v>0</v>
      </c>
      <c r="I76" s="669"/>
      <c r="J76" s="1380" t="s">
        <v>583</v>
      </c>
      <c r="K76" s="669"/>
      <c r="L76" s="1381" t="s">
        <v>583</v>
      </c>
      <c r="M76" s="1382"/>
      <c r="N76" s="1349"/>
      <c r="O76" s="1355"/>
      <c r="P76" s="371"/>
    </row>
    <row r="77" spans="1:17" ht="21" thickBot="1">
      <c r="A77" s="447"/>
      <c r="B77" s="1327" t="s">
        <v>1061</v>
      </c>
      <c r="C77" s="1325"/>
      <c r="D77" s="1338"/>
      <c r="E77" s="1338"/>
      <c r="F77" s="1383" t="e">
        <f>SUM(F63:F76)</f>
        <v>#REF!</v>
      </c>
      <c r="G77" s="1384"/>
      <c r="H77" s="1383">
        <f>SUM(H63:H76)</f>
        <v>0</v>
      </c>
      <c r="I77" s="1385"/>
      <c r="J77" s="1383">
        <f>SUM(J63:J76)</f>
        <v>0</v>
      </c>
      <c r="K77" s="1385"/>
      <c r="L77" s="1383" t="e">
        <f>SUM(L63:L76)</f>
        <v>#REF!</v>
      </c>
      <c r="M77" s="1370"/>
      <c r="N77" s="1383">
        <f>SUM(N63:N76)</f>
        <v>0</v>
      </c>
      <c r="Q77" s="1361"/>
    </row>
    <row r="78" spans="1:17" ht="18" thickTop="1">
      <c r="A78" s="447"/>
      <c r="B78" s="1325"/>
      <c r="C78" s="1325"/>
      <c r="D78" s="1386"/>
      <c r="E78" s="1338"/>
      <c r="F78" s="381"/>
      <c r="G78" s="381"/>
      <c r="H78" s="381"/>
      <c r="I78" s="381"/>
      <c r="J78" s="381"/>
      <c r="K78" s="381"/>
      <c r="L78" s="1387"/>
      <c r="M78" s="1387"/>
      <c r="N78" s="1388"/>
      <c r="Q78" s="1361"/>
    </row>
    <row r="79" spans="1:17" ht="20.25">
      <c r="A79" s="447"/>
      <c r="B79" s="1338"/>
      <c r="C79" s="1325"/>
      <c r="D79" s="1325"/>
      <c r="E79" s="1325"/>
      <c r="F79" s="381"/>
      <c r="G79" s="381"/>
      <c r="H79" s="381"/>
      <c r="I79" s="381"/>
      <c r="J79" s="1389" t="s">
        <v>1062</v>
      </c>
      <c r="K79" s="381"/>
      <c r="L79" s="1390">
        <f>IF(OR(EligBasisLimits!C12="Y",EligBasisLimits!C12="YES",EligBasisLimits!C12="y",EligBasisLimits!C12="yes",EligBasisLimits!C14="YES",EligBasisLimits!C14="Y",EligBasisLimits!C14="y",EligBasisLimits!C14="yes"),"NOT APPLICABLE",EligBasisLimits!I30)</f>
        <v>0</v>
      </c>
      <c r="M79" s="1391"/>
      <c r="N79" s="364"/>
      <c r="Q79" s="1361"/>
    </row>
    <row r="80" spans="1:17" ht="21" thickBot="1">
      <c r="A80" s="447"/>
      <c r="B80" s="1325"/>
      <c r="C80" s="1325"/>
      <c r="D80" s="1325"/>
      <c r="E80" s="1325"/>
      <c r="F80" s="381"/>
      <c r="G80" s="1392" t="s">
        <v>1257</v>
      </c>
      <c r="H80" s="1393">
        <f>+NOI!J51</f>
        <v>0</v>
      </c>
      <c r="I80" s="381"/>
      <c r="J80" s="381"/>
      <c r="K80" s="381"/>
      <c r="L80" s="1394"/>
      <c r="M80" s="1391"/>
      <c r="N80" s="364"/>
      <c r="Q80" s="1361"/>
    </row>
    <row r="81" spans="1:14" ht="21" thickTop="1">
      <c r="A81" s="447"/>
      <c r="B81" s="1395"/>
      <c r="C81" s="1396"/>
      <c r="D81" s="1396"/>
      <c r="E81" s="1396"/>
      <c r="F81" s="1397"/>
      <c r="G81" s="1397"/>
      <c r="H81" s="1398"/>
      <c r="I81" s="1399"/>
      <c r="J81" s="1389" t="s">
        <v>1063</v>
      </c>
      <c r="K81" s="381"/>
      <c r="L81" s="1400" t="e">
        <f>IF(L79="NOT APPLICABLE",L77,MIN(L77,L79))</f>
        <v>#REF!</v>
      </c>
      <c r="M81" s="1391"/>
      <c r="N81" s="1389"/>
    </row>
    <row r="82" spans="1:14" ht="24">
      <c r="A82" s="447"/>
      <c r="B82" s="1401"/>
      <c r="C82" s="1402" t="s">
        <v>1214</v>
      </c>
      <c r="D82" s="1282"/>
      <c r="E82" s="1282"/>
      <c r="F82" s="1391"/>
      <c r="G82" s="1403"/>
      <c r="H82" s="1404"/>
      <c r="I82" s="1399"/>
      <c r="J82" s="381"/>
      <c r="K82" s="381"/>
      <c r="L82" s="1394"/>
      <c r="M82" s="1391"/>
      <c r="N82" s="1389"/>
    </row>
    <row r="83" spans="1:14" ht="20.25">
      <c r="A83" s="447"/>
      <c r="B83" s="1401"/>
      <c r="C83" s="1325"/>
      <c r="D83" s="1325"/>
      <c r="E83" s="1325"/>
      <c r="F83" s="364"/>
      <c r="G83" s="364"/>
      <c r="H83" s="1405"/>
      <c r="I83" s="1406" t="s">
        <v>986</v>
      </c>
      <c r="J83" s="1389" t="s">
        <v>1064</v>
      </c>
      <c r="K83" s="381"/>
      <c r="L83" s="1407">
        <f>IF(OR(I4="Y",I5="Y",I6="Y"),130%,100%)</f>
        <v>1</v>
      </c>
      <c r="N83" s="1391"/>
    </row>
    <row r="84" spans="1:14" ht="20.25">
      <c r="A84" s="447"/>
      <c r="B84" s="1408" t="s">
        <v>1065</v>
      </c>
      <c r="C84" s="1325"/>
      <c r="D84" s="1406" t="s">
        <v>1066</v>
      </c>
      <c r="E84" s="1406"/>
      <c r="F84" s="1388" t="s">
        <v>1067</v>
      </c>
      <c r="G84" s="1279"/>
      <c r="H84" s="1409" t="s">
        <v>1068</v>
      </c>
      <c r="I84" s="1399"/>
      <c r="J84" s="381"/>
      <c r="K84" s="381"/>
      <c r="L84" s="1394"/>
      <c r="M84" s="1391"/>
      <c r="N84" s="1410"/>
    </row>
    <row r="85" spans="1:14" ht="20.25">
      <c r="A85" s="447"/>
      <c r="B85" s="449"/>
      <c r="C85" s="447"/>
      <c r="D85" s="1406" t="s">
        <v>1069</v>
      </c>
      <c r="E85" s="1406"/>
      <c r="F85" s="1388"/>
      <c r="G85" s="447"/>
      <c r="H85" s="450"/>
      <c r="I85" s="1406" t="s">
        <v>1070</v>
      </c>
      <c r="J85" s="1389" t="s">
        <v>1071</v>
      </c>
      <c r="K85" s="381"/>
      <c r="L85" s="1390" t="e">
        <f>INT(L81*L83)</f>
        <v>#REF!</v>
      </c>
      <c r="M85" s="1391"/>
      <c r="N85" s="1389"/>
    </row>
    <row r="86" spans="1:14" ht="20.25">
      <c r="A86" s="447"/>
      <c r="B86" s="1781" t="s">
        <v>423</v>
      </c>
      <c r="C86" s="1782"/>
      <c r="D86" s="1411"/>
      <c r="E86" s="1412"/>
      <c r="F86" s="1413"/>
      <c r="G86" s="381"/>
      <c r="H86" s="1414"/>
      <c r="I86" s="1399"/>
      <c r="J86" s="381"/>
      <c r="K86" s="381"/>
      <c r="L86" s="1415"/>
      <c r="M86" s="1391"/>
      <c r="N86" s="1389"/>
    </row>
    <row r="87" spans="1:14" ht="20.25">
      <c r="A87" s="447"/>
      <c r="B87" s="1229"/>
      <c r="C87" s="1416"/>
      <c r="D87" s="1115"/>
      <c r="E87" s="435"/>
      <c r="F87" s="1417"/>
      <c r="G87" s="364"/>
      <c r="H87" s="1418"/>
      <c r="I87" s="1406" t="s">
        <v>986</v>
      </c>
      <c r="J87" s="1389" t="s">
        <v>1073</v>
      </c>
      <c r="K87" s="381"/>
      <c r="L87" s="383">
        <v>1</v>
      </c>
      <c r="M87" s="1391"/>
      <c r="N87" s="1419">
        <f>L87</f>
        <v>1</v>
      </c>
    </row>
    <row r="88" spans="1:14" ht="20.25">
      <c r="A88" s="447"/>
      <c r="B88" s="1776"/>
      <c r="C88" s="1783"/>
      <c r="D88" s="382"/>
      <c r="E88" s="435"/>
      <c r="F88" s="1417"/>
      <c r="G88" s="381"/>
      <c r="H88" s="1418"/>
      <c r="I88" s="1399"/>
      <c r="J88" s="381"/>
      <c r="K88" s="381"/>
      <c r="L88" s="1394"/>
      <c r="M88" s="1391"/>
      <c r="N88" s="1389"/>
    </row>
    <row r="89" spans="1:14" ht="20.25">
      <c r="A89" s="447"/>
      <c r="B89" s="1776"/>
      <c r="C89" s="1783"/>
      <c r="D89" s="382"/>
      <c r="E89" s="435"/>
      <c r="F89" s="1417"/>
      <c r="G89" s="381"/>
      <c r="H89" s="1418"/>
      <c r="I89" s="1406" t="s">
        <v>1070</v>
      </c>
      <c r="J89" s="1389" t="s">
        <v>1074</v>
      </c>
      <c r="K89" s="381"/>
      <c r="L89" s="1390" t="e">
        <f>INT(L85*L87)</f>
        <v>#REF!</v>
      </c>
      <c r="M89" s="1391"/>
      <c r="N89" s="1390">
        <f>INT(N87*N77)</f>
        <v>0</v>
      </c>
    </row>
    <row r="90" spans="1:17" ht="20.25">
      <c r="A90" s="447"/>
      <c r="B90" s="1776" t="s">
        <v>1547</v>
      </c>
      <c r="C90" s="1777"/>
      <c r="D90" s="382"/>
      <c r="E90" s="435"/>
      <c r="F90" s="1417"/>
      <c r="G90" s="381"/>
      <c r="H90" s="1414" t="e">
        <f>MAX(IF(OR(I8="Y",I7="Y"),F65-((F63-F13)*0.13),F65-((F63-F13)*0.08)),0)</f>
        <v>#REF!</v>
      </c>
      <c r="I90" s="1399"/>
      <c r="J90" s="381"/>
      <c r="K90" s="381"/>
      <c r="L90" s="1415"/>
      <c r="M90" s="1391"/>
      <c r="N90" s="1410"/>
      <c r="Q90" s="1361"/>
    </row>
    <row r="91" spans="1:17" ht="20.25">
      <c r="A91" s="447"/>
      <c r="B91" s="1776" t="s">
        <v>1686</v>
      </c>
      <c r="C91" s="1777"/>
      <c r="D91" s="382"/>
      <c r="E91" s="435"/>
      <c r="F91" s="1417"/>
      <c r="G91" s="364"/>
      <c r="H91" s="1414">
        <f>F66/2</f>
        <v>0</v>
      </c>
      <c r="I91" s="1406" t="s">
        <v>986</v>
      </c>
      <c r="J91" s="1389" t="s">
        <v>1075</v>
      </c>
      <c r="K91" s="381"/>
      <c r="L91" s="1420">
        <v>0.09</v>
      </c>
      <c r="M91" s="1421"/>
      <c r="N91" s="1420">
        <v>0.032</v>
      </c>
      <c r="Q91" s="1361"/>
    </row>
    <row r="92" spans="1:17" ht="21">
      <c r="A92" s="447"/>
      <c r="B92" s="449"/>
      <c r="C92" s="447"/>
      <c r="D92" s="447"/>
      <c r="E92" s="447"/>
      <c r="F92" s="447"/>
      <c r="G92" s="447"/>
      <c r="H92" s="1422"/>
      <c r="I92" s="1399"/>
      <c r="J92" s="381"/>
      <c r="K92" s="381"/>
      <c r="L92" s="1394"/>
      <c r="M92" s="1391"/>
      <c r="N92" s="1389"/>
      <c r="Q92" s="1361"/>
    </row>
    <row r="93" spans="1:17" ht="21" thickBot="1">
      <c r="A93" s="447"/>
      <c r="B93" s="1408" t="s">
        <v>1216</v>
      </c>
      <c r="C93" s="1325"/>
      <c r="D93" s="447"/>
      <c r="E93" s="447"/>
      <c r="F93" s="447"/>
      <c r="G93" s="447"/>
      <c r="H93" s="1423" t="e">
        <f>+F77-SUM(H86:H91)</f>
        <v>#REF!</v>
      </c>
      <c r="I93" s="1403"/>
      <c r="J93" s="1389" t="s">
        <v>1076</v>
      </c>
      <c r="K93" s="381"/>
      <c r="L93" s="1394"/>
      <c r="M93" s="1391"/>
      <c r="N93" s="1389"/>
      <c r="Q93" s="1361"/>
    </row>
    <row r="94" spans="1:17" ht="21" thickTop="1">
      <c r="A94" s="447"/>
      <c r="B94" s="449"/>
      <c r="C94" s="447"/>
      <c r="D94" s="447"/>
      <c r="E94" s="447"/>
      <c r="F94" s="447"/>
      <c r="G94" s="447"/>
      <c r="H94" s="384"/>
      <c r="I94" s="1403" t="s">
        <v>1070</v>
      </c>
      <c r="J94" s="1389" t="s">
        <v>1077</v>
      </c>
      <c r="K94" s="381"/>
      <c r="L94" s="1390" t="e">
        <f>INT(L89*L91)</f>
        <v>#REF!</v>
      </c>
      <c r="M94" s="1391"/>
      <c r="N94" s="1390">
        <f>INT(N89*N91)</f>
        <v>0</v>
      </c>
      <c r="Q94" s="1361"/>
    </row>
    <row r="95" spans="1:14" ht="20.25">
      <c r="A95" s="447"/>
      <c r="B95" s="1408" t="s">
        <v>1078</v>
      </c>
      <c r="C95" s="447"/>
      <c r="D95" s="1778"/>
      <c r="E95" s="1778"/>
      <c r="F95" s="1778"/>
      <c r="G95" s="447"/>
      <c r="H95" s="1424"/>
      <c r="I95" s="381"/>
      <c r="J95" s="381"/>
      <c r="K95" s="381"/>
      <c r="L95" s="1391"/>
      <c r="M95" s="1391"/>
      <c r="N95" s="1391"/>
    </row>
    <row r="96" spans="1:14" ht="25.5" thickBot="1">
      <c r="A96" s="447"/>
      <c r="B96" s="1408" t="s">
        <v>1079</v>
      </c>
      <c r="C96" s="447"/>
      <c r="D96" s="1425"/>
      <c r="E96" s="385"/>
      <c r="F96" s="1426"/>
      <c r="G96" s="364"/>
      <c r="H96" s="384"/>
      <c r="I96" s="381"/>
      <c r="J96" s="1427" t="s">
        <v>1215</v>
      </c>
      <c r="K96" s="381"/>
      <c r="L96" s="1391"/>
      <c r="M96" s="1428" t="e">
        <f>L94+N94</f>
        <v>#REF!</v>
      </c>
      <c r="N96" s="1391"/>
    </row>
    <row r="97" spans="1:84" ht="21" thickTop="1">
      <c r="A97" s="447"/>
      <c r="B97" s="1408" t="s">
        <v>1080</v>
      </c>
      <c r="C97" s="447"/>
      <c r="D97" s="1429"/>
      <c r="E97" s="385"/>
      <c r="F97" s="1430"/>
      <c r="G97" s="447"/>
      <c r="H97" s="1424"/>
      <c r="I97" s="381"/>
      <c r="J97" s="381"/>
      <c r="K97" s="364"/>
      <c r="L97" s="381"/>
      <c r="M97" s="381"/>
      <c r="N97" s="381"/>
      <c r="Q97" s="371"/>
      <c r="R97" s="371"/>
      <c r="S97" s="371"/>
      <c r="T97" s="371"/>
      <c r="U97" s="371"/>
      <c r="V97" s="371"/>
      <c r="W97" s="371"/>
      <c r="BP97" s="371"/>
      <c r="BQ97" s="371"/>
      <c r="BR97" s="371"/>
      <c r="BS97" s="371"/>
      <c r="BT97" s="371"/>
      <c r="BU97" s="371"/>
      <c r="BV97" s="371"/>
      <c r="BW97" s="371"/>
      <c r="BX97" s="371"/>
      <c r="BY97" s="371"/>
      <c r="BZ97" s="371"/>
      <c r="CA97" s="371"/>
      <c r="CB97" s="371"/>
      <c r="CC97" s="371"/>
      <c r="CD97" s="371"/>
      <c r="CE97" s="371"/>
      <c r="CF97" s="371"/>
    </row>
    <row r="98" spans="1:14" ht="12.75">
      <c r="A98" s="447"/>
      <c r="B98" s="449"/>
      <c r="C98" s="447"/>
      <c r="D98" s="447"/>
      <c r="E98" s="447"/>
      <c r="F98" s="447"/>
      <c r="G98" s="447"/>
      <c r="H98" s="1424"/>
      <c r="I98" s="381"/>
      <c r="J98" s="381"/>
      <c r="K98" s="364"/>
      <c r="L98" s="364"/>
      <c r="M98" s="386"/>
      <c r="N98" s="381"/>
    </row>
    <row r="99" spans="1:14" ht="13.5" thickBot="1">
      <c r="A99" s="447"/>
      <c r="B99" s="449"/>
      <c r="C99" s="447"/>
      <c r="D99" s="447"/>
      <c r="E99" s="447"/>
      <c r="F99" s="447"/>
      <c r="G99" s="447"/>
      <c r="H99" s="384"/>
      <c r="I99" s="381"/>
      <c r="J99" s="381"/>
      <c r="K99" s="381"/>
      <c r="L99" s="381"/>
      <c r="M99" s="381"/>
      <c r="N99" s="381"/>
    </row>
    <row r="100" spans="2:14" ht="25.5" thickBot="1" thickTop="1">
      <c r="B100" s="1408" t="s">
        <v>1217</v>
      </c>
      <c r="C100" s="1325"/>
      <c r="D100" s="447"/>
      <c r="E100" s="447"/>
      <c r="F100" s="447"/>
      <c r="G100" s="447"/>
      <c r="H100" s="387">
        <f>IF(OR(D96=0,D96="",D97=0,D97=""),"",+H93/10/D97/D96)</f>
      </c>
      <c r="I100" s="381"/>
      <c r="J100" s="1431" t="str">
        <f>IF(OR(EligBasisLimits!C14="Y",EligBasisLimits!C14="YES",EligBasisLimits!C14="y",EligBasisLimits!C14="yes"),"Aggregate Basis Test","Carryover Test")</f>
        <v>Carryover Test</v>
      </c>
      <c r="K100" s="1432"/>
      <c r="L100" s="1433" t="e">
        <f>IF(J100="Carryover Test",INT(0.101*Carryover!G76),INT(0.501*SUM(Breakdown!F63:F67)))</f>
        <v>#REF!</v>
      </c>
      <c r="M100" s="363"/>
      <c r="N100" s="363"/>
    </row>
    <row r="101" spans="2:16" ht="21" thickTop="1">
      <c r="B101" s="1408"/>
      <c r="D101" s="363"/>
      <c r="E101" s="363"/>
      <c r="F101" s="363"/>
      <c r="G101" s="363"/>
      <c r="H101" s="1434"/>
      <c r="I101" s="381"/>
      <c r="J101" s="1435" t="s">
        <v>1687</v>
      </c>
      <c r="K101" s="381"/>
      <c r="L101" s="1685">
        <f>IF(OR(EligBasisLimits!$C$16=0,EligBasisLimits!$C$16=""),"",+(Breakdown!F77-H90-H91-F71-F72-F73-F74-F75-F76-H19-J19-L102)/EligBasisLimits!$C$16)</f>
      </c>
      <c r="M101" s="1123" t="s">
        <v>1688</v>
      </c>
      <c r="N101" s="1124"/>
      <c r="O101" s="1125"/>
      <c r="P101" s="1125"/>
    </row>
    <row r="102" spans="2:14" ht="20.25">
      <c r="B102" s="1408" t="e">
        <f>IF(OR(H100="",H100=0,H100&lt;M96),"","Funding Gap")</f>
        <v>#REF!</v>
      </c>
      <c r="D102" s="363"/>
      <c r="E102" s="363"/>
      <c r="F102" s="363"/>
      <c r="G102" s="363"/>
      <c r="H102" s="388" t="e">
        <f>IF(B102="Funding Gap",(H100-M96)*10*D96*D97,"")</f>
        <v>#REF!</v>
      </c>
      <c r="I102" s="381"/>
      <c r="J102" s="1435" t="s">
        <v>1689</v>
      </c>
      <c r="K102" s="381"/>
      <c r="L102" s="1685" t="e">
        <f>(IF(ISBLANK(F24),"0",(MIN(10000*EligBasisLimits!C16,F24,400000))))</f>
        <v>#VALUE!</v>
      </c>
      <c r="M102" s="363"/>
      <c r="N102" s="363"/>
    </row>
    <row r="103" spans="2:14" ht="21" thickBot="1">
      <c r="B103" s="389"/>
      <c r="C103" s="390"/>
      <c r="D103" s="390"/>
      <c r="E103" s="390"/>
      <c r="F103" s="391"/>
      <c r="G103" s="391"/>
      <c r="H103" s="392"/>
      <c r="J103" s="1436" t="s">
        <v>1084</v>
      </c>
      <c r="K103" s="1437"/>
      <c r="L103" s="1438">
        <f>IF(OR(EligBasisLimits!$C$16=0,EligBasisLimits!$C$16=""),"",SUM(F18:F35)/EligBasisLimits!$C$16)</f>
      </c>
      <c r="N103" s="395"/>
    </row>
    <row r="104" spans="7:14" ht="8.25" customHeight="1" thickTop="1">
      <c r="G104" s="394"/>
      <c r="H104" s="394"/>
      <c r="J104" s="395"/>
      <c r="N104" s="395"/>
    </row>
    <row r="105" spans="7:10" ht="12.75">
      <c r="G105" s="394"/>
      <c r="H105" s="394"/>
      <c r="J105" s="395"/>
    </row>
    <row r="106" spans="7:10" ht="12.75">
      <c r="G106" s="394"/>
      <c r="H106" s="394"/>
      <c r="J106" s="395"/>
    </row>
    <row r="107" spans="7:10" ht="12.75">
      <c r="G107" s="394"/>
      <c r="H107" s="394"/>
      <c r="J107" s="395"/>
    </row>
    <row r="108" ht="12.75">
      <c r="J108" s="395"/>
    </row>
    <row r="109" spans="7:10" ht="12.75">
      <c r="G109" s="394"/>
      <c r="H109" s="394"/>
      <c r="J109" s="395"/>
    </row>
    <row r="110" spans="7:8" ht="12.75">
      <c r="G110" s="394"/>
      <c r="H110" s="394"/>
    </row>
    <row r="111" spans="7:8" ht="12.75">
      <c r="G111" s="394"/>
      <c r="H111" s="394"/>
    </row>
    <row r="112" spans="7:8" ht="12.75">
      <c r="G112" s="394"/>
      <c r="H112" s="394"/>
    </row>
    <row r="113" spans="7:8" ht="12.75">
      <c r="G113" s="394"/>
      <c r="H113" s="394"/>
    </row>
    <row r="114" spans="7:15" ht="12.75">
      <c r="G114" s="394"/>
      <c r="H114" s="394"/>
      <c r="O114" s="371"/>
    </row>
    <row r="115" spans="7:15" ht="12.75">
      <c r="G115" s="394"/>
      <c r="H115" s="394"/>
      <c r="O115" s="371"/>
    </row>
    <row r="116" spans="7:15" ht="12.75">
      <c r="G116" s="394"/>
      <c r="H116" s="394"/>
      <c r="M116" s="393"/>
      <c r="O116" s="371"/>
    </row>
    <row r="117" spans="7:15" ht="12.75">
      <c r="G117" s="394"/>
      <c r="H117" s="394"/>
      <c r="M117" s="393"/>
      <c r="O117" s="371"/>
    </row>
    <row r="118" spans="7:15" ht="12.75">
      <c r="G118" s="394"/>
      <c r="H118" s="394"/>
      <c r="M118" s="393"/>
      <c r="O118" s="371"/>
    </row>
    <row r="119" spans="7:15" ht="12.75">
      <c r="G119" s="394"/>
      <c r="H119" s="394"/>
      <c r="M119" s="393"/>
      <c r="O119" s="371"/>
    </row>
    <row r="120" spans="13:15" ht="12.75">
      <c r="M120" s="393"/>
      <c r="O120" s="371"/>
    </row>
    <row r="121" spans="7:8" ht="12.75">
      <c r="G121" s="394"/>
      <c r="H121" s="394"/>
    </row>
    <row r="122" ht="12.75">
      <c r="M122" s="393"/>
    </row>
    <row r="123" spans="7:8" ht="12.75">
      <c r="G123" s="394"/>
      <c r="H123" s="394"/>
    </row>
    <row r="124" spans="7:8" ht="12.75">
      <c r="G124" s="394"/>
      <c r="H124" s="394"/>
    </row>
    <row r="125" spans="7:8" ht="12.75">
      <c r="G125" s="394"/>
      <c r="H125" s="394"/>
    </row>
    <row r="126" spans="7:8" ht="12.75">
      <c r="G126" s="394"/>
      <c r="H126" s="394"/>
    </row>
    <row r="127" spans="7:8" ht="12.75">
      <c r="G127" s="394"/>
      <c r="H127" s="394"/>
    </row>
    <row r="128" spans="7:15" ht="12.75">
      <c r="G128" s="394"/>
      <c r="H128" s="394"/>
      <c r="O128" s="371"/>
    </row>
    <row r="129" spans="4:15" ht="12.75">
      <c r="D129" s="371"/>
      <c r="E129" s="371"/>
      <c r="M129" s="393"/>
      <c r="O129" s="371"/>
    </row>
    <row r="130" spans="4:15" ht="12.75">
      <c r="D130" s="371"/>
      <c r="E130" s="371"/>
      <c r="M130" s="393"/>
      <c r="O130" s="371"/>
    </row>
    <row r="131" spans="4:15" ht="12.75">
      <c r="D131" s="371"/>
      <c r="E131" s="371"/>
      <c r="M131" s="393"/>
      <c r="O131" s="371"/>
    </row>
    <row r="132" spans="4:15" ht="12.75">
      <c r="D132" s="371"/>
      <c r="E132" s="371"/>
      <c r="M132" s="393"/>
      <c r="O132" s="371"/>
    </row>
    <row r="133" spans="4:15" ht="12.75">
      <c r="D133" s="371"/>
      <c r="E133" s="371"/>
      <c r="M133" s="393"/>
      <c r="O133" s="371"/>
    </row>
    <row r="134" spans="4:15" ht="12.75">
      <c r="D134" s="371"/>
      <c r="E134" s="371"/>
      <c r="M134" s="393"/>
      <c r="O134" s="371"/>
    </row>
    <row r="135" spans="7:8" ht="12.75">
      <c r="G135" s="394"/>
      <c r="H135" s="394"/>
    </row>
    <row r="136" spans="4:15" ht="12.75">
      <c r="D136" s="371"/>
      <c r="E136" s="371"/>
      <c r="M136" s="393"/>
      <c r="O136" s="371"/>
    </row>
    <row r="137" spans="4:15" ht="12.75">
      <c r="D137" s="371"/>
      <c r="E137" s="371"/>
      <c r="M137" s="393"/>
      <c r="O137" s="371"/>
    </row>
    <row r="138" spans="4:15" ht="12.75">
      <c r="D138" s="371"/>
      <c r="E138" s="371"/>
      <c r="M138" s="393"/>
      <c r="O138" s="371"/>
    </row>
  </sheetData>
  <sheetProtection password="EE60" sheet="1"/>
  <mergeCells count="9">
    <mergeCell ref="B90:C90"/>
    <mergeCell ref="B91:C91"/>
    <mergeCell ref="D95:F95"/>
    <mergeCell ref="C5:D5"/>
    <mergeCell ref="C6:D6"/>
    <mergeCell ref="C7:D7"/>
    <mergeCell ref="B86:C86"/>
    <mergeCell ref="B88:C88"/>
    <mergeCell ref="B89:C89"/>
  </mergeCells>
  <printOptions horizontalCentered="1" verticalCentered="1"/>
  <pageMargins left="0.25" right="0.25" top="0.5" bottom="0.25" header="0.25" footer="0.25"/>
  <pageSetup fitToHeight="1" fitToWidth="1" horizontalDpi="600" verticalDpi="600" orientation="portrait" paperSize="5" scale="41" r:id="rId1"/>
  <headerFooter alignWithMargins="0">
    <oddHeader>&amp;L&amp;16&amp;YUnified Application for Housing Production Programs&amp;R&amp;16&amp;Yrevised - &amp;D</oddHeader>
  </headerFooter>
</worksheet>
</file>

<file path=xl/worksheets/sheet14.xml><?xml version="1.0" encoding="utf-8"?>
<worksheet xmlns="http://schemas.openxmlformats.org/spreadsheetml/2006/main" xmlns:r="http://schemas.openxmlformats.org/officeDocument/2006/relationships">
  <sheetPr codeName="Sheet7"/>
  <dimension ref="A2:IS138"/>
  <sheetViews>
    <sheetView showGridLines="0" zoomScale="70" zoomScaleNormal="70" zoomScalePageLayoutView="0" workbookViewId="0" topLeftCell="A1">
      <selection activeCell="B3" sqref="B3"/>
    </sheetView>
  </sheetViews>
  <sheetFormatPr defaultColWidth="7.99609375" defaultRowHeight="15"/>
  <cols>
    <col min="1" max="1" width="9.5546875" style="399" customWidth="1"/>
    <col min="2" max="2" width="14.6640625" style="400" customWidth="1"/>
    <col min="3" max="3" width="16.3359375" style="400" customWidth="1"/>
    <col min="4" max="4" width="11.5546875" style="400" customWidth="1"/>
    <col min="5" max="5" width="19.99609375" style="1460" customWidth="1"/>
    <col min="6" max="6" width="8.3359375" style="417" customWidth="1"/>
    <col min="7" max="7" width="19.99609375" style="417" customWidth="1"/>
    <col min="8" max="8" width="8.3359375" style="417" customWidth="1"/>
    <col min="9" max="9" width="19.99609375" style="1460" customWidth="1"/>
    <col min="10" max="10" width="4.88671875" style="399" customWidth="1"/>
    <col min="11" max="11" width="9.3359375" style="399" customWidth="1"/>
    <col min="12" max="12" width="17.21484375" style="399" customWidth="1"/>
    <col min="13" max="13" width="28.88671875" style="399" customWidth="1"/>
    <col min="14" max="14" width="2.88671875" style="399" customWidth="1"/>
    <col min="15" max="15" width="24.6640625" style="399" customWidth="1"/>
    <col min="16" max="16" width="7.99609375" style="399" hidden="1" customWidth="1"/>
    <col min="17" max="17" width="7.99609375" style="399" customWidth="1"/>
    <col min="18" max="18" width="15.3359375" style="399" customWidth="1"/>
    <col min="19" max="23" width="7.99609375" style="399" customWidth="1"/>
    <col min="24" max="24" width="12.21484375" style="399" customWidth="1"/>
    <col min="25" max="25" width="10.5546875" style="399" customWidth="1"/>
    <col min="26" max="26" width="8.99609375" style="399" customWidth="1"/>
    <col min="27" max="27" width="12.99609375" style="399" customWidth="1"/>
    <col min="28" max="28" width="9.10546875" style="399" customWidth="1"/>
    <col min="29" max="29" width="9.99609375" style="399" customWidth="1"/>
    <col min="30" max="30" width="12.5546875" style="399" customWidth="1"/>
    <col min="31" max="51" width="7.99609375" style="399" customWidth="1"/>
    <col min="52" max="16384" width="7.99609375" style="400" customWidth="1"/>
  </cols>
  <sheetData>
    <row r="2" spans="1:9" ht="24" customHeight="1">
      <c r="A2" s="396"/>
      <c r="B2" s="397" t="s">
        <v>1721</v>
      </c>
      <c r="C2" s="398"/>
      <c r="D2" s="1439"/>
      <c r="E2" s="1440"/>
      <c r="F2" s="399"/>
      <c r="G2" s="399"/>
      <c r="H2" s="399"/>
      <c r="I2" s="399"/>
    </row>
    <row r="3" spans="1:9" ht="24" customHeight="1">
      <c r="A3" s="396"/>
      <c r="B3" s="398"/>
      <c r="C3" s="398"/>
      <c r="D3" s="398"/>
      <c r="E3" s="401"/>
      <c r="F3" s="399"/>
      <c r="G3" s="399"/>
      <c r="H3" s="399"/>
      <c r="I3" s="399"/>
    </row>
    <row r="4" spans="1:9" ht="24" customHeight="1">
      <c r="A4" s="396"/>
      <c r="B4" s="398"/>
      <c r="C4" s="398"/>
      <c r="D4" s="398"/>
      <c r="E4" s="401"/>
      <c r="F4" s="399"/>
      <c r="G4" s="399"/>
      <c r="H4" s="399"/>
      <c r="I4" s="399"/>
    </row>
    <row r="5" spans="1:9" ht="24" customHeight="1">
      <c r="A5" s="396"/>
      <c r="B5" s="402" t="s">
        <v>1002</v>
      </c>
      <c r="C5" s="403">
        <f>IF(Breakdown!C5="","",Breakdown!C5)</f>
        <v>0</v>
      </c>
      <c r="D5" s="399"/>
      <c r="E5" s="399"/>
      <c r="F5" s="399"/>
      <c r="G5" s="399"/>
      <c r="H5" s="399"/>
      <c r="I5" s="399"/>
    </row>
    <row r="6" spans="1:9" ht="24" customHeight="1">
      <c r="A6" s="396"/>
      <c r="B6" s="404" t="s">
        <v>951</v>
      </c>
      <c r="C6" s="403">
        <f>+Breakdown!C6</f>
        <v>0</v>
      </c>
      <c r="D6" s="399"/>
      <c r="E6" s="399"/>
      <c r="F6" s="399"/>
      <c r="G6" s="399"/>
      <c r="H6" s="399"/>
      <c r="I6" s="399"/>
    </row>
    <row r="7" spans="1:9" ht="24" customHeight="1">
      <c r="A7" s="396"/>
      <c r="B7" s="404" t="s">
        <v>954</v>
      </c>
      <c r="C7" s="403">
        <f>+Breakdown!C7</f>
        <v>0</v>
      </c>
      <c r="D7" s="399"/>
      <c r="E7" s="399"/>
      <c r="F7" s="399"/>
      <c r="G7" s="399"/>
      <c r="H7" s="399"/>
      <c r="I7" s="399"/>
    </row>
    <row r="8" spans="1:83" ht="12.75">
      <c r="A8" s="396"/>
      <c r="B8" s="405"/>
      <c r="C8" s="405"/>
      <c r="D8" s="398"/>
      <c r="E8" s="1440"/>
      <c r="F8" s="1440"/>
      <c r="G8" s="400"/>
      <c r="H8" s="400"/>
      <c r="I8" s="1440"/>
      <c r="BO8" s="406"/>
      <c r="BP8" s="406"/>
      <c r="BQ8" s="406"/>
      <c r="BR8" s="406"/>
      <c r="BS8" s="406"/>
      <c r="BT8" s="406"/>
      <c r="BU8" s="406"/>
      <c r="BV8" s="406"/>
      <c r="BW8" s="406"/>
      <c r="BX8" s="406"/>
      <c r="BY8" s="406"/>
      <c r="BZ8" s="406"/>
      <c r="CA8" s="406"/>
      <c r="CB8" s="406"/>
      <c r="CC8" s="406"/>
      <c r="CD8" s="406"/>
      <c r="CE8" s="406"/>
    </row>
    <row r="9" spans="7:9" s="399" customFormat="1" ht="23.25" customHeight="1">
      <c r="G9" s="407"/>
      <c r="I9" s="1441" t="s">
        <v>791</v>
      </c>
    </row>
    <row r="10" spans="1:9" ht="18">
      <c r="A10" s="1442"/>
      <c r="B10" s="408"/>
      <c r="C10" s="409" t="s">
        <v>1414</v>
      </c>
      <c r="D10" s="409"/>
      <c r="E10" s="1441" t="s">
        <v>1007</v>
      </c>
      <c r="F10" s="1441"/>
      <c r="G10" s="1441" t="s">
        <v>1085</v>
      </c>
      <c r="H10" s="1441"/>
      <c r="I10" s="1441" t="s">
        <v>1086</v>
      </c>
    </row>
    <row r="11" spans="1:9" ht="18">
      <c r="A11" s="1442"/>
      <c r="B11" s="408"/>
      <c r="C11" s="408"/>
      <c r="D11" s="410"/>
      <c r="E11" s="1441" t="s">
        <v>790</v>
      </c>
      <c r="F11" s="1441"/>
      <c r="G11" s="1441" t="s">
        <v>1087</v>
      </c>
      <c r="H11" s="1441"/>
      <c r="I11" s="1443"/>
    </row>
    <row r="12" spans="1:9" ht="18">
      <c r="A12" s="396"/>
      <c r="B12" s="411" t="s">
        <v>1014</v>
      </c>
      <c r="C12" s="398"/>
      <c r="D12" s="405"/>
      <c r="E12" s="1440"/>
      <c r="F12" s="1440"/>
      <c r="G12" s="1440"/>
      <c r="H12" s="1440"/>
      <c r="I12" s="1440"/>
    </row>
    <row r="13" spans="1:9" ht="18">
      <c r="A13" s="396"/>
      <c r="B13" s="411" t="s">
        <v>1015</v>
      </c>
      <c r="C13" s="398"/>
      <c r="D13" s="405"/>
      <c r="E13" s="1444">
        <f>+Breakdown!F13</f>
        <v>0</v>
      </c>
      <c r="F13" s="1445"/>
      <c r="G13" s="1444">
        <f>IF(OR(E13="",E13=0),"",Breakdown!F13-Breakdown!H13)</f>
      </c>
      <c r="H13" s="1445"/>
      <c r="I13" s="1443"/>
    </row>
    <row r="14" spans="1:9" ht="18">
      <c r="A14" s="396"/>
      <c r="B14" s="411" t="s">
        <v>1016</v>
      </c>
      <c r="C14" s="398"/>
      <c r="D14" s="405"/>
      <c r="E14" s="1444">
        <f>+Breakdown!F14</f>
        <v>0</v>
      </c>
      <c r="F14" s="1445"/>
      <c r="G14" s="1444">
        <f>IF(OR(E14="",E14=0),"",Breakdown!F14-Breakdown!H14)</f>
      </c>
      <c r="H14" s="1445"/>
      <c r="I14" s="1443"/>
    </row>
    <row r="15" spans="1:9" ht="18">
      <c r="A15" s="396"/>
      <c r="B15" s="411" t="s">
        <v>1017</v>
      </c>
      <c r="C15" s="1446">
        <f>IF(Breakdown!C15="","",Breakdown!C15)</f>
      </c>
      <c r="D15" s="412"/>
      <c r="E15" s="1444">
        <f>+Breakdown!F15</f>
        <v>0</v>
      </c>
      <c r="F15" s="1445"/>
      <c r="G15" s="1444">
        <f>IF(OR(E15="",E15=0),"",Breakdown!F15-Breakdown!H15)</f>
      </c>
      <c r="H15" s="1445"/>
      <c r="I15" s="1443"/>
    </row>
    <row r="16" spans="1:9" ht="15">
      <c r="A16" s="396"/>
      <c r="B16" s="398"/>
      <c r="C16" s="398"/>
      <c r="D16" s="398"/>
      <c r="E16" s="1445"/>
      <c r="F16" s="1445"/>
      <c r="G16" s="1445"/>
      <c r="H16" s="1445"/>
      <c r="I16" s="1445"/>
    </row>
    <row r="17" spans="1:9" ht="18">
      <c r="A17" s="396"/>
      <c r="B17" s="411" t="s">
        <v>1018</v>
      </c>
      <c r="C17" s="398"/>
      <c r="D17" s="398"/>
      <c r="E17" s="1445"/>
      <c r="F17" s="1445"/>
      <c r="G17" s="1445"/>
      <c r="H17" s="1445"/>
      <c r="I17" s="1445"/>
    </row>
    <row r="18" spans="1:9" ht="18">
      <c r="A18" s="396"/>
      <c r="B18" s="411" t="s">
        <v>1019</v>
      </c>
      <c r="C18" s="398"/>
      <c r="D18" s="405"/>
      <c r="E18" s="1444">
        <f>+Breakdown!F18</f>
        <v>0</v>
      </c>
      <c r="F18" s="1445"/>
      <c r="G18" s="1444">
        <f>+E18</f>
        <v>0</v>
      </c>
      <c r="H18" s="1445"/>
      <c r="I18" s="1443"/>
    </row>
    <row r="19" spans="1:9" ht="18">
      <c r="A19" s="396"/>
      <c r="B19" s="411" t="s">
        <v>1020</v>
      </c>
      <c r="C19" s="398"/>
      <c r="D19" s="405"/>
      <c r="E19" s="1444">
        <f>+Breakdown!F19</f>
        <v>0</v>
      </c>
      <c r="F19" s="1445"/>
      <c r="G19" s="1444">
        <f>IF(OR(E19="",E19=0),"",Breakdown!F19-Breakdown!H19)</f>
      </c>
      <c r="H19" s="1445"/>
      <c r="I19" s="1443"/>
    </row>
    <row r="20" spans="1:9" ht="18">
      <c r="A20" s="396"/>
      <c r="B20" s="411" t="s">
        <v>1021</v>
      </c>
      <c r="C20" s="398"/>
      <c r="D20" s="405"/>
      <c r="E20" s="1444">
        <f>+Breakdown!F20</f>
        <v>0</v>
      </c>
      <c r="F20" s="1445"/>
      <c r="G20" s="1444">
        <f>IF(OR(E20="",E20=0),"",Breakdown!F20-Breakdown!H20)</f>
      </c>
      <c r="H20" s="1445"/>
      <c r="I20" s="1443"/>
    </row>
    <row r="21" spans="1:9" ht="18">
      <c r="A21" s="396"/>
      <c r="B21" s="411" t="s">
        <v>1022</v>
      </c>
      <c r="C21" s="398"/>
      <c r="D21" s="405"/>
      <c r="E21" s="1444">
        <f>+Breakdown!F21</f>
        <v>0</v>
      </c>
      <c r="F21" s="1445"/>
      <c r="G21" s="1444">
        <f>IF(OR(E21="",E21=0),"",Breakdown!F21-Breakdown!H21)</f>
      </c>
      <c r="H21" s="1445"/>
      <c r="I21" s="1443"/>
    </row>
    <row r="22" spans="1:9" ht="18">
      <c r="A22" s="396"/>
      <c r="B22" s="411" t="s">
        <v>1023</v>
      </c>
      <c r="C22" s="398"/>
      <c r="D22" s="405"/>
      <c r="E22" s="1444">
        <f>+Breakdown!F22</f>
        <v>0</v>
      </c>
      <c r="F22" s="1445"/>
      <c r="G22" s="1444">
        <f>IF(OR(E22="",E22=0),"",Breakdown!F22-Breakdown!H22)</f>
      </c>
      <c r="H22" s="1445"/>
      <c r="I22" s="1443"/>
    </row>
    <row r="23" spans="1:9" ht="18">
      <c r="A23" s="396"/>
      <c r="B23" s="411" t="s">
        <v>1024</v>
      </c>
      <c r="C23" s="398"/>
      <c r="D23" s="405"/>
      <c r="E23" s="1444">
        <f>+Breakdown!F23</f>
        <v>0</v>
      </c>
      <c r="F23" s="1445"/>
      <c r="G23" s="1444">
        <f>IF(OR(E23="",E23=0),"",Breakdown!F23-Breakdown!H23)</f>
      </c>
      <c r="H23" s="1445"/>
      <c r="I23" s="1443"/>
    </row>
    <row r="24" spans="1:9" ht="18">
      <c r="A24" s="396"/>
      <c r="B24" s="1278" t="s">
        <v>1231</v>
      </c>
      <c r="C24" s="398"/>
      <c r="D24" s="405"/>
      <c r="E24" s="1444">
        <f>+Breakdown!F24</f>
        <v>0</v>
      </c>
      <c r="F24" s="1445"/>
      <c r="G24" s="1444">
        <f>IF(OR(E24="",E24=0),"",Breakdown!F24-Breakdown!H24)</f>
      </c>
      <c r="H24" s="1445"/>
      <c r="I24" s="1443"/>
    </row>
    <row r="25" spans="1:9" ht="18">
      <c r="A25" s="396"/>
      <c r="B25" s="1278" t="s">
        <v>1232</v>
      </c>
      <c r="C25" s="398"/>
      <c r="D25" s="405"/>
      <c r="E25" s="1444">
        <f>+Breakdown!F25</f>
        <v>0</v>
      </c>
      <c r="F25" s="1445"/>
      <c r="G25" s="1444">
        <f>IF(OR(E25="",E25=0),"",Breakdown!F25-Breakdown!H25)</f>
      </c>
      <c r="H25" s="1445"/>
      <c r="I25" s="1443"/>
    </row>
    <row r="26" spans="1:9" ht="18">
      <c r="A26" s="396"/>
      <c r="B26" s="1447" t="s">
        <v>1259</v>
      </c>
      <c r="C26" s="1448"/>
      <c r="D26" s="398"/>
      <c r="E26" s="1444" t="e">
        <f>+Breakdown!F26</f>
        <v>#REF!</v>
      </c>
      <c r="F26" s="1445"/>
      <c r="G26" s="1444" t="e">
        <f>IF(OR(E26="",E26=0),"",Breakdown!F26-Breakdown!H26)</f>
        <v>#REF!</v>
      </c>
      <c r="H26" s="1445"/>
      <c r="I26" s="1443"/>
    </row>
    <row r="27" spans="1:9" ht="18">
      <c r="A27" s="396"/>
      <c r="B27" s="1447" t="s">
        <v>996</v>
      </c>
      <c r="C27" s="1448"/>
      <c r="D27" s="398"/>
      <c r="E27" s="1444">
        <f>+Breakdown!F27</f>
        <v>0</v>
      </c>
      <c r="F27" s="1445"/>
      <c r="G27" s="1444">
        <f>IF(OR(E27="",E27=0),"",Breakdown!F27-Breakdown!H27)</f>
      </c>
      <c r="H27" s="1445"/>
      <c r="I27" s="1443"/>
    </row>
    <row r="28" spans="1:9" ht="18">
      <c r="A28" s="396"/>
      <c r="B28" s="411" t="s">
        <v>1017</v>
      </c>
      <c r="C28" s="1446">
        <f>IF(Breakdown!C28="","",Breakdown!C28)</f>
      </c>
      <c r="D28" s="398"/>
      <c r="E28" s="1444">
        <f>+Breakdown!F28</f>
        <v>0</v>
      </c>
      <c r="F28" s="1445"/>
      <c r="G28" s="1444">
        <f>IF(OR(E28="",E28=0),"",Breakdown!F27-Breakdown!H27)</f>
      </c>
      <c r="H28" s="1445"/>
      <c r="I28" s="1443"/>
    </row>
    <row r="29" spans="1:9" ht="15">
      <c r="A29" s="396"/>
      <c r="B29" s="398"/>
      <c r="C29" s="398"/>
      <c r="D29" s="405"/>
      <c r="E29" s="1445"/>
      <c r="F29" s="1445"/>
      <c r="G29" s="1445"/>
      <c r="H29" s="1445"/>
      <c r="I29" s="1445"/>
    </row>
    <row r="30" spans="1:9" ht="18">
      <c r="A30" s="396"/>
      <c r="B30" s="411" t="s">
        <v>1025</v>
      </c>
      <c r="C30" s="398"/>
      <c r="D30" s="405"/>
      <c r="E30" s="1445"/>
      <c r="F30" s="1445"/>
      <c r="G30" s="1445"/>
      <c r="H30" s="1445"/>
      <c r="I30" s="1445"/>
    </row>
    <row r="31" spans="1:253" ht="18">
      <c r="A31" s="396"/>
      <c r="B31" s="411" t="s">
        <v>1026</v>
      </c>
      <c r="C31" s="405"/>
      <c r="D31" s="405"/>
      <c r="E31" s="1444">
        <f>+Breakdown!F31</f>
        <v>0</v>
      </c>
      <c r="F31" s="1445"/>
      <c r="G31" s="1444">
        <f>IF(OR(E31="",E31=0),"",Breakdown!F31-Breakdown!H31)</f>
      </c>
      <c r="H31" s="1445"/>
      <c r="I31" s="1444"/>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406"/>
      <c r="CO31" s="406"/>
      <c r="CP31" s="406"/>
      <c r="CQ31" s="406"/>
      <c r="CR31" s="406"/>
      <c r="CS31" s="406"/>
      <c r="CT31" s="406"/>
      <c r="CU31" s="406"/>
      <c r="CV31" s="406"/>
      <c r="CW31" s="406"/>
      <c r="CX31" s="406"/>
      <c r="CY31" s="406"/>
      <c r="CZ31" s="406"/>
      <c r="DA31" s="406"/>
      <c r="DB31" s="406"/>
      <c r="DC31" s="406"/>
      <c r="DD31" s="406"/>
      <c r="DE31" s="406"/>
      <c r="DF31" s="406"/>
      <c r="DG31" s="406"/>
      <c r="DH31" s="406"/>
      <c r="DI31" s="406"/>
      <c r="DJ31" s="406"/>
      <c r="DK31" s="406"/>
      <c r="DL31" s="406"/>
      <c r="DM31" s="406"/>
      <c r="DN31" s="406"/>
      <c r="DO31" s="406"/>
      <c r="DP31" s="406"/>
      <c r="DQ31" s="406"/>
      <c r="DR31" s="406"/>
      <c r="DS31" s="406"/>
      <c r="DT31" s="406"/>
      <c r="DU31" s="406"/>
      <c r="DV31" s="406"/>
      <c r="DW31" s="406"/>
      <c r="DX31" s="406"/>
      <c r="DY31" s="406"/>
      <c r="DZ31" s="406"/>
      <c r="EA31" s="406"/>
      <c r="EB31" s="406"/>
      <c r="EC31" s="406"/>
      <c r="ED31" s="406"/>
      <c r="EE31" s="406"/>
      <c r="EF31" s="406"/>
      <c r="EG31" s="406"/>
      <c r="EH31" s="406"/>
      <c r="EI31" s="406"/>
      <c r="EJ31" s="406"/>
      <c r="EK31" s="406"/>
      <c r="EL31" s="406"/>
      <c r="EM31" s="406"/>
      <c r="EN31" s="406"/>
      <c r="EO31" s="406"/>
      <c r="EP31" s="406"/>
      <c r="EQ31" s="406"/>
      <c r="ER31" s="406"/>
      <c r="ES31" s="406"/>
      <c r="ET31" s="406"/>
      <c r="EU31" s="406"/>
      <c r="EV31" s="406"/>
      <c r="EW31" s="406"/>
      <c r="EX31" s="406"/>
      <c r="EY31" s="406"/>
      <c r="EZ31" s="406"/>
      <c r="FA31" s="406"/>
      <c r="FB31" s="406"/>
      <c r="FC31" s="406"/>
      <c r="FD31" s="406"/>
      <c r="FE31" s="406"/>
      <c r="FF31" s="406"/>
      <c r="FG31" s="406"/>
      <c r="FH31" s="406"/>
      <c r="FI31" s="406"/>
      <c r="FJ31" s="406"/>
      <c r="FK31" s="406"/>
      <c r="FL31" s="406"/>
      <c r="FM31" s="406"/>
      <c r="FN31" s="406"/>
      <c r="FO31" s="406"/>
      <c r="FP31" s="406"/>
      <c r="FQ31" s="406"/>
      <c r="FR31" s="406"/>
      <c r="FS31" s="406"/>
      <c r="FT31" s="406"/>
      <c r="FU31" s="406"/>
      <c r="FV31" s="406"/>
      <c r="FW31" s="406"/>
      <c r="FX31" s="406"/>
      <c r="FY31" s="406"/>
      <c r="FZ31" s="406"/>
      <c r="GA31" s="406"/>
      <c r="GB31" s="406"/>
      <c r="GC31" s="406"/>
      <c r="GD31" s="406"/>
      <c r="GE31" s="406"/>
      <c r="GF31" s="406"/>
      <c r="GG31" s="406"/>
      <c r="GH31" s="406"/>
      <c r="GI31" s="406"/>
      <c r="GJ31" s="406"/>
      <c r="GK31" s="406"/>
      <c r="GL31" s="406"/>
      <c r="GM31" s="406"/>
      <c r="GN31" s="406"/>
      <c r="GO31" s="406"/>
      <c r="GP31" s="406"/>
      <c r="GQ31" s="406"/>
      <c r="GR31" s="406"/>
      <c r="GS31" s="406"/>
      <c r="GT31" s="406"/>
      <c r="GU31" s="406"/>
      <c r="GV31" s="406"/>
      <c r="GW31" s="406"/>
      <c r="GX31" s="406"/>
      <c r="GY31" s="406"/>
      <c r="GZ31" s="406"/>
      <c r="HA31" s="406"/>
      <c r="HB31" s="406"/>
      <c r="HC31" s="406"/>
      <c r="HD31" s="406"/>
      <c r="HE31" s="406"/>
      <c r="HF31" s="406"/>
      <c r="HG31" s="406"/>
      <c r="HH31" s="406"/>
      <c r="HI31" s="406"/>
      <c r="HJ31" s="406"/>
      <c r="HK31" s="406"/>
      <c r="HL31" s="406"/>
      <c r="HM31" s="406"/>
      <c r="HN31" s="406"/>
      <c r="HO31" s="406"/>
      <c r="HP31" s="406"/>
      <c r="HQ31" s="406"/>
      <c r="HR31" s="406"/>
      <c r="HS31" s="406"/>
      <c r="HT31" s="406"/>
      <c r="HU31" s="406"/>
      <c r="HV31" s="406"/>
      <c r="HW31" s="406"/>
      <c r="HX31" s="406"/>
      <c r="HY31" s="406"/>
      <c r="HZ31" s="406"/>
      <c r="IA31" s="406"/>
      <c r="IB31" s="406"/>
      <c r="IC31" s="406"/>
      <c r="ID31" s="406"/>
      <c r="IE31" s="406"/>
      <c r="IF31" s="406"/>
      <c r="IG31" s="406"/>
      <c r="IH31" s="406"/>
      <c r="II31" s="406"/>
      <c r="IJ31" s="406"/>
      <c r="IK31" s="406"/>
      <c r="IL31" s="406"/>
      <c r="IM31" s="406"/>
      <c r="IN31" s="406"/>
      <c r="IO31" s="406"/>
      <c r="IP31" s="406"/>
      <c r="IQ31" s="406"/>
      <c r="IR31" s="406"/>
      <c r="IS31" s="406"/>
    </row>
    <row r="32" spans="1:9" ht="18">
      <c r="A32" s="396"/>
      <c r="B32" s="411" t="s">
        <v>1027</v>
      </c>
      <c r="C32" s="398"/>
      <c r="D32" s="405"/>
      <c r="E32" s="1444">
        <f>+Breakdown!F32</f>
        <v>0</v>
      </c>
      <c r="F32" s="1445"/>
      <c r="G32" s="1444">
        <f>IF(OR(E32="",E32=0),"",Breakdown!F32-Breakdown!H32)</f>
      </c>
      <c r="H32" s="1445"/>
      <c r="I32" s="1443"/>
    </row>
    <row r="33" spans="1:9" ht="18">
      <c r="A33" s="396"/>
      <c r="B33" s="411"/>
      <c r="C33" s="398"/>
      <c r="D33" s="405"/>
      <c r="E33" s="399"/>
      <c r="F33" s="399"/>
      <c r="G33" s="399"/>
      <c r="H33" s="399"/>
      <c r="I33" s="399"/>
    </row>
    <row r="34" spans="1:9" ht="18">
      <c r="A34" s="396"/>
      <c r="B34" s="411" t="s">
        <v>1028</v>
      </c>
      <c r="C34" s="398"/>
      <c r="D34" s="405"/>
      <c r="E34" s="399"/>
      <c r="F34" s="399"/>
      <c r="G34" s="399"/>
      <c r="H34" s="399"/>
      <c r="I34" s="399"/>
    </row>
    <row r="35" spans="1:9" ht="18">
      <c r="A35" s="396"/>
      <c r="B35" s="413" t="s">
        <v>1088</v>
      </c>
      <c r="C35" s="1449"/>
      <c r="D35" s="405"/>
      <c r="E35" s="1444">
        <f>+Breakdown!F35</f>
        <v>0</v>
      </c>
      <c r="F35" s="1445"/>
      <c r="G35" s="1444">
        <f>IF(OR(E35="",E35=0),"",Breakdown!F35-Breakdown!H35)</f>
      </c>
      <c r="H35" s="1445"/>
      <c r="I35" s="1443"/>
    </row>
    <row r="36" spans="1:9" ht="18">
      <c r="A36" s="396"/>
      <c r="B36" s="413" t="s">
        <v>1030</v>
      </c>
      <c r="C36" s="1449"/>
      <c r="D36" s="405"/>
      <c r="E36" s="1444">
        <f>+Breakdown!F36</f>
        <v>0</v>
      </c>
      <c r="F36" s="1445"/>
      <c r="G36" s="1444">
        <f>IF(OR(E36="",E36=0),"",Breakdown!F36-Breakdown!H36)</f>
      </c>
      <c r="H36" s="1445"/>
      <c r="I36" s="1443"/>
    </row>
    <row r="37" spans="1:9" ht="15">
      <c r="A37" s="396"/>
      <c r="B37" s="398"/>
      <c r="C37" s="398"/>
      <c r="D37" s="405"/>
      <c r="E37" s="1445"/>
      <c r="F37" s="1445"/>
      <c r="G37" s="1450"/>
      <c r="H37" s="1445"/>
      <c r="I37" s="1450"/>
    </row>
    <row r="38" spans="1:9" ht="18">
      <c r="A38" s="396"/>
      <c r="B38" s="411" t="s">
        <v>1031</v>
      </c>
      <c r="C38" s="398"/>
      <c r="D38" s="405"/>
      <c r="E38" s="1445"/>
      <c r="F38" s="1445"/>
      <c r="G38" s="1450"/>
      <c r="H38" s="1445"/>
      <c r="I38" s="1450"/>
    </row>
    <row r="39" spans="1:9" ht="18">
      <c r="A39" s="396"/>
      <c r="B39" s="411" t="s">
        <v>1032</v>
      </c>
      <c r="C39" s="398"/>
      <c r="D39" s="405"/>
      <c r="E39" s="1444">
        <f>+Breakdown!F39</f>
        <v>0</v>
      </c>
      <c r="F39" s="1445"/>
      <c r="G39" s="1444">
        <f>IF(OR(E39="",E39=0),"",Breakdown!F39-Breakdown!H39)</f>
      </c>
      <c r="H39" s="1445"/>
      <c r="I39" s="1443"/>
    </row>
    <row r="40" spans="1:9" ht="18">
      <c r="A40" s="396"/>
      <c r="B40" s="411" t="s">
        <v>1033</v>
      </c>
      <c r="C40" s="398"/>
      <c r="D40" s="405"/>
      <c r="E40" s="1444">
        <f>+Breakdown!F40</f>
        <v>0</v>
      </c>
      <c r="F40" s="1445"/>
      <c r="G40" s="1444">
        <f>IF(OR(E40="",E40=0),"",Breakdown!F40-Breakdown!H40)</f>
      </c>
      <c r="H40" s="1445"/>
      <c r="I40" s="1443"/>
    </row>
    <row r="41" spans="1:9" ht="18">
      <c r="A41" s="396"/>
      <c r="B41" s="411" t="s">
        <v>1034</v>
      </c>
      <c r="C41" s="398"/>
      <c r="D41" s="405"/>
      <c r="E41" s="1444">
        <f>+Breakdown!F41</f>
        <v>0</v>
      </c>
      <c r="F41" s="1445"/>
      <c r="G41" s="1444">
        <f>IF(OR(E41="",E41=0),"",Breakdown!F41-Breakdown!H41)</f>
      </c>
      <c r="H41" s="1445"/>
      <c r="I41" s="1443"/>
    </row>
    <row r="42" spans="1:9" ht="18">
      <c r="A42" s="396"/>
      <c r="B42" s="411" t="s">
        <v>1035</v>
      </c>
      <c r="C42" s="398"/>
      <c r="D42" s="405"/>
      <c r="E42" s="1444">
        <f>+Breakdown!F42</f>
        <v>0</v>
      </c>
      <c r="F42" s="1445"/>
      <c r="G42" s="1444">
        <f>IF(OR(E42="",E42=0),"",Breakdown!F42-Breakdown!H42)</f>
      </c>
      <c r="H42" s="1445"/>
      <c r="I42" s="1443"/>
    </row>
    <row r="43" spans="1:9" ht="18">
      <c r="A43" s="396"/>
      <c r="B43" s="411" t="s">
        <v>1036</v>
      </c>
      <c r="C43" s="398"/>
      <c r="D43" s="405"/>
      <c r="E43" s="1444">
        <f>+Breakdown!F43</f>
        <v>0</v>
      </c>
      <c r="F43" s="1445"/>
      <c r="G43" s="1444">
        <f>IF(OR(E43="",E43=0),"",Breakdown!F43-Breakdown!H43)</f>
      </c>
      <c r="H43" s="1445"/>
      <c r="I43" s="1443"/>
    </row>
    <row r="44" spans="1:9" ht="18">
      <c r="A44" s="396"/>
      <c r="B44" s="411" t="s">
        <v>1037</v>
      </c>
      <c r="C44" s="398"/>
      <c r="D44" s="405"/>
      <c r="E44" s="1444">
        <f>+Breakdown!F44</f>
        <v>0</v>
      </c>
      <c r="F44" s="1445"/>
      <c r="G44" s="1444">
        <f>IF(OR(E44="",E44=0),"",Breakdown!F44-Breakdown!H44)</f>
      </c>
      <c r="H44" s="1445"/>
      <c r="I44" s="1443"/>
    </row>
    <row r="45" spans="1:9" ht="18">
      <c r="A45" s="396"/>
      <c r="B45" s="411" t="s">
        <v>1038</v>
      </c>
      <c r="C45" s="398"/>
      <c r="D45" s="405"/>
      <c r="E45" s="1444">
        <f>+Breakdown!F45</f>
        <v>0</v>
      </c>
      <c r="F45" s="1445"/>
      <c r="G45" s="1444">
        <f>IF(OR(E45="",E45=0),"",Breakdown!F45-Breakdown!H45)</f>
      </c>
      <c r="H45" s="1445"/>
      <c r="I45" s="1443"/>
    </row>
    <row r="46" spans="1:9" ht="18">
      <c r="A46" s="396"/>
      <c r="B46" s="411" t="s">
        <v>1039</v>
      </c>
      <c r="C46" s="398"/>
      <c r="D46" s="405"/>
      <c r="E46" s="1444">
        <f>+Breakdown!F47</f>
        <v>0</v>
      </c>
      <c r="F46" s="1445"/>
      <c r="G46" s="1444">
        <f>IF(OR(E46="",E46=0),"",Breakdown!F47-Breakdown!H47)</f>
      </c>
      <c r="H46" s="1445"/>
      <c r="I46" s="1443"/>
    </row>
    <row r="47" spans="1:9" ht="18">
      <c r="A47" s="396"/>
      <c r="B47" s="411" t="s">
        <v>1040</v>
      </c>
      <c r="C47" s="398"/>
      <c r="D47" s="405"/>
      <c r="E47" s="1444">
        <f>+Breakdown!F48</f>
        <v>0</v>
      </c>
      <c r="F47" s="1445"/>
      <c r="G47" s="1444">
        <f>IF(OR(E47="",E47=0),"",Breakdown!F48-Breakdown!H48)</f>
      </c>
      <c r="H47" s="1445"/>
      <c r="I47" s="1443"/>
    </row>
    <row r="48" spans="1:9" ht="18">
      <c r="A48" s="396"/>
      <c r="B48" s="411" t="s">
        <v>1041</v>
      </c>
      <c r="C48" s="398"/>
      <c r="D48" s="405"/>
      <c r="E48" s="1444">
        <f>+Breakdown!F49</f>
        <v>0</v>
      </c>
      <c r="F48" s="1445"/>
      <c r="G48" s="1444">
        <f>IF(OR(E48="",E48=0),"",Breakdown!F49-Breakdown!H49)</f>
      </c>
      <c r="H48" s="1445"/>
      <c r="I48" s="1443"/>
    </row>
    <row r="49" spans="1:9" ht="15">
      <c r="A49" s="396"/>
      <c r="B49" s="398"/>
      <c r="C49" s="398"/>
      <c r="D49" s="405"/>
      <c r="E49" s="1445"/>
      <c r="F49" s="1445"/>
      <c r="G49" s="1445"/>
      <c r="H49" s="1445"/>
      <c r="I49" s="1445"/>
    </row>
    <row r="50" spans="1:9" ht="18">
      <c r="A50" s="396"/>
      <c r="B50" s="411" t="s">
        <v>1042</v>
      </c>
      <c r="C50" s="398"/>
      <c r="D50" s="405"/>
      <c r="E50" s="1445"/>
      <c r="F50" s="1445"/>
      <c r="G50" s="1445"/>
      <c r="H50" s="1445"/>
      <c r="I50" s="1445"/>
    </row>
    <row r="51" spans="1:9" ht="18">
      <c r="A51" s="396"/>
      <c r="B51" s="411" t="s">
        <v>1043</v>
      </c>
      <c r="C51" s="398"/>
      <c r="D51" s="405"/>
      <c r="E51" s="1444">
        <f>+Breakdown!F52</f>
        <v>0</v>
      </c>
      <c r="F51" s="1445"/>
      <c r="G51" s="1444">
        <f>IF(OR(E51="",E51=0),"",Breakdown!F52-Breakdown!H52)</f>
      </c>
      <c r="H51" s="1445"/>
      <c r="I51" s="1443"/>
    </row>
    <row r="52" spans="1:9" ht="18">
      <c r="A52" s="396"/>
      <c r="B52" s="411" t="s">
        <v>1044</v>
      </c>
      <c r="C52" s="398"/>
      <c r="D52" s="405"/>
      <c r="E52" s="1444">
        <f>+Breakdown!F53</f>
        <v>0</v>
      </c>
      <c r="F52" s="1445"/>
      <c r="G52" s="1444">
        <f>IF(OR(E52="",E52=0),"",Breakdown!F53-Breakdown!H53)</f>
      </c>
      <c r="H52" s="1445"/>
      <c r="I52" s="1443"/>
    </row>
    <row r="53" spans="1:9" ht="18">
      <c r="A53" s="396"/>
      <c r="B53" s="411" t="s">
        <v>1045</v>
      </c>
      <c r="C53" s="398"/>
      <c r="D53" s="405"/>
      <c r="E53" s="1444">
        <f>+Breakdown!F54</f>
        <v>0</v>
      </c>
      <c r="F53" s="1445"/>
      <c r="G53" s="1444">
        <f>IF(OR(E53="",E53=0),"",Breakdown!F54-Breakdown!H54)</f>
      </c>
      <c r="H53" s="1445"/>
      <c r="I53" s="1443"/>
    </row>
    <row r="54" spans="1:9" ht="18">
      <c r="A54" s="396"/>
      <c r="B54" s="411" t="s">
        <v>1046</v>
      </c>
      <c r="C54" s="398"/>
      <c r="D54" s="405"/>
      <c r="E54" s="1444">
        <f>+Breakdown!F55</f>
        <v>0</v>
      </c>
      <c r="F54" s="1445"/>
      <c r="G54" s="1444">
        <f>IF(OR(E54="",E54=0),"",Breakdown!F55-Breakdown!H55)</f>
      </c>
      <c r="H54" s="1445"/>
      <c r="I54" s="1443"/>
    </row>
    <row r="55" spans="1:9" ht="18">
      <c r="A55" s="396"/>
      <c r="B55" s="411" t="s">
        <v>1047</v>
      </c>
      <c r="C55" s="398"/>
      <c r="D55" s="405"/>
      <c r="E55" s="1444">
        <f>+Breakdown!F56</f>
        <v>0</v>
      </c>
      <c r="F55" s="1445"/>
      <c r="G55" s="1444">
        <f>IF(OR(E55="",E55=0),"",Breakdown!F56-Breakdown!H56)</f>
      </c>
      <c r="H55" s="1445"/>
      <c r="I55" s="1443"/>
    </row>
    <row r="56" spans="1:9" ht="18">
      <c r="A56" s="396"/>
      <c r="B56" s="411" t="s">
        <v>1048</v>
      </c>
      <c r="C56" s="398"/>
      <c r="D56" s="405"/>
      <c r="E56" s="1444">
        <f>+Breakdown!F57</f>
        <v>0</v>
      </c>
      <c r="F56" s="1445"/>
      <c r="G56" s="1444">
        <f>IF(OR(E56="",E56=0),"",Breakdown!F57-Breakdown!H57)</f>
      </c>
      <c r="H56" s="1445"/>
      <c r="I56" s="1443"/>
    </row>
    <row r="57" spans="1:9" ht="18">
      <c r="A57" s="396"/>
      <c r="B57" s="411" t="s">
        <v>1049</v>
      </c>
      <c r="C57" s="398"/>
      <c r="D57" s="405"/>
      <c r="E57" s="1444">
        <f>+Breakdown!F58</f>
        <v>0</v>
      </c>
      <c r="F57" s="1445"/>
      <c r="G57" s="1444">
        <f>IF(OR(E57="",E57=0),"",Breakdown!F58-Breakdown!H58)</f>
      </c>
      <c r="H57" s="1445"/>
      <c r="I57" s="1443"/>
    </row>
    <row r="58" spans="1:9" ht="18">
      <c r="A58" s="396"/>
      <c r="B58" s="411" t="s">
        <v>1050</v>
      </c>
      <c r="C58" s="398"/>
      <c r="D58" s="405"/>
      <c r="E58" s="1444">
        <f>+Breakdown!F59</f>
        <v>0</v>
      </c>
      <c r="F58" s="1445"/>
      <c r="G58" s="1451">
        <v>0</v>
      </c>
      <c r="H58" s="1445"/>
      <c r="I58" s="1443"/>
    </row>
    <row r="59" spans="1:9" ht="18">
      <c r="A59" s="396"/>
      <c r="B59" s="1119" t="s">
        <v>1684</v>
      </c>
      <c r="C59" s="398"/>
      <c r="D59" s="405"/>
      <c r="E59" s="1444">
        <f>+Breakdown!F60</f>
        <v>0</v>
      </c>
      <c r="F59" s="1445"/>
      <c r="G59" s="1451">
        <v>0</v>
      </c>
      <c r="H59" s="1445"/>
      <c r="I59" s="1443"/>
    </row>
    <row r="60" spans="1:9" ht="18">
      <c r="A60" s="396"/>
      <c r="B60" s="411" t="s">
        <v>1690</v>
      </c>
      <c r="C60" s="1446">
        <f>IF(Breakdown!C61="","",Breakdown!C61)</f>
      </c>
      <c r="D60" s="398"/>
      <c r="E60" s="1444">
        <f>+Breakdown!F61</f>
        <v>0</v>
      </c>
      <c r="F60" s="1445"/>
      <c r="G60" s="1444">
        <f>IF(OR(E60="",E60=0),"",Breakdown!F61-Breakdown!H61)</f>
      </c>
      <c r="H60" s="1445"/>
      <c r="I60" s="1443"/>
    </row>
    <row r="61" spans="1:9" ht="12.75">
      <c r="A61" s="396"/>
      <c r="B61" s="398"/>
      <c r="C61" s="398"/>
      <c r="D61" s="398"/>
      <c r="E61" s="401"/>
      <c r="F61" s="401"/>
      <c r="G61" s="401"/>
      <c r="H61" s="401"/>
      <c r="I61" s="401"/>
    </row>
    <row r="62" spans="1:9" ht="21" thickBot="1">
      <c r="A62" s="396"/>
      <c r="B62" s="404" t="s">
        <v>1051</v>
      </c>
      <c r="C62" s="398"/>
      <c r="D62" s="405"/>
      <c r="E62" s="1452" t="e">
        <f>SUM(E13:E61)</f>
        <v>#REF!</v>
      </c>
      <c r="F62" s="1445"/>
      <c r="G62" s="1452" t="e">
        <f>SUM(G13:G61)</f>
        <v>#REF!</v>
      </c>
      <c r="H62" s="1453"/>
      <c r="I62" s="1452">
        <f>SUM(I13:I61)</f>
        <v>0</v>
      </c>
    </row>
    <row r="63" spans="1:9" ht="15.75" thickTop="1">
      <c r="A63" s="396"/>
      <c r="B63" s="398"/>
      <c r="C63" s="398"/>
      <c r="D63" s="405"/>
      <c r="E63" s="1445"/>
      <c r="F63" s="1445"/>
      <c r="G63" s="1445"/>
      <c r="H63" s="1445"/>
      <c r="I63" s="1445"/>
    </row>
    <row r="64" spans="1:9" ht="18">
      <c r="A64" s="396"/>
      <c r="B64" s="411" t="s">
        <v>1650</v>
      </c>
      <c r="C64" s="398"/>
      <c r="D64" s="405"/>
      <c r="E64" s="1444">
        <f>+Breakdown!F65</f>
        <v>0</v>
      </c>
      <c r="F64" s="401"/>
      <c r="G64" s="1444">
        <f>IF(OR(E64="",E64=0),"",Breakdown!F65-Breakdown!H65)</f>
      </c>
      <c r="H64" s="401"/>
      <c r="I64" s="1443"/>
    </row>
    <row r="65" spans="1:9" ht="18">
      <c r="A65" s="396"/>
      <c r="B65" s="411" t="s">
        <v>1651</v>
      </c>
      <c r="C65" s="398"/>
      <c r="D65" s="405"/>
      <c r="E65" s="1444">
        <f>+Breakdown!F66</f>
        <v>0</v>
      </c>
      <c r="F65" s="401"/>
      <c r="G65" s="1444">
        <f>IF(OR(E65="",E65=0),"",Breakdown!F66-Breakdown!H66)</f>
      </c>
      <c r="H65" s="401"/>
      <c r="I65" s="1443"/>
    </row>
    <row r="66" spans="1:9" ht="18">
      <c r="A66" s="396"/>
      <c r="B66" s="411" t="s">
        <v>1052</v>
      </c>
      <c r="C66" s="398"/>
      <c r="D66" s="405"/>
      <c r="E66" s="1444">
        <f>+Breakdown!F67</f>
        <v>0</v>
      </c>
      <c r="F66" s="1445"/>
      <c r="G66" s="1444">
        <f>+E66</f>
        <v>0</v>
      </c>
      <c r="H66" s="1445"/>
      <c r="I66" s="1443"/>
    </row>
    <row r="67" spans="1:9" ht="18">
      <c r="A67" s="396"/>
      <c r="B67" s="411" t="s">
        <v>1053</v>
      </c>
      <c r="C67" s="398"/>
      <c r="D67" s="405"/>
      <c r="E67" s="1444">
        <f>+Breakdown!F68</f>
        <v>0</v>
      </c>
      <c r="F67" s="1445"/>
      <c r="G67" s="1454" t="s">
        <v>583</v>
      </c>
      <c r="H67" s="1445"/>
      <c r="I67" s="1454" t="s">
        <v>583</v>
      </c>
    </row>
    <row r="68" spans="1:9" ht="18">
      <c r="A68" s="396"/>
      <c r="B68" s="411" t="s">
        <v>1054</v>
      </c>
      <c r="C68" s="398"/>
      <c r="D68" s="405"/>
      <c r="E68" s="1444">
        <f>+Breakdown!F69</f>
        <v>0</v>
      </c>
      <c r="F68" s="1445"/>
      <c r="G68" s="1454" t="s">
        <v>583</v>
      </c>
      <c r="H68" s="1445"/>
      <c r="I68" s="1454" t="s">
        <v>583</v>
      </c>
    </row>
    <row r="69" spans="1:9" ht="18">
      <c r="A69" s="396"/>
      <c r="B69" s="411" t="s">
        <v>1055</v>
      </c>
      <c r="C69" s="398"/>
      <c r="D69" s="405"/>
      <c r="E69" s="1444">
        <f>+Breakdown!F70</f>
        <v>0</v>
      </c>
      <c r="F69" s="1445"/>
      <c r="G69" s="1454" t="s">
        <v>583</v>
      </c>
      <c r="H69" s="1445"/>
      <c r="I69" s="1454" t="s">
        <v>583</v>
      </c>
    </row>
    <row r="70" spans="1:251" ht="21">
      <c r="A70" s="396"/>
      <c r="B70" s="411" t="s">
        <v>1056</v>
      </c>
      <c r="C70" s="413" t="s">
        <v>1057</v>
      </c>
      <c r="D70" s="405"/>
      <c r="E70" s="1444">
        <f>+Breakdown!F71</f>
        <v>0</v>
      </c>
      <c r="F70" s="1455"/>
      <c r="G70" s="1454" t="s">
        <v>583</v>
      </c>
      <c r="H70" s="1455"/>
      <c r="I70" s="1454" t="s">
        <v>583</v>
      </c>
      <c r="AZ70" s="406"/>
      <c r="BA70" s="406"/>
      <c r="BB70" s="406"/>
      <c r="BC70" s="406"/>
      <c r="BD70" s="406"/>
      <c r="BE70" s="406"/>
      <c r="BF70" s="406"/>
      <c r="BG70" s="406"/>
      <c r="BH70" s="406"/>
      <c r="BI70" s="406"/>
      <c r="BJ70" s="406"/>
      <c r="BK70" s="406"/>
      <c r="BL70" s="406"/>
      <c r="BM70" s="406"/>
      <c r="BN70" s="406"/>
      <c r="BO70" s="406"/>
      <c r="BP70" s="406"/>
      <c r="BQ70" s="406"/>
      <c r="BR70" s="406"/>
      <c r="BS70" s="406"/>
      <c r="BT70" s="406"/>
      <c r="BU70" s="406"/>
      <c r="BV70" s="406"/>
      <c r="BW70" s="406"/>
      <c r="BX70" s="406"/>
      <c r="BY70" s="406"/>
      <c r="BZ70" s="406"/>
      <c r="CA70" s="406"/>
      <c r="CB70" s="406"/>
      <c r="CC70" s="406"/>
      <c r="CD70" s="406"/>
      <c r="CE70" s="406"/>
      <c r="CF70" s="406"/>
      <c r="CG70" s="406"/>
      <c r="CH70" s="406"/>
      <c r="CI70" s="406"/>
      <c r="CJ70" s="406"/>
      <c r="CK70" s="406"/>
      <c r="CL70" s="406"/>
      <c r="CM70" s="406"/>
      <c r="CN70" s="406"/>
      <c r="CO70" s="406"/>
      <c r="CP70" s="406"/>
      <c r="CQ70" s="406"/>
      <c r="CR70" s="406"/>
      <c r="CS70" s="406"/>
      <c r="CT70" s="406"/>
      <c r="CU70" s="406"/>
      <c r="CV70" s="406"/>
      <c r="CW70" s="406"/>
      <c r="CX70" s="406"/>
      <c r="CY70" s="406"/>
      <c r="CZ70" s="406"/>
      <c r="DA70" s="406"/>
      <c r="DB70" s="406"/>
      <c r="DC70" s="406"/>
      <c r="DD70" s="406"/>
      <c r="DE70" s="406"/>
      <c r="DF70" s="406"/>
      <c r="DG70" s="406"/>
      <c r="DH70" s="406"/>
      <c r="DI70" s="406"/>
      <c r="DJ70" s="406"/>
      <c r="DK70" s="406"/>
      <c r="DL70" s="406"/>
      <c r="DM70" s="406"/>
      <c r="DN70" s="406"/>
      <c r="DO70" s="406"/>
      <c r="DP70" s="406"/>
      <c r="DQ70" s="406"/>
      <c r="DR70" s="406"/>
      <c r="DS70" s="406"/>
      <c r="DT70" s="406"/>
      <c r="DU70" s="406"/>
      <c r="DV70" s="406"/>
      <c r="DW70" s="406"/>
      <c r="DX70" s="406"/>
      <c r="DY70" s="406"/>
      <c r="DZ70" s="406"/>
      <c r="EA70" s="406"/>
      <c r="EB70" s="406"/>
      <c r="EC70" s="406"/>
      <c r="ED70" s="406"/>
      <c r="EE70" s="406"/>
      <c r="EF70" s="406"/>
      <c r="EG70" s="406"/>
      <c r="EH70" s="406"/>
      <c r="EI70" s="406"/>
      <c r="EJ70" s="406"/>
      <c r="EK70" s="406"/>
      <c r="EL70" s="406"/>
      <c r="EM70" s="406"/>
      <c r="EN70" s="406"/>
      <c r="EO70" s="406"/>
      <c r="EP70" s="406"/>
      <c r="EQ70" s="406"/>
      <c r="ER70" s="406"/>
      <c r="ES70" s="406"/>
      <c r="ET70" s="406"/>
      <c r="EU70" s="406"/>
      <c r="EV70" s="406"/>
      <c r="EW70" s="406"/>
      <c r="EX70" s="406"/>
      <c r="EY70" s="406"/>
      <c r="EZ70" s="406"/>
      <c r="FA70" s="406"/>
      <c r="FB70" s="406"/>
      <c r="FC70" s="406"/>
      <c r="FD70" s="406"/>
      <c r="FE70" s="406"/>
      <c r="FF70" s="406"/>
      <c r="FG70" s="406"/>
      <c r="FH70" s="406"/>
      <c r="FI70" s="406"/>
      <c r="FJ70" s="406"/>
      <c r="FK70" s="406"/>
      <c r="FL70" s="406"/>
      <c r="FM70" s="406"/>
      <c r="FN70" s="406"/>
      <c r="FO70" s="406"/>
      <c r="FP70" s="406"/>
      <c r="FQ70" s="406"/>
      <c r="FR70" s="406"/>
      <c r="FS70" s="406"/>
      <c r="FT70" s="406"/>
      <c r="FU70" s="406"/>
      <c r="FV70" s="406"/>
      <c r="FW70" s="406"/>
      <c r="FX70" s="406"/>
      <c r="FY70" s="406"/>
      <c r="FZ70" s="406"/>
      <c r="GA70" s="406"/>
      <c r="GB70" s="406"/>
      <c r="GC70" s="406"/>
      <c r="GD70" s="406"/>
      <c r="GE70" s="406"/>
      <c r="GF70" s="406"/>
      <c r="GG70" s="406"/>
      <c r="GH70" s="406"/>
      <c r="GI70" s="406"/>
      <c r="GJ70" s="406"/>
      <c r="GK70" s="406"/>
      <c r="GL70" s="406"/>
      <c r="GM70" s="406"/>
      <c r="GN70" s="406"/>
      <c r="GO70" s="406"/>
      <c r="GP70" s="406"/>
      <c r="GQ70" s="406"/>
      <c r="GR70" s="406"/>
      <c r="GS70" s="406"/>
      <c r="GT70" s="406"/>
      <c r="GU70" s="406"/>
      <c r="GV70" s="406"/>
      <c r="GW70" s="406"/>
      <c r="GX70" s="406"/>
      <c r="GY70" s="406"/>
      <c r="GZ70" s="406"/>
      <c r="HA70" s="406"/>
      <c r="HB70" s="406"/>
      <c r="HC70" s="406"/>
      <c r="HD70" s="406"/>
      <c r="HE70" s="406"/>
      <c r="HF70" s="406"/>
      <c r="HG70" s="406"/>
      <c r="HH70" s="406"/>
      <c r="HI70" s="406"/>
      <c r="HJ70" s="406"/>
      <c r="HK70" s="406"/>
      <c r="HL70" s="406"/>
      <c r="HM70" s="406"/>
      <c r="HN70" s="406"/>
      <c r="HO70" s="406"/>
      <c r="HP70" s="406"/>
      <c r="HQ70" s="406"/>
      <c r="HR70" s="406"/>
      <c r="HS70" s="406"/>
      <c r="HT70" s="406"/>
      <c r="HU70" s="406"/>
      <c r="HV70" s="406"/>
      <c r="HW70" s="406"/>
      <c r="HX70" s="406"/>
      <c r="HY70" s="406"/>
      <c r="HZ70" s="406"/>
      <c r="IA70" s="406"/>
      <c r="IB70" s="406"/>
      <c r="IC70" s="406"/>
      <c r="ID70" s="406"/>
      <c r="IE70" s="406"/>
      <c r="IF70" s="406"/>
      <c r="IG70" s="406"/>
      <c r="IH70" s="406"/>
      <c r="II70" s="406"/>
      <c r="IJ70" s="406"/>
      <c r="IK70" s="406"/>
      <c r="IL70" s="406"/>
      <c r="IM70" s="406"/>
      <c r="IN70" s="406"/>
      <c r="IO70" s="406"/>
      <c r="IP70" s="406"/>
      <c r="IQ70" s="406"/>
    </row>
    <row r="71" spans="1:251" ht="21">
      <c r="A71" s="396"/>
      <c r="B71" s="411"/>
      <c r="C71" s="413" t="s">
        <v>883</v>
      </c>
      <c r="D71" s="405"/>
      <c r="E71" s="1444">
        <f>+Breakdown!F72</f>
        <v>0</v>
      </c>
      <c r="F71" s="1455"/>
      <c r="G71" s="1454" t="s">
        <v>583</v>
      </c>
      <c r="H71" s="1455"/>
      <c r="I71" s="1454" t="s">
        <v>583</v>
      </c>
      <c r="AZ71" s="406"/>
      <c r="BA71" s="406"/>
      <c r="BB71" s="406"/>
      <c r="BC71" s="406"/>
      <c r="BD71" s="406"/>
      <c r="BE71" s="406"/>
      <c r="BF71" s="406"/>
      <c r="BG71" s="406"/>
      <c r="BH71" s="406"/>
      <c r="BI71" s="406"/>
      <c r="BJ71" s="406"/>
      <c r="BK71" s="406"/>
      <c r="BL71" s="406"/>
      <c r="BM71" s="406"/>
      <c r="BN71" s="406"/>
      <c r="BO71" s="406"/>
      <c r="BP71" s="406"/>
      <c r="BQ71" s="406"/>
      <c r="BR71" s="406"/>
      <c r="BS71" s="406"/>
      <c r="BT71" s="406"/>
      <c r="BU71" s="406"/>
      <c r="BV71" s="406"/>
      <c r="BW71" s="406"/>
      <c r="BX71" s="406"/>
      <c r="BY71" s="406"/>
      <c r="BZ71" s="406"/>
      <c r="CA71" s="406"/>
      <c r="CB71" s="406"/>
      <c r="CC71" s="406"/>
      <c r="CD71" s="406"/>
      <c r="CE71" s="406"/>
      <c r="CF71" s="406"/>
      <c r="CG71" s="406"/>
      <c r="CH71" s="406"/>
      <c r="CI71" s="406"/>
      <c r="CJ71" s="406"/>
      <c r="CK71" s="406"/>
      <c r="CL71" s="406"/>
      <c r="CM71" s="406"/>
      <c r="CN71" s="406"/>
      <c r="CO71" s="406"/>
      <c r="CP71" s="406"/>
      <c r="CQ71" s="406"/>
      <c r="CR71" s="406"/>
      <c r="CS71" s="406"/>
      <c r="CT71" s="406"/>
      <c r="CU71" s="406"/>
      <c r="CV71" s="406"/>
      <c r="CW71" s="406"/>
      <c r="CX71" s="406"/>
      <c r="CY71" s="406"/>
      <c r="CZ71" s="406"/>
      <c r="DA71" s="406"/>
      <c r="DB71" s="406"/>
      <c r="DC71" s="406"/>
      <c r="DD71" s="406"/>
      <c r="DE71" s="406"/>
      <c r="DF71" s="406"/>
      <c r="DG71" s="406"/>
      <c r="DH71" s="406"/>
      <c r="DI71" s="406"/>
      <c r="DJ71" s="406"/>
      <c r="DK71" s="406"/>
      <c r="DL71" s="406"/>
      <c r="DM71" s="406"/>
      <c r="DN71" s="406"/>
      <c r="DO71" s="406"/>
      <c r="DP71" s="406"/>
      <c r="DQ71" s="406"/>
      <c r="DR71" s="406"/>
      <c r="DS71" s="406"/>
      <c r="DT71" s="406"/>
      <c r="DU71" s="406"/>
      <c r="DV71" s="406"/>
      <c r="DW71" s="406"/>
      <c r="DX71" s="406"/>
      <c r="DY71" s="406"/>
      <c r="DZ71" s="406"/>
      <c r="EA71" s="406"/>
      <c r="EB71" s="406"/>
      <c r="EC71" s="406"/>
      <c r="ED71" s="406"/>
      <c r="EE71" s="406"/>
      <c r="EF71" s="406"/>
      <c r="EG71" s="406"/>
      <c r="EH71" s="406"/>
      <c r="EI71" s="406"/>
      <c r="EJ71" s="406"/>
      <c r="EK71" s="406"/>
      <c r="EL71" s="406"/>
      <c r="EM71" s="406"/>
      <c r="EN71" s="406"/>
      <c r="EO71" s="406"/>
      <c r="EP71" s="406"/>
      <c r="EQ71" s="406"/>
      <c r="ER71" s="406"/>
      <c r="ES71" s="406"/>
      <c r="ET71" s="406"/>
      <c r="EU71" s="406"/>
      <c r="EV71" s="406"/>
      <c r="EW71" s="406"/>
      <c r="EX71" s="406"/>
      <c r="EY71" s="406"/>
      <c r="EZ71" s="406"/>
      <c r="FA71" s="406"/>
      <c r="FB71" s="406"/>
      <c r="FC71" s="406"/>
      <c r="FD71" s="406"/>
      <c r="FE71" s="406"/>
      <c r="FF71" s="406"/>
      <c r="FG71" s="406"/>
      <c r="FH71" s="406"/>
      <c r="FI71" s="406"/>
      <c r="FJ71" s="406"/>
      <c r="FK71" s="406"/>
      <c r="FL71" s="406"/>
      <c r="FM71" s="406"/>
      <c r="FN71" s="406"/>
      <c r="FO71" s="406"/>
      <c r="FP71" s="406"/>
      <c r="FQ71" s="406"/>
      <c r="FR71" s="406"/>
      <c r="FS71" s="406"/>
      <c r="FT71" s="406"/>
      <c r="FU71" s="406"/>
      <c r="FV71" s="406"/>
      <c r="FW71" s="406"/>
      <c r="FX71" s="406"/>
      <c r="FY71" s="406"/>
      <c r="FZ71" s="406"/>
      <c r="GA71" s="406"/>
      <c r="GB71" s="406"/>
      <c r="GC71" s="406"/>
      <c r="GD71" s="406"/>
      <c r="GE71" s="406"/>
      <c r="GF71" s="406"/>
      <c r="GG71" s="406"/>
      <c r="GH71" s="406"/>
      <c r="GI71" s="406"/>
      <c r="GJ71" s="406"/>
      <c r="GK71" s="406"/>
      <c r="GL71" s="406"/>
      <c r="GM71" s="406"/>
      <c r="GN71" s="406"/>
      <c r="GO71" s="406"/>
      <c r="GP71" s="406"/>
      <c r="GQ71" s="406"/>
      <c r="GR71" s="406"/>
      <c r="GS71" s="406"/>
      <c r="GT71" s="406"/>
      <c r="GU71" s="406"/>
      <c r="GV71" s="406"/>
      <c r="GW71" s="406"/>
      <c r="GX71" s="406"/>
      <c r="GY71" s="406"/>
      <c r="GZ71" s="406"/>
      <c r="HA71" s="406"/>
      <c r="HB71" s="406"/>
      <c r="HC71" s="406"/>
      <c r="HD71" s="406"/>
      <c r="HE71" s="406"/>
      <c r="HF71" s="406"/>
      <c r="HG71" s="406"/>
      <c r="HH71" s="406"/>
      <c r="HI71" s="406"/>
      <c r="HJ71" s="406"/>
      <c r="HK71" s="406"/>
      <c r="HL71" s="406"/>
      <c r="HM71" s="406"/>
      <c r="HN71" s="406"/>
      <c r="HO71" s="406"/>
      <c r="HP71" s="406"/>
      <c r="HQ71" s="406"/>
      <c r="HR71" s="406"/>
      <c r="HS71" s="406"/>
      <c r="HT71" s="406"/>
      <c r="HU71" s="406"/>
      <c r="HV71" s="406"/>
      <c r="HW71" s="406"/>
      <c r="HX71" s="406"/>
      <c r="HY71" s="406"/>
      <c r="HZ71" s="406"/>
      <c r="IA71" s="406"/>
      <c r="IB71" s="406"/>
      <c r="IC71" s="406"/>
      <c r="ID71" s="406"/>
      <c r="IE71" s="406"/>
      <c r="IF71" s="406"/>
      <c r="IG71" s="406"/>
      <c r="IH71" s="406"/>
      <c r="II71" s="406"/>
      <c r="IJ71" s="406"/>
      <c r="IK71" s="406"/>
      <c r="IL71" s="406"/>
      <c r="IM71" s="406"/>
      <c r="IN71" s="406"/>
      <c r="IO71" s="406"/>
      <c r="IP71" s="406"/>
      <c r="IQ71" s="406"/>
    </row>
    <row r="72" spans="1:9" ht="21">
      <c r="A72" s="396"/>
      <c r="B72" s="411"/>
      <c r="C72" s="413" t="s">
        <v>1058</v>
      </c>
      <c r="D72" s="405"/>
      <c r="E72" s="1444">
        <f>+Breakdown!F73</f>
        <v>0</v>
      </c>
      <c r="F72" s="1455"/>
      <c r="G72" s="1454" t="s">
        <v>583</v>
      </c>
      <c r="H72" s="1455"/>
      <c r="I72" s="1454" t="s">
        <v>583</v>
      </c>
    </row>
    <row r="73" spans="1:9" ht="21">
      <c r="A73" s="396"/>
      <c r="B73" s="411"/>
      <c r="C73" s="411" t="s">
        <v>1059</v>
      </c>
      <c r="D73" s="405"/>
      <c r="E73" s="1444">
        <f>+Breakdown!F74</f>
        <v>0</v>
      </c>
      <c r="F73" s="1455"/>
      <c r="G73" s="1454" t="s">
        <v>583</v>
      </c>
      <c r="H73" s="1455"/>
      <c r="I73" s="1454" t="s">
        <v>583</v>
      </c>
    </row>
    <row r="74" spans="1:9" ht="21">
      <c r="A74" s="396"/>
      <c r="B74" s="411"/>
      <c r="C74" s="411" t="s">
        <v>1060</v>
      </c>
      <c r="D74" s="405"/>
      <c r="E74" s="1444">
        <f>+Breakdown!F75</f>
        <v>0</v>
      </c>
      <c r="F74" s="1455"/>
      <c r="G74" s="1454" t="s">
        <v>583</v>
      </c>
      <c r="H74" s="1455"/>
      <c r="I74" s="1454" t="s">
        <v>583</v>
      </c>
    </row>
    <row r="75" spans="1:9" ht="21">
      <c r="A75" s="396"/>
      <c r="B75" s="411"/>
      <c r="C75" s="1278" t="s">
        <v>1145</v>
      </c>
      <c r="D75" s="1456">
        <f>Breakdown!D76</f>
        <v>0</v>
      </c>
      <c r="E75" s="1457">
        <f>+Breakdown!F76</f>
        <v>0</v>
      </c>
      <c r="F75" s="1455"/>
      <c r="G75" s="1454" t="s">
        <v>583</v>
      </c>
      <c r="H75" s="1455"/>
      <c r="I75" s="1454" t="s">
        <v>583</v>
      </c>
    </row>
    <row r="76" spans="1:9" ht="18" thickBot="1">
      <c r="A76" s="396"/>
      <c r="B76" s="404" t="s">
        <v>1061</v>
      </c>
      <c r="C76" s="398"/>
      <c r="D76" s="405"/>
      <c r="E76" s="1458" t="e">
        <f>SUM(E62:E75)</f>
        <v>#REF!</v>
      </c>
      <c r="F76" s="1459"/>
      <c r="G76" s="1458" t="e">
        <f>SUM(G62:G75)</f>
        <v>#REF!</v>
      </c>
      <c r="H76" s="1459"/>
      <c r="I76" s="1458">
        <f>SUM(I62:I75)</f>
        <v>0</v>
      </c>
    </row>
    <row r="77" spans="1:9" ht="13.5" thickTop="1">
      <c r="A77" s="396"/>
      <c r="B77" s="398"/>
      <c r="C77" s="398"/>
      <c r="D77" s="405"/>
      <c r="E77" s="1440"/>
      <c r="F77" s="1440"/>
      <c r="G77" s="1440"/>
      <c r="H77" s="1440"/>
      <c r="I77" s="1440"/>
    </row>
    <row r="78" spans="1:9" ht="31.5" customHeight="1" thickBot="1">
      <c r="A78" s="396"/>
      <c r="B78" s="414" t="s">
        <v>1089</v>
      </c>
      <c r="C78" s="398"/>
      <c r="D78" s="398"/>
      <c r="E78" s="1440"/>
      <c r="F78" s="1440"/>
      <c r="G78" s="1440"/>
      <c r="H78" s="1440"/>
      <c r="I78" s="415" t="e">
        <f>IF(G76=0,"",+I76/G76)</f>
        <v>#REF!</v>
      </c>
    </row>
    <row r="79" s="399" customFormat="1" ht="13.5" thickTop="1"/>
    <row r="80" s="399" customFormat="1" ht="12.75"/>
    <row r="81" spans="2:9" s="399" customFormat="1" ht="21" thickBot="1">
      <c r="B81" s="404" t="s">
        <v>1090</v>
      </c>
      <c r="E81" s="416">
        <f>IF(OR(G64="",G64=0),"",I64/G64)</f>
      </c>
      <c r="I81" s="1460"/>
    </row>
    <row r="82" spans="2:9" ht="13.5" thickTop="1">
      <c r="B82" s="399"/>
      <c r="C82" s="399"/>
      <c r="D82" s="399"/>
      <c r="E82" s="399"/>
      <c r="F82" s="399"/>
      <c r="G82" s="399"/>
      <c r="H82" s="399"/>
      <c r="I82" s="399"/>
    </row>
    <row r="84" spans="2:9" ht="12.75">
      <c r="B84" s="399"/>
      <c r="C84" s="399"/>
      <c r="D84" s="399"/>
      <c r="E84" s="399"/>
      <c r="F84" s="399"/>
      <c r="G84" s="399"/>
      <c r="H84" s="399"/>
      <c r="I84" s="399"/>
    </row>
    <row r="85" spans="2:9" ht="12.75">
      <c r="B85" s="399"/>
      <c r="C85" s="399"/>
      <c r="D85" s="399"/>
      <c r="E85" s="399"/>
      <c r="F85" s="399"/>
      <c r="G85" s="399"/>
      <c r="H85" s="399"/>
      <c r="I85" s="399"/>
    </row>
    <row r="86" spans="2:9" ht="12.75">
      <c r="B86" s="399"/>
      <c r="C86" s="399"/>
      <c r="D86" s="399"/>
      <c r="E86" s="399"/>
      <c r="F86" s="399"/>
      <c r="G86" s="399"/>
      <c r="H86" s="399"/>
      <c r="I86" s="399"/>
    </row>
    <row r="87" spans="2:9" ht="12.75">
      <c r="B87" s="399"/>
      <c r="C87" s="399"/>
      <c r="D87" s="399"/>
      <c r="E87" s="399"/>
      <c r="F87" s="399"/>
      <c r="G87" s="399"/>
      <c r="H87" s="399"/>
      <c r="I87" s="399"/>
    </row>
    <row r="88" spans="2:9" ht="12.75">
      <c r="B88" s="399"/>
      <c r="C88" s="399"/>
      <c r="D88" s="399"/>
      <c r="E88" s="399"/>
      <c r="F88" s="399"/>
      <c r="G88" s="399"/>
      <c r="H88" s="399"/>
      <c r="I88" s="399"/>
    </row>
    <row r="89" spans="2:9" ht="12.75">
      <c r="B89" s="399"/>
      <c r="C89" s="399"/>
      <c r="D89" s="399"/>
      <c r="E89" s="399"/>
      <c r="F89" s="399"/>
      <c r="G89" s="399"/>
      <c r="H89" s="399"/>
      <c r="I89" s="399"/>
    </row>
    <row r="90" spans="2:9" ht="12.75">
      <c r="B90" s="399"/>
      <c r="C90" s="399"/>
      <c r="D90" s="399"/>
      <c r="E90" s="399"/>
      <c r="F90" s="399"/>
      <c r="G90" s="399"/>
      <c r="H90" s="399"/>
      <c r="I90" s="399"/>
    </row>
    <row r="91" spans="2:9" ht="12.75">
      <c r="B91" s="399"/>
      <c r="C91" s="399"/>
      <c r="D91" s="399"/>
      <c r="E91" s="399"/>
      <c r="F91" s="399"/>
      <c r="G91" s="399"/>
      <c r="H91" s="399"/>
      <c r="I91" s="399"/>
    </row>
    <row r="92" spans="2:9" ht="12.75">
      <c r="B92" s="399"/>
      <c r="C92" s="399"/>
      <c r="D92" s="399"/>
      <c r="E92" s="399"/>
      <c r="F92" s="399"/>
      <c r="G92" s="399"/>
      <c r="H92" s="399"/>
      <c r="I92" s="399"/>
    </row>
    <row r="93" spans="2:9" ht="12.75">
      <c r="B93" s="399"/>
      <c r="C93" s="399"/>
      <c r="D93" s="399"/>
      <c r="E93" s="399"/>
      <c r="F93" s="399"/>
      <c r="G93" s="399"/>
      <c r="H93" s="399"/>
      <c r="I93" s="399"/>
    </row>
    <row r="94" spans="2:9" ht="12.75">
      <c r="B94" s="399"/>
      <c r="C94" s="399"/>
      <c r="D94" s="399"/>
      <c r="E94" s="399"/>
      <c r="F94" s="399"/>
      <c r="G94" s="399"/>
      <c r="H94" s="399"/>
      <c r="I94" s="399"/>
    </row>
    <row r="95" spans="2:9" ht="12.75">
      <c r="B95" s="399"/>
      <c r="C95" s="399"/>
      <c r="D95" s="399"/>
      <c r="E95" s="399"/>
      <c r="F95" s="399"/>
      <c r="G95" s="399"/>
      <c r="H95" s="399"/>
      <c r="I95" s="399"/>
    </row>
    <row r="96" spans="2:9" ht="12.75">
      <c r="B96" s="399"/>
      <c r="C96" s="399"/>
      <c r="D96" s="399"/>
      <c r="E96" s="399"/>
      <c r="F96" s="399"/>
      <c r="G96" s="399"/>
      <c r="H96" s="399"/>
      <c r="I96" s="399"/>
    </row>
    <row r="97" spans="2:9" ht="12.75">
      <c r="B97" s="399"/>
      <c r="C97" s="399"/>
      <c r="D97" s="399"/>
      <c r="E97" s="399"/>
      <c r="F97" s="399"/>
      <c r="G97" s="399"/>
      <c r="H97" s="399"/>
      <c r="I97" s="399"/>
    </row>
    <row r="98" spans="2:9" ht="12.75">
      <c r="B98" s="399"/>
      <c r="C98" s="399"/>
      <c r="D98" s="399"/>
      <c r="E98" s="399"/>
      <c r="F98" s="399"/>
      <c r="G98" s="399"/>
      <c r="H98" s="399"/>
      <c r="I98" s="399"/>
    </row>
    <row r="99" spans="2:9" ht="12.75">
      <c r="B99" s="399"/>
      <c r="C99" s="399"/>
      <c r="D99" s="399"/>
      <c r="E99" s="399"/>
      <c r="F99" s="399"/>
      <c r="G99" s="399"/>
      <c r="H99" s="399"/>
      <c r="I99" s="399"/>
    </row>
    <row r="100" spans="2:9" ht="12.75">
      <c r="B100" s="399"/>
      <c r="C100" s="399"/>
      <c r="D100" s="399"/>
      <c r="E100" s="399"/>
      <c r="F100" s="399"/>
      <c r="G100" s="399"/>
      <c r="H100" s="399"/>
      <c r="I100" s="399"/>
    </row>
    <row r="101" spans="2:9" ht="12.75">
      <c r="B101" s="399"/>
      <c r="C101" s="399"/>
      <c r="D101" s="399"/>
      <c r="E101" s="399"/>
      <c r="F101" s="399"/>
      <c r="G101" s="399"/>
      <c r="H101" s="399"/>
      <c r="I101" s="399"/>
    </row>
    <row r="102" spans="2:9" ht="12.75">
      <c r="B102" s="399"/>
      <c r="C102" s="399"/>
      <c r="D102" s="399"/>
      <c r="E102" s="399"/>
      <c r="F102" s="399"/>
      <c r="G102" s="399"/>
      <c r="H102" s="399"/>
      <c r="I102" s="399"/>
    </row>
    <row r="103" spans="2:9" ht="12.75">
      <c r="B103" s="399"/>
      <c r="C103" s="399"/>
      <c r="D103" s="399"/>
      <c r="E103" s="399"/>
      <c r="F103" s="399"/>
      <c r="G103" s="399"/>
      <c r="H103" s="399"/>
      <c r="I103" s="399"/>
    </row>
    <row r="104" spans="2:9" ht="12.75">
      <c r="B104" s="399"/>
      <c r="C104" s="399"/>
      <c r="D104" s="399"/>
      <c r="E104" s="399"/>
      <c r="F104" s="399"/>
      <c r="G104" s="399"/>
      <c r="H104" s="399"/>
      <c r="I104" s="399"/>
    </row>
    <row r="105" spans="2:9" ht="12.75">
      <c r="B105" s="399"/>
      <c r="C105" s="399"/>
      <c r="D105" s="399"/>
      <c r="E105" s="399"/>
      <c r="F105" s="399"/>
      <c r="G105" s="399"/>
      <c r="H105" s="399"/>
      <c r="I105" s="399"/>
    </row>
    <row r="106" spans="2:9" ht="12.75">
      <c r="B106" s="399"/>
      <c r="C106" s="399"/>
      <c r="D106" s="399"/>
      <c r="E106" s="399"/>
      <c r="F106" s="399"/>
      <c r="G106" s="399"/>
      <c r="H106" s="399"/>
      <c r="I106" s="399"/>
    </row>
    <row r="107" spans="2:9" ht="12.75">
      <c r="B107" s="399"/>
      <c r="C107" s="399"/>
      <c r="D107" s="399"/>
      <c r="E107" s="399"/>
      <c r="F107" s="399"/>
      <c r="G107" s="399"/>
      <c r="H107" s="399"/>
      <c r="I107" s="399"/>
    </row>
    <row r="108" spans="2:9" ht="12.75">
      <c r="B108" s="399"/>
      <c r="C108" s="399"/>
      <c r="D108" s="399"/>
      <c r="E108" s="399"/>
      <c r="F108" s="399"/>
      <c r="G108" s="399"/>
      <c r="H108" s="399"/>
      <c r="I108" s="399"/>
    </row>
    <row r="109" spans="2:9" ht="12.75">
      <c r="B109" s="399"/>
      <c r="C109" s="399"/>
      <c r="D109" s="399"/>
      <c r="E109" s="399"/>
      <c r="F109" s="399"/>
      <c r="G109" s="399"/>
      <c r="H109" s="399"/>
      <c r="I109" s="399"/>
    </row>
    <row r="110" spans="2:9" ht="12.75">
      <c r="B110" s="399"/>
      <c r="C110" s="399"/>
      <c r="D110" s="399"/>
      <c r="E110" s="399"/>
      <c r="F110" s="399"/>
      <c r="G110" s="399"/>
      <c r="H110" s="399"/>
      <c r="I110" s="399"/>
    </row>
    <row r="111" spans="2:9" ht="12.75">
      <c r="B111" s="399"/>
      <c r="C111" s="399"/>
      <c r="D111" s="399"/>
      <c r="E111" s="399"/>
      <c r="F111" s="399"/>
      <c r="G111" s="399"/>
      <c r="H111" s="399"/>
      <c r="I111" s="399"/>
    </row>
    <row r="112" spans="2:9" ht="12.75">
      <c r="B112" s="399"/>
      <c r="C112" s="399"/>
      <c r="D112" s="399"/>
      <c r="E112" s="399"/>
      <c r="F112" s="399"/>
      <c r="G112" s="399"/>
      <c r="H112" s="399"/>
      <c r="I112" s="399"/>
    </row>
    <row r="113" spans="2:9" ht="12.75">
      <c r="B113" s="399"/>
      <c r="C113" s="399"/>
      <c r="D113" s="399"/>
      <c r="E113" s="399"/>
      <c r="F113" s="399"/>
      <c r="G113" s="399"/>
      <c r="H113" s="399"/>
      <c r="I113" s="399"/>
    </row>
    <row r="130" s="399" customFormat="1" ht="12.75"/>
    <row r="131" s="399" customFormat="1" ht="12.75"/>
    <row r="132" ht="12.75">
      <c r="D132" s="406"/>
    </row>
    <row r="133" ht="12.75">
      <c r="D133" s="406"/>
    </row>
    <row r="134" ht="12.75">
      <c r="D134" s="406"/>
    </row>
    <row r="135" spans="6:7" ht="12.75">
      <c r="F135" s="1460"/>
      <c r="G135" s="1460"/>
    </row>
    <row r="136" ht="12.75">
      <c r="D136" s="406"/>
    </row>
    <row r="137" ht="12.75">
      <c r="D137" s="406"/>
    </row>
    <row r="138" ht="12.75">
      <c r="D138" s="406"/>
    </row>
  </sheetData>
  <sheetProtection/>
  <printOptions/>
  <pageMargins left="0.75" right="0.75" top="0.5" bottom="0.25" header="0.25" footer="0.5"/>
  <pageSetup horizontalDpi="600" verticalDpi="600" orientation="portrait" paperSize="5" scale="52" r:id="rId1"/>
</worksheet>
</file>

<file path=xl/worksheets/sheet15.xml><?xml version="1.0" encoding="utf-8"?>
<worksheet xmlns="http://schemas.openxmlformats.org/spreadsheetml/2006/main" xmlns:r="http://schemas.openxmlformats.org/officeDocument/2006/relationships">
  <sheetPr codeName="Sheet9"/>
  <dimension ref="A1:IV73"/>
  <sheetViews>
    <sheetView showGridLines="0" showZeros="0" view="pageBreakPreview" zoomScale="50" zoomScaleNormal="50" zoomScaleSheetLayoutView="50" zoomScalePageLayoutView="0" workbookViewId="0" topLeftCell="A1">
      <selection activeCell="B2" sqref="B2"/>
    </sheetView>
  </sheetViews>
  <sheetFormatPr defaultColWidth="9.77734375" defaultRowHeight="15"/>
  <cols>
    <col min="1" max="1" width="2.77734375" style="419" customWidth="1"/>
    <col min="2" max="2" width="28.77734375" style="419" customWidth="1"/>
    <col min="3" max="3" width="20.3359375" style="419" customWidth="1"/>
    <col min="4" max="4" width="17.6640625" style="1522" customWidth="1"/>
    <col min="5" max="5" width="20.88671875" style="420" customWidth="1"/>
    <col min="6" max="6" width="12.10546875" style="419" customWidth="1"/>
    <col min="7" max="7" width="31.5546875" style="419" customWidth="1"/>
    <col min="8" max="8" width="8.6640625" style="419" customWidth="1"/>
    <col min="9" max="9" width="1.99609375" style="418" customWidth="1"/>
    <col min="10" max="10" width="18.21484375" style="419" customWidth="1"/>
    <col min="11" max="11" width="1.2265625" style="418" customWidth="1"/>
    <col min="12" max="12" width="9.77734375" style="418" customWidth="1"/>
    <col min="13" max="13" width="15.6640625" style="418" customWidth="1"/>
    <col min="14" max="23" width="9.77734375" style="418" customWidth="1"/>
    <col min="24" max="24" width="31.3359375" style="418" hidden="1" customWidth="1"/>
    <col min="25" max="26" width="19.99609375" style="418" hidden="1" customWidth="1"/>
    <col min="27" max="30" width="9.77734375" style="418" customWidth="1"/>
    <col min="31" max="255" width="8.99609375" style="419" customWidth="1"/>
    <col min="256" max="16384" width="9.77734375" style="418" customWidth="1"/>
  </cols>
  <sheetData>
    <row r="1" spans="1:10" ht="42.75" customHeight="1">
      <c r="A1" s="1461"/>
      <c r="B1" s="1462" t="s">
        <v>1722</v>
      </c>
      <c r="C1" s="1461"/>
      <c r="D1" s="1463"/>
      <c r="E1" s="1461"/>
      <c r="F1" s="1461"/>
      <c r="G1" s="1461"/>
      <c r="H1" s="1461"/>
      <c r="I1" s="1464"/>
      <c r="J1" s="1461"/>
    </row>
    <row r="2" spans="1:255" ht="27" customHeight="1">
      <c r="A2" s="1461"/>
      <c r="B2" s="1465"/>
      <c r="C2" s="1461"/>
      <c r="D2" s="1463"/>
      <c r="E2" s="1461"/>
      <c r="F2" s="1461"/>
      <c r="G2" s="1461"/>
      <c r="H2" s="1461"/>
      <c r="I2" s="1464"/>
      <c r="J2" s="1461"/>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c r="CM2" s="420"/>
      <c r="CN2" s="420"/>
      <c r="CO2" s="420"/>
      <c r="CP2" s="420"/>
      <c r="CQ2" s="420"/>
      <c r="CR2" s="420"/>
      <c r="CS2" s="420"/>
      <c r="CT2" s="420"/>
      <c r="CU2" s="420"/>
      <c r="CV2" s="420"/>
      <c r="CW2" s="420"/>
      <c r="CX2" s="420"/>
      <c r="CY2" s="420"/>
      <c r="CZ2" s="420"/>
      <c r="DA2" s="420"/>
      <c r="DB2" s="420"/>
      <c r="DC2" s="420"/>
      <c r="DD2" s="420"/>
      <c r="DE2" s="420"/>
      <c r="DF2" s="420"/>
      <c r="DG2" s="420"/>
      <c r="DH2" s="420"/>
      <c r="DI2" s="420"/>
      <c r="DJ2" s="420"/>
      <c r="DK2" s="420"/>
      <c r="DL2" s="420"/>
      <c r="DM2" s="420"/>
      <c r="DN2" s="420"/>
      <c r="DO2" s="420"/>
      <c r="DP2" s="420"/>
      <c r="DQ2" s="420"/>
      <c r="DR2" s="420"/>
      <c r="DS2" s="420"/>
      <c r="DT2" s="420"/>
      <c r="DU2" s="420"/>
      <c r="DV2" s="420"/>
      <c r="DW2" s="420"/>
      <c r="DX2" s="420"/>
      <c r="DY2" s="420"/>
      <c r="DZ2" s="420"/>
      <c r="EA2" s="420"/>
      <c r="EB2" s="420"/>
      <c r="EC2" s="420"/>
      <c r="ED2" s="420"/>
      <c r="EE2" s="420"/>
      <c r="EF2" s="420"/>
      <c r="EG2" s="420"/>
      <c r="EH2" s="420"/>
      <c r="EI2" s="420"/>
      <c r="EJ2" s="420"/>
      <c r="EK2" s="420"/>
      <c r="EL2" s="420"/>
      <c r="EM2" s="420"/>
      <c r="EN2" s="420"/>
      <c r="EO2" s="420"/>
      <c r="EP2" s="420"/>
      <c r="EQ2" s="420"/>
      <c r="ER2" s="420"/>
      <c r="ES2" s="420"/>
      <c r="ET2" s="420"/>
      <c r="EU2" s="420"/>
      <c r="EV2" s="420"/>
      <c r="EW2" s="420"/>
      <c r="EX2" s="420"/>
      <c r="EY2" s="420"/>
      <c r="EZ2" s="420"/>
      <c r="FA2" s="420"/>
      <c r="FB2" s="420"/>
      <c r="FC2" s="420"/>
      <c r="FD2" s="420"/>
      <c r="FE2" s="420"/>
      <c r="FF2" s="420"/>
      <c r="FG2" s="420"/>
      <c r="FH2" s="420"/>
      <c r="FI2" s="420"/>
      <c r="FJ2" s="420"/>
      <c r="FK2" s="420"/>
      <c r="FL2" s="420"/>
      <c r="FM2" s="420"/>
      <c r="FN2" s="420"/>
      <c r="FO2" s="420"/>
      <c r="FP2" s="420"/>
      <c r="FQ2" s="420"/>
      <c r="FR2" s="420"/>
      <c r="FS2" s="420"/>
      <c r="FT2" s="420"/>
      <c r="FU2" s="420"/>
      <c r="FV2" s="420"/>
      <c r="FW2" s="420"/>
      <c r="FX2" s="420"/>
      <c r="FY2" s="420"/>
      <c r="FZ2" s="420"/>
      <c r="GA2" s="420"/>
      <c r="GB2" s="420"/>
      <c r="GC2" s="420"/>
      <c r="GD2" s="420"/>
      <c r="GE2" s="420"/>
      <c r="GF2" s="420"/>
      <c r="GG2" s="420"/>
      <c r="GH2" s="420"/>
      <c r="GI2" s="420"/>
      <c r="GJ2" s="420"/>
      <c r="GK2" s="420"/>
      <c r="GL2" s="420"/>
      <c r="GM2" s="420"/>
      <c r="GN2" s="420"/>
      <c r="GO2" s="420"/>
      <c r="GP2" s="420"/>
      <c r="GQ2" s="420"/>
      <c r="GR2" s="420"/>
      <c r="GS2" s="420"/>
      <c r="GT2" s="420"/>
      <c r="GU2" s="420"/>
      <c r="GV2" s="420"/>
      <c r="GW2" s="420"/>
      <c r="GX2" s="420"/>
      <c r="GY2" s="420"/>
      <c r="GZ2" s="420"/>
      <c r="HA2" s="420"/>
      <c r="HB2" s="420"/>
      <c r="HC2" s="420"/>
      <c r="HD2" s="420"/>
      <c r="HE2" s="420"/>
      <c r="HF2" s="420"/>
      <c r="HG2" s="420"/>
      <c r="HH2" s="420"/>
      <c r="HI2" s="420"/>
      <c r="HJ2" s="420"/>
      <c r="HK2" s="420"/>
      <c r="HL2" s="420"/>
      <c r="HM2" s="420"/>
      <c r="HN2" s="420"/>
      <c r="HO2" s="420"/>
      <c r="HP2" s="420"/>
      <c r="HQ2" s="420"/>
      <c r="HR2" s="420"/>
      <c r="HS2" s="420"/>
      <c r="HT2" s="420"/>
      <c r="HU2" s="420"/>
      <c r="HV2" s="420"/>
      <c r="HW2" s="420"/>
      <c r="HX2" s="420"/>
      <c r="HY2" s="420"/>
      <c r="HZ2" s="420"/>
      <c r="IA2" s="420"/>
      <c r="IB2" s="420"/>
      <c r="IC2" s="420"/>
      <c r="ID2" s="420"/>
      <c r="IE2" s="420"/>
      <c r="IF2" s="420"/>
      <c r="IG2" s="420"/>
      <c r="IH2" s="420"/>
      <c r="II2" s="420"/>
      <c r="IJ2" s="420"/>
      <c r="IK2" s="420"/>
      <c r="IL2" s="420"/>
      <c r="IM2" s="420"/>
      <c r="IN2" s="420"/>
      <c r="IO2" s="420"/>
      <c r="IP2" s="420"/>
      <c r="IQ2" s="420"/>
      <c r="IR2" s="420"/>
      <c r="IS2" s="420"/>
      <c r="IT2" s="420"/>
      <c r="IU2" s="420"/>
    </row>
    <row r="3" spans="1:10" ht="24" hidden="1">
      <c r="A3" s="1461"/>
      <c r="B3" s="1461"/>
      <c r="C3" s="1461"/>
      <c r="D3" s="1463"/>
      <c r="E3" s="1461"/>
      <c r="F3" s="1461"/>
      <c r="G3" s="1461"/>
      <c r="H3" s="1461"/>
      <c r="I3" s="1464"/>
      <c r="J3" s="1461"/>
    </row>
    <row r="4" spans="1:10" ht="28.5" customHeight="1" thickBot="1">
      <c r="A4" s="1461"/>
      <c r="B4" s="1461" t="s">
        <v>1002</v>
      </c>
      <c r="C4" s="1784">
        <f>+EligBasisLimits!C4</f>
        <v>0</v>
      </c>
      <c r="D4" s="1784"/>
      <c r="E4" s="1784"/>
      <c r="F4" s="1461"/>
      <c r="G4" s="1461"/>
      <c r="H4" s="1461"/>
      <c r="I4" s="1464"/>
      <c r="J4" s="1461"/>
    </row>
    <row r="5" spans="1:10" ht="22.5" customHeight="1" thickBot="1" thickTop="1">
      <c r="A5" s="1461"/>
      <c r="B5" s="1461"/>
      <c r="C5" s="1461"/>
      <c r="D5" s="1466"/>
      <c r="E5" s="1467"/>
      <c r="F5" s="1461"/>
      <c r="G5" s="1461"/>
      <c r="H5" s="1461"/>
      <c r="I5" s="1464"/>
      <c r="J5" s="1461"/>
    </row>
    <row r="6" spans="1:256" ht="54.75" customHeight="1" thickTop="1">
      <c r="A6" s="1468"/>
      <c r="B6" s="1469" t="s">
        <v>1691</v>
      </c>
      <c r="C6" s="1470"/>
      <c r="D6" s="1471"/>
      <c r="E6" s="1470"/>
      <c r="F6" s="1470"/>
      <c r="G6" s="1470"/>
      <c r="H6" s="1470"/>
      <c r="I6" s="1470"/>
      <c r="J6" s="1472"/>
      <c r="IV6" s="419"/>
    </row>
    <row r="7" spans="1:256" ht="32.25" customHeight="1">
      <c r="A7" s="1473"/>
      <c r="B7" s="1474" t="s">
        <v>1692</v>
      </c>
      <c r="C7" s="1461"/>
      <c r="D7" s="1463"/>
      <c r="E7" s="1461"/>
      <c r="F7" s="1461"/>
      <c r="G7" s="1461"/>
      <c r="H7" s="1461"/>
      <c r="I7" s="1461"/>
      <c r="J7" s="1475"/>
      <c r="IV7" s="419"/>
    </row>
    <row r="8" spans="1:256" ht="23.25" customHeight="1">
      <c r="A8" s="1473"/>
      <c r="B8" s="1476"/>
      <c r="C8" s="1461"/>
      <c r="D8" s="1463"/>
      <c r="E8" s="1461"/>
      <c r="F8" s="1461"/>
      <c r="G8" s="1461"/>
      <c r="H8" s="1463" t="s">
        <v>1548</v>
      </c>
      <c r="I8" s="1461"/>
      <c r="J8" s="1475"/>
      <c r="IV8" s="419"/>
    </row>
    <row r="9" spans="1:256" s="1483" customFormat="1" ht="30" customHeight="1">
      <c r="A9" s="1477"/>
      <c r="B9" s="1126" t="s">
        <v>1549</v>
      </c>
      <c r="C9" s="1478"/>
      <c r="D9" s="1127"/>
      <c r="E9" s="1128"/>
      <c r="F9" s="1129"/>
      <c r="G9" s="1479" t="s">
        <v>1550</v>
      </c>
      <c r="H9" s="1480"/>
      <c r="I9" s="1481" t="s">
        <v>1001</v>
      </c>
      <c r="J9" s="1482"/>
      <c r="AE9" s="1484"/>
      <c r="AF9" s="1484"/>
      <c r="AG9" s="1484"/>
      <c r="AH9" s="1484"/>
      <c r="AI9" s="1484"/>
      <c r="AJ9" s="1484"/>
      <c r="AK9" s="1484"/>
      <c r="AL9" s="1484"/>
      <c r="AM9" s="1484"/>
      <c r="AN9" s="1484"/>
      <c r="AO9" s="1484"/>
      <c r="AP9" s="1484"/>
      <c r="AQ9" s="1484"/>
      <c r="AR9" s="1484"/>
      <c r="AS9" s="1484"/>
      <c r="AT9" s="1484"/>
      <c r="AU9" s="1484"/>
      <c r="AV9" s="1484"/>
      <c r="AW9" s="1484"/>
      <c r="AX9" s="1484"/>
      <c r="AY9" s="1484"/>
      <c r="AZ9" s="1484"/>
      <c r="BA9" s="1484"/>
      <c r="BB9" s="1484"/>
      <c r="BC9" s="1484"/>
      <c r="BD9" s="1484"/>
      <c r="BE9" s="1484"/>
      <c r="BF9" s="1484"/>
      <c r="BG9" s="1484"/>
      <c r="BH9" s="1484"/>
      <c r="BI9" s="1484"/>
      <c r="BJ9" s="1484"/>
      <c r="BK9" s="1484"/>
      <c r="BL9" s="1484"/>
      <c r="BM9" s="1484"/>
      <c r="BN9" s="1484"/>
      <c r="BO9" s="1484"/>
      <c r="BP9" s="1484"/>
      <c r="BQ9" s="1484"/>
      <c r="BR9" s="1484"/>
      <c r="BS9" s="1484"/>
      <c r="BT9" s="1484"/>
      <c r="BU9" s="1484"/>
      <c r="BV9" s="1484"/>
      <c r="BW9" s="1484"/>
      <c r="BX9" s="1484"/>
      <c r="BY9" s="1484"/>
      <c r="BZ9" s="1484"/>
      <c r="CA9" s="1484"/>
      <c r="CB9" s="1484"/>
      <c r="CC9" s="1484"/>
      <c r="CD9" s="1484"/>
      <c r="CE9" s="1484"/>
      <c r="CF9" s="1484"/>
      <c r="CG9" s="1484"/>
      <c r="CH9" s="1484"/>
      <c r="CI9" s="1484"/>
      <c r="CJ9" s="1484"/>
      <c r="CK9" s="1484"/>
      <c r="CL9" s="1484"/>
      <c r="CM9" s="1484"/>
      <c r="CN9" s="1484"/>
      <c r="CO9" s="1484"/>
      <c r="CP9" s="1484"/>
      <c r="CQ9" s="1484"/>
      <c r="CR9" s="1484"/>
      <c r="CS9" s="1484"/>
      <c r="CT9" s="1484"/>
      <c r="CU9" s="1484"/>
      <c r="CV9" s="1484"/>
      <c r="CW9" s="1484"/>
      <c r="CX9" s="1484"/>
      <c r="CY9" s="1484"/>
      <c r="CZ9" s="1484"/>
      <c r="DA9" s="1484"/>
      <c r="DB9" s="1484"/>
      <c r="DC9" s="1484"/>
      <c r="DD9" s="1484"/>
      <c r="DE9" s="1484"/>
      <c r="DF9" s="1484"/>
      <c r="DG9" s="1484"/>
      <c r="DH9" s="1484"/>
      <c r="DI9" s="1484"/>
      <c r="DJ9" s="1484"/>
      <c r="DK9" s="1484"/>
      <c r="DL9" s="1484"/>
      <c r="DM9" s="1484"/>
      <c r="DN9" s="1484"/>
      <c r="DO9" s="1484"/>
      <c r="DP9" s="1484"/>
      <c r="DQ9" s="1484"/>
      <c r="DR9" s="1484"/>
      <c r="DS9" s="1484"/>
      <c r="DT9" s="1484"/>
      <c r="DU9" s="1484"/>
      <c r="DV9" s="1484"/>
      <c r="DW9" s="1484"/>
      <c r="DX9" s="1484"/>
      <c r="DY9" s="1484"/>
      <c r="DZ9" s="1484"/>
      <c r="EA9" s="1484"/>
      <c r="EB9" s="1484"/>
      <c r="EC9" s="1484"/>
      <c r="ED9" s="1484"/>
      <c r="EE9" s="1484"/>
      <c r="EF9" s="1484"/>
      <c r="EG9" s="1484"/>
      <c r="EH9" s="1484"/>
      <c r="EI9" s="1484"/>
      <c r="EJ9" s="1484"/>
      <c r="EK9" s="1484"/>
      <c r="EL9" s="1484"/>
      <c r="EM9" s="1484"/>
      <c r="EN9" s="1484"/>
      <c r="EO9" s="1484"/>
      <c r="EP9" s="1484"/>
      <c r="EQ9" s="1484"/>
      <c r="ER9" s="1484"/>
      <c r="ES9" s="1484"/>
      <c r="ET9" s="1484"/>
      <c r="EU9" s="1484"/>
      <c r="EV9" s="1484"/>
      <c r="EW9" s="1484"/>
      <c r="EX9" s="1484"/>
      <c r="EY9" s="1484"/>
      <c r="EZ9" s="1484"/>
      <c r="FA9" s="1484"/>
      <c r="FB9" s="1484"/>
      <c r="FC9" s="1484"/>
      <c r="FD9" s="1484"/>
      <c r="FE9" s="1484"/>
      <c r="FF9" s="1484"/>
      <c r="FG9" s="1484"/>
      <c r="FH9" s="1484"/>
      <c r="FI9" s="1484"/>
      <c r="FJ9" s="1484"/>
      <c r="FK9" s="1484"/>
      <c r="FL9" s="1484"/>
      <c r="FM9" s="1484"/>
      <c r="FN9" s="1484"/>
      <c r="FO9" s="1484"/>
      <c r="FP9" s="1484"/>
      <c r="FQ9" s="1484"/>
      <c r="FR9" s="1484"/>
      <c r="FS9" s="1484"/>
      <c r="FT9" s="1484"/>
      <c r="FU9" s="1484"/>
      <c r="FV9" s="1484"/>
      <c r="FW9" s="1484"/>
      <c r="FX9" s="1484"/>
      <c r="FY9" s="1484"/>
      <c r="FZ9" s="1484"/>
      <c r="GA9" s="1484"/>
      <c r="GB9" s="1484"/>
      <c r="GC9" s="1484"/>
      <c r="GD9" s="1484"/>
      <c r="GE9" s="1484"/>
      <c r="GF9" s="1484"/>
      <c r="GG9" s="1484"/>
      <c r="GH9" s="1484"/>
      <c r="GI9" s="1484"/>
      <c r="GJ9" s="1484"/>
      <c r="GK9" s="1484"/>
      <c r="GL9" s="1484"/>
      <c r="GM9" s="1484"/>
      <c r="GN9" s="1484"/>
      <c r="GO9" s="1484"/>
      <c r="GP9" s="1484"/>
      <c r="GQ9" s="1484"/>
      <c r="GR9" s="1484"/>
      <c r="GS9" s="1484"/>
      <c r="GT9" s="1484"/>
      <c r="GU9" s="1484"/>
      <c r="GV9" s="1484"/>
      <c r="GW9" s="1484"/>
      <c r="GX9" s="1484"/>
      <c r="GY9" s="1484"/>
      <c r="GZ9" s="1484"/>
      <c r="HA9" s="1484"/>
      <c r="HB9" s="1484"/>
      <c r="HC9" s="1484"/>
      <c r="HD9" s="1484"/>
      <c r="HE9" s="1484"/>
      <c r="HF9" s="1484"/>
      <c r="HG9" s="1484"/>
      <c r="HH9" s="1484"/>
      <c r="HI9" s="1484"/>
      <c r="HJ9" s="1484"/>
      <c r="HK9" s="1484"/>
      <c r="HL9" s="1484"/>
      <c r="HM9" s="1484"/>
      <c r="HN9" s="1484"/>
      <c r="HO9" s="1484"/>
      <c r="HP9" s="1484"/>
      <c r="HQ9" s="1484"/>
      <c r="HR9" s="1484"/>
      <c r="HS9" s="1484"/>
      <c r="HT9" s="1484"/>
      <c r="HU9" s="1484"/>
      <c r="HV9" s="1484"/>
      <c r="HW9" s="1484"/>
      <c r="HX9" s="1484"/>
      <c r="HY9" s="1484"/>
      <c r="HZ9" s="1484"/>
      <c r="IA9" s="1484"/>
      <c r="IB9" s="1484"/>
      <c r="IC9" s="1484"/>
      <c r="ID9" s="1484"/>
      <c r="IE9" s="1484"/>
      <c r="IF9" s="1484"/>
      <c r="IG9" s="1484"/>
      <c r="IH9" s="1484"/>
      <c r="II9" s="1484"/>
      <c r="IJ9" s="1484"/>
      <c r="IK9" s="1484"/>
      <c r="IL9" s="1484"/>
      <c r="IM9" s="1484"/>
      <c r="IN9" s="1484"/>
      <c r="IO9" s="1484"/>
      <c r="IP9" s="1484"/>
      <c r="IQ9" s="1484"/>
      <c r="IR9" s="1484"/>
      <c r="IS9" s="1484"/>
      <c r="IT9" s="1484"/>
      <c r="IU9" s="1484"/>
      <c r="IV9" s="1484"/>
    </row>
    <row r="10" spans="1:256" s="1483" customFormat="1" ht="30" customHeight="1">
      <c r="A10" s="1477"/>
      <c r="B10" s="1130" t="s">
        <v>1551</v>
      </c>
      <c r="C10" s="1485"/>
      <c r="D10" s="1131"/>
      <c r="E10" s="1132"/>
      <c r="F10" s="1133"/>
      <c r="G10" s="1479" t="s">
        <v>1552</v>
      </c>
      <c r="H10" s="1480"/>
      <c r="I10" s="1481" t="s">
        <v>1001</v>
      </c>
      <c r="J10" s="1482"/>
      <c r="AE10" s="1484"/>
      <c r="AF10" s="1484"/>
      <c r="AG10" s="1484"/>
      <c r="AH10" s="1484"/>
      <c r="AI10" s="1484"/>
      <c r="AJ10" s="1484"/>
      <c r="AK10" s="1484"/>
      <c r="AL10" s="1484"/>
      <c r="AM10" s="1484"/>
      <c r="AN10" s="1484"/>
      <c r="AO10" s="1484"/>
      <c r="AP10" s="1484"/>
      <c r="AQ10" s="1484"/>
      <c r="AR10" s="1484"/>
      <c r="AS10" s="1484"/>
      <c r="AT10" s="1484"/>
      <c r="AU10" s="1484"/>
      <c r="AV10" s="1484"/>
      <c r="AW10" s="1484"/>
      <c r="AX10" s="1484"/>
      <c r="AY10" s="1484"/>
      <c r="AZ10" s="1484"/>
      <c r="BA10" s="1484"/>
      <c r="BB10" s="1484"/>
      <c r="BC10" s="1484"/>
      <c r="BD10" s="1484"/>
      <c r="BE10" s="1484"/>
      <c r="BF10" s="1484"/>
      <c r="BG10" s="1484"/>
      <c r="BH10" s="1484"/>
      <c r="BI10" s="1484"/>
      <c r="BJ10" s="1484"/>
      <c r="BK10" s="1484"/>
      <c r="BL10" s="1484"/>
      <c r="BM10" s="1484"/>
      <c r="BN10" s="1484"/>
      <c r="BO10" s="1484"/>
      <c r="BP10" s="1484"/>
      <c r="BQ10" s="1484"/>
      <c r="BR10" s="1484"/>
      <c r="BS10" s="1484"/>
      <c r="BT10" s="1484"/>
      <c r="BU10" s="1484"/>
      <c r="BV10" s="1484"/>
      <c r="BW10" s="1484"/>
      <c r="BX10" s="1484"/>
      <c r="BY10" s="1484"/>
      <c r="BZ10" s="1484"/>
      <c r="CA10" s="1484"/>
      <c r="CB10" s="1484"/>
      <c r="CC10" s="1484"/>
      <c r="CD10" s="1484"/>
      <c r="CE10" s="1484"/>
      <c r="CF10" s="1484"/>
      <c r="CG10" s="1484"/>
      <c r="CH10" s="1484"/>
      <c r="CI10" s="1484"/>
      <c r="CJ10" s="1484"/>
      <c r="CK10" s="1484"/>
      <c r="CL10" s="1484"/>
      <c r="CM10" s="1484"/>
      <c r="CN10" s="1484"/>
      <c r="CO10" s="1484"/>
      <c r="CP10" s="1484"/>
      <c r="CQ10" s="1484"/>
      <c r="CR10" s="1484"/>
      <c r="CS10" s="1484"/>
      <c r="CT10" s="1484"/>
      <c r="CU10" s="1484"/>
      <c r="CV10" s="1484"/>
      <c r="CW10" s="1484"/>
      <c r="CX10" s="1484"/>
      <c r="CY10" s="1484"/>
      <c r="CZ10" s="1484"/>
      <c r="DA10" s="1484"/>
      <c r="DB10" s="1484"/>
      <c r="DC10" s="1484"/>
      <c r="DD10" s="1484"/>
      <c r="DE10" s="1484"/>
      <c r="DF10" s="1484"/>
      <c r="DG10" s="1484"/>
      <c r="DH10" s="1484"/>
      <c r="DI10" s="1484"/>
      <c r="DJ10" s="1484"/>
      <c r="DK10" s="1484"/>
      <c r="DL10" s="1484"/>
      <c r="DM10" s="1484"/>
      <c r="DN10" s="1484"/>
      <c r="DO10" s="1484"/>
      <c r="DP10" s="1484"/>
      <c r="DQ10" s="1484"/>
      <c r="DR10" s="1484"/>
      <c r="DS10" s="1484"/>
      <c r="DT10" s="1484"/>
      <c r="DU10" s="1484"/>
      <c r="DV10" s="1484"/>
      <c r="DW10" s="1484"/>
      <c r="DX10" s="1484"/>
      <c r="DY10" s="1484"/>
      <c r="DZ10" s="1484"/>
      <c r="EA10" s="1484"/>
      <c r="EB10" s="1484"/>
      <c r="EC10" s="1484"/>
      <c r="ED10" s="1484"/>
      <c r="EE10" s="1484"/>
      <c r="EF10" s="1484"/>
      <c r="EG10" s="1484"/>
      <c r="EH10" s="1484"/>
      <c r="EI10" s="1484"/>
      <c r="EJ10" s="1484"/>
      <c r="EK10" s="1484"/>
      <c r="EL10" s="1484"/>
      <c r="EM10" s="1484"/>
      <c r="EN10" s="1484"/>
      <c r="EO10" s="1484"/>
      <c r="EP10" s="1484"/>
      <c r="EQ10" s="1484"/>
      <c r="ER10" s="1484"/>
      <c r="ES10" s="1484"/>
      <c r="ET10" s="1484"/>
      <c r="EU10" s="1484"/>
      <c r="EV10" s="1484"/>
      <c r="EW10" s="1484"/>
      <c r="EX10" s="1484"/>
      <c r="EY10" s="1484"/>
      <c r="EZ10" s="1484"/>
      <c r="FA10" s="1484"/>
      <c r="FB10" s="1484"/>
      <c r="FC10" s="1484"/>
      <c r="FD10" s="1484"/>
      <c r="FE10" s="1484"/>
      <c r="FF10" s="1484"/>
      <c r="FG10" s="1484"/>
      <c r="FH10" s="1484"/>
      <c r="FI10" s="1484"/>
      <c r="FJ10" s="1484"/>
      <c r="FK10" s="1484"/>
      <c r="FL10" s="1484"/>
      <c r="FM10" s="1484"/>
      <c r="FN10" s="1484"/>
      <c r="FO10" s="1484"/>
      <c r="FP10" s="1484"/>
      <c r="FQ10" s="1484"/>
      <c r="FR10" s="1484"/>
      <c r="FS10" s="1484"/>
      <c r="FT10" s="1484"/>
      <c r="FU10" s="1484"/>
      <c r="FV10" s="1484"/>
      <c r="FW10" s="1484"/>
      <c r="FX10" s="1484"/>
      <c r="FY10" s="1484"/>
      <c r="FZ10" s="1484"/>
      <c r="GA10" s="1484"/>
      <c r="GB10" s="1484"/>
      <c r="GC10" s="1484"/>
      <c r="GD10" s="1484"/>
      <c r="GE10" s="1484"/>
      <c r="GF10" s="1484"/>
      <c r="GG10" s="1484"/>
      <c r="GH10" s="1484"/>
      <c r="GI10" s="1484"/>
      <c r="GJ10" s="1484"/>
      <c r="GK10" s="1484"/>
      <c r="GL10" s="1484"/>
      <c r="GM10" s="1484"/>
      <c r="GN10" s="1484"/>
      <c r="GO10" s="1484"/>
      <c r="GP10" s="1484"/>
      <c r="GQ10" s="1484"/>
      <c r="GR10" s="1484"/>
      <c r="GS10" s="1484"/>
      <c r="GT10" s="1484"/>
      <c r="GU10" s="1484"/>
      <c r="GV10" s="1484"/>
      <c r="GW10" s="1484"/>
      <c r="GX10" s="1484"/>
      <c r="GY10" s="1484"/>
      <c r="GZ10" s="1484"/>
      <c r="HA10" s="1484"/>
      <c r="HB10" s="1484"/>
      <c r="HC10" s="1484"/>
      <c r="HD10" s="1484"/>
      <c r="HE10" s="1484"/>
      <c r="HF10" s="1484"/>
      <c r="HG10" s="1484"/>
      <c r="HH10" s="1484"/>
      <c r="HI10" s="1484"/>
      <c r="HJ10" s="1484"/>
      <c r="HK10" s="1484"/>
      <c r="HL10" s="1484"/>
      <c r="HM10" s="1484"/>
      <c r="HN10" s="1484"/>
      <c r="HO10" s="1484"/>
      <c r="HP10" s="1484"/>
      <c r="HQ10" s="1484"/>
      <c r="HR10" s="1484"/>
      <c r="HS10" s="1484"/>
      <c r="HT10" s="1484"/>
      <c r="HU10" s="1484"/>
      <c r="HV10" s="1484"/>
      <c r="HW10" s="1484"/>
      <c r="HX10" s="1484"/>
      <c r="HY10" s="1484"/>
      <c r="HZ10" s="1484"/>
      <c r="IA10" s="1484"/>
      <c r="IB10" s="1484"/>
      <c r="IC10" s="1484"/>
      <c r="ID10" s="1484"/>
      <c r="IE10" s="1484"/>
      <c r="IF10" s="1484"/>
      <c r="IG10" s="1484"/>
      <c r="IH10" s="1484"/>
      <c r="II10" s="1484"/>
      <c r="IJ10" s="1484"/>
      <c r="IK10" s="1484"/>
      <c r="IL10" s="1484"/>
      <c r="IM10" s="1484"/>
      <c r="IN10" s="1484"/>
      <c r="IO10" s="1484"/>
      <c r="IP10" s="1484"/>
      <c r="IQ10" s="1484"/>
      <c r="IR10" s="1484"/>
      <c r="IS10" s="1484"/>
      <c r="IT10" s="1484"/>
      <c r="IU10" s="1484"/>
      <c r="IV10" s="1484"/>
    </row>
    <row r="11" spans="1:256" ht="21.75" customHeight="1">
      <c r="A11" s="1473"/>
      <c r="B11" s="1461"/>
      <c r="C11" s="1461"/>
      <c r="D11" s="1463"/>
      <c r="F11" s="1461"/>
      <c r="G11" s="1461"/>
      <c r="H11" s="1461"/>
      <c r="I11" s="1461"/>
      <c r="J11" s="1486"/>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420"/>
      <c r="DG11" s="420"/>
      <c r="DH11" s="420"/>
      <c r="DI11" s="420"/>
      <c r="DJ11" s="420"/>
      <c r="DK11" s="420"/>
      <c r="DL11" s="420"/>
      <c r="DM11" s="420"/>
      <c r="DN11" s="420"/>
      <c r="DO11" s="420"/>
      <c r="DP11" s="420"/>
      <c r="DQ11" s="420"/>
      <c r="DR11" s="420"/>
      <c r="DS11" s="420"/>
      <c r="DT11" s="420"/>
      <c r="DU11" s="420"/>
      <c r="DV11" s="420"/>
      <c r="DW11" s="420"/>
      <c r="DX11" s="420"/>
      <c r="DY11" s="420"/>
      <c r="DZ11" s="420"/>
      <c r="EA11" s="420"/>
      <c r="EB11" s="420"/>
      <c r="EC11" s="420"/>
      <c r="ED11" s="420"/>
      <c r="EE11" s="420"/>
      <c r="EF11" s="420"/>
      <c r="EG11" s="420"/>
      <c r="EH11" s="420"/>
      <c r="EI11" s="420"/>
      <c r="EJ11" s="420"/>
      <c r="EK11" s="420"/>
      <c r="EL11" s="420"/>
      <c r="EM11" s="420"/>
      <c r="EN11" s="420"/>
      <c r="EO11" s="420"/>
      <c r="EP11" s="420"/>
      <c r="EQ11" s="420"/>
      <c r="ER11" s="420"/>
      <c r="ES11" s="420"/>
      <c r="ET11" s="420"/>
      <c r="EU11" s="420"/>
      <c r="EV11" s="420"/>
      <c r="EW11" s="420"/>
      <c r="EX11" s="420"/>
      <c r="EY11" s="420"/>
      <c r="EZ11" s="420"/>
      <c r="FA11" s="420"/>
      <c r="FB11" s="420"/>
      <c r="FC11" s="420"/>
      <c r="FD11" s="420"/>
      <c r="FE11" s="420"/>
      <c r="FF11" s="420"/>
      <c r="FG11" s="420"/>
      <c r="FH11" s="420"/>
      <c r="FI11" s="420"/>
      <c r="FJ11" s="420"/>
      <c r="FK11" s="420"/>
      <c r="FL11" s="420"/>
      <c r="FM11" s="420"/>
      <c r="FN11" s="420"/>
      <c r="FO11" s="420"/>
      <c r="FP11" s="420"/>
      <c r="FQ11" s="420"/>
      <c r="FR11" s="420"/>
      <c r="FS11" s="420"/>
      <c r="FT11" s="420"/>
      <c r="FU11" s="420"/>
      <c r="FV11" s="420"/>
      <c r="FW11" s="420"/>
      <c r="FX11" s="420"/>
      <c r="FY11" s="420"/>
      <c r="FZ11" s="420"/>
      <c r="GA11" s="420"/>
      <c r="GB11" s="420"/>
      <c r="GC11" s="420"/>
      <c r="GD11" s="420"/>
      <c r="GE11" s="420"/>
      <c r="GF11" s="420"/>
      <c r="GG11" s="420"/>
      <c r="GH11" s="420"/>
      <c r="GI11" s="420"/>
      <c r="GJ11" s="420"/>
      <c r="GK11" s="420"/>
      <c r="GL11" s="420"/>
      <c r="GM11" s="420"/>
      <c r="GN11" s="420"/>
      <c r="GO11" s="420"/>
      <c r="GP11" s="420"/>
      <c r="GQ11" s="420"/>
      <c r="GR11" s="420"/>
      <c r="GS11" s="420"/>
      <c r="GT11" s="420"/>
      <c r="GU11" s="420"/>
      <c r="GV11" s="420"/>
      <c r="GW11" s="420"/>
      <c r="GX11" s="420"/>
      <c r="GY11" s="420"/>
      <c r="GZ11" s="420"/>
      <c r="HA11" s="420"/>
      <c r="HB11" s="420"/>
      <c r="HC11" s="420"/>
      <c r="HD11" s="420"/>
      <c r="HE11" s="420"/>
      <c r="HF11" s="420"/>
      <c r="HG11" s="420"/>
      <c r="HH11" s="420"/>
      <c r="HI11" s="420"/>
      <c r="HJ11" s="420"/>
      <c r="HK11" s="420"/>
      <c r="HL11" s="420"/>
      <c r="HM11" s="420"/>
      <c r="HN11" s="420"/>
      <c r="HO11" s="420"/>
      <c r="HP11" s="420"/>
      <c r="HQ11" s="420"/>
      <c r="HR11" s="420"/>
      <c r="HS11" s="420"/>
      <c r="HT11" s="420"/>
      <c r="HU11" s="420"/>
      <c r="HV11" s="420"/>
      <c r="HW11" s="420"/>
      <c r="HX11" s="420"/>
      <c r="HY11" s="420"/>
      <c r="HZ11" s="420"/>
      <c r="IA11" s="420"/>
      <c r="IB11" s="420"/>
      <c r="IC11" s="420"/>
      <c r="ID11" s="420"/>
      <c r="IE11" s="420"/>
      <c r="IF11" s="420"/>
      <c r="IG11" s="420"/>
      <c r="IH11" s="420"/>
      <c r="II11" s="420"/>
      <c r="IJ11" s="420"/>
      <c r="IK11" s="420"/>
      <c r="IL11" s="420"/>
      <c r="IM11" s="420"/>
      <c r="IN11" s="420"/>
      <c r="IO11" s="420"/>
      <c r="IP11" s="420"/>
      <c r="IQ11" s="420"/>
      <c r="IR11" s="420"/>
      <c r="IS11" s="420"/>
      <c r="IT11" s="420"/>
      <c r="IU11" s="420"/>
      <c r="IV11" s="420"/>
    </row>
    <row r="12" spans="1:256" ht="24">
      <c r="A12" s="1473"/>
      <c r="B12" s="1463" t="s">
        <v>1</v>
      </c>
      <c r="C12" s="1463" t="s">
        <v>984</v>
      </c>
      <c r="D12" s="1463"/>
      <c r="E12" s="1461" t="s">
        <v>1091</v>
      </c>
      <c r="F12" s="1461"/>
      <c r="G12" s="418"/>
      <c r="H12" s="418"/>
      <c r="J12" s="1134"/>
      <c r="IV12" s="419"/>
    </row>
    <row r="13" spans="1:256" ht="24.75" thickBot="1">
      <c r="A13" s="1473"/>
      <c r="B13" s="1463" t="s">
        <v>1092</v>
      </c>
      <c r="C13" s="1135">
        <f>+EligBasisLimits!C26</f>
        <v>0</v>
      </c>
      <c r="D13" s="1487" t="s">
        <v>1093</v>
      </c>
      <c r="E13" s="1488">
        <f>ROUND(+C13*0.75,2)</f>
        <v>0</v>
      </c>
      <c r="F13" s="1461"/>
      <c r="G13" s="1489" t="s">
        <v>1533</v>
      </c>
      <c r="H13" s="1785">
        <f>Breakdown!H100</f>
      </c>
      <c r="I13" s="1785"/>
      <c r="J13" s="1786"/>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420"/>
      <c r="DG13" s="420"/>
      <c r="DH13" s="420"/>
      <c r="DI13" s="420"/>
      <c r="DJ13" s="420"/>
      <c r="DK13" s="420"/>
      <c r="DL13" s="420"/>
      <c r="DM13" s="420"/>
      <c r="DN13" s="420"/>
      <c r="DO13" s="420"/>
      <c r="DP13" s="420"/>
      <c r="DQ13" s="420"/>
      <c r="DR13" s="420"/>
      <c r="DS13" s="420"/>
      <c r="DT13" s="420"/>
      <c r="DU13" s="420"/>
      <c r="DV13" s="420"/>
      <c r="DW13" s="420"/>
      <c r="DX13" s="420"/>
      <c r="DY13" s="420"/>
      <c r="DZ13" s="420"/>
      <c r="EA13" s="420"/>
      <c r="EB13" s="420"/>
      <c r="EC13" s="420"/>
      <c r="ED13" s="420"/>
      <c r="EE13" s="420"/>
      <c r="EF13" s="420"/>
      <c r="EG13" s="420"/>
      <c r="EH13" s="420"/>
      <c r="EI13" s="420"/>
      <c r="EJ13" s="420"/>
      <c r="EK13" s="420"/>
      <c r="EL13" s="420"/>
      <c r="EM13" s="420"/>
      <c r="EN13" s="420"/>
      <c r="EO13" s="420"/>
      <c r="EP13" s="420"/>
      <c r="EQ13" s="420"/>
      <c r="ER13" s="420"/>
      <c r="ES13" s="420"/>
      <c r="ET13" s="420"/>
      <c r="EU13" s="420"/>
      <c r="EV13" s="420"/>
      <c r="EW13" s="420"/>
      <c r="EX13" s="420"/>
      <c r="EY13" s="420"/>
      <c r="EZ13" s="420"/>
      <c r="FA13" s="420"/>
      <c r="FB13" s="420"/>
      <c r="FC13" s="420"/>
      <c r="FD13" s="420"/>
      <c r="FE13" s="420"/>
      <c r="FF13" s="420"/>
      <c r="FG13" s="420"/>
      <c r="FH13" s="420"/>
      <c r="FI13" s="420"/>
      <c r="FJ13" s="420"/>
      <c r="FK13" s="420"/>
      <c r="FL13" s="420"/>
      <c r="FM13" s="420"/>
      <c r="FN13" s="420"/>
      <c r="FO13" s="420"/>
      <c r="FP13" s="420"/>
      <c r="FQ13" s="420"/>
      <c r="FR13" s="420"/>
      <c r="FS13" s="420"/>
      <c r="FT13" s="420"/>
      <c r="FU13" s="420"/>
      <c r="FV13" s="420"/>
      <c r="FW13" s="420"/>
      <c r="FX13" s="420"/>
      <c r="FY13" s="420"/>
      <c r="FZ13" s="420"/>
      <c r="GA13" s="420"/>
      <c r="GB13" s="420"/>
      <c r="GC13" s="420"/>
      <c r="GD13" s="420"/>
      <c r="GE13" s="420"/>
      <c r="GF13" s="420"/>
      <c r="GG13" s="420"/>
      <c r="GH13" s="420"/>
      <c r="GI13" s="420"/>
      <c r="GJ13" s="420"/>
      <c r="GK13" s="420"/>
      <c r="GL13" s="420"/>
      <c r="GM13" s="420"/>
      <c r="GN13" s="420"/>
      <c r="GO13" s="420"/>
      <c r="GP13" s="420"/>
      <c r="GQ13" s="420"/>
      <c r="GR13" s="420"/>
      <c r="GS13" s="420"/>
      <c r="GT13" s="420"/>
      <c r="GU13" s="420"/>
      <c r="GV13" s="420"/>
      <c r="GW13" s="420"/>
      <c r="GX13" s="420"/>
      <c r="GY13" s="420"/>
      <c r="GZ13" s="420"/>
      <c r="HA13" s="420"/>
      <c r="HB13" s="420"/>
      <c r="HC13" s="420"/>
      <c r="HD13" s="420"/>
      <c r="HE13" s="420"/>
      <c r="HF13" s="420"/>
      <c r="HG13" s="420"/>
      <c r="HH13" s="420"/>
      <c r="HI13" s="420"/>
      <c r="HJ13" s="420"/>
      <c r="HK13" s="420"/>
      <c r="HL13" s="420"/>
      <c r="HM13" s="420"/>
      <c r="HN13" s="420"/>
      <c r="HO13" s="420"/>
      <c r="HP13" s="420"/>
      <c r="HQ13" s="420"/>
      <c r="HR13" s="420"/>
      <c r="HS13" s="420"/>
      <c r="HT13" s="420"/>
      <c r="HU13" s="420"/>
      <c r="HV13" s="420"/>
      <c r="HW13" s="420"/>
      <c r="HX13" s="420"/>
      <c r="HY13" s="420"/>
      <c r="HZ13" s="420"/>
      <c r="IA13" s="420"/>
      <c r="IB13" s="420"/>
      <c r="IC13" s="420"/>
      <c r="ID13" s="420"/>
      <c r="IE13" s="420"/>
      <c r="IF13" s="420"/>
      <c r="IG13" s="420"/>
      <c r="IH13" s="420"/>
      <c r="II13" s="420"/>
      <c r="IJ13" s="420"/>
      <c r="IK13" s="420"/>
      <c r="IL13" s="420"/>
      <c r="IM13" s="420"/>
      <c r="IN13" s="420"/>
      <c r="IO13" s="420"/>
      <c r="IP13" s="420"/>
      <c r="IQ13" s="420"/>
      <c r="IR13" s="420"/>
      <c r="IS13" s="420"/>
      <c r="IT13" s="420"/>
      <c r="IU13" s="420"/>
      <c r="IV13" s="420"/>
    </row>
    <row r="14" spans="1:256" ht="24.75" customHeight="1" thickTop="1">
      <c r="A14" s="1473"/>
      <c r="B14" s="1463" t="s">
        <v>1094</v>
      </c>
      <c r="C14" s="1135">
        <f>+EligBasisLimits!C27</f>
        <v>0</v>
      </c>
      <c r="D14" s="1487" t="s">
        <v>1095</v>
      </c>
      <c r="E14" s="1490">
        <f>C14*1</f>
        <v>0</v>
      </c>
      <c r="F14" s="1461"/>
      <c r="G14" s="1491"/>
      <c r="H14" s="1461"/>
      <c r="I14" s="1461"/>
      <c r="J14" s="1492"/>
      <c r="IV14" s="419"/>
    </row>
    <row r="15" spans="1:256" ht="24.75" customHeight="1">
      <c r="A15" s="1473"/>
      <c r="B15" s="1463" t="s">
        <v>1096</v>
      </c>
      <c r="C15" s="1135">
        <f>+EligBasisLimits!C28</f>
        <v>0</v>
      </c>
      <c r="D15" s="1487" t="s">
        <v>1097</v>
      </c>
      <c r="E15" s="1490">
        <f>C15*2</f>
        <v>0</v>
      </c>
      <c r="F15" s="1461"/>
      <c r="J15" s="1136"/>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420"/>
      <c r="DG15" s="420"/>
      <c r="DH15" s="420"/>
      <c r="DI15" s="420"/>
      <c r="DJ15" s="420"/>
      <c r="DK15" s="420"/>
      <c r="DL15" s="420"/>
      <c r="DM15" s="420"/>
      <c r="DN15" s="420"/>
      <c r="DO15" s="420"/>
      <c r="DP15" s="420"/>
      <c r="DQ15" s="420"/>
      <c r="DR15" s="420"/>
      <c r="DS15" s="420"/>
      <c r="DT15" s="420"/>
      <c r="DU15" s="420"/>
      <c r="DV15" s="420"/>
      <c r="DW15" s="420"/>
      <c r="DX15" s="420"/>
      <c r="DY15" s="420"/>
      <c r="DZ15" s="420"/>
      <c r="EA15" s="420"/>
      <c r="EB15" s="420"/>
      <c r="EC15" s="420"/>
      <c r="ED15" s="420"/>
      <c r="EE15" s="420"/>
      <c r="EF15" s="420"/>
      <c r="EG15" s="420"/>
      <c r="EH15" s="420"/>
      <c r="EI15" s="420"/>
      <c r="EJ15" s="420"/>
      <c r="EK15" s="420"/>
      <c r="EL15" s="420"/>
      <c r="EM15" s="420"/>
      <c r="EN15" s="420"/>
      <c r="EO15" s="420"/>
      <c r="EP15" s="420"/>
      <c r="EQ15" s="420"/>
      <c r="ER15" s="420"/>
      <c r="ES15" s="420"/>
      <c r="ET15" s="420"/>
      <c r="EU15" s="420"/>
      <c r="EV15" s="420"/>
      <c r="EW15" s="420"/>
      <c r="EX15" s="420"/>
      <c r="EY15" s="420"/>
      <c r="EZ15" s="420"/>
      <c r="FA15" s="420"/>
      <c r="FB15" s="420"/>
      <c r="FC15" s="420"/>
      <c r="FD15" s="420"/>
      <c r="FE15" s="420"/>
      <c r="FF15" s="420"/>
      <c r="FG15" s="420"/>
      <c r="FH15" s="420"/>
      <c r="FI15" s="420"/>
      <c r="FJ15" s="420"/>
      <c r="FK15" s="420"/>
      <c r="FL15" s="420"/>
      <c r="FM15" s="420"/>
      <c r="FN15" s="420"/>
      <c r="FO15" s="420"/>
      <c r="FP15" s="420"/>
      <c r="FQ15" s="420"/>
      <c r="FR15" s="420"/>
      <c r="FS15" s="420"/>
      <c r="FT15" s="420"/>
      <c r="FU15" s="420"/>
      <c r="FV15" s="420"/>
      <c r="FW15" s="420"/>
      <c r="FX15" s="420"/>
      <c r="FY15" s="420"/>
      <c r="FZ15" s="420"/>
      <c r="GA15" s="420"/>
      <c r="GB15" s="420"/>
      <c r="GC15" s="420"/>
      <c r="GD15" s="420"/>
      <c r="GE15" s="420"/>
      <c r="GF15" s="420"/>
      <c r="GG15" s="420"/>
      <c r="GH15" s="420"/>
      <c r="GI15" s="420"/>
      <c r="GJ15" s="420"/>
      <c r="GK15" s="420"/>
      <c r="GL15" s="420"/>
      <c r="GM15" s="420"/>
      <c r="GN15" s="420"/>
      <c r="GO15" s="420"/>
      <c r="GP15" s="420"/>
      <c r="GQ15" s="420"/>
      <c r="GR15" s="420"/>
      <c r="GS15" s="420"/>
      <c r="GT15" s="420"/>
      <c r="GU15" s="420"/>
      <c r="GV15" s="420"/>
      <c r="GW15" s="420"/>
      <c r="GX15" s="420"/>
      <c r="GY15" s="420"/>
      <c r="GZ15" s="420"/>
      <c r="HA15" s="420"/>
      <c r="HB15" s="420"/>
      <c r="HC15" s="420"/>
      <c r="HD15" s="420"/>
      <c r="HE15" s="420"/>
      <c r="HF15" s="420"/>
      <c r="HG15" s="420"/>
      <c r="HH15" s="420"/>
      <c r="HI15" s="420"/>
      <c r="HJ15" s="420"/>
      <c r="HK15" s="420"/>
      <c r="HL15" s="420"/>
      <c r="HM15" s="420"/>
      <c r="HN15" s="420"/>
      <c r="HO15" s="420"/>
      <c r="HP15" s="420"/>
      <c r="HQ15" s="420"/>
      <c r="HR15" s="420"/>
      <c r="HS15" s="420"/>
      <c r="HT15" s="420"/>
      <c r="HU15" s="420"/>
      <c r="HV15" s="420"/>
      <c r="HW15" s="420"/>
      <c r="HX15" s="420"/>
      <c r="HY15" s="420"/>
      <c r="HZ15" s="420"/>
      <c r="IA15" s="420"/>
      <c r="IB15" s="420"/>
      <c r="IC15" s="420"/>
      <c r="ID15" s="420"/>
      <c r="IE15" s="420"/>
      <c r="IF15" s="420"/>
      <c r="IG15" s="420"/>
      <c r="IH15" s="420"/>
      <c r="II15" s="420"/>
      <c r="IJ15" s="420"/>
      <c r="IK15" s="420"/>
      <c r="IL15" s="420"/>
      <c r="IM15" s="420"/>
      <c r="IN15" s="420"/>
      <c r="IO15" s="420"/>
      <c r="IP15" s="420"/>
      <c r="IQ15" s="420"/>
      <c r="IR15" s="420"/>
      <c r="IS15" s="420"/>
      <c r="IT15" s="420"/>
      <c r="IU15" s="420"/>
      <c r="IV15" s="420"/>
    </row>
    <row r="16" spans="1:256" ht="24.75" customHeight="1" thickBot="1">
      <c r="A16" s="1473"/>
      <c r="B16" s="1463" t="s">
        <v>1098</v>
      </c>
      <c r="C16" s="1135">
        <f>+EligBasisLimits!C29</f>
        <v>0</v>
      </c>
      <c r="D16" s="1487" t="s">
        <v>1099</v>
      </c>
      <c r="E16" s="1490">
        <f>C16*3</f>
        <v>0</v>
      </c>
      <c r="F16" s="1461"/>
      <c r="G16" s="1489" t="s">
        <v>1553</v>
      </c>
      <c r="H16" s="1787">
        <f>IF(H9="Y",H13/E20,"")</f>
      </c>
      <c r="I16" s="1787"/>
      <c r="J16" s="1788"/>
      <c r="IV16" s="419"/>
    </row>
    <row r="17" spans="1:256" ht="24.75" customHeight="1" thickTop="1">
      <c r="A17" s="1493"/>
      <c r="B17" s="1463" t="s">
        <v>1100</v>
      </c>
      <c r="C17" s="1135">
        <f>+EligBasisLimits!C30</f>
        <v>0</v>
      </c>
      <c r="D17" s="1487" t="s">
        <v>1101</v>
      </c>
      <c r="E17" s="1490">
        <f>C17*4</f>
        <v>0</v>
      </c>
      <c r="F17" s="1461"/>
      <c r="G17" s="1494"/>
      <c r="H17" s="1495"/>
      <c r="I17" s="1496"/>
      <c r="J17" s="1137"/>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420"/>
      <c r="DG17" s="420"/>
      <c r="DH17" s="420"/>
      <c r="DI17" s="420"/>
      <c r="DJ17" s="420"/>
      <c r="DK17" s="420"/>
      <c r="DL17" s="420"/>
      <c r="DM17" s="420"/>
      <c r="DN17" s="420"/>
      <c r="DO17" s="420"/>
      <c r="DP17" s="420"/>
      <c r="DQ17" s="420"/>
      <c r="DR17" s="420"/>
      <c r="DS17" s="420"/>
      <c r="DT17" s="420"/>
      <c r="DU17" s="420"/>
      <c r="DV17" s="420"/>
      <c r="DW17" s="420"/>
      <c r="DX17" s="420"/>
      <c r="DY17" s="420"/>
      <c r="DZ17" s="420"/>
      <c r="EA17" s="420"/>
      <c r="EB17" s="420"/>
      <c r="EC17" s="420"/>
      <c r="ED17" s="420"/>
      <c r="EE17" s="420"/>
      <c r="EF17" s="420"/>
      <c r="EG17" s="420"/>
      <c r="EH17" s="420"/>
      <c r="EI17" s="420"/>
      <c r="EJ17" s="420"/>
      <c r="EK17" s="420"/>
      <c r="EL17" s="420"/>
      <c r="EM17" s="420"/>
      <c r="EN17" s="420"/>
      <c r="EO17" s="420"/>
      <c r="EP17" s="420"/>
      <c r="EQ17" s="420"/>
      <c r="ER17" s="420"/>
      <c r="ES17" s="420"/>
      <c r="ET17" s="420"/>
      <c r="EU17" s="420"/>
      <c r="EV17" s="420"/>
      <c r="EW17" s="420"/>
      <c r="EX17" s="420"/>
      <c r="EY17" s="420"/>
      <c r="EZ17" s="420"/>
      <c r="FA17" s="420"/>
      <c r="FB17" s="420"/>
      <c r="FC17" s="420"/>
      <c r="FD17" s="420"/>
      <c r="FE17" s="420"/>
      <c r="FF17" s="420"/>
      <c r="FG17" s="420"/>
      <c r="FH17" s="420"/>
      <c r="FI17" s="420"/>
      <c r="FJ17" s="420"/>
      <c r="FK17" s="420"/>
      <c r="FL17" s="420"/>
      <c r="FM17" s="420"/>
      <c r="FN17" s="420"/>
      <c r="FO17" s="420"/>
      <c r="FP17" s="420"/>
      <c r="FQ17" s="420"/>
      <c r="FR17" s="420"/>
      <c r="FS17" s="420"/>
      <c r="FT17" s="420"/>
      <c r="FU17" s="420"/>
      <c r="FV17" s="420"/>
      <c r="FW17" s="420"/>
      <c r="FX17" s="420"/>
      <c r="FY17" s="420"/>
      <c r="FZ17" s="420"/>
      <c r="GA17" s="420"/>
      <c r="GB17" s="420"/>
      <c r="GC17" s="420"/>
      <c r="GD17" s="420"/>
      <c r="GE17" s="420"/>
      <c r="GF17" s="420"/>
      <c r="GG17" s="420"/>
      <c r="GH17" s="420"/>
      <c r="GI17" s="420"/>
      <c r="GJ17" s="420"/>
      <c r="GK17" s="420"/>
      <c r="GL17" s="420"/>
      <c r="GM17" s="420"/>
      <c r="GN17" s="420"/>
      <c r="GO17" s="420"/>
      <c r="GP17" s="420"/>
      <c r="GQ17" s="420"/>
      <c r="GR17" s="420"/>
      <c r="GS17" s="420"/>
      <c r="GT17" s="420"/>
      <c r="GU17" s="420"/>
      <c r="GV17" s="420"/>
      <c r="GW17" s="420"/>
      <c r="GX17" s="420"/>
      <c r="GY17" s="420"/>
      <c r="GZ17" s="420"/>
      <c r="HA17" s="420"/>
      <c r="HB17" s="420"/>
      <c r="HC17" s="420"/>
      <c r="HD17" s="420"/>
      <c r="HE17" s="420"/>
      <c r="HF17" s="420"/>
      <c r="HG17" s="420"/>
      <c r="HH17" s="420"/>
      <c r="HI17" s="420"/>
      <c r="HJ17" s="420"/>
      <c r="HK17" s="420"/>
      <c r="HL17" s="420"/>
      <c r="HM17" s="420"/>
      <c r="HN17" s="420"/>
      <c r="HO17" s="420"/>
      <c r="HP17" s="420"/>
      <c r="HQ17" s="420"/>
      <c r="HR17" s="420"/>
      <c r="HS17" s="420"/>
      <c r="HT17" s="420"/>
      <c r="HU17" s="420"/>
      <c r="HV17" s="420"/>
      <c r="HW17" s="420"/>
      <c r="HX17" s="420"/>
      <c r="HY17" s="420"/>
      <c r="HZ17" s="420"/>
      <c r="IA17" s="420"/>
      <c r="IB17" s="420"/>
      <c r="IC17" s="420"/>
      <c r="ID17" s="420"/>
      <c r="IE17" s="420"/>
      <c r="IF17" s="420"/>
      <c r="IG17" s="420"/>
      <c r="IH17" s="420"/>
      <c r="II17" s="420"/>
      <c r="IJ17" s="420"/>
      <c r="IK17" s="420"/>
      <c r="IL17" s="420"/>
      <c r="IM17" s="420"/>
      <c r="IN17" s="420"/>
      <c r="IO17" s="420"/>
      <c r="IP17" s="420"/>
      <c r="IQ17" s="420"/>
      <c r="IR17" s="420"/>
      <c r="IS17" s="420"/>
      <c r="IT17" s="420"/>
      <c r="IU17" s="420"/>
      <c r="IV17" s="420"/>
    </row>
    <row r="18" spans="1:256" ht="24.75" customHeight="1">
      <c r="A18" s="1473"/>
      <c r="B18" s="1463" t="s">
        <v>1102</v>
      </c>
      <c r="C18" s="1135">
        <f>+EligBasisLimits!C31</f>
        <v>0</v>
      </c>
      <c r="D18" s="1487" t="s">
        <v>1103</v>
      </c>
      <c r="E18" s="1490">
        <f>C18*5</f>
        <v>0</v>
      </c>
      <c r="F18" s="1461"/>
      <c r="G18" s="1489"/>
      <c r="H18" s="1497"/>
      <c r="I18" s="1497"/>
      <c r="J18" s="1498"/>
      <c r="IV18" s="419"/>
    </row>
    <row r="19" spans="1:256" ht="24.75" customHeight="1" thickBot="1">
      <c r="A19" s="1473"/>
      <c r="B19" s="1499"/>
      <c r="C19" s="1499"/>
      <c r="D19" s="1500"/>
      <c r="E19" s="1501"/>
      <c r="F19" s="1461"/>
      <c r="G19" s="1489" t="s">
        <v>1554</v>
      </c>
      <c r="H19" s="1787">
        <f>IF(H10="Y",H13/C20,"")</f>
      </c>
      <c r="I19" s="1787"/>
      <c r="J19" s="1789"/>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c r="BQ19" s="420"/>
      <c r="BR19" s="420"/>
      <c r="BS19" s="420"/>
      <c r="BT19" s="420"/>
      <c r="BU19" s="420"/>
      <c r="BV19" s="420"/>
      <c r="BW19" s="420"/>
      <c r="BX19" s="420"/>
      <c r="BY19" s="420"/>
      <c r="BZ19" s="420"/>
      <c r="CA19" s="420"/>
      <c r="CB19" s="420"/>
      <c r="CC19" s="420"/>
      <c r="CD19" s="420"/>
      <c r="CE19" s="420"/>
      <c r="CF19" s="420"/>
      <c r="CG19" s="420"/>
      <c r="CH19" s="420"/>
      <c r="CI19" s="420"/>
      <c r="CJ19" s="420"/>
      <c r="CK19" s="420"/>
      <c r="CL19" s="420"/>
      <c r="CM19" s="420"/>
      <c r="CN19" s="420"/>
      <c r="CO19" s="420"/>
      <c r="CP19" s="420"/>
      <c r="CQ19" s="420"/>
      <c r="CR19" s="420"/>
      <c r="CS19" s="420"/>
      <c r="CT19" s="420"/>
      <c r="CU19" s="420"/>
      <c r="CV19" s="420"/>
      <c r="CW19" s="420"/>
      <c r="CX19" s="420"/>
      <c r="CY19" s="420"/>
      <c r="CZ19" s="420"/>
      <c r="DA19" s="420"/>
      <c r="DB19" s="420"/>
      <c r="DC19" s="420"/>
      <c r="DD19" s="420"/>
      <c r="DE19" s="420"/>
      <c r="DF19" s="420"/>
      <c r="DG19" s="420"/>
      <c r="DH19" s="420"/>
      <c r="DI19" s="420"/>
      <c r="DJ19" s="420"/>
      <c r="DK19" s="420"/>
      <c r="DL19" s="420"/>
      <c r="DM19" s="420"/>
      <c r="DN19" s="420"/>
      <c r="DO19" s="420"/>
      <c r="DP19" s="420"/>
      <c r="DQ19" s="420"/>
      <c r="DR19" s="420"/>
      <c r="DS19" s="420"/>
      <c r="DT19" s="420"/>
      <c r="DU19" s="420"/>
      <c r="DV19" s="420"/>
      <c r="DW19" s="420"/>
      <c r="DX19" s="420"/>
      <c r="DY19" s="420"/>
      <c r="DZ19" s="420"/>
      <c r="EA19" s="420"/>
      <c r="EB19" s="420"/>
      <c r="EC19" s="420"/>
      <c r="ED19" s="420"/>
      <c r="EE19" s="420"/>
      <c r="EF19" s="420"/>
      <c r="EG19" s="420"/>
      <c r="EH19" s="420"/>
      <c r="EI19" s="420"/>
      <c r="EJ19" s="420"/>
      <c r="EK19" s="420"/>
      <c r="EL19" s="420"/>
      <c r="EM19" s="420"/>
      <c r="EN19" s="420"/>
      <c r="EO19" s="420"/>
      <c r="EP19" s="420"/>
      <c r="EQ19" s="420"/>
      <c r="ER19" s="420"/>
      <c r="ES19" s="420"/>
      <c r="ET19" s="420"/>
      <c r="EU19" s="420"/>
      <c r="EV19" s="420"/>
      <c r="EW19" s="420"/>
      <c r="EX19" s="420"/>
      <c r="EY19" s="420"/>
      <c r="EZ19" s="420"/>
      <c r="FA19" s="420"/>
      <c r="FB19" s="420"/>
      <c r="FC19" s="420"/>
      <c r="FD19" s="420"/>
      <c r="FE19" s="420"/>
      <c r="FF19" s="420"/>
      <c r="FG19" s="420"/>
      <c r="FH19" s="420"/>
      <c r="FI19" s="420"/>
      <c r="FJ19" s="420"/>
      <c r="FK19" s="420"/>
      <c r="FL19" s="420"/>
      <c r="FM19" s="420"/>
      <c r="FN19" s="420"/>
      <c r="FO19" s="420"/>
      <c r="FP19" s="420"/>
      <c r="FQ19" s="420"/>
      <c r="FR19" s="420"/>
      <c r="FS19" s="420"/>
      <c r="FT19" s="420"/>
      <c r="FU19" s="420"/>
      <c r="FV19" s="420"/>
      <c r="FW19" s="420"/>
      <c r="FX19" s="420"/>
      <c r="FY19" s="420"/>
      <c r="FZ19" s="420"/>
      <c r="GA19" s="420"/>
      <c r="GB19" s="420"/>
      <c r="GC19" s="420"/>
      <c r="GD19" s="420"/>
      <c r="GE19" s="420"/>
      <c r="GF19" s="420"/>
      <c r="GG19" s="420"/>
      <c r="GH19" s="420"/>
      <c r="GI19" s="420"/>
      <c r="GJ19" s="420"/>
      <c r="GK19" s="420"/>
      <c r="GL19" s="420"/>
      <c r="GM19" s="420"/>
      <c r="GN19" s="420"/>
      <c r="GO19" s="420"/>
      <c r="GP19" s="420"/>
      <c r="GQ19" s="420"/>
      <c r="GR19" s="420"/>
      <c r="GS19" s="420"/>
      <c r="GT19" s="420"/>
      <c r="GU19" s="420"/>
      <c r="GV19" s="420"/>
      <c r="GW19" s="420"/>
      <c r="GX19" s="420"/>
      <c r="GY19" s="420"/>
      <c r="GZ19" s="420"/>
      <c r="HA19" s="420"/>
      <c r="HB19" s="420"/>
      <c r="HC19" s="420"/>
      <c r="HD19" s="420"/>
      <c r="HE19" s="420"/>
      <c r="HF19" s="420"/>
      <c r="HG19" s="420"/>
      <c r="HH19" s="420"/>
      <c r="HI19" s="420"/>
      <c r="HJ19" s="420"/>
      <c r="HK19" s="420"/>
      <c r="HL19" s="420"/>
      <c r="HM19" s="420"/>
      <c r="HN19" s="420"/>
      <c r="HO19" s="420"/>
      <c r="HP19" s="420"/>
      <c r="HQ19" s="420"/>
      <c r="HR19" s="420"/>
      <c r="HS19" s="420"/>
      <c r="HT19" s="420"/>
      <c r="HU19" s="420"/>
      <c r="HV19" s="420"/>
      <c r="HW19" s="420"/>
      <c r="HX19" s="420"/>
      <c r="HY19" s="420"/>
      <c r="HZ19" s="420"/>
      <c r="IA19" s="420"/>
      <c r="IB19" s="420"/>
      <c r="IC19" s="420"/>
      <c r="ID19" s="420"/>
      <c r="IE19" s="420"/>
      <c r="IF19" s="420"/>
      <c r="IG19" s="420"/>
      <c r="IH19" s="420"/>
      <c r="II19" s="420"/>
      <c r="IJ19" s="420"/>
      <c r="IK19" s="420"/>
      <c r="IL19" s="420"/>
      <c r="IM19" s="420"/>
      <c r="IN19" s="420"/>
      <c r="IO19" s="420"/>
      <c r="IP19" s="420"/>
      <c r="IQ19" s="420"/>
      <c r="IR19" s="420"/>
      <c r="IS19" s="420"/>
      <c r="IT19" s="420"/>
      <c r="IU19" s="420"/>
      <c r="IV19" s="420"/>
    </row>
    <row r="20" spans="1:256" ht="38.25" customHeight="1" thickBot="1" thickTop="1">
      <c r="A20" s="1473"/>
      <c r="B20" s="1461" t="s">
        <v>1061</v>
      </c>
      <c r="C20" s="1502">
        <f>SUM(C13:C18)</f>
        <v>0</v>
      </c>
      <c r="D20" s="1487"/>
      <c r="E20" s="1502">
        <f>SUM(E13:E18)</f>
        <v>0</v>
      </c>
      <c r="F20" s="1461"/>
      <c r="G20" s="1491"/>
      <c r="H20" s="1461"/>
      <c r="I20" s="1461"/>
      <c r="J20" s="1503"/>
      <c r="IV20" s="419"/>
    </row>
    <row r="21" spans="1:256" ht="24.75" customHeight="1" hidden="1" thickTop="1">
      <c r="A21" s="1473"/>
      <c r="B21" s="1461"/>
      <c r="C21" s="1461"/>
      <c r="D21" s="1463"/>
      <c r="E21" s="1461"/>
      <c r="F21" s="1461"/>
      <c r="G21" s="1461"/>
      <c r="H21" s="1461"/>
      <c r="I21" s="1461"/>
      <c r="J21" s="1475"/>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0"/>
      <c r="CC21" s="420"/>
      <c r="CD21" s="420"/>
      <c r="CE21" s="420"/>
      <c r="CF21" s="420"/>
      <c r="CG21" s="420"/>
      <c r="CH21" s="420"/>
      <c r="CI21" s="420"/>
      <c r="CJ21" s="420"/>
      <c r="CK21" s="420"/>
      <c r="CL21" s="420"/>
      <c r="CM21" s="420"/>
      <c r="CN21" s="420"/>
      <c r="CO21" s="420"/>
      <c r="CP21" s="420"/>
      <c r="CQ21" s="420"/>
      <c r="CR21" s="420"/>
      <c r="CS21" s="420"/>
      <c r="CT21" s="420"/>
      <c r="CU21" s="420"/>
      <c r="CV21" s="420"/>
      <c r="CW21" s="420"/>
      <c r="CX21" s="420"/>
      <c r="CY21" s="420"/>
      <c r="CZ21" s="420"/>
      <c r="DA21" s="420"/>
      <c r="DB21" s="420"/>
      <c r="DC21" s="420"/>
      <c r="DD21" s="420"/>
      <c r="DE21" s="420"/>
      <c r="DF21" s="420"/>
      <c r="DG21" s="420"/>
      <c r="DH21" s="420"/>
      <c r="DI21" s="420"/>
      <c r="DJ21" s="420"/>
      <c r="DK21" s="420"/>
      <c r="DL21" s="420"/>
      <c r="DM21" s="420"/>
      <c r="DN21" s="420"/>
      <c r="DO21" s="420"/>
      <c r="DP21" s="420"/>
      <c r="DQ21" s="420"/>
      <c r="DR21" s="420"/>
      <c r="DS21" s="420"/>
      <c r="DT21" s="420"/>
      <c r="DU21" s="420"/>
      <c r="DV21" s="420"/>
      <c r="DW21" s="420"/>
      <c r="DX21" s="420"/>
      <c r="DY21" s="420"/>
      <c r="DZ21" s="420"/>
      <c r="EA21" s="420"/>
      <c r="EB21" s="420"/>
      <c r="EC21" s="420"/>
      <c r="ED21" s="420"/>
      <c r="EE21" s="420"/>
      <c r="EF21" s="420"/>
      <c r="EG21" s="420"/>
      <c r="EH21" s="420"/>
      <c r="EI21" s="420"/>
      <c r="EJ21" s="420"/>
      <c r="EK21" s="420"/>
      <c r="EL21" s="420"/>
      <c r="EM21" s="420"/>
      <c r="EN21" s="420"/>
      <c r="EO21" s="420"/>
      <c r="EP21" s="420"/>
      <c r="EQ21" s="420"/>
      <c r="ER21" s="420"/>
      <c r="ES21" s="420"/>
      <c r="ET21" s="420"/>
      <c r="EU21" s="420"/>
      <c r="EV21" s="420"/>
      <c r="EW21" s="420"/>
      <c r="EX21" s="420"/>
      <c r="EY21" s="420"/>
      <c r="EZ21" s="420"/>
      <c r="FA21" s="420"/>
      <c r="FB21" s="420"/>
      <c r="FC21" s="420"/>
      <c r="FD21" s="420"/>
      <c r="FE21" s="420"/>
      <c r="FF21" s="420"/>
      <c r="FG21" s="420"/>
      <c r="FH21" s="420"/>
      <c r="FI21" s="420"/>
      <c r="FJ21" s="420"/>
      <c r="FK21" s="420"/>
      <c r="FL21" s="420"/>
      <c r="FM21" s="420"/>
      <c r="FN21" s="420"/>
      <c r="FO21" s="420"/>
      <c r="FP21" s="420"/>
      <c r="FQ21" s="420"/>
      <c r="FR21" s="420"/>
      <c r="FS21" s="420"/>
      <c r="FT21" s="420"/>
      <c r="FU21" s="420"/>
      <c r="FV21" s="420"/>
      <c r="FW21" s="420"/>
      <c r="FX21" s="420"/>
      <c r="FY21" s="420"/>
      <c r="FZ21" s="420"/>
      <c r="GA21" s="420"/>
      <c r="GB21" s="420"/>
      <c r="GC21" s="420"/>
      <c r="GD21" s="420"/>
      <c r="GE21" s="420"/>
      <c r="GF21" s="420"/>
      <c r="GG21" s="420"/>
      <c r="GH21" s="420"/>
      <c r="GI21" s="420"/>
      <c r="GJ21" s="420"/>
      <c r="GK21" s="420"/>
      <c r="GL21" s="420"/>
      <c r="GM21" s="420"/>
      <c r="GN21" s="420"/>
      <c r="GO21" s="420"/>
      <c r="GP21" s="420"/>
      <c r="GQ21" s="420"/>
      <c r="GR21" s="420"/>
      <c r="GS21" s="420"/>
      <c r="GT21" s="420"/>
      <c r="GU21" s="420"/>
      <c r="GV21" s="420"/>
      <c r="GW21" s="420"/>
      <c r="GX21" s="420"/>
      <c r="GY21" s="420"/>
      <c r="GZ21" s="420"/>
      <c r="HA21" s="420"/>
      <c r="HB21" s="420"/>
      <c r="HC21" s="420"/>
      <c r="HD21" s="420"/>
      <c r="HE21" s="420"/>
      <c r="HF21" s="420"/>
      <c r="HG21" s="420"/>
      <c r="HH21" s="420"/>
      <c r="HI21" s="420"/>
      <c r="HJ21" s="420"/>
      <c r="HK21" s="420"/>
      <c r="HL21" s="420"/>
      <c r="HM21" s="420"/>
      <c r="HN21" s="420"/>
      <c r="HO21" s="420"/>
      <c r="HP21" s="420"/>
      <c r="HQ21" s="420"/>
      <c r="HR21" s="420"/>
      <c r="HS21" s="420"/>
      <c r="HT21" s="420"/>
      <c r="HU21" s="420"/>
      <c r="HV21" s="420"/>
      <c r="HW21" s="420"/>
      <c r="HX21" s="420"/>
      <c r="HY21" s="420"/>
      <c r="HZ21" s="420"/>
      <c r="IA21" s="420"/>
      <c r="IB21" s="420"/>
      <c r="IC21" s="420"/>
      <c r="ID21" s="420"/>
      <c r="IE21" s="420"/>
      <c r="IF21" s="420"/>
      <c r="IG21" s="420"/>
      <c r="IH21" s="420"/>
      <c r="II21" s="420"/>
      <c r="IJ21" s="420"/>
      <c r="IK21" s="420"/>
      <c r="IL21" s="420"/>
      <c r="IM21" s="420"/>
      <c r="IN21" s="420"/>
      <c r="IO21" s="420"/>
      <c r="IP21" s="420"/>
      <c r="IQ21" s="420"/>
      <c r="IR21" s="420"/>
      <c r="IS21" s="420"/>
      <c r="IT21" s="420"/>
      <c r="IU21" s="420"/>
      <c r="IV21" s="420"/>
    </row>
    <row r="22" spans="1:10" s="1508" customFormat="1" ht="24.75" customHeight="1" thickBot="1" thickTop="1">
      <c r="A22" s="1504"/>
      <c r="B22" s="1138"/>
      <c r="C22" s="1138"/>
      <c r="D22" s="1505"/>
      <c r="E22" s="1506"/>
      <c r="F22" s="1506"/>
      <c r="G22" s="1506"/>
      <c r="H22" s="1506"/>
      <c r="I22" s="1506"/>
      <c r="J22" s="1507"/>
    </row>
    <row r="23" spans="1:256" ht="24.75" thickTop="1">
      <c r="A23" s="1468"/>
      <c r="B23" s="1470"/>
      <c r="C23" s="1470"/>
      <c r="D23" s="1471"/>
      <c r="E23" s="1470"/>
      <c r="F23" s="1470"/>
      <c r="G23" s="1470"/>
      <c r="H23" s="1470"/>
      <c r="I23" s="1470"/>
      <c r="J23" s="1472"/>
      <c r="IV23" s="419"/>
    </row>
    <row r="24" spans="1:256" ht="31.5">
      <c r="A24" s="1473"/>
      <c r="B24" s="1509" t="s">
        <v>1104</v>
      </c>
      <c r="C24" s="1461"/>
      <c r="D24" s="1463"/>
      <c r="E24" s="1461"/>
      <c r="F24" s="1461"/>
      <c r="G24" s="1461"/>
      <c r="H24" s="1461"/>
      <c r="I24" s="1461"/>
      <c r="J24" s="1475"/>
      <c r="IV24" s="419"/>
    </row>
    <row r="25" spans="1:256" ht="24">
      <c r="A25" s="1473"/>
      <c r="B25" s="1461"/>
      <c r="C25" s="1510"/>
      <c r="D25" s="1463"/>
      <c r="E25" s="1461"/>
      <c r="F25" s="1461"/>
      <c r="G25" s="1461"/>
      <c r="H25" s="1461"/>
      <c r="I25" s="1461"/>
      <c r="J25" s="1475"/>
      <c r="IV25" s="419"/>
    </row>
    <row r="26" spans="1:256" ht="24.75" thickBot="1">
      <c r="A26" s="1473"/>
      <c r="B26" s="1511" t="s">
        <v>1105</v>
      </c>
      <c r="C26" s="1511"/>
      <c r="D26" s="1463"/>
      <c r="E26" s="1461"/>
      <c r="F26" s="1461"/>
      <c r="G26" s="1461"/>
      <c r="H26" s="1461"/>
      <c r="I26" s="1461"/>
      <c r="J26" s="1475"/>
      <c r="IV26" s="419"/>
    </row>
    <row r="27" spans="1:256" ht="45" customHeight="1" thickTop="1">
      <c r="A27" s="1473"/>
      <c r="B27" s="1463" t="s">
        <v>1</v>
      </c>
      <c r="C27" s="1463" t="s">
        <v>984</v>
      </c>
      <c r="D27" s="1463"/>
      <c r="E27" s="1461" t="s">
        <v>1091</v>
      </c>
      <c r="F27" s="1461"/>
      <c r="G27" s="1461"/>
      <c r="H27" s="1461"/>
      <c r="I27" s="1461"/>
      <c r="J27" s="1475"/>
      <c r="IV27" s="419"/>
    </row>
    <row r="28" spans="1:256" ht="31.5" customHeight="1">
      <c r="A28" s="1473"/>
      <c r="B28" s="1463" t="s">
        <v>1092</v>
      </c>
      <c r="C28" s="1139">
        <f aca="true" t="shared" si="0" ref="C28:C33">+C13</f>
        <v>0</v>
      </c>
      <c r="D28" s="1487" t="s">
        <v>1093</v>
      </c>
      <c r="E28" s="1512">
        <f>ROUND(+C28*0.75,2)</f>
        <v>0</v>
      </c>
      <c r="F28" s="1461"/>
      <c r="G28" s="1461"/>
      <c r="H28" s="1461"/>
      <c r="I28" s="1461"/>
      <c r="J28" s="1475"/>
      <c r="IV28" s="419"/>
    </row>
    <row r="29" spans="1:256" ht="30.75" customHeight="1">
      <c r="A29" s="1473"/>
      <c r="B29" s="1463" t="s">
        <v>1094</v>
      </c>
      <c r="C29" s="1139">
        <f t="shared" si="0"/>
        <v>0</v>
      </c>
      <c r="D29" s="1487" t="s">
        <v>1095</v>
      </c>
      <c r="E29" s="1513">
        <f>C29*1</f>
        <v>0</v>
      </c>
      <c r="F29" s="1461"/>
      <c r="G29" s="1461"/>
      <c r="H29" s="1461"/>
      <c r="I29" s="1464"/>
      <c r="J29" s="1514"/>
      <c r="IV29" s="419"/>
    </row>
    <row r="30" spans="1:256" ht="30.75" customHeight="1">
      <c r="A30" s="1473"/>
      <c r="B30" s="1463" t="s">
        <v>1096</v>
      </c>
      <c r="C30" s="1139">
        <f t="shared" si="0"/>
        <v>0</v>
      </c>
      <c r="D30" s="1487" t="s">
        <v>1097</v>
      </c>
      <c r="E30" s="1513">
        <f>C30*2</f>
        <v>0</v>
      </c>
      <c r="F30" s="1461"/>
      <c r="G30" s="1461"/>
      <c r="H30" s="1461"/>
      <c r="I30" s="1464"/>
      <c r="J30" s="1515"/>
      <c r="IV30" s="419"/>
    </row>
    <row r="31" spans="1:256" ht="30.75" customHeight="1">
      <c r="A31" s="1473"/>
      <c r="B31" s="1463" t="s">
        <v>1098</v>
      </c>
      <c r="C31" s="1139">
        <f t="shared" si="0"/>
        <v>0</v>
      </c>
      <c r="D31" s="1487" t="s">
        <v>1099</v>
      </c>
      <c r="E31" s="1513">
        <f>C31*3</f>
        <v>0</v>
      </c>
      <c r="F31" s="1461"/>
      <c r="G31" s="1461"/>
      <c r="H31" s="1461"/>
      <c r="I31" s="1464"/>
      <c r="J31" s="1515"/>
      <c r="IV31" s="419"/>
    </row>
    <row r="32" spans="1:256" ht="30.75" customHeight="1">
      <c r="A32" s="1473"/>
      <c r="B32" s="1463" t="s">
        <v>1100</v>
      </c>
      <c r="C32" s="1139">
        <f t="shared" si="0"/>
        <v>0</v>
      </c>
      <c r="D32" s="1487" t="s">
        <v>1101</v>
      </c>
      <c r="E32" s="1513">
        <f>C32*4</f>
        <v>0</v>
      </c>
      <c r="F32" s="1461"/>
      <c r="G32" s="1461"/>
      <c r="H32" s="1461"/>
      <c r="I32" s="1464"/>
      <c r="J32" s="1515"/>
      <c r="IV32" s="419"/>
    </row>
    <row r="33" spans="1:256" ht="30.75" customHeight="1">
      <c r="A33" s="1473"/>
      <c r="B33" s="1463" t="s">
        <v>1102</v>
      </c>
      <c r="C33" s="1139">
        <f t="shared" si="0"/>
        <v>0</v>
      </c>
      <c r="D33" s="1487" t="s">
        <v>1103</v>
      </c>
      <c r="E33" s="1513">
        <f>C33*5</f>
        <v>0</v>
      </c>
      <c r="F33" s="1461"/>
      <c r="G33" s="1461"/>
      <c r="H33" s="1461"/>
      <c r="I33" s="1461"/>
      <c r="J33" s="1486"/>
      <c r="IV33" s="419"/>
    </row>
    <row r="34" spans="1:256" ht="24.75" thickBot="1">
      <c r="A34" s="1473"/>
      <c r="B34" s="1499"/>
      <c r="C34" s="1499"/>
      <c r="D34" s="1500"/>
      <c r="E34" s="1501"/>
      <c r="F34" s="1461"/>
      <c r="G34" s="1461"/>
      <c r="H34" s="1461"/>
      <c r="I34" s="1461"/>
      <c r="J34" s="1486"/>
      <c r="IV34" s="419"/>
    </row>
    <row r="35" spans="1:256" ht="30.75" customHeight="1" thickBot="1" thickTop="1">
      <c r="A35" s="1473"/>
      <c r="B35" s="1461" t="s">
        <v>1106</v>
      </c>
      <c r="C35" s="1461"/>
      <c r="D35" s="1463"/>
      <c r="E35" s="1516">
        <f>SUM(E28:E33)</f>
        <v>0</v>
      </c>
      <c r="F35" s="1461"/>
      <c r="G35" s="1461" t="s">
        <v>1557</v>
      </c>
      <c r="H35" s="1790" t="e">
        <f>+Breakdown!F77</f>
        <v>#REF!</v>
      </c>
      <c r="I35" s="1790"/>
      <c r="J35" s="1791"/>
      <c r="IV35" s="419"/>
    </row>
    <row r="36" spans="1:256" ht="24.75" thickTop="1">
      <c r="A36" s="1473"/>
      <c r="B36" s="1461"/>
      <c r="C36" s="1461"/>
      <c r="D36" s="1463"/>
      <c r="E36" s="1461"/>
      <c r="F36" s="1461"/>
      <c r="G36" s="1461"/>
      <c r="H36" s="1461"/>
      <c r="I36" s="1461"/>
      <c r="J36" s="1486"/>
      <c r="IV36" s="419"/>
    </row>
    <row r="37" spans="1:10" ht="30.75" customHeight="1" thickBot="1">
      <c r="A37" s="1493"/>
      <c r="B37" s="1461" t="s">
        <v>1107</v>
      </c>
      <c r="C37" s="1461"/>
      <c r="D37" s="1463" t="s">
        <v>1070</v>
      </c>
      <c r="E37" s="1517" t="s">
        <v>1108</v>
      </c>
      <c r="F37" s="1518"/>
      <c r="G37" s="1461"/>
      <c r="H37" s="1461"/>
      <c r="I37" s="1464"/>
      <c r="J37" s="1515"/>
    </row>
    <row r="38" spans="1:10" ht="30.75" customHeight="1" thickTop="1">
      <c r="A38" s="1493"/>
      <c r="B38" s="1461" t="s">
        <v>1109</v>
      </c>
      <c r="C38" s="1461"/>
      <c r="D38" s="1463"/>
      <c r="E38" s="1461" t="s">
        <v>1110</v>
      </c>
      <c r="F38" s="1461"/>
      <c r="G38" s="1461"/>
      <c r="H38" s="1461"/>
      <c r="I38" s="1464"/>
      <c r="J38" s="1515"/>
    </row>
    <row r="39" spans="1:10" ht="24">
      <c r="A39" s="1473"/>
      <c r="B39" s="1461"/>
      <c r="C39" s="1461"/>
      <c r="D39" s="1463"/>
      <c r="E39" s="1461"/>
      <c r="F39" s="1461"/>
      <c r="G39" s="1461"/>
      <c r="H39" s="1461"/>
      <c r="I39" s="1464"/>
      <c r="J39" s="1486"/>
    </row>
    <row r="40" spans="1:10" ht="25.5" thickBot="1">
      <c r="A40" s="1493"/>
      <c r="B40" s="1461"/>
      <c r="C40" s="1461" t="s">
        <v>1556</v>
      </c>
      <c r="D40" s="1463" t="s">
        <v>1070</v>
      </c>
      <c r="E40" s="1140">
        <f>IF(OR(E35=0,E35=""),0,H35/E35)</f>
        <v>0</v>
      </c>
      <c r="F40" s="1461"/>
      <c r="G40" s="1461"/>
      <c r="H40" s="1461"/>
      <c r="I40" s="1464"/>
      <c r="J40" s="1514"/>
    </row>
    <row r="41" spans="1:10" ht="26.25" thickBot="1" thickTop="1">
      <c r="A41" s="1519"/>
      <c r="B41" s="1518"/>
      <c r="C41" s="1518"/>
      <c r="D41" s="1520"/>
      <c r="E41" s="1518"/>
      <c r="F41" s="1518"/>
      <c r="G41" s="1518"/>
      <c r="H41" s="1518"/>
      <c r="I41" s="1518"/>
      <c r="J41" s="1521"/>
    </row>
    <row r="42" ht="24.75" thickTop="1"/>
    <row r="73" ht="24.75">
      <c r="B73" s="421"/>
    </row>
  </sheetData>
  <sheetProtection/>
  <mergeCells count="5">
    <mergeCell ref="C4:E4"/>
    <mergeCell ref="H13:J13"/>
    <mergeCell ref="H16:J16"/>
    <mergeCell ref="H19:J19"/>
    <mergeCell ref="H35:J35"/>
  </mergeCells>
  <printOptions horizontalCentered="1" verticalCentered="1"/>
  <pageMargins left="0.25" right="0.25" top="0.75" bottom="0.75" header="0.3" footer="0.3"/>
  <pageSetup horizontalDpi="600" verticalDpi="600" orientation="portrait" scale="48" r:id="rId1"/>
  <headerFooter alignWithMargins="0">
    <oddHeader>&amp;L&amp;YUnified Application for Housing Production Programs&amp;R&amp;Yrevised - &amp;D</oddHeader>
  </headerFooter>
</worksheet>
</file>

<file path=xl/worksheets/sheet16.xml><?xml version="1.0" encoding="utf-8"?>
<worksheet xmlns="http://schemas.openxmlformats.org/spreadsheetml/2006/main" xmlns:r="http://schemas.openxmlformats.org/officeDocument/2006/relationships">
  <sheetPr codeName="Sheet10"/>
  <dimension ref="A1:IT75"/>
  <sheetViews>
    <sheetView showGridLines="0" showZeros="0" view="pageBreakPreview" zoomScale="50" zoomScaleNormal="50" zoomScaleSheetLayoutView="50" zoomScalePageLayoutView="0" workbookViewId="0" topLeftCell="A1">
      <selection activeCell="A2" sqref="A2"/>
    </sheetView>
  </sheetViews>
  <sheetFormatPr defaultColWidth="9.77734375" defaultRowHeight="15"/>
  <cols>
    <col min="1" max="1" width="19.77734375" style="1095" customWidth="1"/>
    <col min="2" max="2" width="3.3359375" style="1626" customWidth="1"/>
    <col min="3" max="3" width="25.77734375" style="1625" customWidth="1"/>
    <col min="4" max="4" width="6.6640625" style="1625" hidden="1" customWidth="1"/>
    <col min="5" max="5" width="10.6640625" style="1626" customWidth="1"/>
    <col min="6" max="6" width="34.4453125" style="1626" customWidth="1"/>
    <col min="7" max="7" width="23.10546875" style="1625" customWidth="1"/>
    <col min="8" max="9" width="3.21484375" style="422" customWidth="1"/>
    <col min="10" max="10" width="40.21484375" style="422" customWidth="1"/>
    <col min="11" max="11" width="3.21484375" style="422" customWidth="1"/>
    <col min="12" max="12" width="37.77734375" style="422" customWidth="1"/>
    <col min="13" max="13" width="4.21484375" style="422" customWidth="1"/>
    <col min="14" max="14" width="1.88671875" style="422" customWidth="1"/>
    <col min="15" max="16384" width="9.77734375" style="422" customWidth="1"/>
  </cols>
  <sheetData>
    <row r="1" spans="1:13" ht="54" customHeight="1">
      <c r="A1" s="1523" t="s">
        <v>1723</v>
      </c>
      <c r="B1" s="1524"/>
      <c r="C1" s="1524"/>
      <c r="D1" s="1524"/>
      <c r="E1" s="1524"/>
      <c r="F1" s="1524"/>
      <c r="G1" s="1525"/>
      <c r="H1" s="1526"/>
      <c r="I1" s="1526"/>
      <c r="J1" s="1526"/>
      <c r="K1" s="1526"/>
      <c r="L1" s="1526"/>
      <c r="M1" s="1526"/>
    </row>
    <row r="2" spans="1:13" ht="21">
      <c r="A2" s="1527"/>
      <c r="B2" s="1524"/>
      <c r="C2" s="1524"/>
      <c r="D2" s="1524"/>
      <c r="E2" s="1524"/>
      <c r="F2" s="1524"/>
      <c r="G2" s="1524"/>
      <c r="H2" s="1526"/>
      <c r="I2" s="1526"/>
      <c r="J2" s="1526"/>
      <c r="K2" s="1526"/>
      <c r="L2" s="1526"/>
      <c r="M2" s="1526"/>
    </row>
    <row r="3" spans="1:253" ht="21">
      <c r="A3" s="1528"/>
      <c r="B3" s="1524"/>
      <c r="C3" s="1524"/>
      <c r="D3" s="1524"/>
      <c r="E3" s="1524"/>
      <c r="F3" s="1529"/>
      <c r="G3" s="1529"/>
      <c r="H3" s="1529"/>
      <c r="I3" s="1529"/>
      <c r="J3" s="1529"/>
      <c r="K3" s="1529"/>
      <c r="L3" s="1529"/>
      <c r="M3" s="1529"/>
      <c r="N3" s="1530"/>
      <c r="O3" s="1530"/>
      <c r="P3" s="1530"/>
      <c r="Q3" s="1530"/>
      <c r="R3" s="1530"/>
      <c r="S3" s="1530"/>
      <c r="T3" s="1530"/>
      <c r="Y3" s="1530"/>
      <c r="Z3" s="1530"/>
      <c r="AA3" s="1530"/>
      <c r="AB3" s="1530"/>
      <c r="AC3" s="1530"/>
      <c r="AD3" s="1530"/>
      <c r="AE3" s="1530"/>
      <c r="AF3" s="1530"/>
      <c r="AG3" s="1530"/>
      <c r="AH3" s="1530"/>
      <c r="AI3" s="1530"/>
      <c r="AJ3" s="1530"/>
      <c r="AK3" s="1530"/>
      <c r="AL3" s="1530"/>
      <c r="AM3" s="1530"/>
      <c r="AN3" s="1530"/>
      <c r="AO3" s="1530"/>
      <c r="AP3" s="1530"/>
      <c r="AQ3" s="1530"/>
      <c r="AR3" s="1530"/>
      <c r="AS3" s="1530"/>
      <c r="AT3" s="1530"/>
      <c r="AU3" s="1530"/>
      <c r="AV3" s="1530"/>
      <c r="AW3" s="1530"/>
      <c r="AX3" s="1530"/>
      <c r="AY3" s="1530"/>
      <c r="AZ3" s="1530"/>
      <c r="BA3" s="1530"/>
      <c r="BB3" s="1530"/>
      <c r="BC3" s="1530"/>
      <c r="BD3" s="1530"/>
      <c r="BE3" s="1530"/>
      <c r="BF3" s="1530"/>
      <c r="BG3" s="1530"/>
      <c r="BH3" s="1530"/>
      <c r="BI3" s="1530"/>
      <c r="BJ3" s="1530"/>
      <c r="BK3" s="1530"/>
      <c r="BL3" s="1530"/>
      <c r="BM3" s="1530"/>
      <c r="BN3" s="1530"/>
      <c r="BO3" s="1530"/>
      <c r="BP3" s="1530"/>
      <c r="BQ3" s="1530"/>
      <c r="BR3" s="1530"/>
      <c r="BS3" s="1530"/>
      <c r="BT3" s="1530"/>
      <c r="BU3" s="1530"/>
      <c r="BV3" s="1530"/>
      <c r="BW3" s="1530"/>
      <c r="BX3" s="1530"/>
      <c r="BY3" s="1530"/>
      <c r="BZ3" s="1530"/>
      <c r="CA3" s="1530"/>
      <c r="CB3" s="1530"/>
      <c r="CC3" s="1530"/>
      <c r="CD3" s="1530"/>
      <c r="CE3" s="1530"/>
      <c r="CF3" s="1530"/>
      <c r="CG3" s="1530"/>
      <c r="CH3" s="1530"/>
      <c r="CI3" s="1530"/>
      <c r="CJ3" s="1530"/>
      <c r="CK3" s="1530"/>
      <c r="CL3" s="1530"/>
      <c r="CM3" s="1530"/>
      <c r="CN3" s="1530"/>
      <c r="CO3" s="1530"/>
      <c r="CP3" s="1530"/>
      <c r="CQ3" s="1530"/>
      <c r="CR3" s="1530"/>
      <c r="CS3" s="1530"/>
      <c r="CT3" s="1530"/>
      <c r="CU3" s="1530"/>
      <c r="CV3" s="1530"/>
      <c r="CW3" s="1530"/>
      <c r="CX3" s="1530"/>
      <c r="CY3" s="1530"/>
      <c r="CZ3" s="1530"/>
      <c r="DA3" s="1530"/>
      <c r="DB3" s="1530"/>
      <c r="DC3" s="1530"/>
      <c r="DD3" s="1530"/>
      <c r="DE3" s="1530"/>
      <c r="DF3" s="1530"/>
      <c r="DG3" s="1530"/>
      <c r="DH3" s="1530"/>
      <c r="DI3" s="1530"/>
      <c r="DJ3" s="1530"/>
      <c r="DK3" s="1530"/>
      <c r="DL3" s="1530"/>
      <c r="DM3" s="1530"/>
      <c r="DN3" s="1530"/>
      <c r="DO3" s="1530"/>
      <c r="DP3" s="1530"/>
      <c r="DQ3" s="1530"/>
      <c r="DR3" s="1530"/>
      <c r="DS3" s="1530"/>
      <c r="DT3" s="1530"/>
      <c r="DU3" s="1530"/>
      <c r="DV3" s="1530"/>
      <c r="DW3" s="1530"/>
      <c r="DX3" s="1530"/>
      <c r="DY3" s="1530"/>
      <c r="DZ3" s="1530"/>
      <c r="EA3" s="1530"/>
      <c r="EB3" s="1530"/>
      <c r="EC3" s="1530"/>
      <c r="ED3" s="1530"/>
      <c r="EE3" s="1530"/>
      <c r="EF3" s="1530"/>
      <c r="EG3" s="1530"/>
      <c r="EH3" s="1530"/>
      <c r="EI3" s="1530"/>
      <c r="EJ3" s="1530"/>
      <c r="EK3" s="1530"/>
      <c r="EL3" s="1530"/>
      <c r="EM3" s="1530"/>
      <c r="EN3" s="1530"/>
      <c r="EO3" s="1530"/>
      <c r="EP3" s="1530"/>
      <c r="EQ3" s="1530"/>
      <c r="ER3" s="1530"/>
      <c r="ES3" s="1530"/>
      <c r="ET3" s="1530"/>
      <c r="EU3" s="1530"/>
      <c r="EV3" s="1530"/>
      <c r="EW3" s="1530"/>
      <c r="EX3" s="1530"/>
      <c r="EY3" s="1530"/>
      <c r="EZ3" s="1530"/>
      <c r="FA3" s="1530"/>
      <c r="FB3" s="1530"/>
      <c r="FC3" s="1530"/>
      <c r="FD3" s="1530"/>
      <c r="FE3" s="1530"/>
      <c r="FF3" s="1530"/>
      <c r="FG3" s="1530"/>
      <c r="FH3" s="1530"/>
      <c r="FI3" s="1530"/>
      <c r="FJ3" s="1530"/>
      <c r="FK3" s="1530"/>
      <c r="FL3" s="1530"/>
      <c r="FM3" s="1530"/>
      <c r="FN3" s="1530"/>
      <c r="FO3" s="1530"/>
      <c r="FP3" s="1530"/>
      <c r="FQ3" s="1530"/>
      <c r="FR3" s="1530"/>
      <c r="FS3" s="1530"/>
      <c r="FT3" s="1530"/>
      <c r="FU3" s="1530"/>
      <c r="FV3" s="1530"/>
      <c r="FW3" s="1530"/>
      <c r="FX3" s="1530"/>
      <c r="FY3" s="1530"/>
      <c r="FZ3" s="1530"/>
      <c r="GA3" s="1530"/>
      <c r="GB3" s="1530"/>
      <c r="GC3" s="1530"/>
      <c r="GD3" s="1530"/>
      <c r="GE3" s="1530"/>
      <c r="GF3" s="1530"/>
      <c r="GG3" s="1530"/>
      <c r="GH3" s="1530"/>
      <c r="GI3" s="1530"/>
      <c r="GJ3" s="1530"/>
      <c r="GK3" s="1530"/>
      <c r="GL3" s="1530"/>
      <c r="GM3" s="1530"/>
      <c r="GN3" s="1530"/>
      <c r="GO3" s="1530"/>
      <c r="GP3" s="1530"/>
      <c r="GQ3" s="1530"/>
      <c r="GR3" s="1530"/>
      <c r="GS3" s="1530"/>
      <c r="GT3" s="1530"/>
      <c r="GU3" s="1530"/>
      <c r="GV3" s="1530"/>
      <c r="GW3" s="1530"/>
      <c r="GX3" s="1530"/>
      <c r="GY3" s="1530"/>
      <c r="GZ3" s="1530"/>
      <c r="HA3" s="1530"/>
      <c r="HB3" s="1530"/>
      <c r="HC3" s="1530"/>
      <c r="HD3" s="1530"/>
      <c r="HE3" s="1530"/>
      <c r="HF3" s="1530"/>
      <c r="HG3" s="1530"/>
      <c r="HH3" s="1530"/>
      <c r="HI3" s="1530"/>
      <c r="HJ3" s="1530"/>
      <c r="HK3" s="1530"/>
      <c r="HL3" s="1530"/>
      <c r="HM3" s="1530"/>
      <c r="HN3" s="1530"/>
      <c r="HO3" s="1530"/>
      <c r="HP3" s="1530"/>
      <c r="HQ3" s="1530"/>
      <c r="HR3" s="1530"/>
      <c r="HS3" s="1530"/>
      <c r="HT3" s="1530"/>
      <c r="HU3" s="1530"/>
      <c r="HV3" s="1530"/>
      <c r="HW3" s="1530"/>
      <c r="HX3" s="1530"/>
      <c r="HY3" s="1530"/>
      <c r="HZ3" s="1530"/>
      <c r="IA3" s="1530"/>
      <c r="IB3" s="1530"/>
      <c r="IC3" s="1530"/>
      <c r="ID3" s="1530"/>
      <c r="IE3" s="1530"/>
      <c r="IF3" s="1530"/>
      <c r="IG3" s="1530"/>
      <c r="IH3" s="1530"/>
      <c r="II3" s="1530"/>
      <c r="IJ3" s="1530"/>
      <c r="IK3" s="1530"/>
      <c r="IL3" s="1530"/>
      <c r="IM3" s="1530"/>
      <c r="IN3" s="1530"/>
      <c r="IO3" s="1530"/>
      <c r="IP3" s="1530"/>
      <c r="IQ3" s="1530"/>
      <c r="IR3" s="1530"/>
      <c r="IS3" s="1530"/>
    </row>
    <row r="4" spans="1:253" ht="21" thickBot="1">
      <c r="A4" s="1528" t="s">
        <v>1002</v>
      </c>
      <c r="B4" s="1529"/>
      <c r="C4" s="1531">
        <f>Breakdown!C5</f>
        <v>0</v>
      </c>
      <c r="D4" s="1532"/>
      <c r="E4" s="1524"/>
      <c r="F4" s="1529"/>
      <c r="G4" s="1529"/>
      <c r="H4" s="1529"/>
      <c r="I4" s="1529"/>
      <c r="J4" s="1529"/>
      <c r="K4" s="1529"/>
      <c r="L4" s="1529"/>
      <c r="M4" s="1529"/>
      <c r="N4" s="1530"/>
      <c r="O4" s="1530"/>
      <c r="P4" s="1530"/>
      <c r="Q4" s="1530"/>
      <c r="R4" s="1530"/>
      <c r="S4" s="1530"/>
      <c r="T4" s="1530"/>
      <c r="Y4" s="1530"/>
      <c r="Z4" s="1530"/>
      <c r="AA4" s="1530"/>
      <c r="AB4" s="1530"/>
      <c r="AC4" s="1530"/>
      <c r="AD4" s="1530"/>
      <c r="AE4" s="1530"/>
      <c r="AF4" s="1530"/>
      <c r="AG4" s="1530"/>
      <c r="AH4" s="1530"/>
      <c r="AI4" s="1530"/>
      <c r="AJ4" s="1530"/>
      <c r="AK4" s="1530"/>
      <c r="AL4" s="1530"/>
      <c r="AM4" s="1530"/>
      <c r="AN4" s="1530"/>
      <c r="AO4" s="1530"/>
      <c r="AP4" s="1530"/>
      <c r="AQ4" s="1530"/>
      <c r="AR4" s="1530"/>
      <c r="AS4" s="1530"/>
      <c r="AT4" s="1530"/>
      <c r="AU4" s="1530"/>
      <c r="AV4" s="1530"/>
      <c r="AW4" s="1530"/>
      <c r="AX4" s="1530"/>
      <c r="AY4" s="1530"/>
      <c r="AZ4" s="1530"/>
      <c r="BA4" s="1530"/>
      <c r="BB4" s="1530"/>
      <c r="BC4" s="1530"/>
      <c r="BD4" s="1530"/>
      <c r="BE4" s="1530"/>
      <c r="BF4" s="1530"/>
      <c r="BG4" s="1530"/>
      <c r="BH4" s="1530"/>
      <c r="BI4" s="1530"/>
      <c r="BJ4" s="1530"/>
      <c r="BK4" s="1530"/>
      <c r="BL4" s="1530"/>
      <c r="BM4" s="1530"/>
      <c r="BN4" s="1530"/>
      <c r="BO4" s="1530"/>
      <c r="BP4" s="1530"/>
      <c r="BQ4" s="1530"/>
      <c r="BR4" s="1530"/>
      <c r="BS4" s="1530"/>
      <c r="BT4" s="1530"/>
      <c r="BU4" s="1530"/>
      <c r="BV4" s="1530"/>
      <c r="BW4" s="1530"/>
      <c r="BX4" s="1530"/>
      <c r="BY4" s="1530"/>
      <c r="BZ4" s="1530"/>
      <c r="CA4" s="1530"/>
      <c r="CB4" s="1530"/>
      <c r="CC4" s="1530"/>
      <c r="CD4" s="1530"/>
      <c r="CE4" s="1530"/>
      <c r="CF4" s="1530"/>
      <c r="CG4" s="1530"/>
      <c r="CH4" s="1530"/>
      <c r="CI4" s="1530"/>
      <c r="CJ4" s="1530"/>
      <c r="CK4" s="1530"/>
      <c r="CL4" s="1530"/>
      <c r="CM4" s="1530"/>
      <c r="CN4" s="1530"/>
      <c r="CO4" s="1530"/>
      <c r="CP4" s="1530"/>
      <c r="CQ4" s="1530"/>
      <c r="CR4" s="1530"/>
      <c r="CS4" s="1530"/>
      <c r="CT4" s="1530"/>
      <c r="CU4" s="1530"/>
      <c r="CV4" s="1530"/>
      <c r="CW4" s="1530"/>
      <c r="CX4" s="1530"/>
      <c r="CY4" s="1530"/>
      <c r="CZ4" s="1530"/>
      <c r="DA4" s="1530"/>
      <c r="DB4" s="1530"/>
      <c r="DC4" s="1530"/>
      <c r="DD4" s="1530"/>
      <c r="DE4" s="1530"/>
      <c r="DF4" s="1530"/>
      <c r="DG4" s="1530"/>
      <c r="DH4" s="1530"/>
      <c r="DI4" s="1530"/>
      <c r="DJ4" s="1530"/>
      <c r="DK4" s="1530"/>
      <c r="DL4" s="1530"/>
      <c r="DM4" s="1530"/>
      <c r="DN4" s="1530"/>
      <c r="DO4" s="1530"/>
      <c r="DP4" s="1530"/>
      <c r="DQ4" s="1530"/>
      <c r="DR4" s="1530"/>
      <c r="DS4" s="1530"/>
      <c r="DT4" s="1530"/>
      <c r="DU4" s="1530"/>
      <c r="DV4" s="1530"/>
      <c r="DW4" s="1530"/>
      <c r="DX4" s="1530"/>
      <c r="DY4" s="1530"/>
      <c r="DZ4" s="1530"/>
      <c r="EA4" s="1530"/>
      <c r="EB4" s="1530"/>
      <c r="EC4" s="1530"/>
      <c r="ED4" s="1530"/>
      <c r="EE4" s="1530"/>
      <c r="EF4" s="1530"/>
      <c r="EG4" s="1530"/>
      <c r="EH4" s="1530"/>
      <c r="EI4" s="1530"/>
      <c r="EJ4" s="1530"/>
      <c r="EK4" s="1530"/>
      <c r="EL4" s="1530"/>
      <c r="EM4" s="1530"/>
      <c r="EN4" s="1530"/>
      <c r="EO4" s="1530"/>
      <c r="EP4" s="1530"/>
      <c r="EQ4" s="1530"/>
      <c r="ER4" s="1530"/>
      <c r="ES4" s="1530"/>
      <c r="ET4" s="1530"/>
      <c r="EU4" s="1530"/>
      <c r="EV4" s="1530"/>
      <c r="EW4" s="1530"/>
      <c r="EX4" s="1530"/>
      <c r="EY4" s="1530"/>
      <c r="EZ4" s="1530"/>
      <c r="FA4" s="1530"/>
      <c r="FB4" s="1530"/>
      <c r="FC4" s="1530"/>
      <c r="FD4" s="1530"/>
      <c r="FE4" s="1530"/>
      <c r="FF4" s="1530"/>
      <c r="FG4" s="1530"/>
      <c r="FH4" s="1530"/>
      <c r="FI4" s="1530"/>
      <c r="FJ4" s="1530"/>
      <c r="FK4" s="1530"/>
      <c r="FL4" s="1530"/>
      <c r="FM4" s="1530"/>
      <c r="FN4" s="1530"/>
      <c r="FO4" s="1530"/>
      <c r="FP4" s="1530"/>
      <c r="FQ4" s="1530"/>
      <c r="FR4" s="1530"/>
      <c r="FS4" s="1530"/>
      <c r="FT4" s="1530"/>
      <c r="FU4" s="1530"/>
      <c r="FV4" s="1530"/>
      <c r="FW4" s="1530"/>
      <c r="FX4" s="1530"/>
      <c r="FY4" s="1530"/>
      <c r="FZ4" s="1530"/>
      <c r="GA4" s="1530"/>
      <c r="GB4" s="1530"/>
      <c r="GC4" s="1530"/>
      <c r="GD4" s="1530"/>
      <c r="GE4" s="1530"/>
      <c r="GF4" s="1530"/>
      <c r="GG4" s="1530"/>
      <c r="GH4" s="1530"/>
      <c r="GI4" s="1530"/>
      <c r="GJ4" s="1530"/>
      <c r="GK4" s="1530"/>
      <c r="GL4" s="1530"/>
      <c r="GM4" s="1530"/>
      <c r="GN4" s="1530"/>
      <c r="GO4" s="1530"/>
      <c r="GP4" s="1530"/>
      <c r="GQ4" s="1530"/>
      <c r="GR4" s="1530"/>
      <c r="GS4" s="1530"/>
      <c r="GT4" s="1530"/>
      <c r="GU4" s="1530"/>
      <c r="GV4" s="1530"/>
      <c r="GW4" s="1530"/>
      <c r="GX4" s="1530"/>
      <c r="GY4" s="1530"/>
      <c r="GZ4" s="1530"/>
      <c r="HA4" s="1530"/>
      <c r="HB4" s="1530"/>
      <c r="HC4" s="1530"/>
      <c r="HD4" s="1530"/>
      <c r="HE4" s="1530"/>
      <c r="HF4" s="1530"/>
      <c r="HG4" s="1530"/>
      <c r="HH4" s="1530"/>
      <c r="HI4" s="1530"/>
      <c r="HJ4" s="1530"/>
      <c r="HK4" s="1530"/>
      <c r="HL4" s="1530"/>
      <c r="HM4" s="1530"/>
      <c r="HN4" s="1530"/>
      <c r="HO4" s="1530"/>
      <c r="HP4" s="1530"/>
      <c r="HQ4" s="1530"/>
      <c r="HR4" s="1530"/>
      <c r="HS4" s="1530"/>
      <c r="HT4" s="1530"/>
      <c r="HU4" s="1530"/>
      <c r="HV4" s="1530"/>
      <c r="HW4" s="1530"/>
      <c r="HX4" s="1530"/>
      <c r="HY4" s="1530"/>
      <c r="HZ4" s="1530"/>
      <c r="IA4" s="1530"/>
      <c r="IB4" s="1530"/>
      <c r="IC4" s="1530"/>
      <c r="ID4" s="1530"/>
      <c r="IE4" s="1530"/>
      <c r="IF4" s="1530"/>
      <c r="IG4" s="1530"/>
      <c r="IH4" s="1530"/>
      <c r="II4" s="1530"/>
      <c r="IJ4" s="1530"/>
      <c r="IK4" s="1530"/>
      <c r="IL4" s="1530"/>
      <c r="IM4" s="1530"/>
      <c r="IN4" s="1530"/>
      <c r="IO4" s="1530"/>
      <c r="IP4" s="1530"/>
      <c r="IQ4" s="1530"/>
      <c r="IR4" s="1530"/>
      <c r="IS4" s="1530"/>
    </row>
    <row r="5" spans="1:13" ht="21" thickTop="1">
      <c r="A5" s="1527"/>
      <c r="B5" s="1524"/>
      <c r="C5" s="1524"/>
      <c r="D5" s="1524"/>
      <c r="E5" s="1524"/>
      <c r="F5" s="1524"/>
      <c r="G5" s="1524"/>
      <c r="H5" s="1526"/>
      <c r="I5" s="1526"/>
      <c r="J5" s="1526"/>
      <c r="K5" s="1526"/>
      <c r="L5" s="1526"/>
      <c r="M5" s="1526"/>
    </row>
    <row r="6" spans="1:13" ht="21">
      <c r="A6" s="1527"/>
      <c r="B6" s="1524"/>
      <c r="C6" s="1524"/>
      <c r="D6" s="1524"/>
      <c r="E6" s="1524"/>
      <c r="F6" s="1524"/>
      <c r="G6" s="1524"/>
      <c r="H6" s="1526"/>
      <c r="I6" s="1526"/>
      <c r="J6" s="1526"/>
      <c r="K6" s="1526"/>
      <c r="L6" s="1526"/>
      <c r="M6" s="1526"/>
    </row>
    <row r="7" spans="1:13" ht="24">
      <c r="A7" s="1533" t="s">
        <v>1111</v>
      </c>
      <c r="B7" s="1524"/>
      <c r="C7" s="1524"/>
      <c r="D7" s="1524"/>
      <c r="E7" s="1524"/>
      <c r="F7" s="1524"/>
      <c r="G7" s="1525"/>
      <c r="H7" s="1526"/>
      <c r="I7" s="1526"/>
      <c r="J7" s="1526"/>
      <c r="K7" s="1526"/>
      <c r="L7" s="1526"/>
      <c r="M7" s="1526"/>
    </row>
    <row r="8" spans="1:13" ht="21" thickBot="1">
      <c r="A8" s="1534"/>
      <c r="B8" s="1524"/>
      <c r="C8" s="1524"/>
      <c r="D8" s="1524"/>
      <c r="E8" s="1524"/>
      <c r="F8" s="1524"/>
      <c r="G8" s="1535"/>
      <c r="H8" s="1526"/>
      <c r="I8" s="1526"/>
      <c r="J8" s="1526"/>
      <c r="K8" s="1526"/>
      <c r="L8" s="1526"/>
      <c r="M8" s="1526"/>
    </row>
    <row r="9" spans="1:13" ht="27.75" customHeight="1" thickTop="1">
      <c r="A9" s="1536" t="s">
        <v>1112</v>
      </c>
      <c r="B9" s="1537"/>
      <c r="C9" s="1538"/>
      <c r="D9" s="1537"/>
      <c r="E9" s="1539" t="s">
        <v>1113</v>
      </c>
      <c r="F9" s="1540"/>
      <c r="G9" s="1541" t="s">
        <v>1114</v>
      </c>
      <c r="H9" s="1526"/>
      <c r="I9" s="1526"/>
      <c r="J9" s="1542" t="s">
        <v>1115</v>
      </c>
      <c r="K9" s="1543"/>
      <c r="L9" s="1543"/>
      <c r="M9" s="1544"/>
    </row>
    <row r="10" spans="1:13" ht="27.75" customHeight="1">
      <c r="A10" s="1545" t="s">
        <v>1116</v>
      </c>
      <c r="B10" s="1546"/>
      <c r="C10" s="1547" t="s">
        <v>1117</v>
      </c>
      <c r="D10" s="1546"/>
      <c r="E10" s="1548"/>
      <c r="F10" s="1549"/>
      <c r="G10" s="1550" t="s">
        <v>1118</v>
      </c>
      <c r="H10" s="1526"/>
      <c r="I10" s="1526"/>
      <c r="J10" s="1551"/>
      <c r="K10" s="1535"/>
      <c r="L10" s="1524"/>
      <c r="M10" s="1552"/>
    </row>
    <row r="11" spans="1:13" ht="27.75" customHeight="1">
      <c r="A11" s="1545">
        <v>1</v>
      </c>
      <c r="B11" s="1546" t="s">
        <v>1119</v>
      </c>
      <c r="C11" s="1553">
        <v>500000</v>
      </c>
      <c r="D11" s="1546"/>
      <c r="E11" s="1548">
        <v>0.1175</v>
      </c>
      <c r="F11" s="1549"/>
      <c r="G11" s="1550" t="s">
        <v>1120</v>
      </c>
      <c r="H11" s="1526"/>
      <c r="I11" s="1526"/>
      <c r="J11" s="1554" t="s">
        <v>1121</v>
      </c>
      <c r="K11" s="1529"/>
      <c r="L11" s="1555">
        <v>12300000</v>
      </c>
      <c r="M11" s="1552"/>
    </row>
    <row r="12" spans="1:13" ht="27.75" customHeight="1">
      <c r="A12" s="1545">
        <v>500001</v>
      </c>
      <c r="B12" s="1546" t="s">
        <v>1119</v>
      </c>
      <c r="C12" s="1553">
        <v>1000000</v>
      </c>
      <c r="D12" s="1546"/>
      <c r="E12" s="1548">
        <v>0.1075</v>
      </c>
      <c r="F12" s="1549" t="s">
        <v>1122</v>
      </c>
      <c r="G12" s="1556">
        <f>ROUND(+E11*C11,0)</f>
        <v>58750</v>
      </c>
      <c r="H12" s="1526"/>
      <c r="I12" s="1526"/>
      <c r="J12" s="1554"/>
      <c r="K12" s="1549"/>
      <c r="L12" s="1524"/>
      <c r="M12" s="1552"/>
    </row>
    <row r="13" spans="1:13" ht="27.75" customHeight="1" thickBot="1">
      <c r="A13" s="1545">
        <v>1000001</v>
      </c>
      <c r="B13" s="1546" t="s">
        <v>1119</v>
      </c>
      <c r="C13" s="1553">
        <v>5000000</v>
      </c>
      <c r="D13" s="1546"/>
      <c r="E13" s="1548">
        <v>0.095</v>
      </c>
      <c r="F13" s="1549" t="s">
        <v>1123</v>
      </c>
      <c r="G13" s="1556">
        <f>ROUND((C12-A12)*E12+G12,0)</f>
        <v>112500</v>
      </c>
      <c r="H13" s="1526"/>
      <c r="I13" s="1526"/>
      <c r="J13" s="1557" t="s">
        <v>1124</v>
      </c>
      <c r="K13" s="1558"/>
      <c r="L13" s="1559">
        <f>IF(OR(L11=0,L11=""),0,VLOOKUP(L11,$A$11:$G$17,1))</f>
        <v>10000001</v>
      </c>
      <c r="M13" s="1552"/>
    </row>
    <row r="14" spans="1:13" ht="27.75" customHeight="1" thickTop="1">
      <c r="A14" s="1545">
        <v>5000001</v>
      </c>
      <c r="B14" s="1546" t="s">
        <v>1119</v>
      </c>
      <c r="C14" s="1553">
        <v>10000000</v>
      </c>
      <c r="D14" s="1546"/>
      <c r="E14" s="1548">
        <f>(0.09+0.0875+0.085+0.0825+0.08)/5</f>
        <v>0.085</v>
      </c>
      <c r="F14" s="1549" t="s">
        <v>1125</v>
      </c>
      <c r="G14" s="1556">
        <f>ROUND((C13-A13)*E13+G13,0)</f>
        <v>492500</v>
      </c>
      <c r="H14" s="1526"/>
      <c r="I14" s="1526"/>
      <c r="J14" s="1554"/>
      <c r="K14" s="1549"/>
      <c r="L14" s="1524"/>
      <c r="M14" s="1552"/>
    </row>
    <row r="15" spans="1:13" ht="27.75" customHeight="1">
      <c r="A15" s="1545">
        <v>10000001</v>
      </c>
      <c r="B15" s="1546" t="s">
        <v>1119</v>
      </c>
      <c r="C15" s="1553">
        <v>15000000</v>
      </c>
      <c r="D15" s="1546"/>
      <c r="E15" s="1548">
        <v>0.07</v>
      </c>
      <c r="F15" s="1549" t="s">
        <v>1126</v>
      </c>
      <c r="G15" s="1556">
        <f>ROUND((C14-A14)*E14+G14,0)</f>
        <v>917500</v>
      </c>
      <c r="H15" s="1526"/>
      <c r="I15" s="1526"/>
      <c r="J15" s="1554" t="s">
        <v>1127</v>
      </c>
      <c r="K15" s="1549"/>
      <c r="L15" s="1555">
        <f>L11-L13</f>
        <v>2299999</v>
      </c>
      <c r="M15" s="1552"/>
    </row>
    <row r="16" spans="1:13" ht="27.75" customHeight="1">
      <c r="A16" s="1545">
        <v>15000001</v>
      </c>
      <c r="B16" s="1546" t="s">
        <v>1119</v>
      </c>
      <c r="C16" s="1553">
        <v>20000000</v>
      </c>
      <c r="D16" s="1546"/>
      <c r="E16" s="1548">
        <v>0.067</v>
      </c>
      <c r="F16" s="1549" t="s">
        <v>1128</v>
      </c>
      <c r="G16" s="1556">
        <f>ROUND((C15-A15)*E15+G15,0)</f>
        <v>1267500</v>
      </c>
      <c r="H16" s="1526"/>
      <c r="I16" s="1526"/>
      <c r="J16" s="1554"/>
      <c r="K16" s="1549"/>
      <c r="L16" s="1524"/>
      <c r="M16" s="1552"/>
    </row>
    <row r="17" spans="1:13" ht="27.75" customHeight="1" thickBot="1">
      <c r="A17" s="1560">
        <v>20000001</v>
      </c>
      <c r="B17" s="1561" t="s">
        <v>1129</v>
      </c>
      <c r="C17" s="1562"/>
      <c r="D17" s="1561"/>
      <c r="E17" s="1563">
        <v>0.062</v>
      </c>
      <c r="F17" s="1564" t="s">
        <v>1130</v>
      </c>
      <c r="G17" s="1565">
        <f>ROUND((C16-A16)*E16+G16,0)</f>
        <v>1602500</v>
      </c>
      <c r="H17" s="1526"/>
      <c r="I17" s="1526"/>
      <c r="J17" s="1557" t="s">
        <v>1131</v>
      </c>
      <c r="K17" s="1558"/>
      <c r="L17" s="1566">
        <f>IF(OR(L11=0,L11=""),0,VLOOKUP(L11,$A$11:$G$17,5))</f>
        <v>0.07</v>
      </c>
      <c r="M17" s="1552"/>
    </row>
    <row r="18" spans="1:13" ht="27.75" customHeight="1" thickTop="1">
      <c r="A18" s="1527"/>
      <c r="B18" s="1524"/>
      <c r="C18" s="1524"/>
      <c r="D18" s="1524"/>
      <c r="E18" s="1524"/>
      <c r="F18" s="1524"/>
      <c r="G18" s="1524"/>
      <c r="H18" s="1526"/>
      <c r="I18" s="1526"/>
      <c r="J18" s="1554"/>
      <c r="K18" s="1549"/>
      <c r="L18" s="1524"/>
      <c r="M18" s="1552"/>
    </row>
    <row r="19" spans="1:13" ht="27.75" customHeight="1">
      <c r="A19" s="1527"/>
      <c r="B19" s="1524"/>
      <c r="C19" s="1524"/>
      <c r="D19" s="1524"/>
      <c r="E19" s="1524"/>
      <c r="F19" s="1524"/>
      <c r="G19" s="1524"/>
      <c r="H19" s="1526"/>
      <c r="I19" s="1526"/>
      <c r="J19" s="1554" t="s">
        <v>1132</v>
      </c>
      <c r="K19" s="1549"/>
      <c r="L19" s="1555">
        <f>ROUND(+L15*L17,0)</f>
        <v>161000</v>
      </c>
      <c r="M19" s="1552"/>
    </row>
    <row r="20" spans="1:13" ht="27.75" customHeight="1">
      <c r="A20" s="1527"/>
      <c r="B20" s="1524"/>
      <c r="C20" s="1524"/>
      <c r="D20" s="1524"/>
      <c r="E20" s="1524"/>
      <c r="F20" s="1524"/>
      <c r="G20" s="1524"/>
      <c r="H20" s="1526"/>
      <c r="I20" s="1526"/>
      <c r="J20" s="1554"/>
      <c r="K20" s="1549"/>
      <c r="L20" s="1524"/>
      <c r="M20" s="1552"/>
    </row>
    <row r="21" spans="1:13" ht="27.75" customHeight="1" thickBot="1">
      <c r="A21" s="1527"/>
      <c r="B21" s="1524"/>
      <c r="C21" s="1524"/>
      <c r="D21" s="1524"/>
      <c r="E21" s="1524"/>
      <c r="F21" s="1524"/>
      <c r="G21" s="1524"/>
      <c r="H21" s="1526"/>
      <c r="I21" s="1526"/>
      <c r="J21" s="1557" t="s">
        <v>1133</v>
      </c>
      <c r="K21" s="1558"/>
      <c r="L21" s="1559">
        <f>IF(OR(L11=0,L11=""),0,VLOOKUP(L11,$A$11:$G$17,7))</f>
        <v>917500</v>
      </c>
      <c r="M21" s="1552"/>
    </row>
    <row r="22" spans="1:13" ht="27.75" customHeight="1" thickTop="1">
      <c r="A22" s="1567"/>
      <c r="B22" s="1568"/>
      <c r="C22" s="1568"/>
      <c r="D22" s="1569"/>
      <c r="E22" s="1569"/>
      <c r="F22" s="1570" t="s">
        <v>1134</v>
      </c>
      <c r="G22" s="1524"/>
      <c r="H22" s="1526"/>
      <c r="I22" s="1526"/>
      <c r="J22" s="1554"/>
      <c r="K22" s="1549"/>
      <c r="L22" s="1535"/>
      <c r="M22" s="1552"/>
    </row>
    <row r="23" spans="1:13" ht="27.75" customHeight="1" thickBot="1">
      <c r="A23" s="1571"/>
      <c r="B23" s="1546"/>
      <c r="C23" s="1529"/>
      <c r="D23" s="1524"/>
      <c r="E23" s="1524"/>
      <c r="F23" s="1572" t="s">
        <v>1135</v>
      </c>
      <c r="G23" s="1524"/>
      <c r="H23" s="1526"/>
      <c r="I23" s="1526"/>
      <c r="J23" s="1573" t="s">
        <v>1136</v>
      </c>
      <c r="K23" s="1564"/>
      <c r="L23" s="1574">
        <f>L19+L21</f>
        <v>1078500</v>
      </c>
      <c r="M23" s="1575"/>
    </row>
    <row r="24" spans="1:13" ht="27.75" customHeight="1" thickBot="1" thickTop="1">
      <c r="A24" s="1571"/>
      <c r="B24" s="1529"/>
      <c r="C24" s="1529"/>
      <c r="D24" s="1524"/>
      <c r="E24" s="1524"/>
      <c r="F24" s="1572" t="s">
        <v>1137</v>
      </c>
      <c r="G24" s="1524"/>
      <c r="H24" s="1526"/>
      <c r="I24" s="1526"/>
      <c r="J24" s="1526"/>
      <c r="K24" s="1526"/>
      <c r="L24" s="1526"/>
      <c r="M24" s="1526"/>
    </row>
    <row r="25" spans="1:13" ht="27.75" customHeight="1" thickTop="1">
      <c r="A25" s="1571" t="s">
        <v>1138</v>
      </c>
      <c r="B25" s="1524"/>
      <c r="C25" s="1524"/>
      <c r="D25" s="1524"/>
      <c r="E25" s="1576" t="str">
        <f aca="true" t="shared" si="0" ref="E25:E35">IF(OR(F25="",F25=0),"$","")</f>
        <v>$</v>
      </c>
      <c r="F25" s="1577">
        <f>+Breakdown!F18</f>
        <v>0</v>
      </c>
      <c r="G25" s="1524"/>
      <c r="H25" s="1526"/>
      <c r="I25" s="1526"/>
      <c r="J25" s="1542" t="s">
        <v>1139</v>
      </c>
      <c r="K25" s="1543"/>
      <c r="L25" s="1569"/>
      <c r="M25" s="1544"/>
    </row>
    <row r="26" spans="1:13" ht="27.75" customHeight="1">
      <c r="A26" s="1571" t="s">
        <v>1140</v>
      </c>
      <c r="B26" s="1524"/>
      <c r="C26" s="1524"/>
      <c r="D26" s="1524"/>
      <c r="E26" s="1576" t="str">
        <f t="shared" si="0"/>
        <v>$</v>
      </c>
      <c r="F26" s="1577">
        <f>+Breakdown!F19</f>
        <v>0</v>
      </c>
      <c r="G26" s="1524"/>
      <c r="H26" s="1526"/>
      <c r="I26" s="1526"/>
      <c r="J26" s="1578"/>
      <c r="K26" s="1535"/>
      <c r="L26" s="1535"/>
      <c r="M26" s="1552"/>
    </row>
    <row r="27" spans="1:13" ht="27.75" customHeight="1">
      <c r="A27" s="1571" t="s">
        <v>1141</v>
      </c>
      <c r="B27" s="1524"/>
      <c r="C27" s="1524"/>
      <c r="D27" s="1524"/>
      <c r="E27" s="1576" t="str">
        <f t="shared" si="0"/>
        <v>$</v>
      </c>
      <c r="F27" s="1577">
        <f>+Breakdown!F20</f>
        <v>0</v>
      </c>
      <c r="G27" s="1524"/>
      <c r="H27" s="1526"/>
      <c r="I27" s="1526"/>
      <c r="J27" s="1554" t="s">
        <v>1121</v>
      </c>
      <c r="K27" s="1576" t="e">
        <f>IF(OR(L27="",L27=0),"$","")</f>
        <v>#REF!</v>
      </c>
      <c r="L27" s="1579" t="e">
        <f>F39</f>
        <v>#REF!</v>
      </c>
      <c r="M27" s="1552"/>
    </row>
    <row r="28" spans="1:13" ht="27.75" customHeight="1">
      <c r="A28" s="1571" t="s">
        <v>1142</v>
      </c>
      <c r="B28" s="1524"/>
      <c r="C28" s="1524"/>
      <c r="D28" s="1524"/>
      <c r="E28" s="1576" t="str">
        <f t="shared" si="0"/>
        <v>$</v>
      </c>
      <c r="F28" s="1577">
        <f>+Breakdown!F21</f>
        <v>0</v>
      </c>
      <c r="G28" s="1524"/>
      <c r="H28" s="1526"/>
      <c r="I28" s="1526"/>
      <c r="J28" s="1554"/>
      <c r="K28" s="1549"/>
      <c r="L28" s="1529"/>
      <c r="M28" s="1552"/>
    </row>
    <row r="29" spans="1:13" ht="27.75" customHeight="1" thickBot="1">
      <c r="A29" s="1571" t="s">
        <v>1143</v>
      </c>
      <c r="B29" s="1524"/>
      <c r="C29" s="1524"/>
      <c r="D29" s="1524"/>
      <c r="E29" s="1576" t="str">
        <f t="shared" si="0"/>
        <v>$</v>
      </c>
      <c r="F29" s="1577">
        <f>+Breakdown!F22</f>
        <v>0</v>
      </c>
      <c r="G29" s="1524"/>
      <c r="H29" s="1526"/>
      <c r="I29" s="1526"/>
      <c r="J29" s="1557" t="s">
        <v>1124</v>
      </c>
      <c r="K29" s="1580" t="e">
        <f>IF(OR(L29="",L29=0),"$","")</f>
        <v>#REF!</v>
      </c>
      <c r="L29" s="1581" t="e">
        <f>IF(OR($L$27=0,$L$27=""),0,VLOOKUP($L$27,$A$11:$G$17,1))</f>
        <v>#REF!</v>
      </c>
      <c r="M29" s="1552"/>
    </row>
    <row r="30" spans="1:13" ht="27.75" customHeight="1" thickTop="1">
      <c r="A30" s="1571" t="s">
        <v>1144</v>
      </c>
      <c r="B30" s="1524"/>
      <c r="C30" s="1524"/>
      <c r="D30" s="1524"/>
      <c r="E30" s="1576" t="str">
        <f t="shared" si="0"/>
        <v>$</v>
      </c>
      <c r="F30" s="1577">
        <f>+Breakdown!F23</f>
        <v>0</v>
      </c>
      <c r="G30" s="1524"/>
      <c r="H30" s="1526"/>
      <c r="I30" s="1526"/>
      <c r="J30" s="1554"/>
      <c r="K30" s="1549"/>
      <c r="L30" s="1549"/>
      <c r="M30" s="1552"/>
    </row>
    <row r="31" spans="1:13" ht="27.75" customHeight="1">
      <c r="A31" s="1571" t="s">
        <v>1229</v>
      </c>
      <c r="B31" s="1524"/>
      <c r="C31" s="1524"/>
      <c r="D31" s="1524"/>
      <c r="E31" s="1576" t="str">
        <f t="shared" si="0"/>
        <v>$</v>
      </c>
      <c r="F31" s="1577">
        <f>+Breakdown!F24</f>
        <v>0</v>
      </c>
      <c r="G31" s="1524"/>
      <c r="H31" s="1526"/>
      <c r="I31" s="1526"/>
      <c r="J31" s="1554" t="s">
        <v>1127</v>
      </c>
      <c r="K31" s="1576" t="e">
        <f>IF(OR(L31="",L31=0),"$","")</f>
        <v>#REF!</v>
      </c>
      <c r="L31" s="1582" t="e">
        <f>L27-L29</f>
        <v>#REF!</v>
      </c>
      <c r="M31" s="1552"/>
    </row>
    <row r="32" spans="1:13" ht="27.75" customHeight="1">
      <c r="A32" s="1571" t="s">
        <v>1230</v>
      </c>
      <c r="B32" s="1524"/>
      <c r="C32" s="1524"/>
      <c r="D32" s="1524"/>
      <c r="E32" s="1576" t="str">
        <f t="shared" si="0"/>
        <v>$</v>
      </c>
      <c r="F32" s="1577">
        <f>+Breakdown!F25</f>
        <v>0</v>
      </c>
      <c r="G32" s="1524"/>
      <c r="H32" s="1526"/>
      <c r="I32" s="1526"/>
      <c r="J32" s="1554"/>
      <c r="K32" s="1549"/>
      <c r="L32" s="1549"/>
      <c r="M32" s="1552"/>
    </row>
    <row r="33" spans="1:13" ht="27.75" customHeight="1" thickBot="1">
      <c r="A33" s="1571" t="s">
        <v>1259</v>
      </c>
      <c r="B33" s="1524"/>
      <c r="C33" s="1583"/>
      <c r="D33" s="1524"/>
      <c r="E33" s="1576" t="e">
        <f t="shared" si="0"/>
        <v>#REF!</v>
      </c>
      <c r="F33" s="1577" t="e">
        <f>+Breakdown!F26</f>
        <v>#REF!</v>
      </c>
      <c r="G33" s="1524"/>
      <c r="H33" s="1526"/>
      <c r="I33" s="1526"/>
      <c r="J33" s="1557" t="s">
        <v>1131</v>
      </c>
      <c r="K33" s="1558"/>
      <c r="L33" s="1584" t="e">
        <f>IF(OR($L$27=0,$L$27=""),0,VLOOKUP($L$27,$A$11:$G$17,5))</f>
        <v>#REF!</v>
      </c>
      <c r="M33" s="1585" t="e">
        <f>IF(OR(L33="",L33=0),"%","")</f>
        <v>#REF!</v>
      </c>
    </row>
    <row r="34" spans="1:13" ht="27.75" customHeight="1" thickTop="1">
      <c r="A34" s="1571" t="s">
        <v>996</v>
      </c>
      <c r="B34" s="1524"/>
      <c r="C34" s="1583"/>
      <c r="D34" s="1524"/>
      <c r="E34" s="1576"/>
      <c r="F34" s="1577">
        <f>+Breakdown!F27</f>
        <v>0</v>
      </c>
      <c r="G34" s="1524"/>
      <c r="H34" s="1526"/>
      <c r="I34" s="1526"/>
      <c r="J34" s="1554"/>
      <c r="K34" s="1549"/>
      <c r="L34" s="1549"/>
      <c r="M34" s="1552"/>
    </row>
    <row r="35" spans="1:13" ht="27.75" customHeight="1">
      <c r="A35" s="1571" t="s">
        <v>1145</v>
      </c>
      <c r="B35" s="1524"/>
      <c r="C35" s="1586">
        <v>0</v>
      </c>
      <c r="D35" s="1524"/>
      <c r="E35" s="1576" t="str">
        <f t="shared" si="0"/>
        <v>$</v>
      </c>
      <c r="F35" s="1577">
        <f>Breakdown!F28</f>
        <v>0</v>
      </c>
      <c r="G35" s="1524"/>
      <c r="H35" s="1526"/>
      <c r="I35" s="1526"/>
      <c r="J35" s="1554" t="s">
        <v>1132</v>
      </c>
      <c r="K35" s="1576" t="e">
        <f>IF(OR(L35="",L35=0),"$","")</f>
        <v>#REF!</v>
      </c>
      <c r="L35" s="1582" t="e">
        <f>ROUND(+L31*L33,0)</f>
        <v>#REF!</v>
      </c>
      <c r="M35" s="1552"/>
    </row>
    <row r="36" spans="1:13" ht="27.75" customHeight="1">
      <c r="A36" s="1571"/>
      <c r="B36" s="1524"/>
      <c r="C36" s="1524"/>
      <c r="D36" s="1524"/>
      <c r="E36" s="1524"/>
      <c r="F36" s="1585"/>
      <c r="G36" s="1524"/>
      <c r="H36" s="1526"/>
      <c r="I36" s="1526"/>
      <c r="J36" s="1554"/>
      <c r="K36" s="1549"/>
      <c r="L36" s="1549"/>
      <c r="M36" s="1552"/>
    </row>
    <row r="37" spans="1:13" ht="27.75" customHeight="1" thickBot="1">
      <c r="A37" s="1587" t="s">
        <v>1146</v>
      </c>
      <c r="B37" s="1588"/>
      <c r="C37" s="1588"/>
      <c r="D37" s="1588"/>
      <c r="E37" s="1580" t="str">
        <f>IF(OR(F37="",F37=0),"$","")</f>
        <v>$</v>
      </c>
      <c r="F37" s="1589">
        <f>+Breakdown!F32</f>
        <v>0</v>
      </c>
      <c r="G37" s="1524"/>
      <c r="H37" s="1526"/>
      <c r="I37" s="1526"/>
      <c r="J37" s="1557" t="s">
        <v>1147</v>
      </c>
      <c r="K37" s="1580" t="e">
        <f>IF(OR(L37="",L37=0),"$","")</f>
        <v>#REF!</v>
      </c>
      <c r="L37" s="1581" t="e">
        <f>IF(OR($L$27=0,$L$27=""),0,VLOOKUP($L$27,$A$11:$G$17,7))</f>
        <v>#REF!</v>
      </c>
      <c r="M37" s="1552"/>
    </row>
    <row r="38" spans="1:13" ht="27.75" customHeight="1" thickTop="1">
      <c r="A38" s="1571"/>
      <c r="B38" s="1524"/>
      <c r="C38" s="1524"/>
      <c r="D38" s="1524"/>
      <c r="E38" s="1524"/>
      <c r="F38" s="1552"/>
      <c r="G38" s="1524"/>
      <c r="H38" s="1526"/>
      <c r="I38" s="1526"/>
      <c r="J38" s="1554"/>
      <c r="K38" s="1549"/>
      <c r="L38" s="1529"/>
      <c r="M38" s="1552"/>
    </row>
    <row r="39" spans="1:13" ht="27.75" customHeight="1" thickBot="1">
      <c r="A39" s="1590" t="s">
        <v>1148</v>
      </c>
      <c r="B39" s="1591"/>
      <c r="C39" s="1591"/>
      <c r="D39" s="1592"/>
      <c r="E39" s="1593" t="e">
        <f>IF(OR(F39="",F39=0),"$","")</f>
        <v>#REF!</v>
      </c>
      <c r="F39" s="1594" t="e">
        <f>SUM(F25:F37)</f>
        <v>#REF!</v>
      </c>
      <c r="G39" s="1524"/>
      <c r="H39" s="1526"/>
      <c r="I39" s="1526"/>
      <c r="J39" s="1554" t="s">
        <v>1136</v>
      </c>
      <c r="K39" s="1576" t="e">
        <f>IF(OR(L39="",L39=0),"$","")</f>
        <v>#REF!</v>
      </c>
      <c r="L39" s="1562" t="e">
        <f>L35+L37</f>
        <v>#REF!</v>
      </c>
      <c r="M39" s="1552"/>
    </row>
    <row r="40" spans="1:13" ht="27.75" customHeight="1" thickTop="1">
      <c r="A40" s="1527"/>
      <c r="B40" s="1524"/>
      <c r="C40" s="1524"/>
      <c r="D40" s="1524"/>
      <c r="E40" s="1524"/>
      <c r="F40" s="1524"/>
      <c r="G40" s="1524"/>
      <c r="H40" s="1526"/>
      <c r="I40" s="1526"/>
      <c r="J40" s="1554"/>
      <c r="K40" s="1549"/>
      <c r="L40" s="1549"/>
      <c r="M40" s="1552"/>
    </row>
    <row r="41" spans="1:13" ht="27.75" customHeight="1">
      <c r="A41" s="1527"/>
      <c r="B41" s="1524"/>
      <c r="C41" s="1524"/>
      <c r="D41" s="1524"/>
      <c r="E41" s="1524"/>
      <c r="F41" s="1524"/>
      <c r="G41" s="1524"/>
      <c r="H41" s="1526"/>
      <c r="I41" s="1526"/>
      <c r="J41" s="1554" t="e">
        <f>IF(OR(L39="",L39=0),"","Budgeted Contractor Profit &amp; OH")</f>
        <v>#REF!</v>
      </c>
      <c r="K41" s="1526"/>
      <c r="L41" s="1595">
        <f>+Breakdown!F31</f>
        <v>0</v>
      </c>
      <c r="M41" s="1552"/>
    </row>
    <row r="42" spans="1:13" ht="27.75" customHeight="1" thickBot="1">
      <c r="A42" s="1527"/>
      <c r="B42" s="1524"/>
      <c r="C42" s="1524"/>
      <c r="D42" s="1524"/>
      <c r="E42" s="1524"/>
      <c r="F42" s="1524"/>
      <c r="G42" s="1524"/>
      <c r="H42" s="1526"/>
      <c r="I42" s="1526"/>
      <c r="J42" s="1596"/>
      <c r="K42" s="1592"/>
      <c r="L42" s="1593">
        <f>IF(OR(L41=0,L41=""),"",IF(L41&lt;=L39,"Within Limit","Exceeds Limit"))</f>
      </c>
      <c r="M42" s="1575"/>
    </row>
    <row r="43" spans="1:13" ht="21" thickTop="1">
      <c r="A43" s="1527"/>
      <c r="B43" s="1524"/>
      <c r="C43" s="1524"/>
      <c r="D43" s="1524"/>
      <c r="E43" s="1524"/>
      <c r="F43" s="1524"/>
      <c r="G43" s="1524"/>
      <c r="H43" s="1526"/>
      <c r="I43" s="1526"/>
      <c r="J43" s="1526"/>
      <c r="K43" s="1526"/>
      <c r="L43" s="1526"/>
      <c r="M43" s="1526"/>
    </row>
    <row r="44" spans="1:13" ht="21" thickBot="1">
      <c r="A44" s="1597"/>
      <c r="B44" s="1598"/>
      <c r="C44" s="1598"/>
      <c r="D44" s="1598"/>
      <c r="E44" s="1592"/>
      <c r="F44" s="1599"/>
      <c r="G44" s="1524"/>
      <c r="H44" s="1526"/>
      <c r="I44" s="1526"/>
      <c r="J44" s="1526"/>
      <c r="K44" s="1526"/>
      <c r="L44" s="1526"/>
      <c r="M44" s="1526"/>
    </row>
    <row r="45" spans="1:254" ht="21.75" thickBot="1" thickTop="1">
      <c r="A45" s="1600"/>
      <c r="B45" s="1601"/>
      <c r="C45" s="1601"/>
      <c r="D45" s="1601"/>
      <c r="E45" s="1601"/>
      <c r="F45" s="1601"/>
      <c r="G45" s="1601"/>
      <c r="H45" s="1602"/>
      <c r="I45" s="1602"/>
      <c r="J45" s="1602"/>
      <c r="K45" s="1602"/>
      <c r="L45" s="1602"/>
      <c r="M45" s="1602"/>
      <c r="AF45" s="1603"/>
      <c r="AG45" s="1603"/>
      <c r="AH45" s="1603"/>
      <c r="AI45" s="1603"/>
      <c r="AJ45" s="1603"/>
      <c r="AK45" s="1603"/>
      <c r="AL45" s="1603"/>
      <c r="AM45" s="1603"/>
      <c r="AN45" s="1603"/>
      <c r="AO45" s="1603"/>
      <c r="AP45" s="1603"/>
      <c r="AQ45" s="1603"/>
      <c r="AR45" s="1603"/>
      <c r="AS45" s="1603"/>
      <c r="AT45" s="1603"/>
      <c r="AU45" s="1603"/>
      <c r="AV45" s="1603"/>
      <c r="AW45" s="1603"/>
      <c r="AX45" s="1603"/>
      <c r="AY45" s="1603"/>
      <c r="AZ45" s="1603"/>
      <c r="BA45" s="1603"/>
      <c r="BB45" s="1603"/>
      <c r="BC45" s="1603"/>
      <c r="BD45" s="1603"/>
      <c r="BE45" s="1603"/>
      <c r="BF45" s="1603"/>
      <c r="BG45" s="1603"/>
      <c r="BH45" s="1603"/>
      <c r="BI45" s="1603"/>
      <c r="BJ45" s="1603"/>
      <c r="BK45" s="1603"/>
      <c r="BL45" s="1603"/>
      <c r="BM45" s="1603"/>
      <c r="BN45" s="1603"/>
      <c r="BO45" s="1603"/>
      <c r="BP45" s="1603"/>
      <c r="BQ45" s="1603"/>
      <c r="BR45" s="1603"/>
      <c r="BS45" s="1603"/>
      <c r="BT45" s="1603"/>
      <c r="BU45" s="1603"/>
      <c r="BV45" s="1603"/>
      <c r="BW45" s="1603"/>
      <c r="BX45" s="1603"/>
      <c r="BY45" s="1603"/>
      <c r="BZ45" s="1603"/>
      <c r="CA45" s="1603"/>
      <c r="CB45" s="1603"/>
      <c r="CC45" s="1603"/>
      <c r="CD45" s="1603"/>
      <c r="CE45" s="1603"/>
      <c r="CF45" s="1603"/>
      <c r="CG45" s="1603"/>
      <c r="CH45" s="1603"/>
      <c r="CI45" s="1603"/>
      <c r="CJ45" s="1603"/>
      <c r="CK45" s="1603"/>
      <c r="CL45" s="1603"/>
      <c r="CM45" s="1603"/>
      <c r="CN45" s="1603"/>
      <c r="CO45" s="1603"/>
      <c r="CP45" s="1603"/>
      <c r="CQ45" s="1603"/>
      <c r="CR45" s="1603"/>
      <c r="CS45" s="1603"/>
      <c r="CT45" s="1603"/>
      <c r="CU45" s="1603"/>
      <c r="CV45" s="1603"/>
      <c r="CW45" s="1603"/>
      <c r="CX45" s="1603"/>
      <c r="CY45" s="1603"/>
      <c r="CZ45" s="1603"/>
      <c r="DA45" s="1603"/>
      <c r="DB45" s="1603"/>
      <c r="DC45" s="1603"/>
      <c r="DD45" s="1603"/>
      <c r="DE45" s="1603"/>
      <c r="DF45" s="1603"/>
      <c r="DG45" s="1603"/>
      <c r="DH45" s="1603"/>
      <c r="DI45" s="1603"/>
      <c r="DJ45" s="1603"/>
      <c r="DK45" s="1603"/>
      <c r="DL45" s="1603"/>
      <c r="DM45" s="1603"/>
      <c r="DN45" s="1603"/>
      <c r="DO45" s="1603"/>
      <c r="DP45" s="1603"/>
      <c r="DQ45" s="1603"/>
      <c r="DR45" s="1603"/>
      <c r="DS45" s="1603"/>
      <c r="DT45" s="1603"/>
      <c r="DU45" s="1603"/>
      <c r="DV45" s="1603"/>
      <c r="DW45" s="1603"/>
      <c r="DX45" s="1603"/>
      <c r="DY45" s="1603"/>
      <c r="DZ45" s="1603"/>
      <c r="EA45" s="1603"/>
      <c r="EB45" s="1603"/>
      <c r="EC45" s="1603"/>
      <c r="ED45" s="1603"/>
      <c r="EE45" s="1603"/>
      <c r="EF45" s="1603"/>
      <c r="EG45" s="1603"/>
      <c r="EH45" s="1603"/>
      <c r="EI45" s="1603"/>
      <c r="EJ45" s="1603"/>
      <c r="EK45" s="1603"/>
      <c r="EL45" s="1603"/>
      <c r="EM45" s="1603"/>
      <c r="EN45" s="1603"/>
      <c r="EO45" s="1603"/>
      <c r="EP45" s="1603"/>
      <c r="EQ45" s="1603"/>
      <c r="ER45" s="1603"/>
      <c r="ES45" s="1603"/>
      <c r="ET45" s="1603"/>
      <c r="EU45" s="1603"/>
      <c r="EV45" s="1603"/>
      <c r="EW45" s="1603"/>
      <c r="EX45" s="1603"/>
      <c r="EY45" s="1603"/>
      <c r="EZ45" s="1603"/>
      <c r="FA45" s="1603"/>
      <c r="FB45" s="1603"/>
      <c r="FC45" s="1603"/>
      <c r="FD45" s="1603"/>
      <c r="FE45" s="1603"/>
      <c r="FF45" s="1603"/>
      <c r="FG45" s="1603"/>
      <c r="FH45" s="1603"/>
      <c r="FI45" s="1603"/>
      <c r="FJ45" s="1603"/>
      <c r="FK45" s="1603"/>
      <c r="FL45" s="1603"/>
      <c r="FM45" s="1603"/>
      <c r="FN45" s="1603"/>
      <c r="FO45" s="1603"/>
      <c r="FP45" s="1603"/>
      <c r="FQ45" s="1603"/>
      <c r="FR45" s="1603"/>
      <c r="FS45" s="1603"/>
      <c r="FT45" s="1603"/>
      <c r="FU45" s="1603"/>
      <c r="FV45" s="1603"/>
      <c r="FW45" s="1603"/>
      <c r="FX45" s="1603"/>
      <c r="FY45" s="1603"/>
      <c r="FZ45" s="1603"/>
      <c r="GA45" s="1603"/>
      <c r="GB45" s="1603"/>
      <c r="GC45" s="1603"/>
      <c r="GD45" s="1603"/>
      <c r="GE45" s="1603"/>
      <c r="GF45" s="1603"/>
      <c r="GG45" s="1603"/>
      <c r="GH45" s="1603"/>
      <c r="GI45" s="1603"/>
      <c r="GJ45" s="1603"/>
      <c r="GK45" s="1603"/>
      <c r="GL45" s="1603"/>
      <c r="GM45" s="1603"/>
      <c r="GN45" s="1603"/>
      <c r="GO45" s="1603"/>
      <c r="GP45" s="1603"/>
      <c r="GQ45" s="1603"/>
      <c r="GR45" s="1603"/>
      <c r="GS45" s="1603"/>
      <c r="GT45" s="1603"/>
      <c r="GU45" s="1603"/>
      <c r="GV45" s="1603"/>
      <c r="GW45" s="1603"/>
      <c r="GX45" s="1603"/>
      <c r="GY45" s="1603"/>
      <c r="GZ45" s="1603"/>
      <c r="HA45" s="1603"/>
      <c r="HB45" s="1603"/>
      <c r="HC45" s="1603"/>
      <c r="HD45" s="1603"/>
      <c r="HE45" s="1603"/>
      <c r="HF45" s="1603"/>
      <c r="HG45" s="1603"/>
      <c r="HH45" s="1603"/>
      <c r="HI45" s="1603"/>
      <c r="HJ45" s="1603"/>
      <c r="HK45" s="1603"/>
      <c r="HL45" s="1603"/>
      <c r="HM45" s="1603"/>
      <c r="HN45" s="1603"/>
      <c r="HO45" s="1603"/>
      <c r="HP45" s="1603"/>
      <c r="HQ45" s="1603"/>
      <c r="HR45" s="1603"/>
      <c r="HS45" s="1603"/>
      <c r="HT45" s="1603"/>
      <c r="HU45" s="1603"/>
      <c r="HV45" s="1603"/>
      <c r="HW45" s="1603"/>
      <c r="HX45" s="1603"/>
      <c r="HY45" s="1603"/>
      <c r="HZ45" s="1603"/>
      <c r="IA45" s="1603"/>
      <c r="IB45" s="1603"/>
      <c r="IC45" s="1603"/>
      <c r="ID45" s="1603"/>
      <c r="IE45" s="1603"/>
      <c r="IF45" s="1603"/>
      <c r="IG45" s="1603"/>
      <c r="IH45" s="1603"/>
      <c r="II45" s="1603"/>
      <c r="IJ45" s="1603"/>
      <c r="IK45" s="1603"/>
      <c r="IL45" s="1603"/>
      <c r="IM45" s="1603"/>
      <c r="IN45" s="1603"/>
      <c r="IO45" s="1603"/>
      <c r="IP45" s="1603"/>
      <c r="IQ45" s="1603"/>
      <c r="IR45" s="1603"/>
      <c r="IS45" s="1603"/>
      <c r="IT45" s="1603"/>
    </row>
    <row r="46" spans="1:13" ht="21" thickTop="1">
      <c r="A46" s="1527"/>
      <c r="B46" s="1524"/>
      <c r="C46" s="1524"/>
      <c r="D46" s="1524"/>
      <c r="E46" s="1524"/>
      <c r="F46" s="1524"/>
      <c r="G46" s="1524"/>
      <c r="H46" s="1526"/>
      <c r="I46" s="1526"/>
      <c r="J46" s="1526"/>
      <c r="K46" s="1526"/>
      <c r="L46" s="1526"/>
      <c r="M46" s="1526"/>
    </row>
    <row r="47" spans="1:13" ht="24">
      <c r="A47" s="1533" t="s">
        <v>1149</v>
      </c>
      <c r="B47" s="1524"/>
      <c r="C47" s="1524"/>
      <c r="D47" s="1524"/>
      <c r="E47" s="1524"/>
      <c r="F47" s="1524"/>
      <c r="G47" s="1525"/>
      <c r="H47" s="1526"/>
      <c r="I47" s="1526"/>
      <c r="J47" s="1526"/>
      <c r="K47" s="1526"/>
      <c r="L47" s="1526"/>
      <c r="M47" s="1526"/>
    </row>
    <row r="48" spans="1:13" ht="21" thickBot="1">
      <c r="A48" s="1527"/>
      <c r="B48" s="1524"/>
      <c r="C48" s="1535"/>
      <c r="D48" s="1535"/>
      <c r="E48" s="1524"/>
      <c r="F48" s="1524"/>
      <c r="G48" s="1535"/>
      <c r="H48" s="1526"/>
      <c r="I48" s="1526"/>
      <c r="J48" s="1526"/>
      <c r="K48" s="1526"/>
      <c r="L48" s="1526"/>
      <c r="M48" s="1526"/>
    </row>
    <row r="49" spans="1:13" ht="27.75" customHeight="1" thickBot="1" thickTop="1">
      <c r="A49" s="1536" t="s">
        <v>1150</v>
      </c>
      <c r="B49" s="1537"/>
      <c r="C49" s="1538"/>
      <c r="D49" s="1537"/>
      <c r="E49" s="1539"/>
      <c r="F49" s="1604"/>
      <c r="G49" s="1605">
        <v>0.2</v>
      </c>
      <c r="H49" s="1526"/>
      <c r="I49" s="1526"/>
      <c r="J49" s="423" t="s">
        <v>720</v>
      </c>
      <c r="K49" s="1526"/>
      <c r="L49" s="1606"/>
      <c r="M49" s="1526"/>
    </row>
    <row r="50" spans="1:13" ht="27.75" customHeight="1" thickTop="1">
      <c r="A50" s="1607" t="s">
        <v>1693</v>
      </c>
      <c r="B50" s="1546"/>
      <c r="C50" s="1608"/>
      <c r="D50" s="1546"/>
      <c r="E50" s="1548"/>
      <c r="F50" s="1549"/>
      <c r="G50" s="1609">
        <v>0.2</v>
      </c>
      <c r="H50" s="1526"/>
      <c r="I50" s="1526"/>
      <c r="J50" s="1606" t="s">
        <v>384</v>
      </c>
      <c r="K50" s="1526"/>
      <c r="L50" s="1610"/>
      <c r="M50" s="1526"/>
    </row>
    <row r="51" spans="1:13" ht="27.75" customHeight="1">
      <c r="A51" s="1607" t="s">
        <v>1153</v>
      </c>
      <c r="B51" s="1546"/>
      <c r="C51" s="1608"/>
      <c r="D51" s="1546"/>
      <c r="E51" s="1548"/>
      <c r="F51" s="1549"/>
      <c r="G51" s="1609">
        <f>(C50-C49)*E50+G50</f>
        <v>0.2</v>
      </c>
      <c r="H51" s="1526"/>
      <c r="I51" s="1526"/>
      <c r="J51" s="1526"/>
      <c r="K51" s="1526"/>
      <c r="L51" s="1526"/>
      <c r="M51" s="1526"/>
    </row>
    <row r="52" spans="1:13" ht="27.75" customHeight="1">
      <c r="A52" s="1607" t="s">
        <v>1154</v>
      </c>
      <c r="B52" s="1546"/>
      <c r="C52" s="1608"/>
      <c r="D52" s="1546"/>
      <c r="E52" s="1548"/>
      <c r="F52" s="1549"/>
      <c r="G52" s="1609">
        <v>0.15</v>
      </c>
      <c r="H52" s="1526"/>
      <c r="I52" s="1526"/>
      <c r="J52" s="1526"/>
      <c r="K52" s="1526"/>
      <c r="L52" s="1526"/>
      <c r="M52" s="1526"/>
    </row>
    <row r="53" spans="1:13" ht="27.75" customHeight="1" thickBot="1">
      <c r="A53" s="1611" t="s">
        <v>722</v>
      </c>
      <c r="B53" s="1561"/>
      <c r="C53" s="1562"/>
      <c r="D53" s="1561"/>
      <c r="E53" s="1563"/>
      <c r="F53" s="1564"/>
      <c r="G53" s="1612">
        <v>0.08</v>
      </c>
      <c r="H53" s="1526"/>
      <c r="I53" s="1526"/>
      <c r="J53" s="1526"/>
      <c r="K53" s="1526"/>
      <c r="L53" s="1526"/>
      <c r="M53" s="1526"/>
    </row>
    <row r="54" spans="1:13" ht="27.75" customHeight="1" thickBot="1" thickTop="1">
      <c r="A54" s="1613"/>
      <c r="B54" s="1546"/>
      <c r="C54" s="1608"/>
      <c r="D54" s="1546"/>
      <c r="E54" s="1548"/>
      <c r="F54" s="1549"/>
      <c r="G54" s="1614"/>
      <c r="H54" s="1526"/>
      <c r="I54" s="1526"/>
      <c r="J54" s="1615" t="e">
        <f>IF(OR(Breakdown!F63=0,Breakdown!F63=""),"",Breakdown!L65/(Breakdown!F63-Breakdown!F13-Breakdown!F14-Breakdown!F15))</f>
        <v>#REF!</v>
      </c>
      <c r="K54" s="1529" t="e">
        <f>IF(OR(J54=0,J54=""),"%","")</f>
        <v>#REF!</v>
      </c>
      <c r="L54" s="1548"/>
      <c r="M54" s="1526"/>
    </row>
    <row r="55" spans="1:250" ht="21" thickTop="1">
      <c r="A55" s="1528"/>
      <c r="B55" s="1529"/>
      <c r="C55" s="1529"/>
      <c r="D55" s="1529"/>
      <c r="E55" s="1529"/>
      <c r="F55" s="1529"/>
      <c r="G55" s="1529"/>
      <c r="H55" s="1526"/>
      <c r="I55" s="1526"/>
      <c r="J55" s="1529"/>
      <c r="K55" s="1529"/>
      <c r="L55" s="1526"/>
      <c r="M55" s="1526"/>
      <c r="AF55" s="1530"/>
      <c r="AG55" s="1530"/>
      <c r="AH55" s="1530"/>
      <c r="AI55" s="1530"/>
      <c r="AJ55" s="1530"/>
      <c r="AK55" s="1530"/>
      <c r="AL55" s="1530"/>
      <c r="AM55" s="1530"/>
      <c r="AN55" s="1530"/>
      <c r="AO55" s="1530"/>
      <c r="AP55" s="1530"/>
      <c r="AQ55" s="1530"/>
      <c r="AR55" s="1530"/>
      <c r="AS55" s="1530"/>
      <c r="AT55" s="1530"/>
      <c r="AU55" s="1530"/>
      <c r="AV55" s="1530"/>
      <c r="AW55" s="1530"/>
      <c r="AX55" s="1530"/>
      <c r="AY55" s="1530"/>
      <c r="AZ55" s="1530"/>
      <c r="BA55" s="1530"/>
      <c r="BB55" s="1530"/>
      <c r="BC55" s="1530"/>
      <c r="BD55" s="1530"/>
      <c r="BE55" s="1530"/>
      <c r="BF55" s="1530"/>
      <c r="BG55" s="1530"/>
      <c r="BH55" s="1530"/>
      <c r="BI55" s="1530"/>
      <c r="BJ55" s="1530"/>
      <c r="BK55" s="1530"/>
      <c r="BL55" s="1530"/>
      <c r="BM55" s="1530"/>
      <c r="BN55" s="1530"/>
      <c r="BO55" s="1530"/>
      <c r="BP55" s="1530"/>
      <c r="BQ55" s="1530"/>
      <c r="BR55" s="1530"/>
      <c r="BS55" s="1530"/>
      <c r="BT55" s="1530"/>
      <c r="BU55" s="1530"/>
      <c r="BV55" s="1530"/>
      <c r="BW55" s="1530"/>
      <c r="BX55" s="1530"/>
      <c r="BY55" s="1530"/>
      <c r="BZ55" s="1530"/>
      <c r="CA55" s="1530"/>
      <c r="CB55" s="1530"/>
      <c r="CC55" s="1530"/>
      <c r="CD55" s="1530"/>
      <c r="CE55" s="1530"/>
      <c r="CF55" s="1530"/>
      <c r="CG55" s="1530"/>
      <c r="CH55" s="1530"/>
      <c r="CI55" s="1530"/>
      <c r="CJ55" s="1530"/>
      <c r="CK55" s="1530"/>
      <c r="CL55" s="1530"/>
      <c r="CM55" s="1530"/>
      <c r="CN55" s="1530"/>
      <c r="CO55" s="1530"/>
      <c r="CP55" s="1530"/>
      <c r="CQ55" s="1530"/>
      <c r="CR55" s="1530"/>
      <c r="CS55" s="1530"/>
      <c r="CT55" s="1530"/>
      <c r="CU55" s="1530"/>
      <c r="CV55" s="1530"/>
      <c r="CW55" s="1530"/>
      <c r="CX55" s="1530"/>
      <c r="CY55" s="1530"/>
      <c r="CZ55" s="1530"/>
      <c r="DA55" s="1530"/>
      <c r="DB55" s="1530"/>
      <c r="DC55" s="1530"/>
      <c r="DD55" s="1530"/>
      <c r="DE55" s="1530"/>
      <c r="DF55" s="1530"/>
      <c r="DG55" s="1530"/>
      <c r="DH55" s="1530"/>
      <c r="DI55" s="1530"/>
      <c r="DJ55" s="1530"/>
      <c r="DK55" s="1530"/>
      <c r="DL55" s="1530"/>
      <c r="DM55" s="1530"/>
      <c r="DN55" s="1530"/>
      <c r="DO55" s="1530"/>
      <c r="DP55" s="1530"/>
      <c r="DQ55" s="1530"/>
      <c r="DR55" s="1530"/>
      <c r="DS55" s="1530"/>
      <c r="DT55" s="1530"/>
      <c r="DU55" s="1530"/>
      <c r="DV55" s="1530"/>
      <c r="DW55" s="1530"/>
      <c r="DX55" s="1530"/>
      <c r="DY55" s="1530"/>
      <c r="DZ55" s="1530"/>
      <c r="EA55" s="1530"/>
      <c r="EB55" s="1530"/>
      <c r="EC55" s="1530"/>
      <c r="ED55" s="1530"/>
      <c r="EE55" s="1530"/>
      <c r="EF55" s="1530"/>
      <c r="EG55" s="1530"/>
      <c r="EH55" s="1530"/>
      <c r="EI55" s="1530"/>
      <c r="EJ55" s="1530"/>
      <c r="EK55" s="1530"/>
      <c r="EL55" s="1530"/>
      <c r="EM55" s="1530"/>
      <c r="EN55" s="1530"/>
      <c r="EO55" s="1530"/>
      <c r="EP55" s="1530"/>
      <c r="EQ55" s="1530"/>
      <c r="ER55" s="1530"/>
      <c r="ES55" s="1530"/>
      <c r="ET55" s="1530"/>
      <c r="EU55" s="1530"/>
      <c r="EV55" s="1530"/>
      <c r="EW55" s="1530"/>
      <c r="EX55" s="1530"/>
      <c r="EY55" s="1530"/>
      <c r="EZ55" s="1530"/>
      <c r="FA55" s="1530"/>
      <c r="FB55" s="1530"/>
      <c r="FC55" s="1530"/>
      <c r="FD55" s="1530"/>
      <c r="FE55" s="1530"/>
      <c r="FF55" s="1530"/>
      <c r="FG55" s="1530"/>
      <c r="FH55" s="1530"/>
      <c r="FI55" s="1530"/>
      <c r="FJ55" s="1530"/>
      <c r="FK55" s="1530"/>
      <c r="FL55" s="1530"/>
      <c r="FM55" s="1530"/>
      <c r="FN55" s="1530"/>
      <c r="FO55" s="1530"/>
      <c r="FP55" s="1530"/>
      <c r="FQ55" s="1530"/>
      <c r="FR55" s="1530"/>
      <c r="FS55" s="1530"/>
      <c r="FT55" s="1530"/>
      <c r="FU55" s="1530"/>
      <c r="FV55" s="1530"/>
      <c r="FW55" s="1530"/>
      <c r="FX55" s="1530"/>
      <c r="FY55" s="1530"/>
      <c r="FZ55" s="1530"/>
      <c r="GA55" s="1530"/>
      <c r="GB55" s="1530"/>
      <c r="GC55" s="1530"/>
      <c r="GD55" s="1530"/>
      <c r="GE55" s="1530"/>
      <c r="GF55" s="1530"/>
      <c r="GG55" s="1530"/>
      <c r="GH55" s="1530"/>
      <c r="GI55" s="1530"/>
      <c r="GJ55" s="1530"/>
      <c r="GK55" s="1530"/>
      <c r="GL55" s="1530"/>
      <c r="GM55" s="1530"/>
      <c r="GN55" s="1530"/>
      <c r="GO55" s="1530"/>
      <c r="GP55" s="1530"/>
      <c r="GQ55" s="1530"/>
      <c r="GR55" s="1530"/>
      <c r="GS55" s="1530"/>
      <c r="GT55" s="1530"/>
      <c r="GU55" s="1530"/>
      <c r="GV55" s="1530"/>
      <c r="GW55" s="1530"/>
      <c r="GX55" s="1530"/>
      <c r="GY55" s="1530"/>
      <c r="GZ55" s="1530"/>
      <c r="HA55" s="1530"/>
      <c r="HB55" s="1530"/>
      <c r="HC55" s="1530"/>
      <c r="HD55" s="1530"/>
      <c r="HE55" s="1530"/>
      <c r="HF55" s="1530"/>
      <c r="HG55" s="1530"/>
      <c r="HH55" s="1530"/>
      <c r="HI55" s="1530"/>
      <c r="HJ55" s="1530"/>
      <c r="HK55" s="1530"/>
      <c r="HL55" s="1530"/>
      <c r="HM55" s="1530"/>
      <c r="HN55" s="1530"/>
      <c r="HO55" s="1530"/>
      <c r="HP55" s="1530"/>
      <c r="HQ55" s="1530"/>
      <c r="HR55" s="1530"/>
      <c r="HS55" s="1530"/>
      <c r="HT55" s="1530"/>
      <c r="HU55" s="1530"/>
      <c r="HV55" s="1530"/>
      <c r="HW55" s="1530"/>
      <c r="HX55" s="1530"/>
      <c r="HY55" s="1530"/>
      <c r="HZ55" s="1530"/>
      <c r="IA55" s="1530"/>
      <c r="IB55" s="1530"/>
      <c r="IC55" s="1530"/>
      <c r="ID55" s="1530"/>
      <c r="IE55" s="1530"/>
      <c r="IF55" s="1530"/>
      <c r="IG55" s="1530"/>
      <c r="IH55" s="1530"/>
      <c r="II55" s="1530"/>
      <c r="IJ55" s="1530"/>
      <c r="IK55" s="1530"/>
      <c r="IL55" s="1530"/>
      <c r="IM55" s="1530"/>
      <c r="IN55" s="1530"/>
      <c r="IO55" s="1530"/>
      <c r="IP55" s="1530"/>
    </row>
    <row r="56" spans="1:13" ht="21">
      <c r="A56" s="1534" t="s">
        <v>1155</v>
      </c>
      <c r="B56" s="1524"/>
      <c r="C56" s="1524"/>
      <c r="D56" s="1524"/>
      <c r="E56" s="1524"/>
      <c r="F56" s="1524"/>
      <c r="G56" s="1524"/>
      <c r="H56" s="1526"/>
      <c r="I56" s="1526"/>
      <c r="J56" s="1526"/>
      <c r="K56" s="1526"/>
      <c r="L56" s="1526"/>
      <c r="M56" s="1526"/>
    </row>
    <row r="57" spans="1:13" ht="21" thickBot="1">
      <c r="A57" s="1534"/>
      <c r="B57" s="1524"/>
      <c r="C57" s="1524"/>
      <c r="D57" s="1524"/>
      <c r="E57" s="1524"/>
      <c r="F57" s="1524"/>
      <c r="G57" s="1524"/>
      <c r="H57" s="1526"/>
      <c r="I57" s="1526"/>
      <c r="J57" s="1526"/>
      <c r="K57" s="1526"/>
      <c r="L57" s="1526"/>
      <c r="M57" s="1526"/>
    </row>
    <row r="58" spans="1:254" ht="21.75" thickBot="1" thickTop="1">
      <c r="A58" s="1600"/>
      <c r="B58" s="1601"/>
      <c r="C58" s="1601"/>
      <c r="D58" s="1601"/>
      <c r="E58" s="1601"/>
      <c r="F58" s="1601"/>
      <c r="G58" s="1601"/>
      <c r="H58" s="1602"/>
      <c r="I58" s="1602"/>
      <c r="J58" s="1602"/>
      <c r="K58" s="1602"/>
      <c r="L58" s="1602"/>
      <c r="M58" s="1526"/>
      <c r="AF58" s="1603"/>
      <c r="AG58" s="1603"/>
      <c r="AH58" s="1603"/>
      <c r="AI58" s="1603"/>
      <c r="AJ58" s="1603"/>
      <c r="AK58" s="1603"/>
      <c r="AL58" s="1603"/>
      <c r="AM58" s="1603"/>
      <c r="AN58" s="1603"/>
      <c r="AO58" s="1603"/>
      <c r="AP58" s="1603"/>
      <c r="AQ58" s="1603"/>
      <c r="AR58" s="1603"/>
      <c r="AS58" s="1603"/>
      <c r="AT58" s="1603"/>
      <c r="AU58" s="1603"/>
      <c r="AV58" s="1603"/>
      <c r="AW58" s="1603"/>
      <c r="AX58" s="1603"/>
      <c r="AY58" s="1603"/>
      <c r="AZ58" s="1603"/>
      <c r="BA58" s="1603"/>
      <c r="BB58" s="1603"/>
      <c r="BC58" s="1603"/>
      <c r="BD58" s="1603"/>
      <c r="BE58" s="1603"/>
      <c r="BF58" s="1603"/>
      <c r="BG58" s="1603"/>
      <c r="BH58" s="1603"/>
      <c r="BI58" s="1603"/>
      <c r="BJ58" s="1603"/>
      <c r="BK58" s="1603"/>
      <c r="BL58" s="1603"/>
      <c r="BM58" s="1603"/>
      <c r="BN58" s="1603"/>
      <c r="BO58" s="1603"/>
      <c r="BP58" s="1603"/>
      <c r="BQ58" s="1603"/>
      <c r="BR58" s="1603"/>
      <c r="BS58" s="1603"/>
      <c r="BT58" s="1603"/>
      <c r="BU58" s="1603"/>
      <c r="BV58" s="1603"/>
      <c r="BW58" s="1603"/>
      <c r="BX58" s="1603"/>
      <c r="BY58" s="1603"/>
      <c r="BZ58" s="1603"/>
      <c r="CA58" s="1603"/>
      <c r="CB58" s="1603"/>
      <c r="CC58" s="1603"/>
      <c r="CD58" s="1603"/>
      <c r="CE58" s="1603"/>
      <c r="CF58" s="1603"/>
      <c r="CG58" s="1603"/>
      <c r="CH58" s="1603"/>
      <c r="CI58" s="1603"/>
      <c r="CJ58" s="1603"/>
      <c r="CK58" s="1603"/>
      <c r="CL58" s="1603"/>
      <c r="CM58" s="1603"/>
      <c r="CN58" s="1603"/>
      <c r="CO58" s="1603"/>
      <c r="CP58" s="1603"/>
      <c r="CQ58" s="1603"/>
      <c r="CR58" s="1603"/>
      <c r="CS58" s="1603"/>
      <c r="CT58" s="1603"/>
      <c r="CU58" s="1603"/>
      <c r="CV58" s="1603"/>
      <c r="CW58" s="1603"/>
      <c r="CX58" s="1603"/>
      <c r="CY58" s="1603"/>
      <c r="CZ58" s="1603"/>
      <c r="DA58" s="1603"/>
      <c r="DB58" s="1603"/>
      <c r="DC58" s="1603"/>
      <c r="DD58" s="1603"/>
      <c r="DE58" s="1603"/>
      <c r="DF58" s="1603"/>
      <c r="DG58" s="1603"/>
      <c r="DH58" s="1603"/>
      <c r="DI58" s="1603"/>
      <c r="DJ58" s="1603"/>
      <c r="DK58" s="1603"/>
      <c r="DL58" s="1603"/>
      <c r="DM58" s="1603"/>
      <c r="DN58" s="1603"/>
      <c r="DO58" s="1603"/>
      <c r="DP58" s="1603"/>
      <c r="DQ58" s="1603"/>
      <c r="DR58" s="1603"/>
      <c r="DS58" s="1603"/>
      <c r="DT58" s="1603"/>
      <c r="DU58" s="1603"/>
      <c r="DV58" s="1603"/>
      <c r="DW58" s="1603"/>
      <c r="DX58" s="1603"/>
      <c r="DY58" s="1603"/>
      <c r="DZ58" s="1603"/>
      <c r="EA58" s="1603"/>
      <c r="EB58" s="1603"/>
      <c r="EC58" s="1603"/>
      <c r="ED58" s="1603"/>
      <c r="EE58" s="1603"/>
      <c r="EF58" s="1603"/>
      <c r="EG58" s="1603"/>
      <c r="EH58" s="1603"/>
      <c r="EI58" s="1603"/>
      <c r="EJ58" s="1603"/>
      <c r="EK58" s="1603"/>
      <c r="EL58" s="1603"/>
      <c r="EM58" s="1603"/>
      <c r="EN58" s="1603"/>
      <c r="EO58" s="1603"/>
      <c r="EP58" s="1603"/>
      <c r="EQ58" s="1603"/>
      <c r="ER58" s="1603"/>
      <c r="ES58" s="1603"/>
      <c r="ET58" s="1603"/>
      <c r="EU58" s="1603"/>
      <c r="EV58" s="1603"/>
      <c r="EW58" s="1603"/>
      <c r="EX58" s="1603"/>
      <c r="EY58" s="1603"/>
      <c r="EZ58" s="1603"/>
      <c r="FA58" s="1603"/>
      <c r="FB58" s="1603"/>
      <c r="FC58" s="1603"/>
      <c r="FD58" s="1603"/>
      <c r="FE58" s="1603"/>
      <c r="FF58" s="1603"/>
      <c r="FG58" s="1603"/>
      <c r="FH58" s="1603"/>
      <c r="FI58" s="1603"/>
      <c r="FJ58" s="1603"/>
      <c r="FK58" s="1603"/>
      <c r="FL58" s="1603"/>
      <c r="FM58" s="1603"/>
      <c r="FN58" s="1603"/>
      <c r="FO58" s="1603"/>
      <c r="FP58" s="1603"/>
      <c r="FQ58" s="1603"/>
      <c r="FR58" s="1603"/>
      <c r="FS58" s="1603"/>
      <c r="FT58" s="1603"/>
      <c r="FU58" s="1603"/>
      <c r="FV58" s="1603"/>
      <c r="FW58" s="1603"/>
      <c r="FX58" s="1603"/>
      <c r="FY58" s="1603"/>
      <c r="FZ58" s="1603"/>
      <c r="GA58" s="1603"/>
      <c r="GB58" s="1603"/>
      <c r="GC58" s="1603"/>
      <c r="GD58" s="1603"/>
      <c r="GE58" s="1603"/>
      <c r="GF58" s="1603"/>
      <c r="GG58" s="1603"/>
      <c r="GH58" s="1603"/>
      <c r="GI58" s="1603"/>
      <c r="GJ58" s="1603"/>
      <c r="GK58" s="1603"/>
      <c r="GL58" s="1603"/>
      <c r="GM58" s="1603"/>
      <c r="GN58" s="1603"/>
      <c r="GO58" s="1603"/>
      <c r="GP58" s="1603"/>
      <c r="GQ58" s="1603"/>
      <c r="GR58" s="1603"/>
      <c r="GS58" s="1603"/>
      <c r="GT58" s="1603"/>
      <c r="GU58" s="1603"/>
      <c r="GV58" s="1603"/>
      <c r="GW58" s="1603"/>
      <c r="GX58" s="1603"/>
      <c r="GY58" s="1603"/>
      <c r="GZ58" s="1603"/>
      <c r="HA58" s="1603"/>
      <c r="HB58" s="1603"/>
      <c r="HC58" s="1603"/>
      <c r="HD58" s="1603"/>
      <c r="HE58" s="1603"/>
      <c r="HF58" s="1603"/>
      <c r="HG58" s="1603"/>
      <c r="HH58" s="1603"/>
      <c r="HI58" s="1603"/>
      <c r="HJ58" s="1603"/>
      <c r="HK58" s="1603"/>
      <c r="HL58" s="1603"/>
      <c r="HM58" s="1603"/>
      <c r="HN58" s="1603"/>
      <c r="HO58" s="1603"/>
      <c r="HP58" s="1603"/>
      <c r="HQ58" s="1603"/>
      <c r="HR58" s="1603"/>
      <c r="HS58" s="1603"/>
      <c r="HT58" s="1603"/>
      <c r="HU58" s="1603"/>
      <c r="HV58" s="1603"/>
      <c r="HW58" s="1603"/>
      <c r="HX58" s="1603"/>
      <c r="HY58" s="1603"/>
      <c r="HZ58" s="1603"/>
      <c r="IA58" s="1603"/>
      <c r="IB58" s="1603"/>
      <c r="IC58" s="1603"/>
      <c r="ID58" s="1603"/>
      <c r="IE58" s="1603"/>
      <c r="IF58" s="1603"/>
      <c r="IG58" s="1603"/>
      <c r="IH58" s="1603"/>
      <c r="II58" s="1603"/>
      <c r="IJ58" s="1603"/>
      <c r="IK58" s="1603"/>
      <c r="IL58" s="1603"/>
      <c r="IM58" s="1603"/>
      <c r="IN58" s="1603"/>
      <c r="IO58" s="1603"/>
      <c r="IP58" s="1603"/>
      <c r="IQ58" s="1603"/>
      <c r="IR58" s="1603"/>
      <c r="IS58" s="1603"/>
      <c r="IT58" s="1603"/>
    </row>
    <row r="59" spans="1:13" ht="21" thickTop="1">
      <c r="A59" s="1527"/>
      <c r="B59" s="1524"/>
      <c r="C59" s="1524"/>
      <c r="D59" s="1524"/>
      <c r="E59" s="1524"/>
      <c r="F59" s="1524"/>
      <c r="G59" s="1524"/>
      <c r="H59" s="1526"/>
      <c r="I59" s="1526"/>
      <c r="J59" s="1526"/>
      <c r="K59" s="1526"/>
      <c r="L59" s="1526"/>
      <c r="M59" s="1526"/>
    </row>
    <row r="60" spans="1:13" ht="27.75" customHeight="1">
      <c r="A60" s="1533" t="s">
        <v>1694</v>
      </c>
      <c r="B60" s="1524"/>
      <c r="C60" s="1524"/>
      <c r="D60" s="1524"/>
      <c r="E60" s="1524"/>
      <c r="F60" s="1524"/>
      <c r="G60" s="1525"/>
      <c r="H60" s="1526"/>
      <c r="I60" s="1526"/>
      <c r="J60" s="1526"/>
      <c r="K60" s="1526"/>
      <c r="L60" s="1526"/>
      <c r="M60" s="1526"/>
    </row>
    <row r="61" spans="1:13" ht="27.75" customHeight="1">
      <c r="A61" s="1616"/>
      <c r="B61" s="1535"/>
      <c r="C61" s="1535"/>
      <c r="D61" s="1535"/>
      <c r="E61" s="1524"/>
      <c r="F61" s="1535"/>
      <c r="G61" s="1535"/>
      <c r="H61" s="1526"/>
      <c r="I61" s="1526"/>
      <c r="J61" s="1526"/>
      <c r="K61" s="1526"/>
      <c r="L61" s="1526"/>
      <c r="M61" s="1526"/>
    </row>
    <row r="62" spans="1:250" ht="27.75" customHeight="1">
      <c r="A62" s="1617" t="s">
        <v>627</v>
      </c>
      <c r="B62" s="1618"/>
      <c r="C62" s="1618"/>
      <c r="D62" s="1619" t="s">
        <v>1070</v>
      </c>
      <c r="E62" s="1618" t="s">
        <v>1070</v>
      </c>
      <c r="F62" s="1620" t="s">
        <v>1156</v>
      </c>
      <c r="G62" s="1529"/>
      <c r="H62" s="1526"/>
      <c r="I62" s="1526"/>
      <c r="J62" s="1526"/>
      <c r="K62" s="1526"/>
      <c r="L62" s="1526"/>
      <c r="M62" s="1526"/>
      <c r="AF62" s="1530"/>
      <c r="AG62" s="1530"/>
      <c r="AH62" s="1530"/>
      <c r="AI62" s="1530"/>
      <c r="AJ62" s="1530"/>
      <c r="AK62" s="1530"/>
      <c r="AL62" s="1530"/>
      <c r="AM62" s="1530"/>
      <c r="AN62" s="1530"/>
      <c r="AO62" s="1530"/>
      <c r="AP62" s="1530"/>
      <c r="AQ62" s="1530"/>
      <c r="AR62" s="1530"/>
      <c r="AS62" s="1530"/>
      <c r="AT62" s="1530"/>
      <c r="AU62" s="1530"/>
      <c r="AV62" s="1530"/>
      <c r="AW62" s="1530"/>
      <c r="AX62" s="1530"/>
      <c r="AY62" s="1530"/>
      <c r="AZ62" s="1530"/>
      <c r="BA62" s="1530"/>
      <c r="BB62" s="1530"/>
      <c r="BC62" s="1530"/>
      <c r="BD62" s="1530"/>
      <c r="BE62" s="1530"/>
      <c r="BF62" s="1530"/>
      <c r="BG62" s="1530"/>
      <c r="BH62" s="1530"/>
      <c r="BI62" s="1530"/>
      <c r="BJ62" s="1530"/>
      <c r="BK62" s="1530"/>
      <c r="BL62" s="1530"/>
      <c r="BM62" s="1530"/>
      <c r="BN62" s="1530"/>
      <c r="BO62" s="1530"/>
      <c r="BP62" s="1530"/>
      <c r="BQ62" s="1530"/>
      <c r="BR62" s="1530"/>
      <c r="BS62" s="1530"/>
      <c r="BT62" s="1530"/>
      <c r="BU62" s="1530"/>
      <c r="BV62" s="1530"/>
      <c r="BW62" s="1530"/>
      <c r="BX62" s="1530"/>
      <c r="BY62" s="1530"/>
      <c r="BZ62" s="1530"/>
      <c r="CA62" s="1530"/>
      <c r="CB62" s="1530"/>
      <c r="CC62" s="1530"/>
      <c r="CD62" s="1530"/>
      <c r="CE62" s="1530"/>
      <c r="CF62" s="1530"/>
      <c r="CG62" s="1530"/>
      <c r="CH62" s="1530"/>
      <c r="CI62" s="1530"/>
      <c r="CJ62" s="1530"/>
      <c r="CK62" s="1530"/>
      <c r="CL62" s="1530"/>
      <c r="CM62" s="1530"/>
      <c r="CN62" s="1530"/>
      <c r="CO62" s="1530"/>
      <c r="CP62" s="1530"/>
      <c r="CQ62" s="1530"/>
      <c r="CR62" s="1530"/>
      <c r="CS62" s="1530"/>
      <c r="CT62" s="1530"/>
      <c r="CU62" s="1530"/>
      <c r="CV62" s="1530"/>
      <c r="CW62" s="1530"/>
      <c r="CX62" s="1530"/>
      <c r="CY62" s="1530"/>
      <c r="CZ62" s="1530"/>
      <c r="DA62" s="1530"/>
      <c r="DB62" s="1530"/>
      <c r="DC62" s="1530"/>
      <c r="DD62" s="1530"/>
      <c r="DE62" s="1530"/>
      <c r="DF62" s="1530"/>
      <c r="DG62" s="1530"/>
      <c r="DH62" s="1530"/>
      <c r="DI62" s="1530"/>
      <c r="DJ62" s="1530"/>
      <c r="DK62" s="1530"/>
      <c r="DL62" s="1530"/>
      <c r="DM62" s="1530"/>
      <c r="DN62" s="1530"/>
      <c r="DO62" s="1530"/>
      <c r="DP62" s="1530"/>
      <c r="DQ62" s="1530"/>
      <c r="DR62" s="1530"/>
      <c r="DS62" s="1530"/>
      <c r="DT62" s="1530"/>
      <c r="DU62" s="1530"/>
      <c r="DV62" s="1530"/>
      <c r="DW62" s="1530"/>
      <c r="DX62" s="1530"/>
      <c r="DY62" s="1530"/>
      <c r="DZ62" s="1530"/>
      <c r="EA62" s="1530"/>
      <c r="EB62" s="1530"/>
      <c r="EC62" s="1530"/>
      <c r="ED62" s="1530"/>
      <c r="EE62" s="1530"/>
      <c r="EF62" s="1530"/>
      <c r="EG62" s="1530"/>
      <c r="EH62" s="1530"/>
      <c r="EI62" s="1530"/>
      <c r="EJ62" s="1530"/>
      <c r="EK62" s="1530"/>
      <c r="EL62" s="1530"/>
      <c r="EM62" s="1530"/>
      <c r="EN62" s="1530"/>
      <c r="EO62" s="1530"/>
      <c r="EP62" s="1530"/>
      <c r="EQ62" s="1530"/>
      <c r="ER62" s="1530"/>
      <c r="ES62" s="1530"/>
      <c r="ET62" s="1530"/>
      <c r="EU62" s="1530"/>
      <c r="EV62" s="1530"/>
      <c r="EW62" s="1530"/>
      <c r="EX62" s="1530"/>
      <c r="EY62" s="1530"/>
      <c r="EZ62" s="1530"/>
      <c r="FA62" s="1530"/>
      <c r="FB62" s="1530"/>
      <c r="FC62" s="1530"/>
      <c r="FD62" s="1530"/>
      <c r="FE62" s="1530"/>
      <c r="FF62" s="1530"/>
      <c r="FG62" s="1530"/>
      <c r="FH62" s="1530"/>
      <c r="FI62" s="1530"/>
      <c r="FJ62" s="1530"/>
      <c r="FK62" s="1530"/>
      <c r="FL62" s="1530"/>
      <c r="FM62" s="1530"/>
      <c r="FN62" s="1530"/>
      <c r="FO62" s="1530"/>
      <c r="FP62" s="1530"/>
      <c r="FQ62" s="1530"/>
      <c r="FR62" s="1530"/>
      <c r="FS62" s="1530"/>
      <c r="FT62" s="1530"/>
      <c r="FU62" s="1530"/>
      <c r="FV62" s="1530"/>
      <c r="FW62" s="1530"/>
      <c r="FX62" s="1530"/>
      <c r="FY62" s="1530"/>
      <c r="FZ62" s="1530"/>
      <c r="GA62" s="1530"/>
      <c r="GB62" s="1530"/>
      <c r="GC62" s="1530"/>
      <c r="GD62" s="1530"/>
      <c r="GE62" s="1530"/>
      <c r="GF62" s="1530"/>
      <c r="GG62" s="1530"/>
      <c r="GH62" s="1530"/>
      <c r="GI62" s="1530"/>
      <c r="GJ62" s="1530"/>
      <c r="GK62" s="1530"/>
      <c r="GL62" s="1530"/>
      <c r="GM62" s="1530"/>
      <c r="GN62" s="1530"/>
      <c r="GO62" s="1530"/>
      <c r="GP62" s="1530"/>
      <c r="GQ62" s="1530"/>
      <c r="GR62" s="1530"/>
      <c r="GS62" s="1530"/>
      <c r="GT62" s="1530"/>
      <c r="GU62" s="1530"/>
      <c r="GV62" s="1530"/>
      <c r="GW62" s="1530"/>
      <c r="GX62" s="1530"/>
      <c r="GY62" s="1530"/>
      <c r="GZ62" s="1530"/>
      <c r="HA62" s="1530"/>
      <c r="HB62" s="1530"/>
      <c r="HC62" s="1530"/>
      <c r="HD62" s="1530"/>
      <c r="HE62" s="1530"/>
      <c r="HF62" s="1530"/>
      <c r="HG62" s="1530"/>
      <c r="HH62" s="1530"/>
      <c r="HI62" s="1530"/>
      <c r="HJ62" s="1530"/>
      <c r="HK62" s="1530"/>
      <c r="HL62" s="1530"/>
      <c r="HM62" s="1530"/>
      <c r="HN62" s="1530"/>
      <c r="HO62" s="1530"/>
      <c r="HP62" s="1530"/>
      <c r="HQ62" s="1530"/>
      <c r="HR62" s="1530"/>
      <c r="HS62" s="1530"/>
      <c r="HT62" s="1530"/>
      <c r="HU62" s="1530"/>
      <c r="HV62" s="1530"/>
      <c r="HW62" s="1530"/>
      <c r="HX62" s="1530"/>
      <c r="HY62" s="1530"/>
      <c r="HZ62" s="1530"/>
      <c r="IA62" s="1530"/>
      <c r="IB62" s="1530"/>
      <c r="IC62" s="1530"/>
      <c r="ID62" s="1530"/>
      <c r="IE62" s="1530"/>
      <c r="IF62" s="1530"/>
      <c r="IG62" s="1530"/>
      <c r="IH62" s="1530"/>
      <c r="II62" s="1530"/>
      <c r="IJ62" s="1530"/>
      <c r="IK62" s="1530"/>
      <c r="IL62" s="1530"/>
      <c r="IM62" s="1530"/>
      <c r="IN62" s="1530"/>
      <c r="IO62" s="1530"/>
      <c r="IP62" s="1530"/>
    </row>
    <row r="63" spans="1:250" ht="27.75" customHeight="1">
      <c r="A63" s="1621"/>
      <c r="B63" s="1618"/>
      <c r="C63" s="1618"/>
      <c r="D63" s="1619"/>
      <c r="E63" s="1622"/>
      <c r="F63" s="1619" t="s">
        <v>626</v>
      </c>
      <c r="G63" s="1529"/>
      <c r="H63" s="1526"/>
      <c r="I63" s="1526"/>
      <c r="J63" s="1526"/>
      <c r="K63" s="1526"/>
      <c r="L63" s="1526"/>
      <c r="M63" s="1526"/>
      <c r="AF63" s="1530"/>
      <c r="AG63" s="1530"/>
      <c r="AH63" s="1530"/>
      <c r="AI63" s="1530"/>
      <c r="AJ63" s="1530"/>
      <c r="AK63" s="1530"/>
      <c r="AL63" s="1530"/>
      <c r="AM63" s="1530"/>
      <c r="AN63" s="1530"/>
      <c r="AO63" s="1530"/>
      <c r="AP63" s="1530"/>
      <c r="AQ63" s="1530"/>
      <c r="AR63" s="1530"/>
      <c r="AS63" s="1530"/>
      <c r="AT63" s="1530"/>
      <c r="AU63" s="1530"/>
      <c r="AV63" s="1530"/>
      <c r="AW63" s="1530"/>
      <c r="AX63" s="1530"/>
      <c r="AY63" s="1530"/>
      <c r="AZ63" s="1530"/>
      <c r="BA63" s="1530"/>
      <c r="BB63" s="1530"/>
      <c r="BC63" s="1530"/>
      <c r="BD63" s="1530"/>
      <c r="BE63" s="1530"/>
      <c r="BF63" s="1530"/>
      <c r="BG63" s="1530"/>
      <c r="BH63" s="1530"/>
      <c r="BI63" s="1530"/>
      <c r="BJ63" s="1530"/>
      <c r="BK63" s="1530"/>
      <c r="BL63" s="1530"/>
      <c r="BM63" s="1530"/>
      <c r="BN63" s="1530"/>
      <c r="BO63" s="1530"/>
      <c r="BP63" s="1530"/>
      <c r="BQ63" s="1530"/>
      <c r="BR63" s="1530"/>
      <c r="BS63" s="1530"/>
      <c r="BT63" s="1530"/>
      <c r="BU63" s="1530"/>
      <c r="BV63" s="1530"/>
      <c r="BW63" s="1530"/>
      <c r="BX63" s="1530"/>
      <c r="BY63" s="1530"/>
      <c r="BZ63" s="1530"/>
      <c r="CA63" s="1530"/>
      <c r="CB63" s="1530"/>
      <c r="CC63" s="1530"/>
      <c r="CD63" s="1530"/>
      <c r="CE63" s="1530"/>
      <c r="CF63" s="1530"/>
      <c r="CG63" s="1530"/>
      <c r="CH63" s="1530"/>
      <c r="CI63" s="1530"/>
      <c r="CJ63" s="1530"/>
      <c r="CK63" s="1530"/>
      <c r="CL63" s="1530"/>
      <c r="CM63" s="1530"/>
      <c r="CN63" s="1530"/>
      <c r="CO63" s="1530"/>
      <c r="CP63" s="1530"/>
      <c r="CQ63" s="1530"/>
      <c r="CR63" s="1530"/>
      <c r="CS63" s="1530"/>
      <c r="CT63" s="1530"/>
      <c r="CU63" s="1530"/>
      <c r="CV63" s="1530"/>
      <c r="CW63" s="1530"/>
      <c r="CX63" s="1530"/>
      <c r="CY63" s="1530"/>
      <c r="CZ63" s="1530"/>
      <c r="DA63" s="1530"/>
      <c r="DB63" s="1530"/>
      <c r="DC63" s="1530"/>
      <c r="DD63" s="1530"/>
      <c r="DE63" s="1530"/>
      <c r="DF63" s="1530"/>
      <c r="DG63" s="1530"/>
      <c r="DH63" s="1530"/>
      <c r="DI63" s="1530"/>
      <c r="DJ63" s="1530"/>
      <c r="DK63" s="1530"/>
      <c r="DL63" s="1530"/>
      <c r="DM63" s="1530"/>
      <c r="DN63" s="1530"/>
      <c r="DO63" s="1530"/>
      <c r="DP63" s="1530"/>
      <c r="DQ63" s="1530"/>
      <c r="DR63" s="1530"/>
      <c r="DS63" s="1530"/>
      <c r="DT63" s="1530"/>
      <c r="DU63" s="1530"/>
      <c r="DV63" s="1530"/>
      <c r="DW63" s="1530"/>
      <c r="DX63" s="1530"/>
      <c r="DY63" s="1530"/>
      <c r="DZ63" s="1530"/>
      <c r="EA63" s="1530"/>
      <c r="EB63" s="1530"/>
      <c r="EC63" s="1530"/>
      <c r="ED63" s="1530"/>
      <c r="EE63" s="1530"/>
      <c r="EF63" s="1530"/>
      <c r="EG63" s="1530"/>
      <c r="EH63" s="1530"/>
      <c r="EI63" s="1530"/>
      <c r="EJ63" s="1530"/>
      <c r="EK63" s="1530"/>
      <c r="EL63" s="1530"/>
      <c r="EM63" s="1530"/>
      <c r="EN63" s="1530"/>
      <c r="EO63" s="1530"/>
      <c r="EP63" s="1530"/>
      <c r="EQ63" s="1530"/>
      <c r="ER63" s="1530"/>
      <c r="ES63" s="1530"/>
      <c r="ET63" s="1530"/>
      <c r="EU63" s="1530"/>
      <c r="EV63" s="1530"/>
      <c r="EW63" s="1530"/>
      <c r="EX63" s="1530"/>
      <c r="EY63" s="1530"/>
      <c r="EZ63" s="1530"/>
      <c r="FA63" s="1530"/>
      <c r="FB63" s="1530"/>
      <c r="FC63" s="1530"/>
      <c r="FD63" s="1530"/>
      <c r="FE63" s="1530"/>
      <c r="FF63" s="1530"/>
      <c r="FG63" s="1530"/>
      <c r="FH63" s="1530"/>
      <c r="FI63" s="1530"/>
      <c r="FJ63" s="1530"/>
      <c r="FK63" s="1530"/>
      <c r="FL63" s="1530"/>
      <c r="FM63" s="1530"/>
      <c r="FN63" s="1530"/>
      <c r="FO63" s="1530"/>
      <c r="FP63" s="1530"/>
      <c r="FQ63" s="1530"/>
      <c r="FR63" s="1530"/>
      <c r="FS63" s="1530"/>
      <c r="FT63" s="1530"/>
      <c r="FU63" s="1530"/>
      <c r="FV63" s="1530"/>
      <c r="FW63" s="1530"/>
      <c r="FX63" s="1530"/>
      <c r="FY63" s="1530"/>
      <c r="FZ63" s="1530"/>
      <c r="GA63" s="1530"/>
      <c r="GB63" s="1530"/>
      <c r="GC63" s="1530"/>
      <c r="GD63" s="1530"/>
      <c r="GE63" s="1530"/>
      <c r="GF63" s="1530"/>
      <c r="GG63" s="1530"/>
      <c r="GH63" s="1530"/>
      <c r="GI63" s="1530"/>
      <c r="GJ63" s="1530"/>
      <c r="GK63" s="1530"/>
      <c r="GL63" s="1530"/>
      <c r="GM63" s="1530"/>
      <c r="GN63" s="1530"/>
      <c r="GO63" s="1530"/>
      <c r="GP63" s="1530"/>
      <c r="GQ63" s="1530"/>
      <c r="GR63" s="1530"/>
      <c r="GS63" s="1530"/>
      <c r="GT63" s="1530"/>
      <c r="GU63" s="1530"/>
      <c r="GV63" s="1530"/>
      <c r="GW63" s="1530"/>
      <c r="GX63" s="1530"/>
      <c r="GY63" s="1530"/>
      <c r="GZ63" s="1530"/>
      <c r="HA63" s="1530"/>
      <c r="HB63" s="1530"/>
      <c r="HC63" s="1530"/>
      <c r="HD63" s="1530"/>
      <c r="HE63" s="1530"/>
      <c r="HF63" s="1530"/>
      <c r="HG63" s="1530"/>
      <c r="HH63" s="1530"/>
      <c r="HI63" s="1530"/>
      <c r="HJ63" s="1530"/>
      <c r="HK63" s="1530"/>
      <c r="HL63" s="1530"/>
      <c r="HM63" s="1530"/>
      <c r="HN63" s="1530"/>
      <c r="HO63" s="1530"/>
      <c r="HP63" s="1530"/>
      <c r="HQ63" s="1530"/>
      <c r="HR63" s="1530"/>
      <c r="HS63" s="1530"/>
      <c r="HT63" s="1530"/>
      <c r="HU63" s="1530"/>
      <c r="HV63" s="1530"/>
      <c r="HW63" s="1530"/>
      <c r="HX63" s="1530"/>
      <c r="HY63" s="1530"/>
      <c r="HZ63" s="1530"/>
      <c r="IA63" s="1530"/>
      <c r="IB63" s="1530"/>
      <c r="IC63" s="1530"/>
      <c r="ID63" s="1530"/>
      <c r="IE63" s="1530"/>
      <c r="IF63" s="1530"/>
      <c r="IG63" s="1530"/>
      <c r="IH63" s="1530"/>
      <c r="II63" s="1530"/>
      <c r="IJ63" s="1530"/>
      <c r="IK63" s="1530"/>
      <c r="IL63" s="1530"/>
      <c r="IM63" s="1530"/>
      <c r="IN63" s="1530"/>
      <c r="IO63" s="1530"/>
      <c r="IP63" s="1530"/>
    </row>
    <row r="64" spans="1:250" ht="27.75" customHeight="1">
      <c r="A64" s="1617"/>
      <c r="B64" s="1618"/>
      <c r="C64" s="1618"/>
      <c r="D64" s="1619"/>
      <c r="E64" s="1618"/>
      <c r="F64" s="1618"/>
      <c r="G64" s="1529"/>
      <c r="H64" s="1526"/>
      <c r="I64" s="1526"/>
      <c r="J64" s="1526"/>
      <c r="K64" s="1526"/>
      <c r="L64" s="1526"/>
      <c r="M64" s="1526"/>
      <c r="AF64" s="1530"/>
      <c r="AG64" s="1530"/>
      <c r="AH64" s="1530"/>
      <c r="AI64" s="1530"/>
      <c r="AJ64" s="1530"/>
      <c r="AK64" s="1530"/>
      <c r="AL64" s="1530"/>
      <c r="AM64" s="1530"/>
      <c r="AN64" s="1530"/>
      <c r="AO64" s="1530"/>
      <c r="AP64" s="1530"/>
      <c r="AQ64" s="1530"/>
      <c r="AR64" s="1530"/>
      <c r="AS64" s="1530"/>
      <c r="AT64" s="1530"/>
      <c r="AU64" s="1530"/>
      <c r="AV64" s="1530"/>
      <c r="AW64" s="1530"/>
      <c r="AX64" s="1530"/>
      <c r="AY64" s="1530"/>
      <c r="AZ64" s="1530"/>
      <c r="BA64" s="1530"/>
      <c r="BB64" s="1530"/>
      <c r="BC64" s="1530"/>
      <c r="BD64" s="1530"/>
      <c r="BE64" s="1530"/>
      <c r="BF64" s="1530"/>
      <c r="BG64" s="1530"/>
      <c r="BH64" s="1530"/>
      <c r="BI64" s="1530"/>
      <c r="BJ64" s="1530"/>
      <c r="BK64" s="1530"/>
      <c r="BL64" s="1530"/>
      <c r="BM64" s="1530"/>
      <c r="BN64" s="1530"/>
      <c r="BO64" s="1530"/>
      <c r="BP64" s="1530"/>
      <c r="BQ64" s="1530"/>
      <c r="BR64" s="1530"/>
      <c r="BS64" s="1530"/>
      <c r="BT64" s="1530"/>
      <c r="BU64" s="1530"/>
      <c r="BV64" s="1530"/>
      <c r="BW64" s="1530"/>
      <c r="BX64" s="1530"/>
      <c r="BY64" s="1530"/>
      <c r="BZ64" s="1530"/>
      <c r="CA64" s="1530"/>
      <c r="CB64" s="1530"/>
      <c r="CC64" s="1530"/>
      <c r="CD64" s="1530"/>
      <c r="CE64" s="1530"/>
      <c r="CF64" s="1530"/>
      <c r="CG64" s="1530"/>
      <c r="CH64" s="1530"/>
      <c r="CI64" s="1530"/>
      <c r="CJ64" s="1530"/>
      <c r="CK64" s="1530"/>
      <c r="CL64" s="1530"/>
      <c r="CM64" s="1530"/>
      <c r="CN64" s="1530"/>
      <c r="CO64" s="1530"/>
      <c r="CP64" s="1530"/>
      <c r="CQ64" s="1530"/>
      <c r="CR64" s="1530"/>
      <c r="CS64" s="1530"/>
      <c r="CT64" s="1530"/>
      <c r="CU64" s="1530"/>
      <c r="CV64" s="1530"/>
      <c r="CW64" s="1530"/>
      <c r="CX64" s="1530"/>
      <c r="CY64" s="1530"/>
      <c r="CZ64" s="1530"/>
      <c r="DA64" s="1530"/>
      <c r="DB64" s="1530"/>
      <c r="DC64" s="1530"/>
      <c r="DD64" s="1530"/>
      <c r="DE64" s="1530"/>
      <c r="DF64" s="1530"/>
      <c r="DG64" s="1530"/>
      <c r="DH64" s="1530"/>
      <c r="DI64" s="1530"/>
      <c r="DJ64" s="1530"/>
      <c r="DK64" s="1530"/>
      <c r="DL64" s="1530"/>
      <c r="DM64" s="1530"/>
      <c r="DN64" s="1530"/>
      <c r="DO64" s="1530"/>
      <c r="DP64" s="1530"/>
      <c r="DQ64" s="1530"/>
      <c r="DR64" s="1530"/>
      <c r="DS64" s="1530"/>
      <c r="DT64" s="1530"/>
      <c r="DU64" s="1530"/>
      <c r="DV64" s="1530"/>
      <c r="DW64" s="1530"/>
      <c r="DX64" s="1530"/>
      <c r="DY64" s="1530"/>
      <c r="DZ64" s="1530"/>
      <c r="EA64" s="1530"/>
      <c r="EB64" s="1530"/>
      <c r="EC64" s="1530"/>
      <c r="ED64" s="1530"/>
      <c r="EE64" s="1530"/>
      <c r="EF64" s="1530"/>
      <c r="EG64" s="1530"/>
      <c r="EH64" s="1530"/>
      <c r="EI64" s="1530"/>
      <c r="EJ64" s="1530"/>
      <c r="EK64" s="1530"/>
      <c r="EL64" s="1530"/>
      <c r="EM64" s="1530"/>
      <c r="EN64" s="1530"/>
      <c r="EO64" s="1530"/>
      <c r="EP64" s="1530"/>
      <c r="EQ64" s="1530"/>
      <c r="ER64" s="1530"/>
      <c r="ES64" s="1530"/>
      <c r="ET64" s="1530"/>
      <c r="EU64" s="1530"/>
      <c r="EV64" s="1530"/>
      <c r="EW64" s="1530"/>
      <c r="EX64" s="1530"/>
      <c r="EY64" s="1530"/>
      <c r="EZ64" s="1530"/>
      <c r="FA64" s="1530"/>
      <c r="FB64" s="1530"/>
      <c r="FC64" s="1530"/>
      <c r="FD64" s="1530"/>
      <c r="FE64" s="1530"/>
      <c r="FF64" s="1530"/>
      <c r="FG64" s="1530"/>
      <c r="FH64" s="1530"/>
      <c r="FI64" s="1530"/>
      <c r="FJ64" s="1530"/>
      <c r="FK64" s="1530"/>
      <c r="FL64" s="1530"/>
      <c r="FM64" s="1530"/>
      <c r="FN64" s="1530"/>
      <c r="FO64" s="1530"/>
      <c r="FP64" s="1530"/>
      <c r="FQ64" s="1530"/>
      <c r="FR64" s="1530"/>
      <c r="FS64" s="1530"/>
      <c r="FT64" s="1530"/>
      <c r="FU64" s="1530"/>
      <c r="FV64" s="1530"/>
      <c r="FW64" s="1530"/>
      <c r="FX64" s="1530"/>
      <c r="FY64" s="1530"/>
      <c r="FZ64" s="1530"/>
      <c r="GA64" s="1530"/>
      <c r="GB64" s="1530"/>
      <c r="GC64" s="1530"/>
      <c r="GD64" s="1530"/>
      <c r="GE64" s="1530"/>
      <c r="GF64" s="1530"/>
      <c r="GG64" s="1530"/>
      <c r="GH64" s="1530"/>
      <c r="GI64" s="1530"/>
      <c r="GJ64" s="1530"/>
      <c r="GK64" s="1530"/>
      <c r="GL64" s="1530"/>
      <c r="GM64" s="1530"/>
      <c r="GN64" s="1530"/>
      <c r="GO64" s="1530"/>
      <c r="GP64" s="1530"/>
      <c r="GQ64" s="1530"/>
      <c r="GR64" s="1530"/>
      <c r="GS64" s="1530"/>
      <c r="GT64" s="1530"/>
      <c r="GU64" s="1530"/>
      <c r="GV64" s="1530"/>
      <c r="GW64" s="1530"/>
      <c r="GX64" s="1530"/>
      <c r="GY64" s="1530"/>
      <c r="GZ64" s="1530"/>
      <c r="HA64" s="1530"/>
      <c r="HB64" s="1530"/>
      <c r="HC64" s="1530"/>
      <c r="HD64" s="1530"/>
      <c r="HE64" s="1530"/>
      <c r="HF64" s="1530"/>
      <c r="HG64" s="1530"/>
      <c r="HH64" s="1530"/>
      <c r="HI64" s="1530"/>
      <c r="HJ64" s="1530"/>
      <c r="HK64" s="1530"/>
      <c r="HL64" s="1530"/>
      <c r="HM64" s="1530"/>
      <c r="HN64" s="1530"/>
      <c r="HO64" s="1530"/>
      <c r="HP64" s="1530"/>
      <c r="HQ64" s="1530"/>
      <c r="HR64" s="1530"/>
      <c r="HS64" s="1530"/>
      <c r="HT64" s="1530"/>
      <c r="HU64" s="1530"/>
      <c r="HV64" s="1530"/>
      <c r="HW64" s="1530"/>
      <c r="HX64" s="1530"/>
      <c r="HY64" s="1530"/>
      <c r="HZ64" s="1530"/>
      <c r="IA64" s="1530"/>
      <c r="IB64" s="1530"/>
      <c r="IC64" s="1530"/>
      <c r="ID64" s="1530"/>
      <c r="IE64" s="1530"/>
      <c r="IF64" s="1530"/>
      <c r="IG64" s="1530"/>
      <c r="IH64" s="1530"/>
      <c r="II64" s="1530"/>
      <c r="IJ64" s="1530"/>
      <c r="IK64" s="1530"/>
      <c r="IL64" s="1530"/>
      <c r="IM64" s="1530"/>
      <c r="IN64" s="1530"/>
      <c r="IO64" s="1530"/>
      <c r="IP64" s="1530"/>
    </row>
    <row r="65" spans="1:250" ht="27.75" customHeight="1" thickBot="1">
      <c r="A65" s="1528"/>
      <c r="B65" s="1623"/>
      <c r="C65" s="1461"/>
      <c r="D65" s="1463" t="s">
        <v>1070</v>
      </c>
      <c r="E65" s="1623"/>
      <c r="F65" s="1624">
        <f>IF(Breakdown!F13=0,"",SUM(Breakdown!F18:F32)/EligBasisLimits!C16)</f>
      </c>
      <c r="G65" s="1529" t="s">
        <v>681</v>
      </c>
      <c r="H65" s="1526"/>
      <c r="I65" s="1526"/>
      <c r="J65" s="1526"/>
      <c r="K65" s="1526"/>
      <c r="L65" s="1526"/>
      <c r="M65" s="1526"/>
      <c r="AF65" s="1530"/>
      <c r="AG65" s="1530"/>
      <c r="AH65" s="1530"/>
      <c r="AI65" s="1530"/>
      <c r="AJ65" s="1530"/>
      <c r="AK65" s="1530"/>
      <c r="AL65" s="1530"/>
      <c r="AM65" s="1530"/>
      <c r="AN65" s="1530"/>
      <c r="AO65" s="1530"/>
      <c r="AP65" s="1530"/>
      <c r="AQ65" s="1530"/>
      <c r="AR65" s="1530"/>
      <c r="AS65" s="1530"/>
      <c r="AT65" s="1530"/>
      <c r="AU65" s="1530"/>
      <c r="AV65" s="1530"/>
      <c r="AW65" s="1530"/>
      <c r="AX65" s="1530"/>
      <c r="AY65" s="1530"/>
      <c r="AZ65" s="1530"/>
      <c r="BA65" s="1530"/>
      <c r="BB65" s="1530"/>
      <c r="BC65" s="1530"/>
      <c r="BD65" s="1530"/>
      <c r="BE65" s="1530"/>
      <c r="BF65" s="1530"/>
      <c r="BG65" s="1530"/>
      <c r="BH65" s="1530"/>
      <c r="BI65" s="1530"/>
      <c r="BJ65" s="1530"/>
      <c r="BK65" s="1530"/>
      <c r="BL65" s="1530"/>
      <c r="BM65" s="1530"/>
      <c r="BN65" s="1530"/>
      <c r="BO65" s="1530"/>
      <c r="BP65" s="1530"/>
      <c r="BQ65" s="1530"/>
      <c r="BR65" s="1530"/>
      <c r="BS65" s="1530"/>
      <c r="BT65" s="1530"/>
      <c r="BU65" s="1530"/>
      <c r="BV65" s="1530"/>
      <c r="BW65" s="1530"/>
      <c r="BX65" s="1530"/>
      <c r="BY65" s="1530"/>
      <c r="BZ65" s="1530"/>
      <c r="CA65" s="1530"/>
      <c r="CB65" s="1530"/>
      <c r="CC65" s="1530"/>
      <c r="CD65" s="1530"/>
      <c r="CE65" s="1530"/>
      <c r="CF65" s="1530"/>
      <c r="CG65" s="1530"/>
      <c r="CH65" s="1530"/>
      <c r="CI65" s="1530"/>
      <c r="CJ65" s="1530"/>
      <c r="CK65" s="1530"/>
      <c r="CL65" s="1530"/>
      <c r="CM65" s="1530"/>
      <c r="CN65" s="1530"/>
      <c r="CO65" s="1530"/>
      <c r="CP65" s="1530"/>
      <c r="CQ65" s="1530"/>
      <c r="CR65" s="1530"/>
      <c r="CS65" s="1530"/>
      <c r="CT65" s="1530"/>
      <c r="CU65" s="1530"/>
      <c r="CV65" s="1530"/>
      <c r="CW65" s="1530"/>
      <c r="CX65" s="1530"/>
      <c r="CY65" s="1530"/>
      <c r="CZ65" s="1530"/>
      <c r="DA65" s="1530"/>
      <c r="DB65" s="1530"/>
      <c r="DC65" s="1530"/>
      <c r="DD65" s="1530"/>
      <c r="DE65" s="1530"/>
      <c r="DF65" s="1530"/>
      <c r="DG65" s="1530"/>
      <c r="DH65" s="1530"/>
      <c r="DI65" s="1530"/>
      <c r="DJ65" s="1530"/>
      <c r="DK65" s="1530"/>
      <c r="DL65" s="1530"/>
      <c r="DM65" s="1530"/>
      <c r="DN65" s="1530"/>
      <c r="DO65" s="1530"/>
      <c r="DP65" s="1530"/>
      <c r="DQ65" s="1530"/>
      <c r="DR65" s="1530"/>
      <c r="DS65" s="1530"/>
      <c r="DT65" s="1530"/>
      <c r="DU65" s="1530"/>
      <c r="DV65" s="1530"/>
      <c r="DW65" s="1530"/>
      <c r="DX65" s="1530"/>
      <c r="DY65" s="1530"/>
      <c r="DZ65" s="1530"/>
      <c r="EA65" s="1530"/>
      <c r="EB65" s="1530"/>
      <c r="EC65" s="1530"/>
      <c r="ED65" s="1530"/>
      <c r="EE65" s="1530"/>
      <c r="EF65" s="1530"/>
      <c r="EG65" s="1530"/>
      <c r="EH65" s="1530"/>
      <c r="EI65" s="1530"/>
      <c r="EJ65" s="1530"/>
      <c r="EK65" s="1530"/>
      <c r="EL65" s="1530"/>
      <c r="EM65" s="1530"/>
      <c r="EN65" s="1530"/>
      <c r="EO65" s="1530"/>
      <c r="EP65" s="1530"/>
      <c r="EQ65" s="1530"/>
      <c r="ER65" s="1530"/>
      <c r="ES65" s="1530"/>
      <c r="ET65" s="1530"/>
      <c r="EU65" s="1530"/>
      <c r="EV65" s="1530"/>
      <c r="EW65" s="1530"/>
      <c r="EX65" s="1530"/>
      <c r="EY65" s="1530"/>
      <c r="EZ65" s="1530"/>
      <c r="FA65" s="1530"/>
      <c r="FB65" s="1530"/>
      <c r="FC65" s="1530"/>
      <c r="FD65" s="1530"/>
      <c r="FE65" s="1530"/>
      <c r="FF65" s="1530"/>
      <c r="FG65" s="1530"/>
      <c r="FH65" s="1530"/>
      <c r="FI65" s="1530"/>
      <c r="FJ65" s="1530"/>
      <c r="FK65" s="1530"/>
      <c r="FL65" s="1530"/>
      <c r="FM65" s="1530"/>
      <c r="FN65" s="1530"/>
      <c r="FO65" s="1530"/>
      <c r="FP65" s="1530"/>
      <c r="FQ65" s="1530"/>
      <c r="FR65" s="1530"/>
      <c r="FS65" s="1530"/>
      <c r="FT65" s="1530"/>
      <c r="FU65" s="1530"/>
      <c r="FV65" s="1530"/>
      <c r="FW65" s="1530"/>
      <c r="FX65" s="1530"/>
      <c r="FY65" s="1530"/>
      <c r="FZ65" s="1530"/>
      <c r="GA65" s="1530"/>
      <c r="GB65" s="1530"/>
      <c r="GC65" s="1530"/>
      <c r="GD65" s="1530"/>
      <c r="GE65" s="1530"/>
      <c r="GF65" s="1530"/>
      <c r="GG65" s="1530"/>
      <c r="GH65" s="1530"/>
      <c r="GI65" s="1530"/>
      <c r="GJ65" s="1530"/>
      <c r="GK65" s="1530"/>
      <c r="GL65" s="1530"/>
      <c r="GM65" s="1530"/>
      <c r="GN65" s="1530"/>
      <c r="GO65" s="1530"/>
      <c r="GP65" s="1530"/>
      <c r="GQ65" s="1530"/>
      <c r="GR65" s="1530"/>
      <c r="GS65" s="1530"/>
      <c r="GT65" s="1530"/>
      <c r="GU65" s="1530"/>
      <c r="GV65" s="1530"/>
      <c r="GW65" s="1530"/>
      <c r="GX65" s="1530"/>
      <c r="GY65" s="1530"/>
      <c r="GZ65" s="1530"/>
      <c r="HA65" s="1530"/>
      <c r="HB65" s="1530"/>
      <c r="HC65" s="1530"/>
      <c r="HD65" s="1530"/>
      <c r="HE65" s="1530"/>
      <c r="HF65" s="1530"/>
      <c r="HG65" s="1530"/>
      <c r="HH65" s="1530"/>
      <c r="HI65" s="1530"/>
      <c r="HJ65" s="1530"/>
      <c r="HK65" s="1530"/>
      <c r="HL65" s="1530"/>
      <c r="HM65" s="1530"/>
      <c r="HN65" s="1530"/>
      <c r="HO65" s="1530"/>
      <c r="HP65" s="1530"/>
      <c r="HQ65" s="1530"/>
      <c r="HR65" s="1530"/>
      <c r="HS65" s="1530"/>
      <c r="HT65" s="1530"/>
      <c r="HU65" s="1530"/>
      <c r="HV65" s="1530"/>
      <c r="HW65" s="1530"/>
      <c r="HX65" s="1530"/>
      <c r="HY65" s="1530"/>
      <c r="HZ65" s="1530"/>
      <c r="IA65" s="1530"/>
      <c r="IB65" s="1530"/>
      <c r="IC65" s="1530"/>
      <c r="ID65" s="1530"/>
      <c r="IE65" s="1530"/>
      <c r="IF65" s="1530"/>
      <c r="IG65" s="1530"/>
      <c r="IH65" s="1530"/>
      <c r="II65" s="1530"/>
      <c r="IJ65" s="1530"/>
      <c r="IK65" s="1530"/>
      <c r="IL65" s="1530"/>
      <c r="IM65" s="1530"/>
      <c r="IN65" s="1530"/>
      <c r="IO65" s="1530"/>
      <c r="IP65" s="1530"/>
    </row>
    <row r="66" spans="1:250" ht="27.75" customHeight="1" thickTop="1">
      <c r="A66" s="1528"/>
      <c r="B66" s="1529"/>
      <c r="C66" s="1529"/>
      <c r="D66" s="1529"/>
      <c r="E66" s="1529"/>
      <c r="F66" s="1529"/>
      <c r="G66" s="1529"/>
      <c r="H66" s="1526"/>
      <c r="I66" s="1526"/>
      <c r="J66" s="1526"/>
      <c r="K66" s="1526"/>
      <c r="L66" s="1526"/>
      <c r="M66" s="1526"/>
      <c r="AF66" s="1530"/>
      <c r="AG66" s="1530"/>
      <c r="AH66" s="1530"/>
      <c r="AI66" s="1530"/>
      <c r="AJ66" s="1530"/>
      <c r="AK66" s="1530"/>
      <c r="AL66" s="1530"/>
      <c r="AM66" s="1530"/>
      <c r="AN66" s="1530"/>
      <c r="AO66" s="1530"/>
      <c r="AP66" s="1530"/>
      <c r="AQ66" s="1530"/>
      <c r="AR66" s="1530"/>
      <c r="AS66" s="1530"/>
      <c r="AT66" s="1530"/>
      <c r="AU66" s="1530"/>
      <c r="AV66" s="1530"/>
      <c r="AW66" s="1530"/>
      <c r="AX66" s="1530"/>
      <c r="AY66" s="1530"/>
      <c r="AZ66" s="1530"/>
      <c r="BA66" s="1530"/>
      <c r="BB66" s="1530"/>
      <c r="BC66" s="1530"/>
      <c r="BD66" s="1530"/>
      <c r="BE66" s="1530"/>
      <c r="BF66" s="1530"/>
      <c r="BG66" s="1530"/>
      <c r="BH66" s="1530"/>
      <c r="BI66" s="1530"/>
      <c r="BJ66" s="1530"/>
      <c r="BK66" s="1530"/>
      <c r="BL66" s="1530"/>
      <c r="BM66" s="1530"/>
      <c r="BN66" s="1530"/>
      <c r="BO66" s="1530"/>
      <c r="BP66" s="1530"/>
      <c r="BQ66" s="1530"/>
      <c r="BR66" s="1530"/>
      <c r="BS66" s="1530"/>
      <c r="BT66" s="1530"/>
      <c r="BU66" s="1530"/>
      <c r="BV66" s="1530"/>
      <c r="BW66" s="1530"/>
      <c r="BX66" s="1530"/>
      <c r="BY66" s="1530"/>
      <c r="BZ66" s="1530"/>
      <c r="CA66" s="1530"/>
      <c r="CB66" s="1530"/>
      <c r="CC66" s="1530"/>
      <c r="CD66" s="1530"/>
      <c r="CE66" s="1530"/>
      <c r="CF66" s="1530"/>
      <c r="CG66" s="1530"/>
      <c r="CH66" s="1530"/>
      <c r="CI66" s="1530"/>
      <c r="CJ66" s="1530"/>
      <c r="CK66" s="1530"/>
      <c r="CL66" s="1530"/>
      <c r="CM66" s="1530"/>
      <c r="CN66" s="1530"/>
      <c r="CO66" s="1530"/>
      <c r="CP66" s="1530"/>
      <c r="CQ66" s="1530"/>
      <c r="CR66" s="1530"/>
      <c r="CS66" s="1530"/>
      <c r="CT66" s="1530"/>
      <c r="CU66" s="1530"/>
      <c r="CV66" s="1530"/>
      <c r="CW66" s="1530"/>
      <c r="CX66" s="1530"/>
      <c r="CY66" s="1530"/>
      <c r="CZ66" s="1530"/>
      <c r="DA66" s="1530"/>
      <c r="DB66" s="1530"/>
      <c r="DC66" s="1530"/>
      <c r="DD66" s="1530"/>
      <c r="DE66" s="1530"/>
      <c r="DF66" s="1530"/>
      <c r="DG66" s="1530"/>
      <c r="DH66" s="1530"/>
      <c r="DI66" s="1530"/>
      <c r="DJ66" s="1530"/>
      <c r="DK66" s="1530"/>
      <c r="DL66" s="1530"/>
      <c r="DM66" s="1530"/>
      <c r="DN66" s="1530"/>
      <c r="DO66" s="1530"/>
      <c r="DP66" s="1530"/>
      <c r="DQ66" s="1530"/>
      <c r="DR66" s="1530"/>
      <c r="DS66" s="1530"/>
      <c r="DT66" s="1530"/>
      <c r="DU66" s="1530"/>
      <c r="DV66" s="1530"/>
      <c r="DW66" s="1530"/>
      <c r="DX66" s="1530"/>
      <c r="DY66" s="1530"/>
      <c r="DZ66" s="1530"/>
      <c r="EA66" s="1530"/>
      <c r="EB66" s="1530"/>
      <c r="EC66" s="1530"/>
      <c r="ED66" s="1530"/>
      <c r="EE66" s="1530"/>
      <c r="EF66" s="1530"/>
      <c r="EG66" s="1530"/>
      <c r="EH66" s="1530"/>
      <c r="EI66" s="1530"/>
      <c r="EJ66" s="1530"/>
      <c r="EK66" s="1530"/>
      <c r="EL66" s="1530"/>
      <c r="EM66" s="1530"/>
      <c r="EN66" s="1530"/>
      <c r="EO66" s="1530"/>
      <c r="EP66" s="1530"/>
      <c r="EQ66" s="1530"/>
      <c r="ER66" s="1530"/>
      <c r="ES66" s="1530"/>
      <c r="ET66" s="1530"/>
      <c r="EU66" s="1530"/>
      <c r="EV66" s="1530"/>
      <c r="EW66" s="1530"/>
      <c r="EX66" s="1530"/>
      <c r="EY66" s="1530"/>
      <c r="EZ66" s="1530"/>
      <c r="FA66" s="1530"/>
      <c r="FB66" s="1530"/>
      <c r="FC66" s="1530"/>
      <c r="FD66" s="1530"/>
      <c r="FE66" s="1530"/>
      <c r="FF66" s="1530"/>
      <c r="FG66" s="1530"/>
      <c r="FH66" s="1530"/>
      <c r="FI66" s="1530"/>
      <c r="FJ66" s="1530"/>
      <c r="FK66" s="1530"/>
      <c r="FL66" s="1530"/>
      <c r="FM66" s="1530"/>
      <c r="FN66" s="1530"/>
      <c r="FO66" s="1530"/>
      <c r="FP66" s="1530"/>
      <c r="FQ66" s="1530"/>
      <c r="FR66" s="1530"/>
      <c r="FS66" s="1530"/>
      <c r="FT66" s="1530"/>
      <c r="FU66" s="1530"/>
      <c r="FV66" s="1530"/>
      <c r="FW66" s="1530"/>
      <c r="FX66" s="1530"/>
      <c r="FY66" s="1530"/>
      <c r="FZ66" s="1530"/>
      <c r="GA66" s="1530"/>
      <c r="GB66" s="1530"/>
      <c r="GC66" s="1530"/>
      <c r="GD66" s="1530"/>
      <c r="GE66" s="1530"/>
      <c r="GF66" s="1530"/>
      <c r="GG66" s="1530"/>
      <c r="GH66" s="1530"/>
      <c r="GI66" s="1530"/>
      <c r="GJ66" s="1530"/>
      <c r="GK66" s="1530"/>
      <c r="GL66" s="1530"/>
      <c r="GM66" s="1530"/>
      <c r="GN66" s="1530"/>
      <c r="GO66" s="1530"/>
      <c r="GP66" s="1530"/>
      <c r="GQ66" s="1530"/>
      <c r="GR66" s="1530"/>
      <c r="GS66" s="1530"/>
      <c r="GT66" s="1530"/>
      <c r="GU66" s="1530"/>
      <c r="GV66" s="1530"/>
      <c r="GW66" s="1530"/>
      <c r="GX66" s="1530"/>
      <c r="GY66" s="1530"/>
      <c r="GZ66" s="1530"/>
      <c r="HA66" s="1530"/>
      <c r="HB66" s="1530"/>
      <c r="HC66" s="1530"/>
      <c r="HD66" s="1530"/>
      <c r="HE66" s="1530"/>
      <c r="HF66" s="1530"/>
      <c r="HG66" s="1530"/>
      <c r="HH66" s="1530"/>
      <c r="HI66" s="1530"/>
      <c r="HJ66" s="1530"/>
      <c r="HK66" s="1530"/>
      <c r="HL66" s="1530"/>
      <c r="HM66" s="1530"/>
      <c r="HN66" s="1530"/>
      <c r="HO66" s="1530"/>
      <c r="HP66" s="1530"/>
      <c r="HQ66" s="1530"/>
      <c r="HR66" s="1530"/>
      <c r="HS66" s="1530"/>
      <c r="HT66" s="1530"/>
      <c r="HU66" s="1530"/>
      <c r="HV66" s="1530"/>
      <c r="HW66" s="1530"/>
      <c r="HX66" s="1530"/>
      <c r="HY66" s="1530"/>
      <c r="HZ66" s="1530"/>
      <c r="IA66" s="1530"/>
      <c r="IB66" s="1530"/>
      <c r="IC66" s="1530"/>
      <c r="ID66" s="1530"/>
      <c r="IE66" s="1530"/>
      <c r="IF66" s="1530"/>
      <c r="IG66" s="1530"/>
      <c r="IH66" s="1530"/>
      <c r="II66" s="1530"/>
      <c r="IJ66" s="1530"/>
      <c r="IK66" s="1530"/>
      <c r="IL66" s="1530"/>
      <c r="IM66" s="1530"/>
      <c r="IN66" s="1530"/>
      <c r="IO66" s="1530"/>
      <c r="IP66" s="1530"/>
    </row>
    <row r="67" spans="1:250" ht="21">
      <c r="A67" s="1528"/>
      <c r="B67" s="1524"/>
      <c r="C67" s="1524"/>
      <c r="D67" s="1524"/>
      <c r="E67" s="1524"/>
      <c r="F67" s="1524"/>
      <c r="G67" s="1524"/>
      <c r="H67" s="1526"/>
      <c r="I67" s="1526"/>
      <c r="J67" s="1526"/>
      <c r="K67" s="1526"/>
      <c r="L67" s="1526"/>
      <c r="M67" s="1526"/>
      <c r="AF67" s="1530"/>
      <c r="AG67" s="1530"/>
      <c r="AH67" s="1530"/>
      <c r="AI67" s="1530"/>
      <c r="AJ67" s="1530"/>
      <c r="AK67" s="1530"/>
      <c r="AL67" s="1530"/>
      <c r="AM67" s="1530"/>
      <c r="AN67" s="1530"/>
      <c r="AO67" s="1530"/>
      <c r="AP67" s="1530"/>
      <c r="AQ67" s="1530"/>
      <c r="AR67" s="1530"/>
      <c r="AS67" s="1530"/>
      <c r="AT67" s="1530"/>
      <c r="AU67" s="1530"/>
      <c r="AV67" s="1530"/>
      <c r="AW67" s="1530"/>
      <c r="AX67" s="1530"/>
      <c r="AY67" s="1530"/>
      <c r="AZ67" s="1530"/>
      <c r="BA67" s="1530"/>
      <c r="BB67" s="1530"/>
      <c r="BC67" s="1530"/>
      <c r="BD67" s="1530"/>
      <c r="BE67" s="1530"/>
      <c r="BF67" s="1530"/>
      <c r="BG67" s="1530"/>
      <c r="BH67" s="1530"/>
      <c r="BI67" s="1530"/>
      <c r="BJ67" s="1530"/>
      <c r="BK67" s="1530"/>
      <c r="BL67" s="1530"/>
      <c r="BM67" s="1530"/>
      <c r="BN67" s="1530"/>
      <c r="BO67" s="1530"/>
      <c r="BP67" s="1530"/>
      <c r="BQ67" s="1530"/>
      <c r="BR67" s="1530"/>
      <c r="BS67" s="1530"/>
      <c r="BT67" s="1530"/>
      <c r="BU67" s="1530"/>
      <c r="BV67" s="1530"/>
      <c r="BW67" s="1530"/>
      <c r="BX67" s="1530"/>
      <c r="BY67" s="1530"/>
      <c r="BZ67" s="1530"/>
      <c r="CA67" s="1530"/>
      <c r="CB67" s="1530"/>
      <c r="CC67" s="1530"/>
      <c r="CD67" s="1530"/>
      <c r="CE67" s="1530"/>
      <c r="CF67" s="1530"/>
      <c r="CG67" s="1530"/>
      <c r="CH67" s="1530"/>
      <c r="CI67" s="1530"/>
      <c r="CJ67" s="1530"/>
      <c r="CK67" s="1530"/>
      <c r="CL67" s="1530"/>
      <c r="CM67" s="1530"/>
      <c r="CN67" s="1530"/>
      <c r="CO67" s="1530"/>
      <c r="CP67" s="1530"/>
      <c r="CQ67" s="1530"/>
      <c r="CR67" s="1530"/>
      <c r="CS67" s="1530"/>
      <c r="CT67" s="1530"/>
      <c r="CU67" s="1530"/>
      <c r="CV67" s="1530"/>
      <c r="CW67" s="1530"/>
      <c r="CX67" s="1530"/>
      <c r="CY67" s="1530"/>
      <c r="CZ67" s="1530"/>
      <c r="DA67" s="1530"/>
      <c r="DB67" s="1530"/>
      <c r="DC67" s="1530"/>
      <c r="DD67" s="1530"/>
      <c r="DE67" s="1530"/>
      <c r="DF67" s="1530"/>
      <c r="DG67" s="1530"/>
      <c r="DH67" s="1530"/>
      <c r="DI67" s="1530"/>
      <c r="DJ67" s="1530"/>
      <c r="DK67" s="1530"/>
      <c r="DL67" s="1530"/>
      <c r="DM67" s="1530"/>
      <c r="DN67" s="1530"/>
      <c r="DO67" s="1530"/>
      <c r="DP67" s="1530"/>
      <c r="DQ67" s="1530"/>
      <c r="DR67" s="1530"/>
      <c r="DS67" s="1530"/>
      <c r="DT67" s="1530"/>
      <c r="DU67" s="1530"/>
      <c r="DV67" s="1530"/>
      <c r="DW67" s="1530"/>
      <c r="DX67" s="1530"/>
      <c r="DY67" s="1530"/>
      <c r="DZ67" s="1530"/>
      <c r="EA67" s="1530"/>
      <c r="EB67" s="1530"/>
      <c r="EC67" s="1530"/>
      <c r="ED67" s="1530"/>
      <c r="EE67" s="1530"/>
      <c r="EF67" s="1530"/>
      <c r="EG67" s="1530"/>
      <c r="EH67" s="1530"/>
      <c r="EI67" s="1530"/>
      <c r="EJ67" s="1530"/>
      <c r="EK67" s="1530"/>
      <c r="EL67" s="1530"/>
      <c r="EM67" s="1530"/>
      <c r="EN67" s="1530"/>
      <c r="EO67" s="1530"/>
      <c r="EP67" s="1530"/>
      <c r="EQ67" s="1530"/>
      <c r="ER67" s="1530"/>
      <c r="ES67" s="1530"/>
      <c r="ET67" s="1530"/>
      <c r="EU67" s="1530"/>
      <c r="EV67" s="1530"/>
      <c r="EW67" s="1530"/>
      <c r="EX67" s="1530"/>
      <c r="EY67" s="1530"/>
      <c r="EZ67" s="1530"/>
      <c r="FA67" s="1530"/>
      <c r="FB67" s="1530"/>
      <c r="FC67" s="1530"/>
      <c r="FD67" s="1530"/>
      <c r="FE67" s="1530"/>
      <c r="FF67" s="1530"/>
      <c r="FG67" s="1530"/>
      <c r="FH67" s="1530"/>
      <c r="FI67" s="1530"/>
      <c r="FJ67" s="1530"/>
      <c r="FK67" s="1530"/>
      <c r="FL67" s="1530"/>
      <c r="FM67" s="1530"/>
      <c r="FN67" s="1530"/>
      <c r="FO67" s="1530"/>
      <c r="FP67" s="1530"/>
      <c r="FQ67" s="1530"/>
      <c r="FR67" s="1530"/>
      <c r="FS67" s="1530"/>
      <c r="FT67" s="1530"/>
      <c r="FU67" s="1530"/>
      <c r="FV67" s="1530"/>
      <c r="FW67" s="1530"/>
      <c r="FX67" s="1530"/>
      <c r="FY67" s="1530"/>
      <c r="FZ67" s="1530"/>
      <c r="GA67" s="1530"/>
      <c r="GB67" s="1530"/>
      <c r="GC67" s="1530"/>
      <c r="GD67" s="1530"/>
      <c r="GE67" s="1530"/>
      <c r="GF67" s="1530"/>
      <c r="GG67" s="1530"/>
      <c r="GH67" s="1530"/>
      <c r="GI67" s="1530"/>
      <c r="GJ67" s="1530"/>
      <c r="GK67" s="1530"/>
      <c r="GL67" s="1530"/>
      <c r="GM67" s="1530"/>
      <c r="GN67" s="1530"/>
      <c r="GO67" s="1530"/>
      <c r="GP67" s="1530"/>
      <c r="GQ67" s="1530"/>
      <c r="GR67" s="1530"/>
      <c r="GS67" s="1530"/>
      <c r="GT67" s="1530"/>
      <c r="GU67" s="1530"/>
      <c r="GV67" s="1530"/>
      <c r="GW67" s="1530"/>
      <c r="GX67" s="1530"/>
      <c r="GY67" s="1530"/>
      <c r="GZ67" s="1530"/>
      <c r="HA67" s="1530"/>
      <c r="HB67" s="1530"/>
      <c r="HC67" s="1530"/>
      <c r="HD67" s="1530"/>
      <c r="HE67" s="1530"/>
      <c r="HF67" s="1530"/>
      <c r="HG67" s="1530"/>
      <c r="HH67" s="1530"/>
      <c r="HI67" s="1530"/>
      <c r="HJ67" s="1530"/>
      <c r="HK67" s="1530"/>
      <c r="HL67" s="1530"/>
      <c r="HM67" s="1530"/>
      <c r="HN67" s="1530"/>
      <c r="HO67" s="1530"/>
      <c r="HP67" s="1530"/>
      <c r="HQ67" s="1530"/>
      <c r="HR67" s="1530"/>
      <c r="HS67" s="1530"/>
      <c r="HT67" s="1530"/>
      <c r="HU67" s="1530"/>
      <c r="HV67" s="1530"/>
      <c r="HW67" s="1530"/>
      <c r="HX67" s="1530"/>
      <c r="HY67" s="1530"/>
      <c r="HZ67" s="1530"/>
      <c r="IA67" s="1530"/>
      <c r="IB67" s="1530"/>
      <c r="IC67" s="1530"/>
      <c r="ID67" s="1530"/>
      <c r="IE67" s="1530"/>
      <c r="IF67" s="1530"/>
      <c r="IG67" s="1530"/>
      <c r="IH67" s="1530"/>
      <c r="II67" s="1530"/>
      <c r="IJ67" s="1530"/>
      <c r="IK67" s="1530"/>
      <c r="IL67" s="1530"/>
      <c r="IM67" s="1530"/>
      <c r="IN67" s="1530"/>
      <c r="IO67" s="1530"/>
      <c r="IP67" s="1530"/>
    </row>
    <row r="68" spans="1:250" ht="21">
      <c r="A68" s="1527"/>
      <c r="B68" s="1524"/>
      <c r="C68" s="1524"/>
      <c r="D68" s="1524"/>
      <c r="E68" s="1524"/>
      <c r="F68" s="1524"/>
      <c r="G68" s="1524"/>
      <c r="H68" s="1526"/>
      <c r="I68" s="1526"/>
      <c r="J68" s="1526"/>
      <c r="K68" s="1526"/>
      <c r="L68" s="1526"/>
      <c r="M68" s="1526"/>
      <c r="AF68" s="1530"/>
      <c r="AG68" s="1530"/>
      <c r="AH68" s="1530"/>
      <c r="AI68" s="1530"/>
      <c r="AJ68" s="1530"/>
      <c r="AK68" s="1530"/>
      <c r="AL68" s="1530"/>
      <c r="AM68" s="1530"/>
      <c r="AN68" s="1530"/>
      <c r="AO68" s="1530"/>
      <c r="AP68" s="1530"/>
      <c r="AQ68" s="1530"/>
      <c r="AR68" s="1530"/>
      <c r="AS68" s="1530"/>
      <c r="AT68" s="1530"/>
      <c r="AU68" s="1530"/>
      <c r="AV68" s="1530"/>
      <c r="AW68" s="1530"/>
      <c r="AX68" s="1530"/>
      <c r="AY68" s="1530"/>
      <c r="AZ68" s="1530"/>
      <c r="BA68" s="1530"/>
      <c r="BB68" s="1530"/>
      <c r="BC68" s="1530"/>
      <c r="BD68" s="1530"/>
      <c r="BE68" s="1530"/>
      <c r="BF68" s="1530"/>
      <c r="BG68" s="1530"/>
      <c r="BH68" s="1530"/>
      <c r="BI68" s="1530"/>
      <c r="BJ68" s="1530"/>
      <c r="BK68" s="1530"/>
      <c r="BL68" s="1530"/>
      <c r="BM68" s="1530"/>
      <c r="BN68" s="1530"/>
      <c r="BO68" s="1530"/>
      <c r="BP68" s="1530"/>
      <c r="BQ68" s="1530"/>
      <c r="BR68" s="1530"/>
      <c r="BS68" s="1530"/>
      <c r="BT68" s="1530"/>
      <c r="BU68" s="1530"/>
      <c r="BV68" s="1530"/>
      <c r="BW68" s="1530"/>
      <c r="BX68" s="1530"/>
      <c r="BY68" s="1530"/>
      <c r="BZ68" s="1530"/>
      <c r="CA68" s="1530"/>
      <c r="CB68" s="1530"/>
      <c r="CC68" s="1530"/>
      <c r="CD68" s="1530"/>
      <c r="CE68" s="1530"/>
      <c r="CF68" s="1530"/>
      <c r="CG68" s="1530"/>
      <c r="CH68" s="1530"/>
      <c r="CI68" s="1530"/>
      <c r="CJ68" s="1530"/>
      <c r="CK68" s="1530"/>
      <c r="CL68" s="1530"/>
      <c r="CM68" s="1530"/>
      <c r="CN68" s="1530"/>
      <c r="CO68" s="1530"/>
      <c r="CP68" s="1530"/>
      <c r="CQ68" s="1530"/>
      <c r="CR68" s="1530"/>
      <c r="CS68" s="1530"/>
      <c r="CT68" s="1530"/>
      <c r="CU68" s="1530"/>
      <c r="CV68" s="1530"/>
      <c r="CW68" s="1530"/>
      <c r="CX68" s="1530"/>
      <c r="CY68" s="1530"/>
      <c r="CZ68" s="1530"/>
      <c r="DA68" s="1530"/>
      <c r="DB68" s="1530"/>
      <c r="DC68" s="1530"/>
      <c r="DD68" s="1530"/>
      <c r="DE68" s="1530"/>
      <c r="DF68" s="1530"/>
      <c r="DG68" s="1530"/>
      <c r="DH68" s="1530"/>
      <c r="DI68" s="1530"/>
      <c r="DJ68" s="1530"/>
      <c r="DK68" s="1530"/>
      <c r="DL68" s="1530"/>
      <c r="DM68" s="1530"/>
      <c r="DN68" s="1530"/>
      <c r="DO68" s="1530"/>
      <c r="DP68" s="1530"/>
      <c r="DQ68" s="1530"/>
      <c r="DR68" s="1530"/>
      <c r="DS68" s="1530"/>
      <c r="DT68" s="1530"/>
      <c r="DU68" s="1530"/>
      <c r="DV68" s="1530"/>
      <c r="DW68" s="1530"/>
      <c r="DX68" s="1530"/>
      <c r="DY68" s="1530"/>
      <c r="DZ68" s="1530"/>
      <c r="EA68" s="1530"/>
      <c r="EB68" s="1530"/>
      <c r="EC68" s="1530"/>
      <c r="ED68" s="1530"/>
      <c r="EE68" s="1530"/>
      <c r="EF68" s="1530"/>
      <c r="EG68" s="1530"/>
      <c r="EH68" s="1530"/>
      <c r="EI68" s="1530"/>
      <c r="EJ68" s="1530"/>
      <c r="EK68" s="1530"/>
      <c r="EL68" s="1530"/>
      <c r="EM68" s="1530"/>
      <c r="EN68" s="1530"/>
      <c r="EO68" s="1530"/>
      <c r="EP68" s="1530"/>
      <c r="EQ68" s="1530"/>
      <c r="ER68" s="1530"/>
      <c r="ES68" s="1530"/>
      <c r="ET68" s="1530"/>
      <c r="EU68" s="1530"/>
      <c r="EV68" s="1530"/>
      <c r="EW68" s="1530"/>
      <c r="EX68" s="1530"/>
      <c r="EY68" s="1530"/>
      <c r="EZ68" s="1530"/>
      <c r="FA68" s="1530"/>
      <c r="FB68" s="1530"/>
      <c r="FC68" s="1530"/>
      <c r="FD68" s="1530"/>
      <c r="FE68" s="1530"/>
      <c r="FF68" s="1530"/>
      <c r="FG68" s="1530"/>
      <c r="FH68" s="1530"/>
      <c r="FI68" s="1530"/>
      <c r="FJ68" s="1530"/>
      <c r="FK68" s="1530"/>
      <c r="FL68" s="1530"/>
      <c r="FM68" s="1530"/>
      <c r="FN68" s="1530"/>
      <c r="FO68" s="1530"/>
      <c r="FP68" s="1530"/>
      <c r="FQ68" s="1530"/>
      <c r="FR68" s="1530"/>
      <c r="FS68" s="1530"/>
      <c r="FT68" s="1530"/>
      <c r="FU68" s="1530"/>
      <c r="FV68" s="1530"/>
      <c r="FW68" s="1530"/>
      <c r="FX68" s="1530"/>
      <c r="FY68" s="1530"/>
      <c r="FZ68" s="1530"/>
      <c r="GA68" s="1530"/>
      <c r="GB68" s="1530"/>
      <c r="GC68" s="1530"/>
      <c r="GD68" s="1530"/>
      <c r="GE68" s="1530"/>
      <c r="GF68" s="1530"/>
      <c r="GG68" s="1530"/>
      <c r="GH68" s="1530"/>
      <c r="GI68" s="1530"/>
      <c r="GJ68" s="1530"/>
      <c r="GK68" s="1530"/>
      <c r="GL68" s="1530"/>
      <c r="GM68" s="1530"/>
      <c r="GN68" s="1530"/>
      <c r="GO68" s="1530"/>
      <c r="GP68" s="1530"/>
      <c r="GQ68" s="1530"/>
      <c r="GR68" s="1530"/>
      <c r="GS68" s="1530"/>
      <c r="GT68" s="1530"/>
      <c r="GU68" s="1530"/>
      <c r="GV68" s="1530"/>
      <c r="GW68" s="1530"/>
      <c r="GX68" s="1530"/>
      <c r="GY68" s="1530"/>
      <c r="GZ68" s="1530"/>
      <c r="HA68" s="1530"/>
      <c r="HB68" s="1530"/>
      <c r="HC68" s="1530"/>
      <c r="HD68" s="1530"/>
      <c r="HE68" s="1530"/>
      <c r="HF68" s="1530"/>
      <c r="HG68" s="1530"/>
      <c r="HH68" s="1530"/>
      <c r="HI68" s="1530"/>
      <c r="HJ68" s="1530"/>
      <c r="HK68" s="1530"/>
      <c r="HL68" s="1530"/>
      <c r="HM68" s="1530"/>
      <c r="HN68" s="1530"/>
      <c r="HO68" s="1530"/>
      <c r="HP68" s="1530"/>
      <c r="HQ68" s="1530"/>
      <c r="HR68" s="1530"/>
      <c r="HS68" s="1530"/>
      <c r="HT68" s="1530"/>
      <c r="HU68" s="1530"/>
      <c r="HV68" s="1530"/>
      <c r="HW68" s="1530"/>
      <c r="HX68" s="1530"/>
      <c r="HY68" s="1530"/>
      <c r="HZ68" s="1530"/>
      <c r="IA68" s="1530"/>
      <c r="IB68" s="1530"/>
      <c r="IC68" s="1530"/>
      <c r="ID68" s="1530"/>
      <c r="IE68" s="1530"/>
      <c r="IF68" s="1530"/>
      <c r="IG68" s="1530"/>
      <c r="IH68" s="1530"/>
      <c r="II68" s="1530"/>
      <c r="IJ68" s="1530"/>
      <c r="IK68" s="1530"/>
      <c r="IL68" s="1530"/>
      <c r="IM68" s="1530"/>
      <c r="IN68" s="1530"/>
      <c r="IO68" s="1530"/>
      <c r="IP68" s="1530"/>
    </row>
    <row r="69" spans="2:6" ht="21">
      <c r="B69" s="1625"/>
      <c r="D69" s="1626"/>
      <c r="F69" s="1625"/>
    </row>
    <row r="70" spans="2:6" ht="21">
      <c r="B70" s="1625"/>
      <c r="D70" s="1626"/>
      <c r="F70" s="1625"/>
    </row>
    <row r="71" spans="2:6" ht="21">
      <c r="B71" s="1625"/>
      <c r="D71" s="1626"/>
      <c r="F71" s="1625"/>
    </row>
    <row r="72" spans="2:6" ht="21">
      <c r="B72" s="1625"/>
      <c r="D72" s="1626"/>
      <c r="F72" s="1625"/>
    </row>
    <row r="73" spans="2:6" ht="21">
      <c r="B73" s="1625"/>
      <c r="D73" s="1626"/>
      <c r="F73" s="1625"/>
    </row>
    <row r="74" spans="2:6" ht="21">
      <c r="B74" s="1625"/>
      <c r="D74" s="1626"/>
      <c r="F74" s="1625"/>
    </row>
    <row r="75" spans="2:6" ht="21">
      <c r="B75" s="1625"/>
      <c r="D75" s="1626"/>
      <c r="F75" s="1625"/>
    </row>
  </sheetData>
  <sheetProtection/>
  <printOptions horizontalCentered="1" verticalCentered="1"/>
  <pageMargins left="0" right="0" top="0.25" bottom="0.25" header="0.25" footer="0.5"/>
  <pageSetup horizontalDpi="600" verticalDpi="600" orientation="portrait" scale="40" r:id="rId1"/>
  <headerFooter alignWithMargins="0">
    <oddHeader>&amp;L&amp;16&amp;YUnified Application for Housing Production Programs&amp;R&amp;16&amp;Yrevised - &amp;D</oddHeader>
  </headerFooter>
</worksheet>
</file>

<file path=xl/worksheets/sheet17.xml><?xml version="1.0" encoding="utf-8"?>
<worksheet xmlns="http://schemas.openxmlformats.org/spreadsheetml/2006/main" xmlns:r="http://schemas.openxmlformats.org/officeDocument/2006/relationships">
  <sheetPr codeName="Sheet11">
    <pageSetUpPr fitToPage="1"/>
  </sheetPr>
  <dimension ref="A1:AC58"/>
  <sheetViews>
    <sheetView showGridLines="0" zoomScale="75" zoomScaleNormal="75" zoomScalePageLayoutView="0" workbookViewId="0" topLeftCell="A1">
      <selection activeCell="I2" sqref="I2"/>
    </sheetView>
  </sheetViews>
  <sheetFormatPr defaultColWidth="7.10546875" defaultRowHeight="15"/>
  <cols>
    <col min="1" max="4" width="3.6640625" style="1628" customWidth="1"/>
    <col min="5" max="5" width="8.6640625" style="1628" customWidth="1"/>
    <col min="6" max="6" width="7.21484375" style="1628" bestFit="1" customWidth="1"/>
    <col min="7" max="7" width="7.10546875" style="1628" customWidth="1"/>
    <col min="8" max="8" width="8.5546875" style="1627" bestFit="1" customWidth="1"/>
    <col min="9" max="9" width="7.10546875" style="1628" customWidth="1"/>
    <col min="10" max="30" width="12.21484375" style="1628" customWidth="1"/>
    <col min="31" max="16384" width="7.10546875" style="1628" customWidth="1"/>
  </cols>
  <sheetData>
    <row r="1" spans="1:9" ht="15">
      <c r="A1" s="424" t="s">
        <v>1158</v>
      </c>
      <c r="B1" s="424"/>
      <c r="C1" s="424"/>
      <c r="D1" s="424"/>
      <c r="E1" s="424"/>
      <c r="F1" s="424"/>
      <c r="G1" s="424"/>
      <c r="I1" s="424" t="s">
        <v>1724</v>
      </c>
    </row>
    <row r="2" spans="2:10" ht="15">
      <c r="B2" s="424"/>
      <c r="C2" s="424"/>
      <c r="D2" s="424"/>
      <c r="E2" s="424"/>
      <c r="F2" s="424"/>
      <c r="G2" s="424"/>
      <c r="H2" s="425"/>
      <c r="I2" s="424"/>
      <c r="J2" s="424"/>
    </row>
    <row r="3" ht="15">
      <c r="A3" s="424" t="s">
        <v>1159</v>
      </c>
    </row>
    <row r="4" ht="15">
      <c r="A4" s="424"/>
    </row>
    <row r="5" spans="1:5" ht="17.25">
      <c r="A5" s="1795">
        <f>+Breakdown!C5</f>
        <v>0</v>
      </c>
      <c r="B5" s="1796"/>
      <c r="C5" s="1796"/>
      <c r="D5" s="1796"/>
      <c r="E5" s="1796"/>
    </row>
    <row r="6" spans="1:5" ht="17.25">
      <c r="A6" s="1795">
        <f>+Breakdown!C6</f>
        <v>0</v>
      </c>
      <c r="B6" s="1796"/>
      <c r="C6" s="1796"/>
      <c r="D6" s="1796"/>
      <c r="E6" s="1796"/>
    </row>
    <row r="7" spans="1:5" ht="17.25">
      <c r="A7" s="1795">
        <f>+Breakdown!C7</f>
        <v>0</v>
      </c>
      <c r="B7" s="1796"/>
      <c r="C7" s="1796"/>
      <c r="D7" s="1796"/>
      <c r="E7" s="1796"/>
    </row>
    <row r="8" spans="10:24" ht="15">
      <c r="J8" s="1629"/>
      <c r="K8" s="1629"/>
      <c r="L8" s="1629"/>
      <c r="M8" s="1629"/>
      <c r="N8" s="1629"/>
      <c r="O8" s="1629"/>
      <c r="P8" s="1629"/>
      <c r="Q8" s="1629"/>
      <c r="R8" s="1629"/>
      <c r="S8" s="1629"/>
      <c r="T8" s="1629"/>
      <c r="U8" s="1629"/>
      <c r="V8" s="1629"/>
      <c r="W8" s="1629"/>
      <c r="X8" s="1629"/>
    </row>
    <row r="9" spans="6:24" ht="15">
      <c r="F9" s="1629" t="s">
        <v>1160</v>
      </c>
      <c r="G9" s="1629"/>
      <c r="H9" s="1630" t="s">
        <v>1161</v>
      </c>
      <c r="I9" s="1629"/>
      <c r="J9" s="1629" t="s">
        <v>1162</v>
      </c>
      <c r="K9" s="1629" t="s">
        <v>1162</v>
      </c>
      <c r="L9" s="1629" t="s">
        <v>1162</v>
      </c>
      <c r="M9" s="1629" t="s">
        <v>1162</v>
      </c>
      <c r="N9" s="1629" t="s">
        <v>1162</v>
      </c>
      <c r="O9" s="1629" t="s">
        <v>1162</v>
      </c>
      <c r="P9" s="1629" t="s">
        <v>1162</v>
      </c>
      <c r="Q9" s="1629" t="s">
        <v>1162</v>
      </c>
      <c r="R9" s="1629" t="s">
        <v>1162</v>
      </c>
      <c r="S9" s="1629" t="s">
        <v>1162</v>
      </c>
      <c r="T9" s="1629" t="s">
        <v>1162</v>
      </c>
      <c r="U9" s="1629" t="s">
        <v>1162</v>
      </c>
      <c r="V9" s="1629" t="s">
        <v>1162</v>
      </c>
      <c r="W9" s="1629" t="s">
        <v>1162</v>
      </c>
      <c r="X9" s="1629" t="s">
        <v>1162</v>
      </c>
    </row>
    <row r="10" spans="6:24" ht="15">
      <c r="F10" s="1629" t="s">
        <v>1163</v>
      </c>
      <c r="G10" s="1629"/>
      <c r="H10" s="1630" t="s">
        <v>1164</v>
      </c>
      <c r="I10" s="1629"/>
      <c r="J10" s="1629">
        <v>1</v>
      </c>
      <c r="K10" s="1629">
        <f aca="true" t="shared" si="0" ref="K10:X10">+J10+1</f>
        <v>2</v>
      </c>
      <c r="L10" s="1629">
        <f t="shared" si="0"/>
        <v>3</v>
      </c>
      <c r="M10" s="1629">
        <f t="shared" si="0"/>
        <v>4</v>
      </c>
      <c r="N10" s="1629">
        <f t="shared" si="0"/>
        <v>5</v>
      </c>
      <c r="O10" s="1629">
        <f t="shared" si="0"/>
        <v>6</v>
      </c>
      <c r="P10" s="1629">
        <f t="shared" si="0"/>
        <v>7</v>
      </c>
      <c r="Q10" s="1629">
        <f t="shared" si="0"/>
        <v>8</v>
      </c>
      <c r="R10" s="1629">
        <f t="shared" si="0"/>
        <v>9</v>
      </c>
      <c r="S10" s="1629">
        <f t="shared" si="0"/>
        <v>10</v>
      </c>
      <c r="T10" s="1629">
        <f t="shared" si="0"/>
        <v>11</v>
      </c>
      <c r="U10" s="1629">
        <f t="shared" si="0"/>
        <v>12</v>
      </c>
      <c r="V10" s="1629">
        <f t="shared" si="0"/>
        <v>13</v>
      </c>
      <c r="W10" s="1629">
        <f t="shared" si="0"/>
        <v>14</v>
      </c>
      <c r="X10" s="1629">
        <f t="shared" si="0"/>
        <v>15</v>
      </c>
    </row>
    <row r="12" ht="15">
      <c r="A12" s="1628" t="s">
        <v>1165</v>
      </c>
    </row>
    <row r="13" spans="2:29" ht="15">
      <c r="B13" s="1628" t="s">
        <v>1166</v>
      </c>
      <c r="J13" s="1631"/>
      <c r="K13" s="1631"/>
      <c r="L13" s="1631"/>
      <c r="M13" s="1631"/>
      <c r="N13" s="1631"/>
      <c r="O13" s="1631"/>
      <c r="P13" s="1631"/>
      <c r="Q13" s="1631"/>
      <c r="R13" s="1631"/>
      <c r="S13" s="1631"/>
      <c r="T13" s="1631"/>
      <c r="U13" s="1631"/>
      <c r="V13" s="1631"/>
      <c r="W13" s="1631"/>
      <c r="X13" s="1631"/>
      <c r="Y13" s="1631"/>
      <c r="Z13" s="1631"/>
      <c r="AA13" s="1631"/>
      <c r="AB13" s="1631"/>
      <c r="AC13" s="1631"/>
    </row>
    <row r="14" spans="3:29" ht="15">
      <c r="C14" s="1628" t="s">
        <v>1167</v>
      </c>
      <c r="H14" s="436">
        <v>0.02</v>
      </c>
      <c r="J14" s="1632">
        <f>+'Rent Qual. Chart'!N31</f>
        <v>0</v>
      </c>
      <c r="K14" s="1633">
        <f aca="true" t="shared" si="1" ref="K14:X17">INT((1+$H14)*J14)</f>
        <v>0</v>
      </c>
      <c r="L14" s="1633">
        <f t="shared" si="1"/>
        <v>0</v>
      </c>
      <c r="M14" s="1633">
        <f t="shared" si="1"/>
        <v>0</v>
      </c>
      <c r="N14" s="1633">
        <f t="shared" si="1"/>
        <v>0</v>
      </c>
      <c r="O14" s="1633">
        <f t="shared" si="1"/>
        <v>0</v>
      </c>
      <c r="P14" s="1633">
        <f t="shared" si="1"/>
        <v>0</v>
      </c>
      <c r="Q14" s="1633">
        <f t="shared" si="1"/>
        <v>0</v>
      </c>
      <c r="R14" s="1633">
        <f t="shared" si="1"/>
        <v>0</v>
      </c>
      <c r="S14" s="1633">
        <f t="shared" si="1"/>
        <v>0</v>
      </c>
      <c r="T14" s="1633">
        <f t="shared" si="1"/>
        <v>0</v>
      </c>
      <c r="U14" s="1633">
        <f t="shared" si="1"/>
        <v>0</v>
      </c>
      <c r="V14" s="1633">
        <f t="shared" si="1"/>
        <v>0</v>
      </c>
      <c r="W14" s="1633">
        <f t="shared" si="1"/>
        <v>0</v>
      </c>
      <c r="X14" s="1633">
        <f t="shared" si="1"/>
        <v>0</v>
      </c>
      <c r="Y14" s="1631"/>
      <c r="Z14" s="1631"/>
      <c r="AA14" s="1628" t="s">
        <v>1168</v>
      </c>
      <c r="AB14" s="1631"/>
      <c r="AC14" s="1631"/>
    </row>
    <row r="15" spans="3:29" ht="15">
      <c r="C15" s="1628" t="s">
        <v>1169</v>
      </c>
      <c r="H15" s="436">
        <v>0.01</v>
      </c>
      <c r="J15" s="1632"/>
      <c r="K15" s="1633">
        <f t="shared" si="1"/>
        <v>0</v>
      </c>
      <c r="L15" s="1633">
        <f t="shared" si="1"/>
        <v>0</v>
      </c>
      <c r="M15" s="1633">
        <f t="shared" si="1"/>
        <v>0</v>
      </c>
      <c r="N15" s="1633">
        <f t="shared" si="1"/>
        <v>0</v>
      </c>
      <c r="O15" s="1633">
        <f t="shared" si="1"/>
        <v>0</v>
      </c>
      <c r="P15" s="1633">
        <f t="shared" si="1"/>
        <v>0</v>
      </c>
      <c r="Q15" s="1633">
        <f t="shared" si="1"/>
        <v>0</v>
      </c>
      <c r="R15" s="1633">
        <f t="shared" si="1"/>
        <v>0</v>
      </c>
      <c r="S15" s="1633">
        <f t="shared" si="1"/>
        <v>0</v>
      </c>
      <c r="T15" s="1633">
        <f t="shared" si="1"/>
        <v>0</v>
      </c>
      <c r="U15" s="1633">
        <f t="shared" si="1"/>
        <v>0</v>
      </c>
      <c r="V15" s="1633">
        <f t="shared" si="1"/>
        <v>0</v>
      </c>
      <c r="W15" s="1633">
        <f t="shared" si="1"/>
        <v>0</v>
      </c>
      <c r="X15" s="1633">
        <f t="shared" si="1"/>
        <v>0</v>
      </c>
      <c r="Y15" s="1631"/>
      <c r="Z15" s="1631"/>
      <c r="AA15" s="1633">
        <f>INT((1-F21-F22)*J14)</f>
        <v>0</v>
      </c>
      <c r="AB15" s="1631"/>
      <c r="AC15" s="1631"/>
    </row>
    <row r="16" spans="3:29" ht="15">
      <c r="C16" s="1628" t="s">
        <v>1170</v>
      </c>
      <c r="H16" s="436">
        <v>0.01</v>
      </c>
      <c r="J16" s="1632"/>
      <c r="K16" s="1633">
        <f t="shared" si="1"/>
        <v>0</v>
      </c>
      <c r="L16" s="1633">
        <f t="shared" si="1"/>
        <v>0</v>
      </c>
      <c r="M16" s="1633">
        <f t="shared" si="1"/>
        <v>0</v>
      </c>
      <c r="N16" s="1633">
        <f t="shared" si="1"/>
        <v>0</v>
      </c>
      <c r="O16" s="1633">
        <f t="shared" si="1"/>
        <v>0</v>
      </c>
      <c r="P16" s="1633">
        <f t="shared" si="1"/>
        <v>0</v>
      </c>
      <c r="Q16" s="1633">
        <f t="shared" si="1"/>
        <v>0</v>
      </c>
      <c r="R16" s="1633">
        <f t="shared" si="1"/>
        <v>0</v>
      </c>
      <c r="S16" s="1633">
        <f t="shared" si="1"/>
        <v>0</v>
      </c>
      <c r="T16" s="1633">
        <f t="shared" si="1"/>
        <v>0</v>
      </c>
      <c r="U16" s="1633">
        <f t="shared" si="1"/>
        <v>0</v>
      </c>
      <c r="V16" s="1633">
        <f t="shared" si="1"/>
        <v>0</v>
      </c>
      <c r="W16" s="1633">
        <f t="shared" si="1"/>
        <v>0</v>
      </c>
      <c r="X16" s="1633">
        <f t="shared" si="1"/>
        <v>0</v>
      </c>
      <c r="Y16" s="1631"/>
      <c r="Z16" s="1631"/>
      <c r="AB16" s="1631"/>
      <c r="AC16" s="1631"/>
    </row>
    <row r="17" spans="3:29" ht="15">
      <c r="C17" s="1634" t="s">
        <v>1171</v>
      </c>
      <c r="D17" s="1634"/>
      <c r="E17" s="1793"/>
      <c r="F17" s="1794"/>
      <c r="G17" s="1634"/>
      <c r="H17" s="437">
        <v>0.01</v>
      </c>
      <c r="I17" s="1634"/>
      <c r="J17" s="1635"/>
      <c r="K17" s="1636">
        <f t="shared" si="1"/>
        <v>0</v>
      </c>
      <c r="L17" s="1636">
        <f t="shared" si="1"/>
        <v>0</v>
      </c>
      <c r="M17" s="1636">
        <f t="shared" si="1"/>
        <v>0</v>
      </c>
      <c r="N17" s="1636">
        <f t="shared" si="1"/>
        <v>0</v>
      </c>
      <c r="O17" s="1636">
        <f t="shared" si="1"/>
        <v>0</v>
      </c>
      <c r="P17" s="1636">
        <f t="shared" si="1"/>
        <v>0</v>
      </c>
      <c r="Q17" s="1636">
        <f t="shared" si="1"/>
        <v>0</v>
      </c>
      <c r="R17" s="1636">
        <f t="shared" si="1"/>
        <v>0</v>
      </c>
      <c r="S17" s="1636">
        <f t="shared" si="1"/>
        <v>0</v>
      </c>
      <c r="T17" s="1636">
        <f t="shared" si="1"/>
        <v>0</v>
      </c>
      <c r="U17" s="1636">
        <f t="shared" si="1"/>
        <v>0</v>
      </c>
      <c r="V17" s="1636">
        <f t="shared" si="1"/>
        <v>0</v>
      </c>
      <c r="W17" s="1636">
        <f t="shared" si="1"/>
        <v>0</v>
      </c>
      <c r="X17" s="1636">
        <f t="shared" si="1"/>
        <v>0</v>
      </c>
      <c r="Y17" s="1631"/>
      <c r="Z17" s="1631"/>
      <c r="AB17" s="1631"/>
      <c r="AC17" s="1631"/>
    </row>
    <row r="18" spans="3:29" ht="15">
      <c r="C18" s="1628" t="s">
        <v>1172</v>
      </c>
      <c r="J18" s="1633">
        <f aca="true" t="shared" si="2" ref="J18:X18">SUM(J14:J17)</f>
        <v>0</v>
      </c>
      <c r="K18" s="1633">
        <f t="shared" si="2"/>
        <v>0</v>
      </c>
      <c r="L18" s="1633">
        <f t="shared" si="2"/>
        <v>0</v>
      </c>
      <c r="M18" s="1633">
        <f t="shared" si="2"/>
        <v>0</v>
      </c>
      <c r="N18" s="1633">
        <f t="shared" si="2"/>
        <v>0</v>
      </c>
      <c r="O18" s="1633">
        <f t="shared" si="2"/>
        <v>0</v>
      </c>
      <c r="P18" s="1633">
        <f t="shared" si="2"/>
        <v>0</v>
      </c>
      <c r="Q18" s="1633">
        <f t="shared" si="2"/>
        <v>0</v>
      </c>
      <c r="R18" s="1633">
        <f t="shared" si="2"/>
        <v>0</v>
      </c>
      <c r="S18" s="1633">
        <f t="shared" si="2"/>
        <v>0</v>
      </c>
      <c r="T18" s="1633">
        <f t="shared" si="2"/>
        <v>0</v>
      </c>
      <c r="U18" s="1633">
        <f t="shared" si="2"/>
        <v>0</v>
      </c>
      <c r="V18" s="1633">
        <f t="shared" si="2"/>
        <v>0</v>
      </c>
      <c r="W18" s="1633">
        <f t="shared" si="2"/>
        <v>0</v>
      </c>
      <c r="X18" s="1633">
        <f t="shared" si="2"/>
        <v>0</v>
      </c>
      <c r="Y18" s="1631"/>
      <c r="Z18" s="1631"/>
      <c r="AB18" s="1631"/>
      <c r="AC18" s="1631"/>
    </row>
    <row r="19" spans="10:29" ht="15">
      <c r="J19" s="1633"/>
      <c r="K19" s="1633"/>
      <c r="L19" s="1633"/>
      <c r="M19" s="1633"/>
      <c r="N19" s="1633"/>
      <c r="O19" s="1633"/>
      <c r="P19" s="1633"/>
      <c r="Q19" s="1633"/>
      <c r="R19" s="1633"/>
      <c r="S19" s="1633"/>
      <c r="T19" s="1633"/>
      <c r="U19" s="1633"/>
      <c r="V19" s="1633"/>
      <c r="W19" s="1633"/>
      <c r="X19" s="1633"/>
      <c r="Y19" s="1631"/>
      <c r="Z19" s="1631"/>
      <c r="AB19" s="1631"/>
      <c r="AC19" s="1631"/>
    </row>
    <row r="20" spans="3:29" ht="15">
      <c r="C20" s="1628" t="s">
        <v>1173</v>
      </c>
      <c r="J20" s="1633"/>
      <c r="K20" s="1633"/>
      <c r="L20" s="1633"/>
      <c r="M20" s="1633"/>
      <c r="N20" s="1633"/>
      <c r="O20" s="1633"/>
      <c r="P20" s="1633"/>
      <c r="Q20" s="1633"/>
      <c r="R20" s="1633"/>
      <c r="S20" s="1633"/>
      <c r="T20" s="1633"/>
      <c r="U20" s="1633"/>
      <c r="V20" s="1633"/>
      <c r="W20" s="1633"/>
      <c r="X20" s="1633"/>
      <c r="Y20" s="1631"/>
      <c r="Z20" s="1631"/>
      <c r="AB20" s="1631"/>
      <c r="AC20" s="1631"/>
    </row>
    <row r="21" spans="4:29" ht="15">
      <c r="D21" s="1628" t="s">
        <v>1174</v>
      </c>
      <c r="F21" s="1637">
        <v>0.06</v>
      </c>
      <c r="J21" s="1633">
        <f aca="true" t="shared" si="3" ref="J21:X21">-ROUND($F21*J18,0)</f>
        <v>0</v>
      </c>
      <c r="K21" s="1633">
        <f t="shared" si="3"/>
        <v>0</v>
      </c>
      <c r="L21" s="1633">
        <f t="shared" si="3"/>
        <v>0</v>
      </c>
      <c r="M21" s="1633">
        <f t="shared" si="3"/>
        <v>0</v>
      </c>
      <c r="N21" s="1633">
        <f t="shared" si="3"/>
        <v>0</v>
      </c>
      <c r="O21" s="1633">
        <f t="shared" si="3"/>
        <v>0</v>
      </c>
      <c r="P21" s="1633">
        <f t="shared" si="3"/>
        <v>0</v>
      </c>
      <c r="Q21" s="1633">
        <f t="shared" si="3"/>
        <v>0</v>
      </c>
      <c r="R21" s="1633">
        <f t="shared" si="3"/>
        <v>0</v>
      </c>
      <c r="S21" s="1633">
        <f t="shared" si="3"/>
        <v>0</v>
      </c>
      <c r="T21" s="1633">
        <f t="shared" si="3"/>
        <v>0</v>
      </c>
      <c r="U21" s="1633">
        <f t="shared" si="3"/>
        <v>0</v>
      </c>
      <c r="V21" s="1633">
        <f t="shared" si="3"/>
        <v>0</v>
      </c>
      <c r="W21" s="1633">
        <f t="shared" si="3"/>
        <v>0</v>
      </c>
      <c r="X21" s="1633">
        <f t="shared" si="3"/>
        <v>0</v>
      </c>
      <c r="Y21" s="1631"/>
      <c r="Z21" s="1631"/>
      <c r="AB21" s="1631"/>
      <c r="AC21" s="1631"/>
    </row>
    <row r="22" spans="3:29" ht="15">
      <c r="C22" s="1634"/>
      <c r="D22" s="1634" t="s">
        <v>1175</v>
      </c>
      <c r="E22" s="1634"/>
      <c r="F22" s="1638">
        <v>0.01</v>
      </c>
      <c r="G22" s="1634"/>
      <c r="H22" s="1639"/>
      <c r="I22" s="1634"/>
      <c r="J22" s="1636">
        <f aca="true" t="shared" si="4" ref="J22:X22">-ROUND($F22*J18,0)</f>
        <v>0</v>
      </c>
      <c r="K22" s="1636">
        <f t="shared" si="4"/>
        <v>0</v>
      </c>
      <c r="L22" s="1636">
        <f t="shared" si="4"/>
        <v>0</v>
      </c>
      <c r="M22" s="1636">
        <f t="shared" si="4"/>
        <v>0</v>
      </c>
      <c r="N22" s="1636">
        <f t="shared" si="4"/>
        <v>0</v>
      </c>
      <c r="O22" s="1636">
        <f t="shared" si="4"/>
        <v>0</v>
      </c>
      <c r="P22" s="1636">
        <f t="shared" si="4"/>
        <v>0</v>
      </c>
      <c r="Q22" s="1636">
        <f t="shared" si="4"/>
        <v>0</v>
      </c>
      <c r="R22" s="1636">
        <f t="shared" si="4"/>
        <v>0</v>
      </c>
      <c r="S22" s="1636">
        <f t="shared" si="4"/>
        <v>0</v>
      </c>
      <c r="T22" s="1636">
        <f t="shared" si="4"/>
        <v>0</v>
      </c>
      <c r="U22" s="1636">
        <f t="shared" si="4"/>
        <v>0</v>
      </c>
      <c r="V22" s="1636">
        <f t="shared" si="4"/>
        <v>0</v>
      </c>
      <c r="W22" s="1636">
        <f t="shared" si="4"/>
        <v>0</v>
      </c>
      <c r="X22" s="1636">
        <f t="shared" si="4"/>
        <v>0</v>
      </c>
      <c r="Y22" s="1631"/>
      <c r="Z22" s="1631"/>
      <c r="AB22" s="1631"/>
      <c r="AC22" s="1631"/>
    </row>
    <row r="23" spans="3:29" s="424" customFormat="1" ht="15">
      <c r="C23" s="424" t="s">
        <v>1176</v>
      </c>
      <c r="H23" s="425"/>
      <c r="J23" s="426">
        <f aca="true" t="shared" si="5" ref="J23:X23">SUM(J18:J22)</f>
        <v>0</v>
      </c>
      <c r="K23" s="426">
        <f t="shared" si="5"/>
        <v>0</v>
      </c>
      <c r="L23" s="426">
        <f t="shared" si="5"/>
        <v>0</v>
      </c>
      <c r="M23" s="426">
        <f t="shared" si="5"/>
        <v>0</v>
      </c>
      <c r="N23" s="426">
        <f t="shared" si="5"/>
        <v>0</v>
      </c>
      <c r="O23" s="426">
        <f t="shared" si="5"/>
        <v>0</v>
      </c>
      <c r="P23" s="426">
        <f t="shared" si="5"/>
        <v>0</v>
      </c>
      <c r="Q23" s="426">
        <f t="shared" si="5"/>
        <v>0</v>
      </c>
      <c r="R23" s="426">
        <f t="shared" si="5"/>
        <v>0</v>
      </c>
      <c r="S23" s="426">
        <f t="shared" si="5"/>
        <v>0</v>
      </c>
      <c r="T23" s="426">
        <f t="shared" si="5"/>
        <v>0</v>
      </c>
      <c r="U23" s="426">
        <f t="shared" si="5"/>
        <v>0</v>
      </c>
      <c r="V23" s="426">
        <f t="shared" si="5"/>
        <v>0</v>
      </c>
      <c r="W23" s="426">
        <f t="shared" si="5"/>
        <v>0</v>
      </c>
      <c r="X23" s="426">
        <f t="shared" si="5"/>
        <v>0</v>
      </c>
      <c r="Y23" s="427"/>
      <c r="Z23" s="427"/>
      <c r="AA23" s="1628"/>
      <c r="AB23" s="427"/>
      <c r="AC23" s="427"/>
    </row>
    <row r="24" spans="8:29" s="424" customFormat="1" ht="15">
      <c r="H24" s="425"/>
      <c r="J24" s="426"/>
      <c r="K24" s="426"/>
      <c r="L24" s="426"/>
      <c r="M24" s="426"/>
      <c r="N24" s="426"/>
      <c r="O24" s="426"/>
      <c r="P24" s="426"/>
      <c r="Q24" s="426"/>
      <c r="R24" s="426"/>
      <c r="S24" s="426"/>
      <c r="T24" s="426"/>
      <c r="U24" s="426"/>
      <c r="V24" s="426"/>
      <c r="W24" s="426"/>
      <c r="X24" s="426"/>
      <c r="Y24" s="427"/>
      <c r="Z24" s="427"/>
      <c r="AB24" s="427"/>
      <c r="AC24" s="427"/>
    </row>
    <row r="25" spans="2:29" ht="15">
      <c r="B25" s="1628" t="s">
        <v>1181</v>
      </c>
      <c r="J25" s="1631"/>
      <c r="K25" s="1631"/>
      <c r="L25" s="1631"/>
      <c r="M25" s="1631"/>
      <c r="N25" s="1631"/>
      <c r="O25" s="1631"/>
      <c r="P25" s="1631"/>
      <c r="Q25" s="1631"/>
      <c r="R25" s="1631"/>
      <c r="S25" s="1631"/>
      <c r="T25" s="1631"/>
      <c r="U25" s="1631"/>
      <c r="V25" s="1631"/>
      <c r="W25" s="1631"/>
      <c r="X25" s="1631"/>
      <c r="Y25" s="1631"/>
      <c r="Z25" s="1631"/>
      <c r="AA25" s="424"/>
      <c r="AB25" s="1631"/>
      <c r="AC25" s="1631"/>
    </row>
    <row r="26" spans="3:29" ht="15">
      <c r="C26" s="1628" t="s">
        <v>1182</v>
      </c>
      <c r="H26" s="1640"/>
      <c r="J26" s="1641"/>
      <c r="K26" s="1641"/>
      <c r="L26" s="1641"/>
      <c r="M26" s="1641"/>
      <c r="N26" s="1641"/>
      <c r="O26" s="1641"/>
      <c r="P26" s="1641"/>
      <c r="Q26" s="1641"/>
      <c r="R26" s="1641"/>
      <c r="S26" s="1641"/>
      <c r="T26" s="1641"/>
      <c r="U26" s="1641"/>
      <c r="V26" s="1641"/>
      <c r="W26" s="1641"/>
      <c r="X26" s="1641"/>
      <c r="Y26" s="1631"/>
      <c r="Z26" s="1631"/>
      <c r="AB26" s="1631"/>
      <c r="AC26" s="1631"/>
    </row>
    <row r="27" spans="3:29" ht="15">
      <c r="C27" s="1628" t="s">
        <v>1184</v>
      </c>
      <c r="H27" s="1640"/>
      <c r="J27" s="1641"/>
      <c r="K27" s="1641"/>
      <c r="L27" s="1641"/>
      <c r="M27" s="1641"/>
      <c r="N27" s="1641"/>
      <c r="O27" s="1641"/>
      <c r="P27" s="1641"/>
      <c r="Q27" s="1641"/>
      <c r="R27" s="1641"/>
      <c r="S27" s="1641"/>
      <c r="T27" s="1641"/>
      <c r="U27" s="1641"/>
      <c r="V27" s="1641"/>
      <c r="W27" s="1641"/>
      <c r="X27" s="1641"/>
      <c r="Y27" s="1631"/>
      <c r="Z27" s="1631"/>
      <c r="AB27" s="1631"/>
      <c r="AC27" s="1631"/>
    </row>
    <row r="28" spans="3:29" ht="15">
      <c r="C28" s="1634" t="s">
        <v>1171</v>
      </c>
      <c r="D28" s="1634"/>
      <c r="E28" s="1793"/>
      <c r="F28" s="1794"/>
      <c r="G28" s="1634"/>
      <c r="H28" s="1642"/>
      <c r="I28" s="1634"/>
      <c r="J28" s="1643"/>
      <c r="K28" s="1643"/>
      <c r="L28" s="1643"/>
      <c r="M28" s="1643"/>
      <c r="N28" s="1643"/>
      <c r="O28" s="1643"/>
      <c r="P28" s="1643"/>
      <c r="Q28" s="1643"/>
      <c r="R28" s="1643"/>
      <c r="S28" s="1643"/>
      <c r="T28" s="1643"/>
      <c r="U28" s="1643"/>
      <c r="V28" s="1643"/>
      <c r="W28" s="1643"/>
      <c r="X28" s="1643"/>
      <c r="Y28" s="1631"/>
      <c r="Z28" s="1631"/>
      <c r="AB28" s="1631"/>
      <c r="AC28" s="1631"/>
    </row>
    <row r="29" spans="3:29" ht="15">
      <c r="C29" s="1628" t="s">
        <v>1172</v>
      </c>
      <c r="J29" s="428">
        <f aca="true" t="shared" si="6" ref="J29:X29">SUM(J26:J28)</f>
        <v>0</v>
      </c>
      <c r="K29" s="1633">
        <f t="shared" si="6"/>
        <v>0</v>
      </c>
      <c r="L29" s="1633">
        <f t="shared" si="6"/>
        <v>0</v>
      </c>
      <c r="M29" s="1633">
        <f t="shared" si="6"/>
        <v>0</v>
      </c>
      <c r="N29" s="1633">
        <f t="shared" si="6"/>
        <v>0</v>
      </c>
      <c r="O29" s="1633">
        <f t="shared" si="6"/>
        <v>0</v>
      </c>
      <c r="P29" s="1633">
        <f t="shared" si="6"/>
        <v>0</v>
      </c>
      <c r="Q29" s="1633">
        <f t="shared" si="6"/>
        <v>0</v>
      </c>
      <c r="R29" s="1633">
        <f t="shared" si="6"/>
        <v>0</v>
      </c>
      <c r="S29" s="1633">
        <f t="shared" si="6"/>
        <v>0</v>
      </c>
      <c r="T29" s="1633">
        <f t="shared" si="6"/>
        <v>0</v>
      </c>
      <c r="U29" s="1633">
        <f t="shared" si="6"/>
        <v>0</v>
      </c>
      <c r="V29" s="1633">
        <f t="shared" si="6"/>
        <v>0</v>
      </c>
      <c r="W29" s="1633">
        <f t="shared" si="6"/>
        <v>0</v>
      </c>
      <c r="X29" s="1633">
        <f t="shared" si="6"/>
        <v>0</v>
      </c>
      <c r="Y29" s="1631"/>
      <c r="Z29" s="1631"/>
      <c r="AB29" s="1631"/>
      <c r="AC29" s="1631"/>
    </row>
    <row r="30" spans="3:29" ht="15">
      <c r="C30" s="1634" t="s">
        <v>1173</v>
      </c>
      <c r="D30" s="1634"/>
      <c r="E30" s="1634"/>
      <c r="F30" s="1638">
        <v>0.05</v>
      </c>
      <c r="G30" s="1634"/>
      <c r="H30" s="1639"/>
      <c r="I30" s="1634"/>
      <c r="J30" s="1636">
        <f aca="true" t="shared" si="7" ref="J30:X30">-ROUND($F30*J29,0)</f>
        <v>0</v>
      </c>
      <c r="K30" s="1636">
        <f t="shared" si="7"/>
        <v>0</v>
      </c>
      <c r="L30" s="1636">
        <f t="shared" si="7"/>
        <v>0</v>
      </c>
      <c r="M30" s="1636">
        <f t="shared" si="7"/>
        <v>0</v>
      </c>
      <c r="N30" s="1636">
        <f t="shared" si="7"/>
        <v>0</v>
      </c>
      <c r="O30" s="1636">
        <f t="shared" si="7"/>
        <v>0</v>
      </c>
      <c r="P30" s="1636">
        <f t="shared" si="7"/>
        <v>0</v>
      </c>
      <c r="Q30" s="1636">
        <f t="shared" si="7"/>
        <v>0</v>
      </c>
      <c r="R30" s="1636">
        <f t="shared" si="7"/>
        <v>0</v>
      </c>
      <c r="S30" s="1636">
        <f t="shared" si="7"/>
        <v>0</v>
      </c>
      <c r="T30" s="1636">
        <f t="shared" si="7"/>
        <v>0</v>
      </c>
      <c r="U30" s="1636">
        <f t="shared" si="7"/>
        <v>0</v>
      </c>
      <c r="V30" s="1636">
        <f t="shared" si="7"/>
        <v>0</v>
      </c>
      <c r="W30" s="1636">
        <f t="shared" si="7"/>
        <v>0</v>
      </c>
      <c r="X30" s="1636">
        <f t="shared" si="7"/>
        <v>0</v>
      </c>
      <c r="Y30" s="1631"/>
      <c r="Z30" s="1631"/>
      <c r="AB30" s="1631"/>
      <c r="AC30" s="1631"/>
    </row>
    <row r="31" spans="3:29" s="424" customFormat="1" ht="15">
      <c r="C31" s="424" t="s">
        <v>1176</v>
      </c>
      <c r="H31" s="425"/>
      <c r="J31" s="426">
        <f aca="true" t="shared" si="8" ref="J31:X31">SUM(J29:J30)</f>
        <v>0</v>
      </c>
      <c r="K31" s="426">
        <f t="shared" si="8"/>
        <v>0</v>
      </c>
      <c r="L31" s="426">
        <f t="shared" si="8"/>
        <v>0</v>
      </c>
      <c r="M31" s="426">
        <f t="shared" si="8"/>
        <v>0</v>
      </c>
      <c r="N31" s="426">
        <f t="shared" si="8"/>
        <v>0</v>
      </c>
      <c r="O31" s="426">
        <f t="shared" si="8"/>
        <v>0</v>
      </c>
      <c r="P31" s="426">
        <f t="shared" si="8"/>
        <v>0</v>
      </c>
      <c r="Q31" s="426">
        <f t="shared" si="8"/>
        <v>0</v>
      </c>
      <c r="R31" s="426">
        <f t="shared" si="8"/>
        <v>0</v>
      </c>
      <c r="S31" s="426">
        <f t="shared" si="8"/>
        <v>0</v>
      </c>
      <c r="T31" s="426">
        <f t="shared" si="8"/>
        <v>0</v>
      </c>
      <c r="U31" s="426">
        <f t="shared" si="8"/>
        <v>0</v>
      </c>
      <c r="V31" s="426">
        <f t="shared" si="8"/>
        <v>0</v>
      </c>
      <c r="W31" s="426">
        <f t="shared" si="8"/>
        <v>0</v>
      </c>
      <c r="X31" s="426">
        <f t="shared" si="8"/>
        <v>0</v>
      </c>
      <c r="Y31" s="427"/>
      <c r="Z31" s="427"/>
      <c r="AA31" s="1628"/>
      <c r="AB31" s="427"/>
      <c r="AC31" s="427"/>
    </row>
    <row r="32" spans="8:29" s="424" customFormat="1" ht="15">
      <c r="H32" s="425"/>
      <c r="J32" s="426"/>
      <c r="K32" s="426"/>
      <c r="L32" s="426"/>
      <c r="M32" s="426"/>
      <c r="N32" s="426"/>
      <c r="O32" s="426"/>
      <c r="P32" s="426"/>
      <c r="Q32" s="426"/>
      <c r="R32" s="426"/>
      <c r="S32" s="426"/>
      <c r="T32" s="426"/>
      <c r="U32" s="426"/>
      <c r="V32" s="426"/>
      <c r="W32" s="426"/>
      <c r="X32" s="426"/>
      <c r="Y32" s="427"/>
      <c r="Z32" s="427"/>
      <c r="AB32" s="427"/>
      <c r="AC32" s="427"/>
    </row>
    <row r="33" spans="2:29" ht="18.75" customHeight="1">
      <c r="B33" s="1628" t="s">
        <v>1185</v>
      </c>
      <c r="J33" s="1631"/>
      <c r="K33" s="1631"/>
      <c r="L33" s="1631"/>
      <c r="M33" s="1631"/>
      <c r="N33" s="1631"/>
      <c r="O33" s="1631"/>
      <c r="P33" s="1631"/>
      <c r="Q33" s="1631"/>
      <c r="R33" s="1631"/>
      <c r="S33" s="1631"/>
      <c r="T33" s="1631"/>
      <c r="U33" s="1631"/>
      <c r="V33" s="1631"/>
      <c r="W33" s="1631"/>
      <c r="X33" s="1631"/>
      <c r="Y33" s="1631"/>
      <c r="Z33" s="1631"/>
      <c r="AA33" s="424"/>
      <c r="AB33" s="1631"/>
      <c r="AC33" s="1631"/>
    </row>
    <row r="34" spans="3:29" ht="15">
      <c r="C34" s="1628" t="s">
        <v>1167</v>
      </c>
      <c r="H34" s="436">
        <v>0.02</v>
      </c>
      <c r="J34" s="1641"/>
      <c r="K34" s="1633">
        <f aca="true" t="shared" si="9" ref="K34:X37">INT((1+$H34)*J34)</f>
        <v>0</v>
      </c>
      <c r="L34" s="1633">
        <f t="shared" si="9"/>
        <v>0</v>
      </c>
      <c r="M34" s="1633">
        <f t="shared" si="9"/>
        <v>0</v>
      </c>
      <c r="N34" s="1633">
        <f t="shared" si="9"/>
        <v>0</v>
      </c>
      <c r="O34" s="1633">
        <f t="shared" si="9"/>
        <v>0</v>
      </c>
      <c r="P34" s="1633">
        <f t="shared" si="9"/>
        <v>0</v>
      </c>
      <c r="Q34" s="1633">
        <f t="shared" si="9"/>
        <v>0</v>
      </c>
      <c r="R34" s="1633">
        <f t="shared" si="9"/>
        <v>0</v>
      </c>
      <c r="S34" s="1633">
        <f t="shared" si="9"/>
        <v>0</v>
      </c>
      <c r="T34" s="1633">
        <f t="shared" si="9"/>
        <v>0</v>
      </c>
      <c r="U34" s="1633">
        <f t="shared" si="9"/>
        <v>0</v>
      </c>
      <c r="V34" s="1633">
        <f t="shared" si="9"/>
        <v>0</v>
      </c>
      <c r="W34" s="1633">
        <f t="shared" si="9"/>
        <v>0</v>
      </c>
      <c r="X34" s="1633">
        <f t="shared" si="9"/>
        <v>0</v>
      </c>
      <c r="Y34" s="1631"/>
      <c r="Z34" s="1631"/>
      <c r="AB34" s="1631"/>
      <c r="AC34" s="1631"/>
    </row>
    <row r="35" spans="3:29" ht="15">
      <c r="C35" s="1628" t="s">
        <v>1169</v>
      </c>
      <c r="H35" s="436">
        <v>0.01</v>
      </c>
      <c r="J35" s="1641"/>
      <c r="K35" s="1633">
        <f t="shared" si="9"/>
        <v>0</v>
      </c>
      <c r="L35" s="1633">
        <f t="shared" si="9"/>
        <v>0</v>
      </c>
      <c r="M35" s="1633">
        <f t="shared" si="9"/>
        <v>0</v>
      </c>
      <c r="N35" s="1633">
        <f t="shared" si="9"/>
        <v>0</v>
      </c>
      <c r="O35" s="1633">
        <f t="shared" si="9"/>
        <v>0</v>
      </c>
      <c r="P35" s="1633">
        <f t="shared" si="9"/>
        <v>0</v>
      </c>
      <c r="Q35" s="1633">
        <f t="shared" si="9"/>
        <v>0</v>
      </c>
      <c r="R35" s="1633">
        <f t="shared" si="9"/>
        <v>0</v>
      </c>
      <c r="S35" s="1633">
        <f t="shared" si="9"/>
        <v>0</v>
      </c>
      <c r="T35" s="1633">
        <f t="shared" si="9"/>
        <v>0</v>
      </c>
      <c r="U35" s="1633">
        <f t="shared" si="9"/>
        <v>0</v>
      </c>
      <c r="V35" s="1633">
        <f t="shared" si="9"/>
        <v>0</v>
      </c>
      <c r="W35" s="1633">
        <f t="shared" si="9"/>
        <v>0</v>
      </c>
      <c r="X35" s="1633">
        <f t="shared" si="9"/>
        <v>0</v>
      </c>
      <c r="Y35" s="1631"/>
      <c r="Z35" s="1631"/>
      <c r="AA35" s="1633">
        <f>INT((1-F41-F42)*J34)</f>
        <v>0</v>
      </c>
      <c r="AB35" s="1631"/>
      <c r="AC35" s="1631"/>
    </row>
    <row r="36" spans="3:29" ht="15">
      <c r="C36" s="1628" t="s">
        <v>1170</v>
      </c>
      <c r="H36" s="436">
        <v>0.01</v>
      </c>
      <c r="J36" s="1641"/>
      <c r="K36" s="1633">
        <f t="shared" si="9"/>
        <v>0</v>
      </c>
      <c r="L36" s="1633">
        <f t="shared" si="9"/>
        <v>0</v>
      </c>
      <c r="M36" s="1633">
        <f t="shared" si="9"/>
        <v>0</v>
      </c>
      <c r="N36" s="1633">
        <f t="shared" si="9"/>
        <v>0</v>
      </c>
      <c r="O36" s="1633">
        <f t="shared" si="9"/>
        <v>0</v>
      </c>
      <c r="P36" s="1633">
        <f t="shared" si="9"/>
        <v>0</v>
      </c>
      <c r="Q36" s="1633">
        <f t="shared" si="9"/>
        <v>0</v>
      </c>
      <c r="R36" s="1633">
        <f t="shared" si="9"/>
        <v>0</v>
      </c>
      <c r="S36" s="1633">
        <f t="shared" si="9"/>
        <v>0</v>
      </c>
      <c r="T36" s="1633">
        <f t="shared" si="9"/>
        <v>0</v>
      </c>
      <c r="U36" s="1633">
        <f t="shared" si="9"/>
        <v>0</v>
      </c>
      <c r="V36" s="1633">
        <f t="shared" si="9"/>
        <v>0</v>
      </c>
      <c r="W36" s="1633">
        <f t="shared" si="9"/>
        <v>0</v>
      </c>
      <c r="X36" s="1633">
        <f t="shared" si="9"/>
        <v>0</v>
      </c>
      <c r="Y36" s="1631"/>
      <c r="Z36" s="1631"/>
      <c r="AB36" s="1631"/>
      <c r="AC36" s="1631"/>
    </row>
    <row r="37" spans="3:29" ht="15">
      <c r="C37" s="1634" t="s">
        <v>1171</v>
      </c>
      <c r="D37" s="1634"/>
      <c r="E37" s="1793"/>
      <c r="F37" s="1794"/>
      <c r="G37" s="1634"/>
      <c r="H37" s="437">
        <v>0.01</v>
      </c>
      <c r="I37" s="1634"/>
      <c r="J37" s="1643"/>
      <c r="K37" s="1636">
        <f t="shared" si="9"/>
        <v>0</v>
      </c>
      <c r="L37" s="1636">
        <f t="shared" si="9"/>
        <v>0</v>
      </c>
      <c r="M37" s="1636">
        <f t="shared" si="9"/>
        <v>0</v>
      </c>
      <c r="N37" s="1636">
        <f t="shared" si="9"/>
        <v>0</v>
      </c>
      <c r="O37" s="1636">
        <f t="shared" si="9"/>
        <v>0</v>
      </c>
      <c r="P37" s="1636">
        <f t="shared" si="9"/>
        <v>0</v>
      </c>
      <c r="Q37" s="1636">
        <f t="shared" si="9"/>
        <v>0</v>
      </c>
      <c r="R37" s="1636">
        <f t="shared" si="9"/>
        <v>0</v>
      </c>
      <c r="S37" s="1636">
        <f t="shared" si="9"/>
        <v>0</v>
      </c>
      <c r="T37" s="1636">
        <f t="shared" si="9"/>
        <v>0</v>
      </c>
      <c r="U37" s="1636">
        <f t="shared" si="9"/>
        <v>0</v>
      </c>
      <c r="V37" s="1636">
        <f t="shared" si="9"/>
        <v>0</v>
      </c>
      <c r="W37" s="1636">
        <f t="shared" si="9"/>
        <v>0</v>
      </c>
      <c r="X37" s="1636">
        <f t="shared" si="9"/>
        <v>0</v>
      </c>
      <c r="Y37" s="1631"/>
      <c r="Z37" s="1631"/>
      <c r="AB37" s="1631"/>
      <c r="AC37" s="1631"/>
    </row>
    <row r="38" spans="3:29" ht="15">
      <c r="C38" s="1628" t="s">
        <v>1172</v>
      </c>
      <c r="J38" s="1633">
        <f aca="true" t="shared" si="10" ref="J38:X38">SUM(J34:J37)</f>
        <v>0</v>
      </c>
      <c r="K38" s="1633">
        <f t="shared" si="10"/>
        <v>0</v>
      </c>
      <c r="L38" s="1633">
        <f t="shared" si="10"/>
        <v>0</v>
      </c>
      <c r="M38" s="1633">
        <f t="shared" si="10"/>
        <v>0</v>
      </c>
      <c r="N38" s="1633">
        <f t="shared" si="10"/>
        <v>0</v>
      </c>
      <c r="O38" s="1633">
        <f t="shared" si="10"/>
        <v>0</v>
      </c>
      <c r="P38" s="1633">
        <f t="shared" si="10"/>
        <v>0</v>
      </c>
      <c r="Q38" s="1633">
        <f t="shared" si="10"/>
        <v>0</v>
      </c>
      <c r="R38" s="1633">
        <f t="shared" si="10"/>
        <v>0</v>
      </c>
      <c r="S38" s="1633">
        <f t="shared" si="10"/>
        <v>0</v>
      </c>
      <c r="T38" s="1633">
        <f t="shared" si="10"/>
        <v>0</v>
      </c>
      <c r="U38" s="1633">
        <f t="shared" si="10"/>
        <v>0</v>
      </c>
      <c r="V38" s="1633">
        <f t="shared" si="10"/>
        <v>0</v>
      </c>
      <c r="W38" s="1633">
        <f t="shared" si="10"/>
        <v>0</v>
      </c>
      <c r="X38" s="1633">
        <f t="shared" si="10"/>
        <v>0</v>
      </c>
      <c r="Y38" s="1631"/>
      <c r="Z38" s="1631"/>
      <c r="AB38" s="1631"/>
      <c r="AC38" s="1631"/>
    </row>
    <row r="39" spans="10:29" ht="15">
      <c r="J39" s="1633"/>
      <c r="K39" s="1633"/>
      <c r="L39" s="1633"/>
      <c r="M39" s="1633"/>
      <c r="N39" s="1633"/>
      <c r="O39" s="1633"/>
      <c r="P39" s="1633"/>
      <c r="Q39" s="1633"/>
      <c r="R39" s="1633"/>
      <c r="S39" s="1633"/>
      <c r="T39" s="1633"/>
      <c r="U39" s="1633"/>
      <c r="V39" s="1633"/>
      <c r="W39" s="1633"/>
      <c r="X39" s="1633"/>
      <c r="Y39" s="1631"/>
      <c r="Z39" s="1631"/>
      <c r="AB39" s="1631"/>
      <c r="AC39" s="1631"/>
    </row>
    <row r="40" spans="3:29" ht="15">
      <c r="C40" s="1628" t="s">
        <v>1173</v>
      </c>
      <c r="J40" s="1633"/>
      <c r="K40" s="1633"/>
      <c r="L40" s="1633"/>
      <c r="M40" s="1633"/>
      <c r="N40" s="1633"/>
      <c r="O40" s="1633"/>
      <c r="P40" s="1633"/>
      <c r="Q40" s="1633"/>
      <c r="R40" s="1633"/>
      <c r="S40" s="1633"/>
      <c r="T40" s="1633"/>
      <c r="U40" s="1633"/>
      <c r="V40" s="1633"/>
      <c r="W40" s="1633"/>
      <c r="X40" s="1633"/>
      <c r="Y40" s="1631"/>
      <c r="Z40" s="1631"/>
      <c r="AB40" s="1631"/>
      <c r="AC40" s="1631"/>
    </row>
    <row r="41" spans="4:29" ht="15">
      <c r="D41" s="1628" t="s">
        <v>1174</v>
      </c>
      <c r="F41" s="1637">
        <v>0.09</v>
      </c>
      <c r="J41" s="1633">
        <f aca="true" t="shared" si="11" ref="J41:X41">-ROUND($F41*J38,0)</f>
        <v>0</v>
      </c>
      <c r="K41" s="1633">
        <f t="shared" si="11"/>
        <v>0</v>
      </c>
      <c r="L41" s="1633">
        <f t="shared" si="11"/>
        <v>0</v>
      </c>
      <c r="M41" s="1633">
        <f t="shared" si="11"/>
        <v>0</v>
      </c>
      <c r="N41" s="1633">
        <f t="shared" si="11"/>
        <v>0</v>
      </c>
      <c r="O41" s="1633">
        <f t="shared" si="11"/>
        <v>0</v>
      </c>
      <c r="P41" s="1633">
        <f t="shared" si="11"/>
        <v>0</v>
      </c>
      <c r="Q41" s="1633">
        <f t="shared" si="11"/>
        <v>0</v>
      </c>
      <c r="R41" s="1633">
        <f t="shared" si="11"/>
        <v>0</v>
      </c>
      <c r="S41" s="1633">
        <f t="shared" si="11"/>
        <v>0</v>
      </c>
      <c r="T41" s="1633">
        <f t="shared" si="11"/>
        <v>0</v>
      </c>
      <c r="U41" s="1633">
        <f t="shared" si="11"/>
        <v>0</v>
      </c>
      <c r="V41" s="1633">
        <f t="shared" si="11"/>
        <v>0</v>
      </c>
      <c r="W41" s="1633">
        <f t="shared" si="11"/>
        <v>0</v>
      </c>
      <c r="X41" s="1633">
        <f t="shared" si="11"/>
        <v>0</v>
      </c>
      <c r="Y41" s="1631"/>
      <c r="Z41" s="1631"/>
      <c r="AA41" s="1631"/>
      <c r="AB41" s="1631"/>
      <c r="AC41" s="1631"/>
    </row>
    <row r="42" spans="3:29" ht="15">
      <c r="C42" s="1634"/>
      <c r="D42" s="1634" t="s">
        <v>1175</v>
      </c>
      <c r="E42" s="1634"/>
      <c r="F42" s="1638">
        <v>0.01</v>
      </c>
      <c r="G42" s="1634"/>
      <c r="H42" s="1639"/>
      <c r="I42" s="1634"/>
      <c r="J42" s="1636">
        <f aca="true" t="shared" si="12" ref="J42:X42">-ROUND($F42*J38,0)</f>
        <v>0</v>
      </c>
      <c r="K42" s="1636">
        <f t="shared" si="12"/>
        <v>0</v>
      </c>
      <c r="L42" s="1636">
        <f t="shared" si="12"/>
        <v>0</v>
      </c>
      <c r="M42" s="1636">
        <f t="shared" si="12"/>
        <v>0</v>
      </c>
      <c r="N42" s="1636">
        <f t="shared" si="12"/>
        <v>0</v>
      </c>
      <c r="O42" s="1636">
        <f t="shared" si="12"/>
        <v>0</v>
      </c>
      <c r="P42" s="1636">
        <f t="shared" si="12"/>
        <v>0</v>
      </c>
      <c r="Q42" s="1636">
        <f t="shared" si="12"/>
        <v>0</v>
      </c>
      <c r="R42" s="1636">
        <f t="shared" si="12"/>
        <v>0</v>
      </c>
      <c r="S42" s="1636">
        <f t="shared" si="12"/>
        <v>0</v>
      </c>
      <c r="T42" s="1636">
        <f t="shared" si="12"/>
        <v>0</v>
      </c>
      <c r="U42" s="1636">
        <f t="shared" si="12"/>
        <v>0</v>
      </c>
      <c r="V42" s="1636">
        <f t="shared" si="12"/>
        <v>0</v>
      </c>
      <c r="W42" s="1636">
        <f t="shared" si="12"/>
        <v>0</v>
      </c>
      <c r="X42" s="1636">
        <f t="shared" si="12"/>
        <v>0</v>
      </c>
      <c r="Y42" s="1631"/>
      <c r="Z42" s="1631"/>
      <c r="AA42" s="1631"/>
      <c r="AB42" s="1631"/>
      <c r="AC42" s="1631"/>
    </row>
    <row r="43" spans="3:29" s="424" customFormat="1" ht="15">
      <c r="C43" s="424" t="s">
        <v>1176</v>
      </c>
      <c r="H43" s="425"/>
      <c r="J43" s="426">
        <f aca="true" t="shared" si="13" ref="J43:X43">SUM(J38:J42)</f>
        <v>0</v>
      </c>
      <c r="K43" s="426">
        <f t="shared" si="13"/>
        <v>0</v>
      </c>
      <c r="L43" s="426">
        <f t="shared" si="13"/>
        <v>0</v>
      </c>
      <c r="M43" s="426">
        <f t="shared" si="13"/>
        <v>0</v>
      </c>
      <c r="N43" s="426">
        <f t="shared" si="13"/>
        <v>0</v>
      </c>
      <c r="O43" s="426">
        <f t="shared" si="13"/>
        <v>0</v>
      </c>
      <c r="P43" s="426">
        <f t="shared" si="13"/>
        <v>0</v>
      </c>
      <c r="Q43" s="426">
        <f t="shared" si="13"/>
        <v>0</v>
      </c>
      <c r="R43" s="426">
        <f t="shared" si="13"/>
        <v>0</v>
      </c>
      <c r="S43" s="426">
        <f t="shared" si="13"/>
        <v>0</v>
      </c>
      <c r="T43" s="426">
        <f t="shared" si="13"/>
        <v>0</v>
      </c>
      <c r="U43" s="426">
        <f t="shared" si="13"/>
        <v>0</v>
      </c>
      <c r="V43" s="426">
        <f t="shared" si="13"/>
        <v>0</v>
      </c>
      <c r="W43" s="426">
        <f t="shared" si="13"/>
        <v>0</v>
      </c>
      <c r="X43" s="426">
        <f t="shared" si="13"/>
        <v>0</v>
      </c>
      <c r="Y43" s="427"/>
      <c r="Z43" s="427"/>
      <c r="AA43" s="427"/>
      <c r="AB43" s="427"/>
      <c r="AC43" s="427"/>
    </row>
    <row r="44" spans="10:29" ht="15">
      <c r="J44" s="1631"/>
      <c r="K44" s="1631"/>
      <c r="L44" s="1631"/>
      <c r="M44" s="1631"/>
      <c r="N44" s="1631"/>
      <c r="O44" s="1631"/>
      <c r="P44" s="1631"/>
      <c r="Q44" s="1631"/>
      <c r="R44" s="1631"/>
      <c r="S44" s="1631"/>
      <c r="T44" s="1631"/>
      <c r="U44" s="1631"/>
      <c r="V44" s="1631"/>
      <c r="W44" s="1631"/>
      <c r="X44" s="1631"/>
      <c r="Y44" s="1631"/>
      <c r="Z44" s="1631"/>
      <c r="AA44" s="1631"/>
      <c r="AB44" s="1631"/>
      <c r="AC44" s="1631"/>
    </row>
    <row r="45" spans="2:29" ht="15">
      <c r="B45" s="1628" t="s">
        <v>1186</v>
      </c>
      <c r="J45" s="1631"/>
      <c r="K45" s="1631"/>
      <c r="L45" s="1631"/>
      <c r="M45" s="1631"/>
      <c r="N45" s="1631"/>
      <c r="O45" s="1631"/>
      <c r="P45" s="1631"/>
      <c r="Q45" s="1631"/>
      <c r="R45" s="1631"/>
      <c r="S45" s="1631"/>
      <c r="T45" s="1631"/>
      <c r="U45" s="1631"/>
      <c r="V45" s="1631"/>
      <c r="W45" s="1631"/>
      <c r="X45" s="1631"/>
      <c r="Y45" s="1631"/>
      <c r="Z45" s="1631"/>
      <c r="AA45" s="1631"/>
      <c r="AB45" s="1631"/>
      <c r="AC45" s="1631"/>
    </row>
    <row r="46" spans="3:29" ht="15">
      <c r="C46" s="1628" t="s">
        <v>1167</v>
      </c>
      <c r="H46" s="436">
        <v>0.02</v>
      </c>
      <c r="J46" s="1632"/>
      <c r="K46" s="1633">
        <f aca="true" t="shared" si="14" ref="K46:X49">INT((1+$H46)*J46)</f>
        <v>0</v>
      </c>
      <c r="L46" s="1633">
        <f t="shared" si="14"/>
        <v>0</v>
      </c>
      <c r="M46" s="1633">
        <f t="shared" si="14"/>
        <v>0</v>
      </c>
      <c r="N46" s="1633">
        <f t="shared" si="14"/>
        <v>0</v>
      </c>
      <c r="O46" s="1633">
        <f t="shared" si="14"/>
        <v>0</v>
      </c>
      <c r="P46" s="1633">
        <f t="shared" si="14"/>
        <v>0</v>
      </c>
      <c r="Q46" s="1633">
        <f t="shared" si="14"/>
        <v>0</v>
      </c>
      <c r="R46" s="1633">
        <f t="shared" si="14"/>
        <v>0</v>
      </c>
      <c r="S46" s="1633">
        <f t="shared" si="14"/>
        <v>0</v>
      </c>
      <c r="T46" s="1633">
        <f t="shared" si="14"/>
        <v>0</v>
      </c>
      <c r="U46" s="1633">
        <f t="shared" si="14"/>
        <v>0</v>
      </c>
      <c r="V46" s="1633">
        <f t="shared" si="14"/>
        <v>0</v>
      </c>
      <c r="W46" s="1633">
        <f t="shared" si="14"/>
        <v>0</v>
      </c>
      <c r="X46" s="1633">
        <f t="shared" si="14"/>
        <v>0</v>
      </c>
      <c r="Y46" s="1631"/>
      <c r="Z46" s="1631"/>
      <c r="AA46" s="1631"/>
      <c r="AB46" s="1631"/>
      <c r="AC46" s="1631"/>
    </row>
    <row r="47" spans="3:29" ht="15">
      <c r="C47" s="1628" t="s">
        <v>1170</v>
      </c>
      <c r="H47" s="436">
        <v>0.01</v>
      </c>
      <c r="J47" s="1641"/>
      <c r="K47" s="1633">
        <f t="shared" si="14"/>
        <v>0</v>
      </c>
      <c r="L47" s="1633">
        <f t="shared" si="14"/>
        <v>0</v>
      </c>
      <c r="M47" s="1633">
        <f t="shared" si="14"/>
        <v>0</v>
      </c>
      <c r="N47" s="1633">
        <f t="shared" si="14"/>
        <v>0</v>
      </c>
      <c r="O47" s="1633">
        <f t="shared" si="14"/>
        <v>0</v>
      </c>
      <c r="P47" s="1633">
        <f t="shared" si="14"/>
        <v>0</v>
      </c>
      <c r="Q47" s="1633">
        <f t="shared" si="14"/>
        <v>0</v>
      </c>
      <c r="R47" s="1633">
        <f t="shared" si="14"/>
        <v>0</v>
      </c>
      <c r="S47" s="1633">
        <f t="shared" si="14"/>
        <v>0</v>
      </c>
      <c r="T47" s="1633">
        <f t="shared" si="14"/>
        <v>0</v>
      </c>
      <c r="U47" s="1633">
        <f t="shared" si="14"/>
        <v>0</v>
      </c>
      <c r="V47" s="1633">
        <f t="shared" si="14"/>
        <v>0</v>
      </c>
      <c r="W47" s="1633">
        <f t="shared" si="14"/>
        <v>0</v>
      </c>
      <c r="X47" s="1633">
        <f t="shared" si="14"/>
        <v>0</v>
      </c>
      <c r="Y47" s="1631"/>
      <c r="Z47" s="1631"/>
      <c r="AA47" s="1631"/>
      <c r="AB47" s="1631"/>
      <c r="AC47" s="1631"/>
    </row>
    <row r="48" spans="3:29" ht="15">
      <c r="C48" s="1628" t="s">
        <v>1187</v>
      </c>
      <c r="E48" s="1792"/>
      <c r="F48" s="1792"/>
      <c r="H48" s="436">
        <v>0.01</v>
      </c>
      <c r="J48" s="1641"/>
      <c r="K48" s="1633">
        <f t="shared" si="14"/>
        <v>0</v>
      </c>
      <c r="L48" s="1633">
        <f t="shared" si="14"/>
        <v>0</v>
      </c>
      <c r="M48" s="1633">
        <f t="shared" si="14"/>
        <v>0</v>
      </c>
      <c r="N48" s="1633">
        <f t="shared" si="14"/>
        <v>0</v>
      </c>
      <c r="O48" s="1633">
        <f t="shared" si="14"/>
        <v>0</v>
      </c>
      <c r="P48" s="1633">
        <f t="shared" si="14"/>
        <v>0</v>
      </c>
      <c r="Q48" s="1633">
        <f t="shared" si="14"/>
        <v>0</v>
      </c>
      <c r="R48" s="1633">
        <f t="shared" si="14"/>
        <v>0</v>
      </c>
      <c r="S48" s="1633">
        <f t="shared" si="14"/>
        <v>0</v>
      </c>
      <c r="T48" s="1633">
        <f t="shared" si="14"/>
        <v>0</v>
      </c>
      <c r="U48" s="1633">
        <f t="shared" si="14"/>
        <v>0</v>
      </c>
      <c r="V48" s="1633">
        <f t="shared" si="14"/>
        <v>0</v>
      </c>
      <c r="W48" s="1633">
        <f t="shared" si="14"/>
        <v>0</v>
      </c>
      <c r="X48" s="1633">
        <f t="shared" si="14"/>
        <v>0</v>
      </c>
      <c r="Y48" s="1631"/>
      <c r="Z48" s="1631"/>
      <c r="AA48" s="1631"/>
      <c r="AB48" s="1631"/>
      <c r="AC48" s="1631"/>
    </row>
    <row r="49" spans="3:29" ht="15">
      <c r="C49" s="1634" t="s">
        <v>1171</v>
      </c>
      <c r="D49" s="1634"/>
      <c r="E49" s="1793"/>
      <c r="F49" s="1794"/>
      <c r="G49" s="1634"/>
      <c r="H49" s="437">
        <v>0.01</v>
      </c>
      <c r="I49" s="1634"/>
      <c r="J49" s="1643"/>
      <c r="K49" s="1636">
        <f t="shared" si="14"/>
        <v>0</v>
      </c>
      <c r="L49" s="1636">
        <f t="shared" si="14"/>
        <v>0</v>
      </c>
      <c r="M49" s="1636">
        <f t="shared" si="14"/>
        <v>0</v>
      </c>
      <c r="N49" s="1636">
        <f t="shared" si="14"/>
        <v>0</v>
      </c>
      <c r="O49" s="1636">
        <f t="shared" si="14"/>
        <v>0</v>
      </c>
      <c r="P49" s="1636">
        <f t="shared" si="14"/>
        <v>0</v>
      </c>
      <c r="Q49" s="1636">
        <f t="shared" si="14"/>
        <v>0</v>
      </c>
      <c r="R49" s="1636">
        <f t="shared" si="14"/>
        <v>0</v>
      </c>
      <c r="S49" s="1636">
        <f t="shared" si="14"/>
        <v>0</v>
      </c>
      <c r="T49" s="1636">
        <f t="shared" si="14"/>
        <v>0</v>
      </c>
      <c r="U49" s="1636">
        <f t="shared" si="14"/>
        <v>0</v>
      </c>
      <c r="V49" s="1636">
        <f t="shared" si="14"/>
        <v>0</v>
      </c>
      <c r="W49" s="1636">
        <f t="shared" si="14"/>
        <v>0</v>
      </c>
      <c r="X49" s="1636">
        <f t="shared" si="14"/>
        <v>0</v>
      </c>
      <c r="Y49" s="1631"/>
      <c r="Z49" s="1631"/>
      <c r="AA49" s="1631"/>
      <c r="AB49" s="1631"/>
      <c r="AC49" s="1631"/>
    </row>
    <row r="50" spans="3:29" ht="15">
      <c r="C50" s="1628" t="s">
        <v>1172</v>
      </c>
      <c r="J50" s="1633">
        <f aca="true" t="shared" si="15" ref="J50:X50">SUM(J46:J49)</f>
        <v>0</v>
      </c>
      <c r="K50" s="1633">
        <f t="shared" si="15"/>
        <v>0</v>
      </c>
      <c r="L50" s="1633">
        <f t="shared" si="15"/>
        <v>0</v>
      </c>
      <c r="M50" s="1633">
        <f t="shared" si="15"/>
        <v>0</v>
      </c>
      <c r="N50" s="1633">
        <f t="shared" si="15"/>
        <v>0</v>
      </c>
      <c r="O50" s="1633">
        <f t="shared" si="15"/>
        <v>0</v>
      </c>
      <c r="P50" s="1633">
        <f t="shared" si="15"/>
        <v>0</v>
      </c>
      <c r="Q50" s="1633">
        <f t="shared" si="15"/>
        <v>0</v>
      </c>
      <c r="R50" s="1633">
        <f t="shared" si="15"/>
        <v>0</v>
      </c>
      <c r="S50" s="1633">
        <f t="shared" si="15"/>
        <v>0</v>
      </c>
      <c r="T50" s="1633">
        <f t="shared" si="15"/>
        <v>0</v>
      </c>
      <c r="U50" s="1633">
        <f t="shared" si="15"/>
        <v>0</v>
      </c>
      <c r="V50" s="1633">
        <f t="shared" si="15"/>
        <v>0</v>
      </c>
      <c r="W50" s="1633">
        <f t="shared" si="15"/>
        <v>0</v>
      </c>
      <c r="X50" s="1633">
        <f t="shared" si="15"/>
        <v>0</v>
      </c>
      <c r="Y50" s="1631"/>
      <c r="Z50" s="1631"/>
      <c r="AA50" s="1631"/>
      <c r="AB50" s="1631"/>
      <c r="AC50" s="1631"/>
    </row>
    <row r="51" spans="10:29" ht="15">
      <c r="J51" s="1633"/>
      <c r="K51" s="1633"/>
      <c r="L51" s="1633"/>
      <c r="M51" s="1633"/>
      <c r="N51" s="1633"/>
      <c r="O51" s="1633"/>
      <c r="P51" s="1633"/>
      <c r="Q51" s="1633"/>
      <c r="R51" s="1633"/>
      <c r="S51" s="1633"/>
      <c r="T51" s="1633"/>
      <c r="U51" s="1633"/>
      <c r="V51" s="1633"/>
      <c r="W51" s="1633"/>
      <c r="X51" s="1633"/>
      <c r="Y51" s="1631"/>
      <c r="Z51" s="1631"/>
      <c r="AA51" s="1631"/>
      <c r="AB51" s="1631"/>
      <c r="AC51" s="1631"/>
    </row>
    <row r="52" spans="3:29" ht="15">
      <c r="C52" s="1628" t="s">
        <v>1173</v>
      </c>
      <c r="J52" s="1633"/>
      <c r="K52" s="1633"/>
      <c r="L52" s="1633"/>
      <c r="M52" s="1633"/>
      <c r="N52" s="1633"/>
      <c r="O52" s="1633"/>
      <c r="P52" s="1633"/>
      <c r="Q52" s="1633"/>
      <c r="R52" s="1633"/>
      <c r="S52" s="1633"/>
      <c r="T52" s="1633"/>
      <c r="U52" s="1633"/>
      <c r="V52" s="1633"/>
      <c r="W52" s="1633"/>
      <c r="X52" s="1633"/>
      <c r="Y52" s="1631"/>
      <c r="Z52" s="1631"/>
      <c r="AA52" s="1631"/>
      <c r="AB52" s="1631"/>
      <c r="AC52" s="1631"/>
    </row>
    <row r="53" spans="4:29" ht="15">
      <c r="D53" s="1628" t="s">
        <v>1174</v>
      </c>
      <c r="F53" s="1637">
        <v>0.09</v>
      </c>
      <c r="J53" s="1633">
        <f aca="true" t="shared" si="16" ref="J53:X53">-ROUND($F53*J50,0)</f>
        <v>0</v>
      </c>
      <c r="K53" s="1633">
        <f t="shared" si="16"/>
        <v>0</v>
      </c>
      <c r="L53" s="1633">
        <f t="shared" si="16"/>
        <v>0</v>
      </c>
      <c r="M53" s="1633">
        <f t="shared" si="16"/>
        <v>0</v>
      </c>
      <c r="N53" s="1633">
        <f t="shared" si="16"/>
        <v>0</v>
      </c>
      <c r="O53" s="1633">
        <f t="shared" si="16"/>
        <v>0</v>
      </c>
      <c r="P53" s="1633">
        <f t="shared" si="16"/>
        <v>0</v>
      </c>
      <c r="Q53" s="1633">
        <f t="shared" si="16"/>
        <v>0</v>
      </c>
      <c r="R53" s="1633">
        <f t="shared" si="16"/>
        <v>0</v>
      </c>
      <c r="S53" s="1633">
        <f t="shared" si="16"/>
        <v>0</v>
      </c>
      <c r="T53" s="1633">
        <f t="shared" si="16"/>
        <v>0</v>
      </c>
      <c r="U53" s="1633">
        <f t="shared" si="16"/>
        <v>0</v>
      </c>
      <c r="V53" s="1633">
        <f t="shared" si="16"/>
        <v>0</v>
      </c>
      <c r="W53" s="1633">
        <f t="shared" si="16"/>
        <v>0</v>
      </c>
      <c r="X53" s="1633">
        <f t="shared" si="16"/>
        <v>0</v>
      </c>
      <c r="Y53" s="1631"/>
      <c r="Z53" s="1631"/>
      <c r="AA53" s="1631"/>
      <c r="AB53" s="1631"/>
      <c r="AC53" s="1631"/>
    </row>
    <row r="54" spans="3:29" ht="15">
      <c r="C54" s="1634"/>
      <c r="D54" s="1634" t="s">
        <v>1175</v>
      </c>
      <c r="E54" s="1634"/>
      <c r="F54" s="1638">
        <v>0.01</v>
      </c>
      <c r="G54" s="1634"/>
      <c r="H54" s="1639"/>
      <c r="I54" s="1634"/>
      <c r="J54" s="1636">
        <f aca="true" t="shared" si="17" ref="J54:X54">-ROUND($F54*J50,0)</f>
        <v>0</v>
      </c>
      <c r="K54" s="1636">
        <f t="shared" si="17"/>
        <v>0</v>
      </c>
      <c r="L54" s="1636">
        <f t="shared" si="17"/>
        <v>0</v>
      </c>
      <c r="M54" s="1636">
        <f t="shared" si="17"/>
        <v>0</v>
      </c>
      <c r="N54" s="1636">
        <f t="shared" si="17"/>
        <v>0</v>
      </c>
      <c r="O54" s="1636">
        <f t="shared" si="17"/>
        <v>0</v>
      </c>
      <c r="P54" s="1636">
        <f t="shared" si="17"/>
        <v>0</v>
      </c>
      <c r="Q54" s="1636">
        <f t="shared" si="17"/>
        <v>0</v>
      </c>
      <c r="R54" s="1636">
        <f t="shared" si="17"/>
        <v>0</v>
      </c>
      <c r="S54" s="1636">
        <f t="shared" si="17"/>
        <v>0</v>
      </c>
      <c r="T54" s="1636">
        <f t="shared" si="17"/>
        <v>0</v>
      </c>
      <c r="U54" s="1636">
        <f t="shared" si="17"/>
        <v>0</v>
      </c>
      <c r="V54" s="1636">
        <f t="shared" si="17"/>
        <v>0</v>
      </c>
      <c r="W54" s="1636">
        <f t="shared" si="17"/>
        <v>0</v>
      </c>
      <c r="X54" s="1636">
        <f t="shared" si="17"/>
        <v>0</v>
      </c>
      <c r="Y54" s="1631"/>
      <c r="Z54" s="1631"/>
      <c r="AA54" s="1631"/>
      <c r="AB54" s="1631"/>
      <c r="AC54" s="1631"/>
    </row>
    <row r="55" spans="3:29" s="424" customFormat="1" ht="15">
      <c r="C55" s="424" t="s">
        <v>1176</v>
      </c>
      <c r="H55" s="425"/>
      <c r="J55" s="426">
        <f aca="true" t="shared" si="18" ref="J55:X55">SUM(J50:J54)</f>
        <v>0</v>
      </c>
      <c r="K55" s="426">
        <f t="shared" si="18"/>
        <v>0</v>
      </c>
      <c r="L55" s="426">
        <f t="shared" si="18"/>
        <v>0</v>
      </c>
      <c r="M55" s="426">
        <f t="shared" si="18"/>
        <v>0</v>
      </c>
      <c r="N55" s="426">
        <f t="shared" si="18"/>
        <v>0</v>
      </c>
      <c r="O55" s="426">
        <f t="shared" si="18"/>
        <v>0</v>
      </c>
      <c r="P55" s="426">
        <f t="shared" si="18"/>
        <v>0</v>
      </c>
      <c r="Q55" s="426">
        <f t="shared" si="18"/>
        <v>0</v>
      </c>
      <c r="R55" s="426">
        <f t="shared" si="18"/>
        <v>0</v>
      </c>
      <c r="S55" s="426">
        <f t="shared" si="18"/>
        <v>0</v>
      </c>
      <c r="T55" s="426">
        <f t="shared" si="18"/>
        <v>0</v>
      </c>
      <c r="U55" s="426">
        <f t="shared" si="18"/>
        <v>0</v>
      </c>
      <c r="V55" s="426">
        <f t="shared" si="18"/>
        <v>0</v>
      </c>
      <c r="W55" s="426">
        <f t="shared" si="18"/>
        <v>0</v>
      </c>
      <c r="X55" s="426">
        <f t="shared" si="18"/>
        <v>0</v>
      </c>
      <c r="Y55" s="427"/>
      <c r="Z55" s="427"/>
      <c r="AA55" s="427"/>
      <c r="AB55" s="427"/>
      <c r="AC55" s="427"/>
    </row>
    <row r="56" spans="2:24" ht="15.75" thickBot="1">
      <c r="B56" s="1644"/>
      <c r="C56" s="1644"/>
      <c r="D56" s="1644"/>
      <c r="E56" s="1644"/>
      <c r="F56" s="1644"/>
      <c r="G56" s="1644"/>
      <c r="H56" s="1645"/>
      <c r="I56" s="1644"/>
      <c r="J56" s="1644"/>
      <c r="K56" s="1644"/>
      <c r="L56" s="1644"/>
      <c r="M56" s="1644"/>
      <c r="N56" s="1644"/>
      <c r="O56" s="1644"/>
      <c r="P56" s="1644"/>
      <c r="Q56" s="1644"/>
      <c r="R56" s="1644"/>
      <c r="S56" s="1644"/>
      <c r="T56" s="1644"/>
      <c r="U56" s="1644"/>
      <c r="V56" s="1644"/>
      <c r="W56" s="1644"/>
      <c r="X56" s="1644"/>
    </row>
    <row r="57" ht="15.75" thickTop="1"/>
    <row r="58" spans="2:24" ht="15">
      <c r="B58" s="424" t="s">
        <v>1188</v>
      </c>
      <c r="C58" s="424"/>
      <c r="D58" s="424"/>
      <c r="E58" s="424"/>
      <c r="F58" s="424"/>
      <c r="G58" s="424"/>
      <c r="H58" s="425"/>
      <c r="I58" s="424"/>
      <c r="J58" s="426">
        <f aca="true" t="shared" si="19" ref="J58:X58">+J55+J43+J31+J23</f>
        <v>0</v>
      </c>
      <c r="K58" s="426">
        <f t="shared" si="19"/>
        <v>0</v>
      </c>
      <c r="L58" s="426">
        <f t="shared" si="19"/>
        <v>0</v>
      </c>
      <c r="M58" s="426">
        <f t="shared" si="19"/>
        <v>0</v>
      </c>
      <c r="N58" s="426">
        <f t="shared" si="19"/>
        <v>0</v>
      </c>
      <c r="O58" s="426">
        <f t="shared" si="19"/>
        <v>0</v>
      </c>
      <c r="P58" s="426">
        <f t="shared" si="19"/>
        <v>0</v>
      </c>
      <c r="Q58" s="426">
        <f t="shared" si="19"/>
        <v>0</v>
      </c>
      <c r="R58" s="426">
        <f t="shared" si="19"/>
        <v>0</v>
      </c>
      <c r="S58" s="426">
        <f t="shared" si="19"/>
        <v>0</v>
      </c>
      <c r="T58" s="426">
        <f t="shared" si="19"/>
        <v>0</v>
      </c>
      <c r="U58" s="426">
        <f t="shared" si="19"/>
        <v>0</v>
      </c>
      <c r="V58" s="426">
        <f t="shared" si="19"/>
        <v>0</v>
      </c>
      <c r="W58" s="426">
        <f t="shared" si="19"/>
        <v>0</v>
      </c>
      <c r="X58" s="426">
        <f t="shared" si="19"/>
        <v>0</v>
      </c>
    </row>
  </sheetData>
  <sheetProtection/>
  <mergeCells count="8">
    <mergeCell ref="E48:F48"/>
    <mergeCell ref="E49:F49"/>
    <mergeCell ref="A5:E5"/>
    <mergeCell ref="A6:E6"/>
    <mergeCell ref="A7:E7"/>
    <mergeCell ref="E17:F17"/>
    <mergeCell ref="E28:F28"/>
    <mergeCell ref="E37:F37"/>
  </mergeCells>
  <printOptions/>
  <pageMargins left="0.5" right="0.5" top="0.5" bottom="0.25" header="0.25" footer="0.5"/>
  <pageSetup fitToHeight="1" fitToWidth="1" horizontalDpi="600" verticalDpi="600" orientation="landscape" paperSize="5" scale="58" r:id="rId1"/>
</worksheet>
</file>

<file path=xl/worksheets/sheet18.xml><?xml version="1.0" encoding="utf-8"?>
<worksheet xmlns="http://schemas.openxmlformats.org/spreadsheetml/2006/main" xmlns:r="http://schemas.openxmlformats.org/officeDocument/2006/relationships">
  <sheetPr codeName="Sheet12">
    <pageSetUpPr fitToPage="1"/>
  </sheetPr>
  <dimension ref="A1:FB64"/>
  <sheetViews>
    <sheetView showGridLines="0" zoomScale="75" zoomScaleNormal="75" zoomScalePageLayoutView="0" workbookViewId="0" topLeftCell="A1">
      <selection activeCell="J2" sqref="J2"/>
    </sheetView>
  </sheetViews>
  <sheetFormatPr defaultColWidth="7.10546875" defaultRowHeight="15"/>
  <cols>
    <col min="1" max="4" width="3.6640625" style="1646" customWidth="1"/>
    <col min="5" max="5" width="7.10546875" style="1646" customWidth="1"/>
    <col min="6" max="6" width="10.77734375" style="1646" customWidth="1"/>
    <col min="7" max="7" width="10.3359375" style="1646" customWidth="1"/>
    <col min="8" max="8" width="10.3359375" style="1647" customWidth="1"/>
    <col min="9" max="9" width="2.21484375" style="1647" customWidth="1"/>
    <col min="10" max="10" width="10.3359375" style="1628" customWidth="1"/>
    <col min="11" max="11" width="11.21484375" style="1628" customWidth="1"/>
    <col min="12" max="12" width="11.5546875" style="1628" customWidth="1"/>
    <col min="13" max="24" width="10.3359375" style="1628" customWidth="1"/>
    <col min="25" max="26" width="12.21484375" style="399" customWidth="1"/>
    <col min="27" max="52" width="12.21484375" style="1628" customWidth="1"/>
    <col min="53" max="56" width="12.21484375" style="1646" customWidth="1"/>
    <col min="57" max="16384" width="7.10546875" style="1646" customWidth="1"/>
  </cols>
  <sheetData>
    <row r="1" spans="1:26" s="1628" customFormat="1" ht="15">
      <c r="A1" s="424" t="s">
        <v>1158</v>
      </c>
      <c r="B1" s="424"/>
      <c r="C1" s="424"/>
      <c r="D1" s="424"/>
      <c r="E1" s="424"/>
      <c r="F1" s="424"/>
      <c r="G1" s="424"/>
      <c r="H1" s="1627"/>
      <c r="I1" s="1627"/>
      <c r="J1" s="424" t="s">
        <v>1724</v>
      </c>
      <c r="Y1" s="399"/>
      <c r="Z1" s="399"/>
    </row>
    <row r="2" spans="2:26" s="1628" customFormat="1" ht="15">
      <c r="B2" s="424"/>
      <c r="C2" s="424"/>
      <c r="D2" s="424"/>
      <c r="E2" s="424"/>
      <c r="F2" s="424"/>
      <c r="G2" s="424"/>
      <c r="H2" s="425"/>
      <c r="I2" s="425"/>
      <c r="J2" s="424"/>
      <c r="K2" s="424"/>
      <c r="Y2" s="399"/>
      <c r="Z2" s="399"/>
    </row>
    <row r="3" spans="1:26" s="1628" customFormat="1" ht="17.25">
      <c r="A3" s="429" t="s">
        <v>551</v>
      </c>
      <c r="H3" s="1627"/>
      <c r="I3" s="1627"/>
      <c r="Y3" s="399"/>
      <c r="Z3" s="399"/>
    </row>
    <row r="4" spans="1:26" s="1628" customFormat="1" ht="17.25">
      <c r="A4" s="429"/>
      <c r="H4" s="1627"/>
      <c r="I4" s="1627"/>
      <c r="Y4" s="399"/>
      <c r="Z4" s="399"/>
    </row>
    <row r="5" spans="1:26" s="1628" customFormat="1" ht="17.25">
      <c r="A5" s="1795">
        <f>+Breakdown!C5</f>
        <v>0</v>
      </c>
      <c r="B5" s="1796"/>
      <c r="C5" s="1796"/>
      <c r="D5" s="1796"/>
      <c r="E5" s="1796"/>
      <c r="H5" s="1627"/>
      <c r="I5" s="1627"/>
      <c r="K5" s="430" t="s">
        <v>1189</v>
      </c>
      <c r="L5" s="431"/>
      <c r="Y5" s="399"/>
      <c r="Z5" s="399"/>
    </row>
    <row r="6" spans="1:26" s="1628" customFormat="1" ht="17.25">
      <c r="A6" s="1795">
        <f>+Breakdown!C6</f>
        <v>0</v>
      </c>
      <c r="B6" s="1796"/>
      <c r="C6" s="1796"/>
      <c r="D6" s="1796"/>
      <c r="E6" s="1796"/>
      <c r="H6" s="1627"/>
      <c r="I6" s="1627"/>
      <c r="K6" s="430" t="s">
        <v>1190</v>
      </c>
      <c r="L6" s="432"/>
      <c r="Y6" s="399"/>
      <c r="Z6" s="399"/>
    </row>
    <row r="7" spans="1:26" s="1628" customFormat="1" ht="17.25">
      <c r="A7" s="1795">
        <f>+Breakdown!C7</f>
        <v>0</v>
      </c>
      <c r="B7" s="1796"/>
      <c r="C7" s="1796"/>
      <c r="D7" s="1796"/>
      <c r="E7" s="1796"/>
      <c r="F7" s="399"/>
      <c r="H7" s="1627"/>
      <c r="I7" s="1627"/>
      <c r="K7" s="430" t="s">
        <v>1191</v>
      </c>
      <c r="L7" s="432"/>
      <c r="Y7" s="399"/>
      <c r="Z7" s="399"/>
    </row>
    <row r="9" spans="11:24" ht="15">
      <c r="K9" s="1629"/>
      <c r="L9" s="1629"/>
      <c r="M9" s="1629"/>
      <c r="N9" s="1629"/>
      <c r="O9" s="1629"/>
      <c r="P9" s="1629"/>
      <c r="Q9" s="1629"/>
      <c r="R9" s="1629"/>
      <c r="S9" s="1629"/>
      <c r="T9" s="1629"/>
      <c r="U9" s="1629"/>
      <c r="V9" s="1629"/>
      <c r="W9" s="1629"/>
      <c r="X9" s="1629"/>
    </row>
    <row r="10" spans="7:52" s="1648" customFormat="1" ht="15">
      <c r="G10" s="1649" t="s">
        <v>1160</v>
      </c>
      <c r="H10" s="1650" t="s">
        <v>1161</v>
      </c>
      <c r="I10" s="1650"/>
      <c r="J10" s="403" t="s">
        <v>1162</v>
      </c>
      <c r="K10" s="403" t="s">
        <v>1162</v>
      </c>
      <c r="L10" s="403" t="s">
        <v>1162</v>
      </c>
      <c r="M10" s="403" t="s">
        <v>1162</v>
      </c>
      <c r="N10" s="403" t="s">
        <v>1162</v>
      </c>
      <c r="O10" s="403" t="s">
        <v>1162</v>
      </c>
      <c r="P10" s="403" t="s">
        <v>1162</v>
      </c>
      <c r="Q10" s="403" t="s">
        <v>1162</v>
      </c>
      <c r="R10" s="403" t="s">
        <v>1162</v>
      </c>
      <c r="S10" s="403" t="s">
        <v>1162</v>
      </c>
      <c r="T10" s="403" t="s">
        <v>1162</v>
      </c>
      <c r="U10" s="403" t="s">
        <v>1162</v>
      </c>
      <c r="V10" s="403" t="s">
        <v>1162</v>
      </c>
      <c r="W10" s="403" t="s">
        <v>1162</v>
      </c>
      <c r="X10" s="403" t="s">
        <v>1162</v>
      </c>
      <c r="Y10" s="399"/>
      <c r="Z10" s="399"/>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row>
    <row r="11" spans="7:52" s="1648" customFormat="1" ht="15">
      <c r="G11" s="1649" t="s">
        <v>1163</v>
      </c>
      <c r="H11" s="1650" t="s">
        <v>1164</v>
      </c>
      <c r="I11" s="1650"/>
      <c r="J11" s="403">
        <v>1</v>
      </c>
      <c r="K11" s="403">
        <f aca="true" t="shared" si="0" ref="K11:X11">+J11+1</f>
        <v>2</v>
      </c>
      <c r="L11" s="403">
        <f t="shared" si="0"/>
        <v>3</v>
      </c>
      <c r="M11" s="403">
        <f t="shared" si="0"/>
        <v>4</v>
      </c>
      <c r="N11" s="403">
        <f t="shared" si="0"/>
        <v>5</v>
      </c>
      <c r="O11" s="403">
        <f t="shared" si="0"/>
        <v>6</v>
      </c>
      <c r="P11" s="403">
        <f t="shared" si="0"/>
        <v>7</v>
      </c>
      <c r="Q11" s="403">
        <f t="shared" si="0"/>
        <v>8</v>
      </c>
      <c r="R11" s="403">
        <f t="shared" si="0"/>
        <v>9</v>
      </c>
      <c r="S11" s="403">
        <f t="shared" si="0"/>
        <v>10</v>
      </c>
      <c r="T11" s="403">
        <f t="shared" si="0"/>
        <v>11</v>
      </c>
      <c r="U11" s="403">
        <f t="shared" si="0"/>
        <v>12</v>
      </c>
      <c r="V11" s="403">
        <f t="shared" si="0"/>
        <v>13</v>
      </c>
      <c r="W11" s="403">
        <f t="shared" si="0"/>
        <v>14</v>
      </c>
      <c r="X11" s="403">
        <f t="shared" si="0"/>
        <v>15</v>
      </c>
      <c r="Y11" s="399"/>
      <c r="Z11" s="399"/>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row>
    <row r="14" spans="1:24" ht="15">
      <c r="A14" s="424" t="s">
        <v>1188</v>
      </c>
      <c r="C14" s="424"/>
      <c r="D14" s="424"/>
      <c r="E14" s="424"/>
      <c r="F14" s="424"/>
      <c r="G14" s="424"/>
      <c r="H14" s="425"/>
      <c r="I14" s="425"/>
      <c r="J14" s="426">
        <f>+'OPER INCOME'!J58</f>
        <v>0</v>
      </c>
      <c r="K14" s="426">
        <f>+'OPER INCOME'!K58</f>
        <v>0</v>
      </c>
      <c r="L14" s="426">
        <f>+'OPER INCOME'!L58</f>
        <v>0</v>
      </c>
      <c r="M14" s="426">
        <f>+'OPER INCOME'!M58</f>
        <v>0</v>
      </c>
      <c r="N14" s="426">
        <f>+'OPER INCOME'!N58</f>
        <v>0</v>
      </c>
      <c r="O14" s="426">
        <f>+'OPER INCOME'!O58</f>
        <v>0</v>
      </c>
      <c r="P14" s="426">
        <f>+'OPER INCOME'!P58</f>
        <v>0</v>
      </c>
      <c r="Q14" s="426">
        <f>+'OPER INCOME'!Q58</f>
        <v>0</v>
      </c>
      <c r="R14" s="426">
        <f>+'OPER INCOME'!R58</f>
        <v>0</v>
      </c>
      <c r="S14" s="426">
        <f>+'OPER INCOME'!S58</f>
        <v>0</v>
      </c>
      <c r="T14" s="426">
        <f>+'OPER INCOME'!T58</f>
        <v>0</v>
      </c>
      <c r="U14" s="426">
        <f>+'OPER INCOME'!U58</f>
        <v>0</v>
      </c>
      <c r="V14" s="426">
        <f>+'OPER INCOME'!V58</f>
        <v>0</v>
      </c>
      <c r="W14" s="426">
        <f>+'OPER INCOME'!W58</f>
        <v>0</v>
      </c>
      <c r="X14" s="426">
        <f>+'OPER INCOME'!X58</f>
        <v>0</v>
      </c>
    </row>
    <row r="17" ht="15">
      <c r="A17" s="424" t="s">
        <v>547</v>
      </c>
    </row>
    <row r="19" spans="2:114" ht="15">
      <c r="B19" s="1646" t="s">
        <v>1192</v>
      </c>
      <c r="G19" s="1651">
        <f>IF(OR(EligBasisLimits!$C$16=0,EligBasisLimits!$C$16=""),"",J19/EligBasisLimits!$C$16)</f>
      </c>
      <c r="H19" s="1652">
        <v>0.03</v>
      </c>
      <c r="I19" s="1653"/>
      <c r="J19" s="1654"/>
      <c r="K19" s="1655">
        <f aca="true" t="shared" si="1" ref="K19:X23">INT(J19*(1+$H19))</f>
        <v>0</v>
      </c>
      <c r="L19" s="1655">
        <f t="shared" si="1"/>
        <v>0</v>
      </c>
      <c r="M19" s="1655">
        <f t="shared" si="1"/>
        <v>0</v>
      </c>
      <c r="N19" s="1655">
        <f t="shared" si="1"/>
        <v>0</v>
      </c>
      <c r="O19" s="1655">
        <f t="shared" si="1"/>
        <v>0</v>
      </c>
      <c r="P19" s="1655">
        <f t="shared" si="1"/>
        <v>0</v>
      </c>
      <c r="Q19" s="1655">
        <f t="shared" si="1"/>
        <v>0</v>
      </c>
      <c r="R19" s="1655">
        <f t="shared" si="1"/>
        <v>0</v>
      </c>
      <c r="S19" s="1655">
        <f t="shared" si="1"/>
        <v>0</v>
      </c>
      <c r="T19" s="1655">
        <f t="shared" si="1"/>
        <v>0</v>
      </c>
      <c r="U19" s="1655">
        <f t="shared" si="1"/>
        <v>0</v>
      </c>
      <c r="V19" s="1655">
        <f t="shared" si="1"/>
        <v>0</v>
      </c>
      <c r="W19" s="1655">
        <f t="shared" si="1"/>
        <v>0</v>
      </c>
      <c r="X19" s="1655">
        <f t="shared" si="1"/>
        <v>0</v>
      </c>
      <c r="BA19" s="1628"/>
      <c r="BB19" s="1628"/>
      <c r="BC19" s="1628"/>
      <c r="BE19" s="1628"/>
      <c r="BF19" s="1628"/>
      <c r="BG19" s="1628"/>
      <c r="BH19" s="1628"/>
      <c r="BI19" s="1628"/>
      <c r="BJ19" s="1628"/>
      <c r="BK19" s="1628"/>
      <c r="BL19" s="1628"/>
      <c r="BM19" s="1628"/>
      <c r="BN19" s="1628"/>
      <c r="BO19" s="1628"/>
      <c r="BP19" s="1628"/>
      <c r="BQ19" s="1628"/>
      <c r="BR19" s="1628"/>
      <c r="BS19" s="1628"/>
      <c r="BT19" s="1628"/>
      <c r="BU19" s="1628"/>
      <c r="BV19" s="1628"/>
      <c r="BW19" s="1628"/>
      <c r="BX19" s="1628"/>
      <c r="BY19" s="1628"/>
      <c r="BZ19" s="1628"/>
      <c r="CA19" s="1628"/>
      <c r="CB19" s="1628"/>
      <c r="CC19" s="1628"/>
      <c r="CD19" s="1628"/>
      <c r="CE19" s="1628"/>
      <c r="CF19" s="1628"/>
      <c r="CG19" s="1628"/>
      <c r="CH19" s="1628"/>
      <c r="CI19" s="1628"/>
      <c r="CJ19" s="1628"/>
      <c r="CK19" s="1628"/>
      <c r="CL19" s="1628"/>
      <c r="CM19" s="1628"/>
      <c r="CN19" s="1628"/>
      <c r="CO19" s="1628"/>
      <c r="CP19" s="1628"/>
      <c r="CQ19" s="1628"/>
      <c r="CR19" s="1628"/>
      <c r="CS19" s="1628"/>
      <c r="CT19" s="1628"/>
      <c r="CU19" s="1628"/>
      <c r="CV19" s="1628"/>
      <c r="CW19" s="1628"/>
      <c r="CX19" s="1628"/>
      <c r="CY19" s="1628"/>
      <c r="CZ19" s="1628"/>
      <c r="DA19" s="1628"/>
      <c r="DB19" s="1628"/>
      <c r="DC19" s="1628"/>
      <c r="DD19" s="1628"/>
      <c r="DE19" s="1628"/>
      <c r="DF19" s="1628"/>
      <c r="DG19" s="1628"/>
      <c r="DH19" s="1628"/>
      <c r="DI19" s="1628"/>
      <c r="DJ19" s="1628"/>
    </row>
    <row r="20" spans="2:114" ht="15">
      <c r="B20" s="1646" t="s">
        <v>1193</v>
      </c>
      <c r="G20" s="1651">
        <f>IF(OR(EligBasisLimits!$C$16=0,EligBasisLimits!$C$16=""),"",J20/EligBasisLimits!$C$16)</f>
      </c>
      <c r="H20" s="1652">
        <v>0.03</v>
      </c>
      <c r="I20" s="1653"/>
      <c r="J20" s="1654"/>
      <c r="K20" s="1655">
        <f t="shared" si="1"/>
        <v>0</v>
      </c>
      <c r="L20" s="1655">
        <f t="shared" si="1"/>
        <v>0</v>
      </c>
      <c r="M20" s="1655">
        <f t="shared" si="1"/>
        <v>0</v>
      </c>
      <c r="N20" s="1655">
        <f t="shared" si="1"/>
        <v>0</v>
      </c>
      <c r="O20" s="1655">
        <f t="shared" si="1"/>
        <v>0</v>
      </c>
      <c r="P20" s="1655">
        <f t="shared" si="1"/>
        <v>0</v>
      </c>
      <c r="Q20" s="1655">
        <f t="shared" si="1"/>
        <v>0</v>
      </c>
      <c r="R20" s="1655">
        <f t="shared" si="1"/>
        <v>0</v>
      </c>
      <c r="S20" s="1655">
        <f t="shared" si="1"/>
        <v>0</v>
      </c>
      <c r="T20" s="1655">
        <f t="shared" si="1"/>
        <v>0</v>
      </c>
      <c r="U20" s="1655">
        <f t="shared" si="1"/>
        <v>0</v>
      </c>
      <c r="V20" s="1655">
        <f t="shared" si="1"/>
        <v>0</v>
      </c>
      <c r="W20" s="1655">
        <f t="shared" si="1"/>
        <v>0</v>
      </c>
      <c r="X20" s="1655">
        <f t="shared" si="1"/>
        <v>0</v>
      </c>
      <c r="BA20" s="1628"/>
      <c r="BB20" s="1628"/>
      <c r="BC20" s="1628"/>
      <c r="BE20" s="1628"/>
      <c r="BF20" s="1628"/>
      <c r="BG20" s="1628"/>
      <c r="BH20" s="1628"/>
      <c r="BI20" s="1628"/>
      <c r="BJ20" s="1628"/>
      <c r="BK20" s="1628"/>
      <c r="BL20" s="1628"/>
      <c r="BM20" s="1628"/>
      <c r="BN20" s="1628"/>
      <c r="BO20" s="1628"/>
      <c r="BP20" s="1628"/>
      <c r="BQ20" s="1628"/>
      <c r="BR20" s="1628"/>
      <c r="BS20" s="1628"/>
      <c r="BT20" s="1628"/>
      <c r="BU20" s="1628"/>
      <c r="BV20" s="1628"/>
      <c r="BW20" s="1628"/>
      <c r="BX20" s="1628"/>
      <c r="BY20" s="1628"/>
      <c r="BZ20" s="1628"/>
      <c r="CA20" s="1628"/>
      <c r="CB20" s="1628"/>
      <c r="CC20" s="1628"/>
      <c r="CD20" s="1628"/>
      <c r="CE20" s="1628"/>
      <c r="CF20" s="1628"/>
      <c r="CG20" s="1628"/>
      <c r="CH20" s="1628"/>
      <c r="CI20" s="1628"/>
      <c r="CJ20" s="1628"/>
      <c r="CK20" s="1628"/>
      <c r="CL20" s="1628"/>
      <c r="CM20" s="1628"/>
      <c r="CN20" s="1628"/>
      <c r="CO20" s="1628"/>
      <c r="CP20" s="1628"/>
      <c r="CQ20" s="1628"/>
      <c r="CR20" s="1628"/>
      <c r="CS20" s="1628"/>
      <c r="CT20" s="1628"/>
      <c r="CU20" s="1628"/>
      <c r="CV20" s="1628"/>
      <c r="CW20" s="1628"/>
      <c r="CX20" s="1628"/>
      <c r="CY20" s="1628"/>
      <c r="CZ20" s="1628"/>
      <c r="DA20" s="1628"/>
      <c r="DB20" s="1628"/>
      <c r="DC20" s="1628"/>
      <c r="DD20" s="1628"/>
      <c r="DE20" s="1628"/>
      <c r="DF20" s="1628"/>
      <c r="DG20" s="1628"/>
      <c r="DH20" s="1628"/>
      <c r="DI20" s="1628"/>
      <c r="DJ20" s="1628"/>
    </row>
    <row r="21" spans="2:114" ht="15">
      <c r="B21" s="1646" t="s">
        <v>1194</v>
      </c>
      <c r="G21" s="1651">
        <f>IF(OR(EligBasisLimits!$C$16=0,EligBasisLimits!$C$16=""),"",J21/EligBasisLimits!$C$16)</f>
      </c>
      <c r="H21" s="1652">
        <v>0.03</v>
      </c>
      <c r="I21" s="1653"/>
      <c r="J21" s="1654"/>
      <c r="K21" s="1655">
        <f t="shared" si="1"/>
        <v>0</v>
      </c>
      <c r="L21" s="1655">
        <f t="shared" si="1"/>
        <v>0</v>
      </c>
      <c r="M21" s="1655">
        <f t="shared" si="1"/>
        <v>0</v>
      </c>
      <c r="N21" s="1655">
        <f t="shared" si="1"/>
        <v>0</v>
      </c>
      <c r="O21" s="1655">
        <f t="shared" si="1"/>
        <v>0</v>
      </c>
      <c r="P21" s="1655">
        <f t="shared" si="1"/>
        <v>0</v>
      </c>
      <c r="Q21" s="1655">
        <f t="shared" si="1"/>
        <v>0</v>
      </c>
      <c r="R21" s="1655">
        <f t="shared" si="1"/>
        <v>0</v>
      </c>
      <c r="S21" s="1655">
        <f t="shared" si="1"/>
        <v>0</v>
      </c>
      <c r="T21" s="1655">
        <f t="shared" si="1"/>
        <v>0</v>
      </c>
      <c r="U21" s="1655">
        <f t="shared" si="1"/>
        <v>0</v>
      </c>
      <c r="V21" s="1655">
        <f t="shared" si="1"/>
        <v>0</v>
      </c>
      <c r="W21" s="1655">
        <f t="shared" si="1"/>
        <v>0</v>
      </c>
      <c r="X21" s="1655">
        <f t="shared" si="1"/>
        <v>0</v>
      </c>
      <c r="BA21" s="1628"/>
      <c r="BB21" s="1628"/>
      <c r="BC21" s="1628"/>
      <c r="BE21" s="1628"/>
      <c r="BF21" s="1628"/>
      <c r="BG21" s="1628"/>
      <c r="BH21" s="1628"/>
      <c r="BI21" s="1628"/>
      <c r="BJ21" s="1628"/>
      <c r="BK21" s="1628"/>
      <c r="BL21" s="1628"/>
      <c r="BM21" s="1628"/>
      <c r="BN21" s="1628"/>
      <c r="BO21" s="1628"/>
      <c r="BP21" s="1628"/>
      <c r="BQ21" s="1628"/>
      <c r="BR21" s="1628"/>
      <c r="BS21" s="1628"/>
      <c r="BT21" s="1628"/>
      <c r="BU21" s="1628"/>
      <c r="BV21" s="1628"/>
      <c r="BW21" s="1628"/>
      <c r="BX21" s="1628"/>
      <c r="BY21" s="1628"/>
      <c r="BZ21" s="1628"/>
      <c r="CA21" s="1628"/>
      <c r="CB21" s="1628"/>
      <c r="CC21" s="1628"/>
      <c r="CD21" s="1628"/>
      <c r="CE21" s="1628"/>
      <c r="CF21" s="1628"/>
      <c r="CG21" s="1628"/>
      <c r="CH21" s="1628"/>
      <c r="CI21" s="1628"/>
      <c r="CJ21" s="1628"/>
      <c r="CK21" s="1628"/>
      <c r="CL21" s="1628"/>
      <c r="CM21" s="1628"/>
      <c r="CN21" s="1628"/>
      <c r="CO21" s="1628"/>
      <c r="CP21" s="1628"/>
      <c r="CQ21" s="1628"/>
      <c r="CR21" s="1628"/>
      <c r="CS21" s="1628"/>
      <c r="CT21" s="1628"/>
      <c r="CU21" s="1628"/>
      <c r="CV21" s="1628"/>
      <c r="CW21" s="1628"/>
      <c r="CX21" s="1628"/>
      <c r="CY21" s="1628"/>
      <c r="CZ21" s="1628"/>
      <c r="DA21" s="1628"/>
      <c r="DB21" s="1628"/>
      <c r="DC21" s="1628"/>
      <c r="DD21" s="1628"/>
      <c r="DE21" s="1628"/>
      <c r="DF21" s="1628"/>
      <c r="DG21" s="1628"/>
      <c r="DH21" s="1628"/>
      <c r="DI21" s="1628"/>
      <c r="DJ21" s="1628"/>
    </row>
    <row r="22" spans="2:114" ht="15">
      <c r="B22" s="1646" t="s">
        <v>333</v>
      </c>
      <c r="G22" s="1651">
        <f>IF(OR(EligBasisLimits!$C$16=0,EligBasisLimits!$C$16=""),"",J22/EligBasisLimits!$C$16)</f>
      </c>
      <c r="H22" s="1652">
        <v>0.03</v>
      </c>
      <c r="I22" s="1653"/>
      <c r="J22" s="1654"/>
      <c r="K22" s="1655">
        <f t="shared" si="1"/>
        <v>0</v>
      </c>
      <c r="L22" s="1655">
        <f t="shared" si="1"/>
        <v>0</v>
      </c>
      <c r="M22" s="1655">
        <f t="shared" si="1"/>
        <v>0</v>
      </c>
      <c r="N22" s="1655">
        <f t="shared" si="1"/>
        <v>0</v>
      </c>
      <c r="O22" s="1655">
        <f t="shared" si="1"/>
        <v>0</v>
      </c>
      <c r="P22" s="1655">
        <f t="shared" si="1"/>
        <v>0</v>
      </c>
      <c r="Q22" s="1655">
        <f t="shared" si="1"/>
        <v>0</v>
      </c>
      <c r="R22" s="1655">
        <f t="shared" si="1"/>
        <v>0</v>
      </c>
      <c r="S22" s="1655">
        <f t="shared" si="1"/>
        <v>0</v>
      </c>
      <c r="T22" s="1655">
        <f t="shared" si="1"/>
        <v>0</v>
      </c>
      <c r="U22" s="1655">
        <f t="shared" si="1"/>
        <v>0</v>
      </c>
      <c r="V22" s="1655">
        <f t="shared" si="1"/>
        <v>0</v>
      </c>
      <c r="W22" s="1655">
        <f t="shared" si="1"/>
        <v>0</v>
      </c>
      <c r="X22" s="1655">
        <f t="shared" si="1"/>
        <v>0</v>
      </c>
      <c r="BA22" s="1628"/>
      <c r="BB22" s="1628"/>
      <c r="BC22" s="1628"/>
      <c r="BE22" s="1628"/>
      <c r="BF22" s="1628"/>
      <c r="BG22" s="1628"/>
      <c r="BH22" s="1628"/>
      <c r="BI22" s="1628"/>
      <c r="BJ22" s="1628"/>
      <c r="BK22" s="1628"/>
      <c r="BL22" s="1628"/>
      <c r="BM22" s="1628"/>
      <c r="BN22" s="1628"/>
      <c r="BO22" s="1628"/>
      <c r="BP22" s="1628"/>
      <c r="BQ22" s="1628"/>
      <c r="BR22" s="1628"/>
      <c r="BS22" s="1628"/>
      <c r="BT22" s="1628"/>
      <c r="BU22" s="1628"/>
      <c r="BV22" s="1628"/>
      <c r="BW22" s="1628"/>
      <c r="BX22" s="1628"/>
      <c r="BY22" s="1628"/>
      <c r="BZ22" s="1628"/>
      <c r="CA22" s="1628"/>
      <c r="CB22" s="1628"/>
      <c r="CC22" s="1628"/>
      <c r="CD22" s="1628"/>
      <c r="CE22" s="1628"/>
      <c r="CF22" s="1628"/>
      <c r="CG22" s="1628"/>
      <c r="CH22" s="1628"/>
      <c r="CI22" s="1628"/>
      <c r="CJ22" s="1628"/>
      <c r="CK22" s="1628"/>
      <c r="CL22" s="1628"/>
      <c r="CM22" s="1628"/>
      <c r="CN22" s="1628"/>
      <c r="CO22" s="1628"/>
      <c r="CP22" s="1628"/>
      <c r="CQ22" s="1628"/>
      <c r="CR22" s="1628"/>
      <c r="CS22" s="1628"/>
      <c r="CT22" s="1628"/>
      <c r="CU22" s="1628"/>
      <c r="CV22" s="1628"/>
      <c r="CW22" s="1628"/>
      <c r="CX22" s="1628"/>
      <c r="CY22" s="1628"/>
      <c r="CZ22" s="1628"/>
      <c r="DA22" s="1628"/>
      <c r="DB22" s="1628"/>
      <c r="DC22" s="1628"/>
      <c r="DD22" s="1628"/>
      <c r="DE22" s="1628"/>
      <c r="DF22" s="1628"/>
      <c r="DG22" s="1628"/>
      <c r="DH22" s="1628"/>
      <c r="DI22" s="1628"/>
      <c r="DJ22" s="1628"/>
    </row>
    <row r="23" spans="2:114" ht="15">
      <c r="B23" s="1656" t="s">
        <v>1195</v>
      </c>
      <c r="C23" s="1656"/>
      <c r="D23" s="1656"/>
      <c r="E23" s="1656"/>
      <c r="F23" s="1656"/>
      <c r="G23" s="1657">
        <f>IF(OR(EligBasisLimits!$C$16=0,EligBasisLimits!$C$16=""),"",J23/EligBasisLimits!$C$16)</f>
      </c>
      <c r="H23" s="438">
        <v>0.03</v>
      </c>
      <c r="I23" s="1658"/>
      <c r="J23" s="1659"/>
      <c r="K23" s="1660">
        <f t="shared" si="1"/>
        <v>0</v>
      </c>
      <c r="L23" s="1660">
        <f t="shared" si="1"/>
        <v>0</v>
      </c>
      <c r="M23" s="1660">
        <f t="shared" si="1"/>
        <v>0</v>
      </c>
      <c r="N23" s="1660">
        <f t="shared" si="1"/>
        <v>0</v>
      </c>
      <c r="O23" s="1660">
        <f t="shared" si="1"/>
        <v>0</v>
      </c>
      <c r="P23" s="1660">
        <f t="shared" si="1"/>
        <v>0</v>
      </c>
      <c r="Q23" s="1660">
        <f t="shared" si="1"/>
        <v>0</v>
      </c>
      <c r="R23" s="1660">
        <f t="shared" si="1"/>
        <v>0</v>
      </c>
      <c r="S23" s="1660">
        <f t="shared" si="1"/>
        <v>0</v>
      </c>
      <c r="T23" s="1660">
        <f t="shared" si="1"/>
        <v>0</v>
      </c>
      <c r="U23" s="1660">
        <f t="shared" si="1"/>
        <v>0</v>
      </c>
      <c r="V23" s="1660">
        <f t="shared" si="1"/>
        <v>0</v>
      </c>
      <c r="W23" s="1660">
        <f t="shared" si="1"/>
        <v>0</v>
      </c>
      <c r="X23" s="1660">
        <f t="shared" si="1"/>
        <v>0</v>
      </c>
      <c r="BA23" s="1628"/>
      <c r="BB23" s="1628"/>
      <c r="BC23" s="1628"/>
      <c r="BE23" s="1628"/>
      <c r="BF23" s="1628"/>
      <c r="BG23" s="1628"/>
      <c r="BH23" s="1628"/>
      <c r="BI23" s="1628"/>
      <c r="BJ23" s="1628"/>
      <c r="BK23" s="1628"/>
      <c r="BL23" s="1628"/>
      <c r="BM23" s="1628"/>
      <c r="BN23" s="1628"/>
      <c r="BO23" s="1628"/>
      <c r="BP23" s="1628"/>
      <c r="BQ23" s="1628"/>
      <c r="BR23" s="1628"/>
      <c r="BS23" s="1628"/>
      <c r="BT23" s="1628"/>
      <c r="BU23" s="1628"/>
      <c r="BV23" s="1628"/>
      <c r="BW23" s="1628"/>
      <c r="BX23" s="1628"/>
      <c r="BY23" s="1628"/>
      <c r="BZ23" s="1628"/>
      <c r="CA23" s="1628"/>
      <c r="CB23" s="1628"/>
      <c r="CC23" s="1628"/>
      <c r="CD23" s="1628"/>
      <c r="CE23" s="1628"/>
      <c r="CF23" s="1628"/>
      <c r="CG23" s="1628"/>
      <c r="CH23" s="1628"/>
      <c r="CI23" s="1628"/>
      <c r="CJ23" s="1628"/>
      <c r="CK23" s="1628"/>
      <c r="CL23" s="1628"/>
      <c r="CM23" s="1628"/>
      <c r="CN23" s="1628"/>
      <c r="CO23" s="1628"/>
      <c r="CP23" s="1628"/>
      <c r="CQ23" s="1628"/>
      <c r="CR23" s="1628"/>
      <c r="CS23" s="1628"/>
      <c r="CT23" s="1628"/>
      <c r="CU23" s="1628"/>
      <c r="CV23" s="1628"/>
      <c r="CW23" s="1628"/>
      <c r="CX23" s="1628"/>
      <c r="CY23" s="1628"/>
      <c r="CZ23" s="1628"/>
      <c r="DA23" s="1628"/>
      <c r="DB23" s="1628"/>
      <c r="DC23" s="1628"/>
      <c r="DD23" s="1628"/>
      <c r="DE23" s="1628"/>
      <c r="DF23" s="1628"/>
      <c r="DG23" s="1628"/>
      <c r="DH23" s="1628"/>
      <c r="DI23" s="1628"/>
      <c r="DJ23" s="1628"/>
    </row>
    <row r="24" spans="2:26" s="424" customFormat="1" ht="15">
      <c r="B24" s="424" t="s">
        <v>1172</v>
      </c>
      <c r="G24" s="1651">
        <f>IF(OR(EligBasisLimits!$C$16=0,EligBasisLimits!$C$16=""),"",J24/EligBasisLimits!$C$16)</f>
      </c>
      <c r="H24" s="1630"/>
      <c r="I24" s="1630"/>
      <c r="J24" s="426">
        <f>SUM(J19:J23)</f>
        <v>0</v>
      </c>
      <c r="K24" s="426">
        <f aca="true" t="shared" si="2" ref="K24:X24">SUM(K16:K23)</f>
        <v>0</v>
      </c>
      <c r="L24" s="426">
        <f t="shared" si="2"/>
        <v>0</v>
      </c>
      <c r="M24" s="426">
        <f t="shared" si="2"/>
        <v>0</v>
      </c>
      <c r="N24" s="426">
        <f t="shared" si="2"/>
        <v>0</v>
      </c>
      <c r="O24" s="426">
        <f t="shared" si="2"/>
        <v>0</v>
      </c>
      <c r="P24" s="426">
        <f t="shared" si="2"/>
        <v>0</v>
      </c>
      <c r="Q24" s="426">
        <f t="shared" si="2"/>
        <v>0</v>
      </c>
      <c r="R24" s="426">
        <f t="shared" si="2"/>
        <v>0</v>
      </c>
      <c r="S24" s="426">
        <f t="shared" si="2"/>
        <v>0</v>
      </c>
      <c r="T24" s="426">
        <f t="shared" si="2"/>
        <v>0</v>
      </c>
      <c r="U24" s="426">
        <f t="shared" si="2"/>
        <v>0</v>
      </c>
      <c r="V24" s="426">
        <f t="shared" si="2"/>
        <v>0</v>
      </c>
      <c r="W24" s="426">
        <f t="shared" si="2"/>
        <v>0</v>
      </c>
      <c r="X24" s="426">
        <f t="shared" si="2"/>
        <v>0</v>
      </c>
      <c r="Y24" s="399"/>
      <c r="Z24" s="399"/>
    </row>
    <row r="25" spans="8:114" ht="15">
      <c r="H25" s="1630"/>
      <c r="I25" s="1630"/>
      <c r="BA25" s="1628"/>
      <c r="BB25" s="1628"/>
      <c r="BC25" s="1628"/>
      <c r="BE25" s="1628"/>
      <c r="BF25" s="1628"/>
      <c r="BG25" s="1628"/>
      <c r="BH25" s="1628"/>
      <c r="BI25" s="1628"/>
      <c r="BJ25" s="1628"/>
      <c r="BK25" s="1628"/>
      <c r="BL25" s="1628"/>
      <c r="BM25" s="1628"/>
      <c r="BN25" s="1628"/>
      <c r="BO25" s="1628"/>
      <c r="BP25" s="1628"/>
      <c r="BQ25" s="1628"/>
      <c r="BR25" s="1628"/>
      <c r="BS25" s="1628"/>
      <c r="BT25" s="1628"/>
      <c r="BU25" s="1628"/>
      <c r="BV25" s="1628"/>
      <c r="BW25" s="1628"/>
      <c r="BX25" s="1628"/>
      <c r="BY25" s="1628"/>
      <c r="BZ25" s="1628"/>
      <c r="CA25" s="1628"/>
      <c r="CB25" s="1628"/>
      <c r="CC25" s="1628"/>
      <c r="CD25" s="1628"/>
      <c r="CE25" s="1628"/>
      <c r="CF25" s="1628"/>
      <c r="CG25" s="1628"/>
      <c r="CH25" s="1628"/>
      <c r="CI25" s="1628"/>
      <c r="CJ25" s="1628"/>
      <c r="CK25" s="1628"/>
      <c r="CL25" s="1628"/>
      <c r="CM25" s="1628"/>
      <c r="CN25" s="1628"/>
      <c r="CO25" s="1628"/>
      <c r="CP25" s="1628"/>
      <c r="CQ25" s="1628"/>
      <c r="CR25" s="1628"/>
      <c r="CS25" s="1628"/>
      <c r="CT25" s="1628"/>
      <c r="CU25" s="1628"/>
      <c r="CV25" s="1628"/>
      <c r="CW25" s="1628"/>
      <c r="CX25" s="1628"/>
      <c r="CY25" s="1628"/>
      <c r="CZ25" s="1628"/>
      <c r="DA25" s="1628"/>
      <c r="DB25" s="1628"/>
      <c r="DC25" s="1628"/>
      <c r="DD25" s="1628"/>
      <c r="DE25" s="1628"/>
      <c r="DF25" s="1628"/>
      <c r="DG25" s="1628"/>
      <c r="DH25" s="1628"/>
      <c r="DI25" s="1628"/>
      <c r="DJ25" s="1628"/>
    </row>
    <row r="26" spans="2:114" ht="15">
      <c r="B26" s="1646" t="s">
        <v>1196</v>
      </c>
      <c r="G26" s="1651">
        <f>IF(OR(EligBasisLimits!$C$16=0,EligBasisLimits!$C$16=""),"",J26/EligBasisLimits!$C$16)</f>
      </c>
      <c r="H26" s="1652">
        <v>0.03</v>
      </c>
      <c r="I26" s="1653"/>
      <c r="J26" s="1661"/>
      <c r="K26" s="1655">
        <f aca="true" t="shared" si="3" ref="K26:X26">INT(J26*(1+$H26))</f>
        <v>0</v>
      </c>
      <c r="L26" s="1655">
        <f t="shared" si="3"/>
        <v>0</v>
      </c>
      <c r="M26" s="1655">
        <f t="shared" si="3"/>
        <v>0</v>
      </c>
      <c r="N26" s="1655">
        <f t="shared" si="3"/>
        <v>0</v>
      </c>
      <c r="O26" s="1655">
        <f t="shared" si="3"/>
        <v>0</v>
      </c>
      <c r="P26" s="1655">
        <f t="shared" si="3"/>
        <v>0</v>
      </c>
      <c r="Q26" s="1655">
        <f t="shared" si="3"/>
        <v>0</v>
      </c>
      <c r="R26" s="1655">
        <f t="shared" si="3"/>
        <v>0</v>
      </c>
      <c r="S26" s="1655">
        <f t="shared" si="3"/>
        <v>0</v>
      </c>
      <c r="T26" s="1655">
        <f t="shared" si="3"/>
        <v>0</v>
      </c>
      <c r="U26" s="1655">
        <f t="shared" si="3"/>
        <v>0</v>
      </c>
      <c r="V26" s="1655">
        <f t="shared" si="3"/>
        <v>0</v>
      </c>
      <c r="W26" s="1655">
        <f t="shared" si="3"/>
        <v>0</v>
      </c>
      <c r="X26" s="1655">
        <f t="shared" si="3"/>
        <v>0</v>
      </c>
      <c r="BA26" s="1628"/>
      <c r="BB26" s="1628"/>
      <c r="BC26" s="1628"/>
      <c r="BE26" s="1628"/>
      <c r="BF26" s="1628"/>
      <c r="BG26" s="1628"/>
      <c r="BH26" s="1628"/>
      <c r="BI26" s="1628"/>
      <c r="BJ26" s="1628"/>
      <c r="BK26" s="1628"/>
      <c r="BL26" s="1628"/>
      <c r="BM26" s="1628"/>
      <c r="BN26" s="1628"/>
      <c r="BO26" s="1628"/>
      <c r="BP26" s="1628"/>
      <c r="BQ26" s="1628"/>
      <c r="BR26" s="1628"/>
      <c r="BS26" s="1628"/>
      <c r="BT26" s="1628"/>
      <c r="BU26" s="1628"/>
      <c r="BV26" s="1628"/>
      <c r="BW26" s="1628"/>
      <c r="BX26" s="1628"/>
      <c r="BY26" s="1628"/>
      <c r="BZ26" s="1628"/>
      <c r="CA26" s="1628"/>
      <c r="CB26" s="1628"/>
      <c r="CC26" s="1628"/>
      <c r="CD26" s="1628"/>
      <c r="CE26" s="1628"/>
      <c r="CF26" s="1628"/>
      <c r="CG26" s="1628"/>
      <c r="CH26" s="1628"/>
      <c r="CI26" s="1628"/>
      <c r="CJ26" s="1628"/>
      <c r="CK26" s="1628"/>
      <c r="CL26" s="1628"/>
      <c r="CM26" s="1628"/>
      <c r="CN26" s="1628"/>
      <c r="CO26" s="1628"/>
      <c r="CP26" s="1628"/>
      <c r="CQ26" s="1628"/>
      <c r="CR26" s="1628"/>
      <c r="CS26" s="1628"/>
      <c r="CT26" s="1628"/>
      <c r="CU26" s="1628"/>
      <c r="CV26" s="1628"/>
      <c r="CW26" s="1628"/>
      <c r="CX26" s="1628"/>
      <c r="CY26" s="1628"/>
      <c r="CZ26" s="1628"/>
      <c r="DA26" s="1628"/>
      <c r="DB26" s="1628"/>
      <c r="DC26" s="1628"/>
      <c r="DD26" s="1628"/>
      <c r="DE26" s="1628"/>
      <c r="DF26" s="1628"/>
      <c r="DG26" s="1628"/>
      <c r="DH26" s="1628"/>
      <c r="DI26" s="1628"/>
      <c r="DJ26" s="1628"/>
    </row>
    <row r="27" spans="2:114" ht="15">
      <c r="B27" s="1646" t="s">
        <v>1197</v>
      </c>
      <c r="G27" s="433">
        <f>IF(('OPER INCOME'!$AA$15+'OPER INCOME'!$AA$35)=0,"",+K27/('OPER INCOME'!$AA$15+'OPER INCOME'!$AA$35))</f>
      </c>
      <c r="H27" s="1629" t="s">
        <v>1168</v>
      </c>
      <c r="I27" s="1629"/>
      <c r="J27" s="1661"/>
      <c r="K27" s="1655">
        <f>INT(+J27*(1+'OPER INCOME'!$H$14))</f>
        <v>0</v>
      </c>
      <c r="L27" s="1655">
        <f>INT(+K27*(1+'OPER INCOME'!$H$14))</f>
        <v>0</v>
      </c>
      <c r="M27" s="1655">
        <f>INT(+L27*(1+'OPER INCOME'!$H$14))</f>
        <v>0</v>
      </c>
      <c r="N27" s="1655">
        <f>INT(+M27*(1+'OPER INCOME'!$H$14))</f>
        <v>0</v>
      </c>
      <c r="O27" s="1655">
        <f>INT(+N27*(1+'OPER INCOME'!$H$14))</f>
        <v>0</v>
      </c>
      <c r="P27" s="1655">
        <f>INT(+O27*(1+'OPER INCOME'!$H$14))</f>
        <v>0</v>
      </c>
      <c r="Q27" s="1655">
        <f>INT(+P27*(1+'OPER INCOME'!$H$14))</f>
        <v>0</v>
      </c>
      <c r="R27" s="1655">
        <f>INT(+Q27*(1+'OPER INCOME'!$H$14))</f>
        <v>0</v>
      </c>
      <c r="S27" s="1655">
        <f>INT(+R27*(1+'OPER INCOME'!$H$14))</f>
        <v>0</v>
      </c>
      <c r="T27" s="1655">
        <f>INT(+S27*(1+'OPER INCOME'!$H$14))</f>
        <v>0</v>
      </c>
      <c r="U27" s="1655">
        <f>INT(+T27*(1+'OPER INCOME'!$H$14))</f>
        <v>0</v>
      </c>
      <c r="V27" s="1655">
        <f>INT(+U27*(1+'OPER INCOME'!$H$14))</f>
        <v>0</v>
      </c>
      <c r="W27" s="1655">
        <f>INT(+V27*(1+'OPER INCOME'!$H$14))</f>
        <v>0</v>
      </c>
      <c r="X27" s="1655">
        <f>INT(+W27*(1+'OPER INCOME'!$H$14))</f>
        <v>0</v>
      </c>
      <c r="BA27" s="1628"/>
      <c r="BB27" s="1628"/>
      <c r="BC27" s="1628"/>
      <c r="BE27" s="1628"/>
      <c r="BF27" s="1628"/>
      <c r="BG27" s="1628"/>
      <c r="BH27" s="1628"/>
      <c r="BI27" s="1628"/>
      <c r="BJ27" s="1628"/>
      <c r="BK27" s="1628"/>
      <c r="BL27" s="1628"/>
      <c r="BM27" s="1628"/>
      <c r="BN27" s="1628"/>
      <c r="BO27" s="1628"/>
      <c r="BP27" s="1628"/>
      <c r="BQ27" s="1628"/>
      <c r="BR27" s="1628"/>
      <c r="BS27" s="1628"/>
      <c r="BT27" s="1628"/>
      <c r="BU27" s="1628"/>
      <c r="BV27" s="1628"/>
      <c r="BW27" s="1628"/>
      <c r="BX27" s="1628"/>
      <c r="BY27" s="1628"/>
      <c r="BZ27" s="1628"/>
      <c r="CA27" s="1628"/>
      <c r="CB27" s="1628"/>
      <c r="CC27" s="1628"/>
      <c r="CD27" s="1628"/>
      <c r="CE27" s="1628"/>
      <c r="CF27" s="1628"/>
      <c r="CG27" s="1628"/>
      <c r="CH27" s="1628"/>
      <c r="CI27" s="1628"/>
      <c r="CJ27" s="1628"/>
      <c r="CK27" s="1628"/>
      <c r="CL27" s="1628"/>
      <c r="CM27" s="1628"/>
      <c r="CN27" s="1628"/>
      <c r="CO27" s="1628"/>
      <c r="CP27" s="1628"/>
      <c r="CQ27" s="1628"/>
      <c r="CR27" s="1628"/>
      <c r="CS27" s="1628"/>
      <c r="CT27" s="1628"/>
      <c r="CU27" s="1628"/>
      <c r="CV27" s="1628"/>
      <c r="CW27" s="1628"/>
      <c r="CX27" s="1628"/>
      <c r="CY27" s="1628"/>
      <c r="CZ27" s="1628"/>
      <c r="DA27" s="1628"/>
      <c r="DB27" s="1628"/>
      <c r="DC27" s="1628"/>
      <c r="DD27" s="1628"/>
      <c r="DE27" s="1628"/>
      <c r="DF27" s="1628"/>
      <c r="DG27" s="1628"/>
      <c r="DH27" s="1628"/>
      <c r="DI27" s="1628"/>
      <c r="DJ27" s="1628"/>
    </row>
    <row r="28" spans="2:114" ht="15">
      <c r="B28" s="1646" t="s">
        <v>1198</v>
      </c>
      <c r="G28" s="433">
        <f>IF(('OPER INCOME'!$AA$15+'OPER INCOME'!$AA$35)=0,"",+K28/('OPER INCOME'!$AA$15+'OPER INCOME'!$AA$35))</f>
      </c>
      <c r="H28" s="1629" t="s">
        <v>1168</v>
      </c>
      <c r="I28" s="1629"/>
      <c r="J28" s="1661"/>
      <c r="K28" s="1655">
        <f>INT(+J28*(1+'OPER INCOME'!$H$14))</f>
        <v>0</v>
      </c>
      <c r="L28" s="1655">
        <f>INT(+K28*(1+'OPER INCOME'!$H$14))</f>
        <v>0</v>
      </c>
      <c r="M28" s="1655">
        <f>INT(+L28*(1+'OPER INCOME'!$H$14))</f>
        <v>0</v>
      </c>
      <c r="N28" s="1655">
        <f>INT(+M28*(1+'OPER INCOME'!$H$14))</f>
        <v>0</v>
      </c>
      <c r="O28" s="1655">
        <f>INT(+N28*(1+'OPER INCOME'!$H$14))</f>
        <v>0</v>
      </c>
      <c r="P28" s="1655">
        <f>INT(+O28*(1+'OPER INCOME'!$H$14))</f>
        <v>0</v>
      </c>
      <c r="Q28" s="1655">
        <f>INT(+P28*(1+'OPER INCOME'!$H$14))</f>
        <v>0</v>
      </c>
      <c r="R28" s="1655">
        <f>INT(+Q28*(1+'OPER INCOME'!$H$14))</f>
        <v>0</v>
      </c>
      <c r="S28" s="1655">
        <f>INT(+R28*(1+'OPER INCOME'!$H$14))</f>
        <v>0</v>
      </c>
      <c r="T28" s="1655">
        <f>INT(+S28*(1+'OPER INCOME'!$H$14))</f>
        <v>0</v>
      </c>
      <c r="U28" s="1655">
        <f>INT(+T28*(1+'OPER INCOME'!$H$14))</f>
        <v>0</v>
      </c>
      <c r="V28" s="1655">
        <f>INT(+U28*(1+'OPER INCOME'!$H$14))</f>
        <v>0</v>
      </c>
      <c r="W28" s="1655">
        <f>INT(+V28*(1+'OPER INCOME'!$H$14))</f>
        <v>0</v>
      </c>
      <c r="X28" s="1655">
        <f>INT(+W28*(1+'OPER INCOME'!$H$14))</f>
        <v>0</v>
      </c>
      <c r="BA28" s="1628"/>
      <c r="BB28" s="1628"/>
      <c r="BC28" s="1628"/>
      <c r="BE28" s="1628"/>
      <c r="BF28" s="1628"/>
      <c r="BG28" s="1628"/>
      <c r="BH28" s="1628"/>
      <c r="BI28" s="1628"/>
      <c r="BJ28" s="1628"/>
      <c r="BK28" s="1628"/>
      <c r="BL28" s="1628"/>
      <c r="BM28" s="1628"/>
      <c r="BN28" s="1628"/>
      <c r="BO28" s="1628"/>
      <c r="BP28" s="1628"/>
      <c r="BQ28" s="1628"/>
      <c r="BR28" s="1628"/>
      <c r="BS28" s="1628"/>
      <c r="BT28" s="1628"/>
      <c r="BU28" s="1628"/>
      <c r="BV28" s="1628"/>
      <c r="BW28" s="1628"/>
      <c r="BX28" s="1628"/>
      <c r="BY28" s="1628"/>
      <c r="BZ28" s="1628"/>
      <c r="CA28" s="1628"/>
      <c r="CB28" s="1628"/>
      <c r="CC28" s="1628"/>
      <c r="CD28" s="1628"/>
      <c r="CE28" s="1628"/>
      <c r="CF28" s="1628"/>
      <c r="CG28" s="1628"/>
      <c r="CH28" s="1628"/>
      <c r="CI28" s="1628"/>
      <c r="CJ28" s="1628"/>
      <c r="CK28" s="1628"/>
      <c r="CL28" s="1628"/>
      <c r="CM28" s="1628"/>
      <c r="CN28" s="1628"/>
      <c r="CO28" s="1628"/>
      <c r="CP28" s="1628"/>
      <c r="CQ28" s="1628"/>
      <c r="CR28" s="1628"/>
      <c r="CS28" s="1628"/>
      <c r="CT28" s="1628"/>
      <c r="CU28" s="1628"/>
      <c r="CV28" s="1628"/>
      <c r="CW28" s="1628"/>
      <c r="CX28" s="1628"/>
      <c r="CY28" s="1628"/>
      <c r="CZ28" s="1628"/>
      <c r="DA28" s="1628"/>
      <c r="DB28" s="1628"/>
      <c r="DC28" s="1628"/>
      <c r="DD28" s="1628"/>
      <c r="DE28" s="1628"/>
      <c r="DF28" s="1628"/>
      <c r="DG28" s="1628"/>
      <c r="DH28" s="1628"/>
      <c r="DI28" s="1628"/>
      <c r="DJ28" s="1628"/>
    </row>
    <row r="29" spans="2:114" ht="15">
      <c r="B29" s="1646" t="s">
        <v>1199</v>
      </c>
      <c r="G29" s="1651">
        <f>IF(OR(EligBasisLimits!$C$16=0,EligBasisLimits!$C$16=""),"",J29/EligBasisLimits!$C$16)</f>
      </c>
      <c r="H29" s="1652">
        <v>0.03</v>
      </c>
      <c r="I29" s="1662"/>
      <c r="J29" s="1661"/>
      <c r="K29" s="1655">
        <f aca="true" t="shared" si="4" ref="K29:X33">INT(J29*(1+$H29))</f>
        <v>0</v>
      </c>
      <c r="L29" s="1655">
        <f t="shared" si="4"/>
        <v>0</v>
      </c>
      <c r="M29" s="1655">
        <f t="shared" si="4"/>
        <v>0</v>
      </c>
      <c r="N29" s="1655">
        <f t="shared" si="4"/>
        <v>0</v>
      </c>
      <c r="O29" s="1655">
        <f t="shared" si="4"/>
        <v>0</v>
      </c>
      <c r="P29" s="1655">
        <f t="shared" si="4"/>
        <v>0</v>
      </c>
      <c r="Q29" s="1655">
        <f t="shared" si="4"/>
        <v>0</v>
      </c>
      <c r="R29" s="1655">
        <f t="shared" si="4"/>
        <v>0</v>
      </c>
      <c r="S29" s="1655">
        <f t="shared" si="4"/>
        <v>0</v>
      </c>
      <c r="T29" s="1655">
        <f t="shared" si="4"/>
        <v>0</v>
      </c>
      <c r="U29" s="1655">
        <f t="shared" si="4"/>
        <v>0</v>
      </c>
      <c r="V29" s="1655">
        <f t="shared" si="4"/>
        <v>0</v>
      </c>
      <c r="W29" s="1655">
        <f t="shared" si="4"/>
        <v>0</v>
      </c>
      <c r="X29" s="1655">
        <f t="shared" si="4"/>
        <v>0</v>
      </c>
      <c r="BA29" s="1628"/>
      <c r="BB29" s="1628"/>
      <c r="BC29" s="1628"/>
      <c r="BE29" s="1628"/>
      <c r="BF29" s="1628"/>
      <c r="BG29" s="1628"/>
      <c r="BH29" s="1628"/>
      <c r="BI29" s="1628"/>
      <c r="BJ29" s="1628"/>
      <c r="BK29" s="1628"/>
      <c r="BL29" s="1628"/>
      <c r="BM29" s="1628"/>
      <c r="BN29" s="1628"/>
      <c r="BO29" s="1628"/>
      <c r="BP29" s="1628"/>
      <c r="BQ29" s="1628"/>
      <c r="BR29" s="1628"/>
      <c r="BS29" s="1628"/>
      <c r="BT29" s="1628"/>
      <c r="BU29" s="1628"/>
      <c r="BV29" s="1628"/>
      <c r="BW29" s="1628"/>
      <c r="BX29" s="1628"/>
      <c r="BY29" s="1628"/>
      <c r="BZ29" s="1628"/>
      <c r="CA29" s="1628"/>
      <c r="CB29" s="1628"/>
      <c r="CC29" s="1628"/>
      <c r="CD29" s="1628"/>
      <c r="CE29" s="1628"/>
      <c r="CF29" s="1628"/>
      <c r="CG29" s="1628"/>
      <c r="CH29" s="1628"/>
      <c r="CI29" s="1628"/>
      <c r="CJ29" s="1628"/>
      <c r="CK29" s="1628"/>
      <c r="CL29" s="1628"/>
      <c r="CM29" s="1628"/>
      <c r="CN29" s="1628"/>
      <c r="CO29" s="1628"/>
      <c r="CP29" s="1628"/>
      <c r="CQ29" s="1628"/>
      <c r="CR29" s="1628"/>
      <c r="CS29" s="1628"/>
      <c r="CT29" s="1628"/>
      <c r="CU29" s="1628"/>
      <c r="CV29" s="1628"/>
      <c r="CW29" s="1628"/>
      <c r="CX29" s="1628"/>
      <c r="CY29" s="1628"/>
      <c r="CZ29" s="1628"/>
      <c r="DA29" s="1628"/>
      <c r="DB29" s="1628"/>
      <c r="DC29" s="1628"/>
      <c r="DD29" s="1628"/>
      <c r="DE29" s="1628"/>
      <c r="DF29" s="1628"/>
      <c r="DG29" s="1628"/>
      <c r="DH29" s="1628"/>
      <c r="DI29" s="1628"/>
      <c r="DJ29" s="1628"/>
    </row>
    <row r="30" spans="2:114" ht="15">
      <c r="B30" s="1646" t="s">
        <v>1200</v>
      </c>
      <c r="G30" s="1651">
        <f>IF(OR(EligBasisLimits!$C$16=0,EligBasisLimits!$C$16=""),"",J30/EligBasisLimits!$C$16)</f>
      </c>
      <c r="H30" s="1652">
        <v>0.03</v>
      </c>
      <c r="I30" s="1662"/>
      <c r="J30" s="1661"/>
      <c r="K30" s="1655">
        <f t="shared" si="4"/>
        <v>0</v>
      </c>
      <c r="L30" s="1655">
        <f t="shared" si="4"/>
        <v>0</v>
      </c>
      <c r="M30" s="1655">
        <f t="shared" si="4"/>
        <v>0</v>
      </c>
      <c r="N30" s="1655">
        <f t="shared" si="4"/>
        <v>0</v>
      </c>
      <c r="O30" s="1655">
        <f t="shared" si="4"/>
        <v>0</v>
      </c>
      <c r="P30" s="1655">
        <f t="shared" si="4"/>
        <v>0</v>
      </c>
      <c r="Q30" s="1655">
        <f t="shared" si="4"/>
        <v>0</v>
      </c>
      <c r="R30" s="1655">
        <f t="shared" si="4"/>
        <v>0</v>
      </c>
      <c r="S30" s="1655">
        <f t="shared" si="4"/>
        <v>0</v>
      </c>
      <c r="T30" s="1655">
        <f t="shared" si="4"/>
        <v>0</v>
      </c>
      <c r="U30" s="1655">
        <f t="shared" si="4"/>
        <v>0</v>
      </c>
      <c r="V30" s="1655">
        <f t="shared" si="4"/>
        <v>0</v>
      </c>
      <c r="W30" s="1655">
        <f t="shared" si="4"/>
        <v>0</v>
      </c>
      <c r="X30" s="1655">
        <f t="shared" si="4"/>
        <v>0</v>
      </c>
      <c r="BA30" s="1628"/>
      <c r="BB30" s="1628"/>
      <c r="BC30" s="1628"/>
      <c r="BE30" s="1628"/>
      <c r="BF30" s="1628"/>
      <c r="BG30" s="1628"/>
      <c r="BH30" s="1628"/>
      <c r="BI30" s="1628"/>
      <c r="BJ30" s="1628"/>
      <c r="BK30" s="1628"/>
      <c r="BL30" s="1628"/>
      <c r="BM30" s="1628"/>
      <c r="BN30" s="1628"/>
      <c r="BO30" s="1628"/>
      <c r="BP30" s="1628"/>
      <c r="BQ30" s="1628"/>
      <c r="BR30" s="1628"/>
      <c r="BS30" s="1628"/>
      <c r="BT30" s="1628"/>
      <c r="BU30" s="1628"/>
      <c r="BV30" s="1628"/>
      <c r="BW30" s="1628"/>
      <c r="BX30" s="1628"/>
      <c r="BY30" s="1628"/>
      <c r="BZ30" s="1628"/>
      <c r="CA30" s="1628"/>
      <c r="CB30" s="1628"/>
      <c r="CC30" s="1628"/>
      <c r="CD30" s="1628"/>
      <c r="CE30" s="1628"/>
      <c r="CF30" s="1628"/>
      <c r="CG30" s="1628"/>
      <c r="CH30" s="1628"/>
      <c r="CI30" s="1628"/>
      <c r="CJ30" s="1628"/>
      <c r="CK30" s="1628"/>
      <c r="CL30" s="1628"/>
      <c r="CM30" s="1628"/>
      <c r="CN30" s="1628"/>
      <c r="CO30" s="1628"/>
      <c r="CP30" s="1628"/>
      <c r="CQ30" s="1628"/>
      <c r="CR30" s="1628"/>
      <c r="CS30" s="1628"/>
      <c r="CT30" s="1628"/>
      <c r="CU30" s="1628"/>
      <c r="CV30" s="1628"/>
      <c r="CW30" s="1628"/>
      <c r="CX30" s="1628"/>
      <c r="CY30" s="1628"/>
      <c r="CZ30" s="1628"/>
      <c r="DA30" s="1628"/>
      <c r="DB30" s="1628"/>
      <c r="DC30" s="1628"/>
      <c r="DD30" s="1628"/>
      <c r="DE30" s="1628"/>
      <c r="DF30" s="1628"/>
      <c r="DG30" s="1628"/>
      <c r="DH30" s="1628"/>
      <c r="DI30" s="1628"/>
      <c r="DJ30" s="1628"/>
    </row>
    <row r="31" spans="2:114" ht="17.25">
      <c r="B31" s="1646" t="s">
        <v>1187</v>
      </c>
      <c r="E31" s="1663"/>
      <c r="F31" s="1663"/>
      <c r="G31" s="1651">
        <f>IF(OR(EligBasisLimits!$C$16=0,EligBasisLimits!$C$16=""),"",J31/EligBasisLimits!$C$16)</f>
      </c>
      <c r="H31" s="1652">
        <v>0.03</v>
      </c>
      <c r="I31" s="1653"/>
      <c r="J31" s="1664"/>
      <c r="K31" s="1655">
        <f t="shared" si="4"/>
        <v>0</v>
      </c>
      <c r="L31" s="1655">
        <f t="shared" si="4"/>
        <v>0</v>
      </c>
      <c r="M31" s="1655">
        <f t="shared" si="4"/>
        <v>0</v>
      </c>
      <c r="N31" s="1655">
        <f t="shared" si="4"/>
        <v>0</v>
      </c>
      <c r="O31" s="1655">
        <f t="shared" si="4"/>
        <v>0</v>
      </c>
      <c r="P31" s="1655">
        <f t="shared" si="4"/>
        <v>0</v>
      </c>
      <c r="Q31" s="1655">
        <f t="shared" si="4"/>
        <v>0</v>
      </c>
      <c r="R31" s="1655">
        <f t="shared" si="4"/>
        <v>0</v>
      </c>
      <c r="S31" s="1655">
        <f t="shared" si="4"/>
        <v>0</v>
      </c>
      <c r="T31" s="1655">
        <f t="shared" si="4"/>
        <v>0</v>
      </c>
      <c r="U31" s="1655">
        <f t="shared" si="4"/>
        <v>0</v>
      </c>
      <c r="V31" s="1655">
        <f t="shared" si="4"/>
        <v>0</v>
      </c>
      <c r="W31" s="1655">
        <f t="shared" si="4"/>
        <v>0</v>
      </c>
      <c r="X31" s="1655">
        <f t="shared" si="4"/>
        <v>0</v>
      </c>
      <c r="BA31" s="1628"/>
      <c r="BB31" s="1628"/>
      <c r="BC31" s="1628"/>
      <c r="BE31" s="1628"/>
      <c r="BF31" s="1628"/>
      <c r="BG31" s="1628"/>
      <c r="BH31" s="1628"/>
      <c r="BI31" s="1628"/>
      <c r="BJ31" s="1628"/>
      <c r="BK31" s="1628"/>
      <c r="BL31" s="1628"/>
      <c r="BM31" s="1628"/>
      <c r="BN31" s="1628"/>
      <c r="BO31" s="1628"/>
      <c r="BP31" s="1628"/>
      <c r="BQ31" s="1628"/>
      <c r="BR31" s="1628"/>
      <c r="BS31" s="1628"/>
      <c r="BT31" s="1628"/>
      <c r="BU31" s="1628"/>
      <c r="BV31" s="1628"/>
      <c r="BW31" s="1628"/>
      <c r="BX31" s="1628"/>
      <c r="BY31" s="1628"/>
      <c r="BZ31" s="1628"/>
      <c r="CA31" s="1628"/>
      <c r="CB31" s="1628"/>
      <c r="CC31" s="1628"/>
      <c r="CD31" s="1628"/>
      <c r="CE31" s="1628"/>
      <c r="CF31" s="1628"/>
      <c r="CG31" s="1628"/>
      <c r="CH31" s="1628"/>
      <c r="CI31" s="1628"/>
      <c r="CJ31" s="1628"/>
      <c r="CK31" s="1628"/>
      <c r="CL31" s="1628"/>
      <c r="CM31" s="1628"/>
      <c r="CN31" s="1628"/>
      <c r="CO31" s="1628"/>
      <c r="CP31" s="1628"/>
      <c r="CQ31" s="1628"/>
      <c r="CR31" s="1628"/>
      <c r="CS31" s="1628"/>
      <c r="CT31" s="1628"/>
      <c r="CU31" s="1628"/>
      <c r="CV31" s="1628"/>
      <c r="CW31" s="1628"/>
      <c r="CX31" s="1628"/>
      <c r="CY31" s="1628"/>
      <c r="CZ31" s="1628"/>
      <c r="DA31" s="1628"/>
      <c r="DB31" s="1628"/>
      <c r="DC31" s="1628"/>
      <c r="DD31" s="1628"/>
      <c r="DE31" s="1628"/>
      <c r="DF31" s="1628"/>
      <c r="DG31" s="1628"/>
      <c r="DH31" s="1628"/>
      <c r="DI31" s="1628"/>
      <c r="DJ31" s="1628"/>
    </row>
    <row r="32" spans="2:114" ht="17.25">
      <c r="B32" s="1646" t="s">
        <v>1187</v>
      </c>
      <c r="E32" s="1663"/>
      <c r="F32" s="1663"/>
      <c r="G32" s="1651">
        <f>IF(OR(EligBasisLimits!$C$16=0,EligBasisLimits!$C$16=""),"",J32/EligBasisLimits!$C$16)</f>
      </c>
      <c r="H32" s="1652">
        <v>0.03</v>
      </c>
      <c r="I32" s="1653"/>
      <c r="J32" s="1664"/>
      <c r="K32" s="1655">
        <f t="shared" si="4"/>
        <v>0</v>
      </c>
      <c r="L32" s="1655">
        <f t="shared" si="4"/>
        <v>0</v>
      </c>
      <c r="M32" s="1655">
        <f t="shared" si="4"/>
        <v>0</v>
      </c>
      <c r="N32" s="1655">
        <f t="shared" si="4"/>
        <v>0</v>
      </c>
      <c r="O32" s="1655">
        <f t="shared" si="4"/>
        <v>0</v>
      </c>
      <c r="P32" s="1655">
        <f t="shared" si="4"/>
        <v>0</v>
      </c>
      <c r="Q32" s="1655">
        <f t="shared" si="4"/>
        <v>0</v>
      </c>
      <c r="R32" s="1655">
        <f t="shared" si="4"/>
        <v>0</v>
      </c>
      <c r="S32" s="1655">
        <f t="shared" si="4"/>
        <v>0</v>
      </c>
      <c r="T32" s="1655">
        <f t="shared" si="4"/>
        <v>0</v>
      </c>
      <c r="U32" s="1655">
        <f t="shared" si="4"/>
        <v>0</v>
      </c>
      <c r="V32" s="1655">
        <f t="shared" si="4"/>
        <v>0</v>
      </c>
      <c r="W32" s="1655">
        <f t="shared" si="4"/>
        <v>0</v>
      </c>
      <c r="X32" s="1655">
        <f t="shared" si="4"/>
        <v>0</v>
      </c>
      <c r="BA32" s="1628"/>
      <c r="BB32" s="1628"/>
      <c r="BC32" s="1628"/>
      <c r="BE32" s="1628"/>
      <c r="BF32" s="1628"/>
      <c r="BG32" s="1628"/>
      <c r="BH32" s="1628"/>
      <c r="BI32" s="1628"/>
      <c r="BJ32" s="1628"/>
      <c r="BK32" s="1628"/>
      <c r="BL32" s="1628"/>
      <c r="BM32" s="1628"/>
      <c r="BN32" s="1628"/>
      <c r="BO32" s="1628"/>
      <c r="BP32" s="1628"/>
      <c r="BQ32" s="1628"/>
      <c r="BR32" s="1628"/>
      <c r="BS32" s="1628"/>
      <c r="BT32" s="1628"/>
      <c r="BU32" s="1628"/>
      <c r="BV32" s="1628"/>
      <c r="BW32" s="1628"/>
      <c r="BX32" s="1628"/>
      <c r="BY32" s="1628"/>
      <c r="BZ32" s="1628"/>
      <c r="CA32" s="1628"/>
      <c r="CB32" s="1628"/>
      <c r="CC32" s="1628"/>
      <c r="CD32" s="1628"/>
      <c r="CE32" s="1628"/>
      <c r="CF32" s="1628"/>
      <c r="CG32" s="1628"/>
      <c r="CH32" s="1628"/>
      <c r="CI32" s="1628"/>
      <c r="CJ32" s="1628"/>
      <c r="CK32" s="1628"/>
      <c r="CL32" s="1628"/>
      <c r="CM32" s="1628"/>
      <c r="CN32" s="1628"/>
      <c r="CO32" s="1628"/>
      <c r="CP32" s="1628"/>
      <c r="CQ32" s="1628"/>
      <c r="CR32" s="1628"/>
      <c r="CS32" s="1628"/>
      <c r="CT32" s="1628"/>
      <c r="CU32" s="1628"/>
      <c r="CV32" s="1628"/>
      <c r="CW32" s="1628"/>
      <c r="CX32" s="1628"/>
      <c r="CY32" s="1628"/>
      <c r="CZ32" s="1628"/>
      <c r="DA32" s="1628"/>
      <c r="DB32" s="1628"/>
      <c r="DC32" s="1628"/>
      <c r="DD32" s="1628"/>
      <c r="DE32" s="1628"/>
      <c r="DF32" s="1628"/>
      <c r="DG32" s="1628"/>
      <c r="DH32" s="1628"/>
      <c r="DI32" s="1628"/>
      <c r="DJ32" s="1628"/>
    </row>
    <row r="33" spans="2:158" ht="17.25">
      <c r="B33" s="1656" t="s">
        <v>1187</v>
      </c>
      <c r="C33" s="1656"/>
      <c r="D33" s="1656"/>
      <c r="E33" s="1665"/>
      <c r="F33" s="1665"/>
      <c r="G33" s="1657">
        <f>IF(OR(EligBasisLimits!$C$16=0,EligBasisLimits!$C$16=""),"",J33/EligBasisLimits!$C$16)</f>
      </c>
      <c r="H33" s="438">
        <v>0.03</v>
      </c>
      <c r="I33" s="1658"/>
      <c r="J33" s="1666"/>
      <c r="K33" s="1660">
        <f t="shared" si="4"/>
        <v>0</v>
      </c>
      <c r="L33" s="1660">
        <f t="shared" si="4"/>
        <v>0</v>
      </c>
      <c r="M33" s="1660">
        <f t="shared" si="4"/>
        <v>0</v>
      </c>
      <c r="N33" s="1660">
        <f t="shared" si="4"/>
        <v>0</v>
      </c>
      <c r="O33" s="1660">
        <f t="shared" si="4"/>
        <v>0</v>
      </c>
      <c r="P33" s="1660">
        <f t="shared" si="4"/>
        <v>0</v>
      </c>
      <c r="Q33" s="1660">
        <f t="shared" si="4"/>
        <v>0</v>
      </c>
      <c r="R33" s="1660">
        <f t="shared" si="4"/>
        <v>0</v>
      </c>
      <c r="S33" s="1660">
        <f t="shared" si="4"/>
        <v>0</v>
      </c>
      <c r="T33" s="1660">
        <f t="shared" si="4"/>
        <v>0</v>
      </c>
      <c r="U33" s="1660">
        <f t="shared" si="4"/>
        <v>0</v>
      </c>
      <c r="V33" s="1660">
        <f t="shared" si="4"/>
        <v>0</v>
      </c>
      <c r="W33" s="1660">
        <f t="shared" si="4"/>
        <v>0</v>
      </c>
      <c r="X33" s="1660">
        <f t="shared" si="4"/>
        <v>0</v>
      </c>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c r="CR33" s="399"/>
      <c r="CS33" s="399"/>
      <c r="CT33" s="399"/>
      <c r="CU33" s="399"/>
      <c r="CV33" s="399"/>
      <c r="CW33" s="399"/>
      <c r="CX33" s="399"/>
      <c r="CY33" s="399"/>
      <c r="CZ33" s="399"/>
      <c r="DA33" s="399"/>
      <c r="DB33" s="399"/>
      <c r="DC33" s="399"/>
      <c r="DD33" s="399"/>
      <c r="DE33" s="399"/>
      <c r="DF33" s="399"/>
      <c r="DG33" s="399"/>
      <c r="DH33" s="399"/>
      <c r="DI33" s="399"/>
      <c r="DJ33" s="399"/>
      <c r="DK33" s="399"/>
      <c r="DL33" s="399"/>
      <c r="DM33" s="399"/>
      <c r="DN33" s="399"/>
      <c r="DO33" s="399"/>
      <c r="DP33" s="399"/>
      <c r="DQ33" s="399"/>
      <c r="DR33" s="399"/>
      <c r="DS33" s="399"/>
      <c r="DT33" s="399"/>
      <c r="DU33" s="399"/>
      <c r="DV33" s="399"/>
      <c r="DW33" s="399"/>
      <c r="DX33" s="399"/>
      <c r="DY33" s="399"/>
      <c r="DZ33" s="399"/>
      <c r="EA33" s="399"/>
      <c r="EB33" s="399"/>
      <c r="EC33" s="399"/>
      <c r="ED33" s="399"/>
      <c r="EE33" s="399"/>
      <c r="EF33" s="399"/>
      <c r="EG33" s="399"/>
      <c r="EH33" s="399"/>
      <c r="EI33" s="399"/>
      <c r="EJ33" s="399"/>
      <c r="EK33" s="399"/>
      <c r="EL33" s="399"/>
      <c r="EM33" s="399"/>
      <c r="EN33" s="399"/>
      <c r="EO33" s="399"/>
      <c r="EP33" s="399"/>
      <c r="EQ33" s="399"/>
      <c r="ER33" s="399"/>
      <c r="ES33" s="399"/>
      <c r="ET33" s="399"/>
      <c r="EU33" s="399"/>
      <c r="EV33" s="399"/>
      <c r="EW33" s="399"/>
      <c r="EX33" s="399"/>
      <c r="EY33" s="399"/>
      <c r="EZ33" s="399"/>
      <c r="FA33" s="399"/>
      <c r="FB33" s="399"/>
    </row>
    <row r="34" spans="8:158" s="424" customFormat="1" ht="18" customHeight="1">
      <c r="H34" s="425"/>
      <c r="I34" s="425"/>
      <c r="J34" s="426"/>
      <c r="K34" s="426"/>
      <c r="L34" s="426"/>
      <c r="M34" s="426"/>
      <c r="N34" s="426"/>
      <c r="O34" s="426"/>
      <c r="P34" s="426"/>
      <c r="Q34" s="426"/>
      <c r="R34" s="426"/>
      <c r="S34" s="426"/>
      <c r="T34" s="426"/>
      <c r="U34" s="426"/>
      <c r="V34" s="426"/>
      <c r="W34" s="426"/>
      <c r="X34" s="426"/>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399"/>
      <c r="BG34" s="399"/>
      <c r="BH34" s="399"/>
      <c r="BI34" s="399"/>
      <c r="BJ34" s="399"/>
      <c r="BK34" s="399"/>
      <c r="BL34" s="399"/>
      <c r="BM34" s="399"/>
      <c r="BN34" s="399"/>
      <c r="BO34" s="399"/>
      <c r="BP34" s="399"/>
      <c r="BQ34" s="399"/>
      <c r="BR34" s="399"/>
      <c r="BS34" s="399"/>
      <c r="BT34" s="399"/>
      <c r="BU34" s="399"/>
      <c r="BV34" s="399"/>
      <c r="BW34" s="399"/>
      <c r="BX34" s="399"/>
      <c r="BY34" s="399"/>
      <c r="BZ34" s="399"/>
      <c r="CA34" s="399"/>
      <c r="CB34" s="399"/>
      <c r="CC34" s="399"/>
      <c r="CD34" s="399"/>
      <c r="CE34" s="399"/>
      <c r="CF34" s="399"/>
      <c r="CG34" s="399"/>
      <c r="CH34" s="399"/>
      <c r="CI34" s="399"/>
      <c r="CJ34" s="399"/>
      <c r="CK34" s="399"/>
      <c r="CL34" s="399"/>
      <c r="CM34" s="399"/>
      <c r="CN34" s="399"/>
      <c r="CO34" s="399"/>
      <c r="CP34" s="399"/>
      <c r="CQ34" s="399"/>
      <c r="CR34" s="399"/>
      <c r="CS34" s="399"/>
      <c r="CT34" s="399"/>
      <c r="CU34" s="399"/>
      <c r="CV34" s="399"/>
      <c r="CW34" s="399"/>
      <c r="CX34" s="399"/>
      <c r="CY34" s="399"/>
      <c r="CZ34" s="399"/>
      <c r="DA34" s="399"/>
      <c r="DB34" s="399"/>
      <c r="DC34" s="399"/>
      <c r="DD34" s="399"/>
      <c r="DE34" s="399"/>
      <c r="DF34" s="399"/>
      <c r="DG34" s="399"/>
      <c r="DH34" s="399"/>
      <c r="DI34" s="399"/>
      <c r="DJ34" s="399"/>
      <c r="DK34" s="399"/>
      <c r="DL34" s="399"/>
      <c r="DM34" s="399"/>
      <c r="DN34" s="399"/>
      <c r="DO34" s="399"/>
      <c r="DP34" s="399"/>
      <c r="DQ34" s="399"/>
      <c r="DR34" s="399"/>
      <c r="DS34" s="399"/>
      <c r="DT34" s="399"/>
      <c r="DU34" s="399"/>
      <c r="DV34" s="399"/>
      <c r="DW34" s="399"/>
      <c r="DX34" s="399"/>
      <c r="DY34" s="399"/>
      <c r="DZ34" s="399"/>
      <c r="EA34" s="399"/>
      <c r="EB34" s="399"/>
      <c r="EC34" s="399"/>
      <c r="ED34" s="399"/>
      <c r="EE34" s="399"/>
      <c r="EF34" s="399"/>
      <c r="EG34" s="399"/>
      <c r="EH34" s="399"/>
      <c r="EI34" s="399"/>
      <c r="EJ34" s="399"/>
      <c r="EK34" s="399"/>
      <c r="EL34" s="399"/>
      <c r="EM34" s="399"/>
      <c r="EN34" s="399"/>
      <c r="EO34" s="399"/>
      <c r="EP34" s="399"/>
      <c r="EQ34" s="399"/>
      <c r="ER34" s="399"/>
      <c r="ES34" s="399"/>
      <c r="ET34" s="399"/>
      <c r="EU34" s="399"/>
      <c r="EV34" s="399"/>
      <c r="EW34" s="399"/>
      <c r="EX34" s="399"/>
      <c r="EY34" s="399"/>
      <c r="EZ34" s="399"/>
      <c r="FA34" s="399"/>
      <c r="FB34" s="399"/>
    </row>
    <row r="35" spans="8:158" s="1667" customFormat="1" ht="15.75" thickBot="1">
      <c r="H35" s="1645"/>
      <c r="I35" s="1645"/>
      <c r="J35" s="1644"/>
      <c r="K35" s="1644"/>
      <c r="L35" s="1644"/>
      <c r="M35" s="1644"/>
      <c r="N35" s="1644"/>
      <c r="O35" s="1644"/>
      <c r="P35" s="1644"/>
      <c r="Q35" s="1644"/>
      <c r="R35" s="1644"/>
      <c r="S35" s="1644"/>
      <c r="T35" s="1644"/>
      <c r="U35" s="1644"/>
      <c r="V35" s="1644"/>
      <c r="W35" s="1644"/>
      <c r="X35" s="1644"/>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399"/>
      <c r="CN35" s="399"/>
      <c r="CO35" s="399"/>
      <c r="CP35" s="399"/>
      <c r="CQ35" s="399"/>
      <c r="CR35" s="399"/>
      <c r="CS35" s="399"/>
      <c r="CT35" s="399"/>
      <c r="CU35" s="399"/>
      <c r="CV35" s="399"/>
      <c r="CW35" s="399"/>
      <c r="CX35" s="399"/>
      <c r="CY35" s="399"/>
      <c r="CZ35" s="399"/>
      <c r="DA35" s="399"/>
      <c r="DB35" s="399"/>
      <c r="DC35" s="399"/>
      <c r="DD35" s="399"/>
      <c r="DE35" s="399"/>
      <c r="DF35" s="399"/>
      <c r="DG35" s="399"/>
      <c r="DH35" s="399"/>
      <c r="DI35" s="399"/>
      <c r="DJ35" s="399"/>
      <c r="DK35" s="399"/>
      <c r="DL35" s="399"/>
      <c r="DM35" s="399"/>
      <c r="DN35" s="399"/>
      <c r="DO35" s="399"/>
      <c r="DP35" s="399"/>
      <c r="DQ35" s="399"/>
      <c r="DR35" s="399"/>
      <c r="DS35" s="399"/>
      <c r="DT35" s="399"/>
      <c r="DU35" s="399"/>
      <c r="DV35" s="399"/>
      <c r="DW35" s="399"/>
      <c r="DX35" s="399"/>
      <c r="DY35" s="399"/>
      <c r="DZ35" s="399"/>
      <c r="EA35" s="399"/>
      <c r="EB35" s="399"/>
      <c r="EC35" s="399"/>
      <c r="ED35" s="399"/>
      <c r="EE35" s="399"/>
      <c r="EF35" s="399"/>
      <c r="EG35" s="399"/>
      <c r="EH35" s="399"/>
      <c r="EI35" s="399"/>
      <c r="EJ35" s="399"/>
      <c r="EK35" s="399"/>
      <c r="EL35" s="399"/>
      <c r="EM35" s="399"/>
      <c r="EN35" s="399"/>
      <c r="EO35" s="399"/>
      <c r="EP35" s="399"/>
      <c r="EQ35" s="399"/>
      <c r="ER35" s="399"/>
      <c r="ES35" s="399"/>
      <c r="ET35" s="399"/>
      <c r="EU35" s="399"/>
      <c r="EV35" s="399"/>
      <c r="EW35" s="399"/>
      <c r="EX35" s="399"/>
      <c r="EY35" s="399"/>
      <c r="EZ35" s="399"/>
      <c r="FA35" s="399"/>
      <c r="FB35" s="399"/>
    </row>
    <row r="36" spans="2:158" s="424" customFormat="1" ht="15.75" thickTop="1">
      <c r="B36" s="424" t="s">
        <v>1201</v>
      </c>
      <c r="G36" s="434">
        <f>IF(OR(EligBasisLimits!$C$16=0,EligBasisLimits!$C$16=""),"",J36/EligBasisLimits!$C$16)</f>
      </c>
      <c r="H36" s="425"/>
      <c r="I36" s="425"/>
      <c r="J36" s="426">
        <f aca="true" t="shared" si="5" ref="J36:X36">SUM(J24:J33)</f>
        <v>0</v>
      </c>
      <c r="K36" s="426">
        <f t="shared" si="5"/>
        <v>0</v>
      </c>
      <c r="L36" s="426">
        <f t="shared" si="5"/>
        <v>0</v>
      </c>
      <c r="M36" s="426">
        <f t="shared" si="5"/>
        <v>0</v>
      </c>
      <c r="N36" s="426">
        <f t="shared" si="5"/>
        <v>0</v>
      </c>
      <c r="O36" s="426">
        <f t="shared" si="5"/>
        <v>0</v>
      </c>
      <c r="P36" s="426">
        <f t="shared" si="5"/>
        <v>0</v>
      </c>
      <c r="Q36" s="426">
        <f t="shared" si="5"/>
        <v>0</v>
      </c>
      <c r="R36" s="426">
        <f t="shared" si="5"/>
        <v>0</v>
      </c>
      <c r="S36" s="426">
        <f t="shared" si="5"/>
        <v>0</v>
      </c>
      <c r="T36" s="426">
        <f t="shared" si="5"/>
        <v>0</v>
      </c>
      <c r="U36" s="426">
        <f t="shared" si="5"/>
        <v>0</v>
      </c>
      <c r="V36" s="426">
        <f t="shared" si="5"/>
        <v>0</v>
      </c>
      <c r="W36" s="426">
        <f t="shared" si="5"/>
        <v>0</v>
      </c>
      <c r="X36" s="426">
        <f t="shared" si="5"/>
        <v>0</v>
      </c>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399"/>
      <c r="CS36" s="399"/>
      <c r="CT36" s="399"/>
      <c r="CU36" s="399"/>
      <c r="CV36" s="399"/>
      <c r="CW36" s="399"/>
      <c r="CX36" s="399"/>
      <c r="CY36" s="399"/>
      <c r="CZ36" s="399"/>
      <c r="DA36" s="399"/>
      <c r="DB36" s="399"/>
      <c r="DC36" s="399"/>
      <c r="DD36" s="399"/>
      <c r="DE36" s="399"/>
      <c r="DF36" s="399"/>
      <c r="DG36" s="399"/>
      <c r="DH36" s="399"/>
      <c r="DI36" s="399"/>
      <c r="DJ36" s="399"/>
      <c r="DK36" s="399"/>
      <c r="DL36" s="399"/>
      <c r="DM36" s="399"/>
      <c r="DN36" s="399"/>
      <c r="DO36" s="399"/>
      <c r="DP36" s="399"/>
      <c r="DQ36" s="399"/>
      <c r="DR36" s="399"/>
      <c r="DS36" s="399"/>
      <c r="DT36" s="399"/>
      <c r="DU36" s="399"/>
      <c r="DV36" s="399"/>
      <c r="DW36" s="399"/>
      <c r="DX36" s="399"/>
      <c r="DY36" s="399"/>
      <c r="DZ36" s="399"/>
      <c r="EA36" s="399"/>
      <c r="EB36" s="399"/>
      <c r="EC36" s="399"/>
      <c r="ED36" s="399"/>
      <c r="EE36" s="399"/>
      <c r="EF36" s="399"/>
      <c r="EG36" s="399"/>
      <c r="EH36" s="399"/>
      <c r="EI36" s="399"/>
      <c r="EJ36" s="399"/>
      <c r="EK36" s="399"/>
      <c r="EL36" s="399"/>
      <c r="EM36" s="399"/>
      <c r="EN36" s="399"/>
      <c r="EO36" s="399"/>
      <c r="EP36" s="399"/>
      <c r="EQ36" s="399"/>
      <c r="ER36" s="399"/>
      <c r="ES36" s="399"/>
      <c r="ET36" s="399"/>
      <c r="EU36" s="399"/>
      <c r="EV36" s="399"/>
      <c r="EW36" s="399"/>
      <c r="EX36" s="399"/>
      <c r="EY36" s="399"/>
      <c r="EZ36" s="399"/>
      <c r="FA36" s="399"/>
      <c r="FB36" s="399"/>
    </row>
    <row r="37" spans="8:158" s="1667" customFormat="1" ht="15.75" thickBot="1">
      <c r="H37" s="1645"/>
      <c r="I37" s="1645"/>
      <c r="J37" s="1644"/>
      <c r="K37" s="1644"/>
      <c r="L37" s="1644"/>
      <c r="M37" s="1644"/>
      <c r="N37" s="1644"/>
      <c r="O37" s="1644"/>
      <c r="P37" s="1644"/>
      <c r="Q37" s="1644"/>
      <c r="R37" s="1644"/>
      <c r="S37" s="1644"/>
      <c r="T37" s="1644"/>
      <c r="U37" s="1644"/>
      <c r="V37" s="1644"/>
      <c r="W37" s="1644"/>
      <c r="X37" s="1644"/>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399"/>
      <c r="BR37" s="399"/>
      <c r="BS37" s="399"/>
      <c r="BT37" s="399"/>
      <c r="BU37" s="399"/>
      <c r="BV37" s="399"/>
      <c r="BW37" s="399"/>
      <c r="BX37" s="399"/>
      <c r="BY37" s="399"/>
      <c r="BZ37" s="399"/>
      <c r="CA37" s="399"/>
      <c r="CB37" s="399"/>
      <c r="CC37" s="399"/>
      <c r="CD37" s="399"/>
      <c r="CE37" s="399"/>
      <c r="CF37" s="399"/>
      <c r="CG37" s="399"/>
      <c r="CH37" s="399"/>
      <c r="CI37" s="399"/>
      <c r="CJ37" s="399"/>
      <c r="CK37" s="399"/>
      <c r="CL37" s="399"/>
      <c r="CM37" s="399"/>
      <c r="CN37" s="399"/>
      <c r="CO37" s="399"/>
      <c r="CP37" s="399"/>
      <c r="CQ37" s="399"/>
      <c r="CR37" s="399"/>
      <c r="CS37" s="399"/>
      <c r="CT37" s="399"/>
      <c r="CU37" s="399"/>
      <c r="CV37" s="399"/>
      <c r="CW37" s="399"/>
      <c r="CX37" s="399"/>
      <c r="CY37" s="399"/>
      <c r="CZ37" s="399"/>
      <c r="DA37" s="399"/>
      <c r="DB37" s="399"/>
      <c r="DC37" s="399"/>
      <c r="DD37" s="399"/>
      <c r="DE37" s="399"/>
      <c r="DF37" s="399"/>
      <c r="DG37" s="399"/>
      <c r="DH37" s="399"/>
      <c r="DI37" s="399"/>
      <c r="DJ37" s="399"/>
      <c r="DK37" s="399"/>
      <c r="DL37" s="399"/>
      <c r="DM37" s="399"/>
      <c r="DN37" s="399"/>
      <c r="DO37" s="399"/>
      <c r="DP37" s="399"/>
      <c r="DQ37" s="399"/>
      <c r="DR37" s="399"/>
      <c r="DS37" s="399"/>
      <c r="DT37" s="399"/>
      <c r="DU37" s="399"/>
      <c r="DV37" s="399"/>
      <c r="DW37" s="399"/>
      <c r="DX37" s="399"/>
      <c r="DY37" s="399"/>
      <c r="DZ37" s="399"/>
      <c r="EA37" s="399"/>
      <c r="EB37" s="399"/>
      <c r="EC37" s="399"/>
      <c r="ED37" s="399"/>
      <c r="EE37" s="399"/>
      <c r="EF37" s="399"/>
      <c r="EG37" s="399"/>
      <c r="EH37" s="399"/>
      <c r="EI37" s="399"/>
      <c r="EJ37" s="399"/>
      <c r="EK37" s="399"/>
      <c r="EL37" s="399"/>
      <c r="EM37" s="399"/>
      <c r="EN37" s="399"/>
      <c r="EO37" s="399"/>
      <c r="EP37" s="399"/>
      <c r="EQ37" s="399"/>
      <c r="ER37" s="399"/>
      <c r="ES37" s="399"/>
      <c r="ET37" s="399"/>
      <c r="EU37" s="399"/>
      <c r="EV37" s="399"/>
      <c r="EW37" s="399"/>
      <c r="EX37" s="399"/>
      <c r="EY37" s="399"/>
      <c r="EZ37" s="399"/>
      <c r="FA37" s="399"/>
      <c r="FB37" s="399"/>
    </row>
    <row r="38" spans="1:158" s="1628" customFormat="1" ht="15.75" thickTop="1">
      <c r="A38" s="424" t="s">
        <v>551</v>
      </c>
      <c r="H38" s="1627"/>
      <c r="I38" s="1627"/>
      <c r="J38" s="426">
        <f aca="true" t="shared" si="6" ref="J38:X38">+J14-J36</f>
        <v>0</v>
      </c>
      <c r="K38" s="426">
        <f t="shared" si="6"/>
        <v>0</v>
      </c>
      <c r="L38" s="426">
        <f t="shared" si="6"/>
        <v>0</v>
      </c>
      <c r="M38" s="426">
        <f t="shared" si="6"/>
        <v>0</v>
      </c>
      <c r="N38" s="426">
        <f t="shared" si="6"/>
        <v>0</v>
      </c>
      <c r="O38" s="426">
        <f t="shared" si="6"/>
        <v>0</v>
      </c>
      <c r="P38" s="426">
        <f t="shared" si="6"/>
        <v>0</v>
      </c>
      <c r="Q38" s="426">
        <f t="shared" si="6"/>
        <v>0</v>
      </c>
      <c r="R38" s="426">
        <f t="shared" si="6"/>
        <v>0</v>
      </c>
      <c r="S38" s="426">
        <f t="shared" si="6"/>
        <v>0</v>
      </c>
      <c r="T38" s="426">
        <f t="shared" si="6"/>
        <v>0</v>
      </c>
      <c r="U38" s="426">
        <f t="shared" si="6"/>
        <v>0</v>
      </c>
      <c r="V38" s="426">
        <f t="shared" si="6"/>
        <v>0</v>
      </c>
      <c r="W38" s="426">
        <f t="shared" si="6"/>
        <v>0</v>
      </c>
      <c r="X38" s="426">
        <f t="shared" si="6"/>
        <v>0</v>
      </c>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399"/>
      <c r="BR38" s="399"/>
      <c r="BS38" s="399"/>
      <c r="BT38" s="399"/>
      <c r="BU38" s="399"/>
      <c r="BV38" s="399"/>
      <c r="BW38" s="399"/>
      <c r="BX38" s="399"/>
      <c r="BY38" s="399"/>
      <c r="BZ38" s="399"/>
      <c r="CA38" s="399"/>
      <c r="CB38" s="399"/>
      <c r="CC38" s="399"/>
      <c r="CD38" s="399"/>
      <c r="CE38" s="399"/>
      <c r="CF38" s="399"/>
      <c r="CG38" s="399"/>
      <c r="CH38" s="399"/>
      <c r="CI38" s="399"/>
      <c r="CJ38" s="399"/>
      <c r="CK38" s="399"/>
      <c r="CL38" s="399"/>
      <c r="CM38" s="399"/>
      <c r="CN38" s="399"/>
      <c r="CO38" s="399"/>
      <c r="CP38" s="399"/>
      <c r="CQ38" s="399"/>
      <c r="CR38" s="399"/>
      <c r="CS38" s="399"/>
      <c r="CT38" s="399"/>
      <c r="CU38" s="399"/>
      <c r="CV38" s="399"/>
      <c r="CW38" s="399"/>
      <c r="CX38" s="399"/>
      <c r="CY38" s="399"/>
      <c r="CZ38" s="399"/>
      <c r="DA38" s="399"/>
      <c r="DB38" s="399"/>
      <c r="DC38" s="399"/>
      <c r="DD38" s="399"/>
      <c r="DE38" s="399"/>
      <c r="DF38" s="399"/>
      <c r="DG38" s="399"/>
      <c r="DH38" s="399"/>
      <c r="DI38" s="399"/>
      <c r="DJ38" s="399"/>
      <c r="DK38" s="399"/>
      <c r="DL38" s="399"/>
      <c r="DM38" s="399"/>
      <c r="DN38" s="399"/>
      <c r="DO38" s="399"/>
      <c r="DP38" s="399"/>
      <c r="DQ38" s="399"/>
      <c r="DR38" s="399"/>
      <c r="DS38" s="399"/>
      <c r="DT38" s="399"/>
      <c r="DU38" s="399"/>
      <c r="DV38" s="399"/>
      <c r="DW38" s="399"/>
      <c r="DX38" s="399"/>
      <c r="DY38" s="399"/>
      <c r="DZ38" s="399"/>
      <c r="EA38" s="399"/>
      <c r="EB38" s="399"/>
      <c r="EC38" s="399"/>
      <c r="ED38" s="399"/>
      <c r="EE38" s="399"/>
      <c r="EF38" s="399"/>
      <c r="EG38" s="399"/>
      <c r="EH38" s="399"/>
      <c r="EI38" s="399"/>
      <c r="EJ38" s="399"/>
      <c r="EK38" s="399"/>
      <c r="EL38" s="399"/>
      <c r="EM38" s="399"/>
      <c r="EN38" s="399"/>
      <c r="EO38" s="399"/>
      <c r="EP38" s="399"/>
      <c r="EQ38" s="399"/>
      <c r="ER38" s="399"/>
      <c r="ES38" s="399"/>
      <c r="ET38" s="399"/>
      <c r="EU38" s="399"/>
      <c r="EV38" s="399"/>
      <c r="EW38" s="399"/>
      <c r="EX38" s="399"/>
      <c r="EY38" s="399"/>
      <c r="EZ38" s="399"/>
      <c r="FA38" s="399"/>
      <c r="FB38" s="399"/>
    </row>
    <row r="39" spans="27:158" ht="15">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399"/>
      <c r="DE39" s="399"/>
      <c r="DF39" s="399"/>
      <c r="DG39" s="399"/>
      <c r="DH39" s="399"/>
      <c r="DI39" s="399"/>
      <c r="DJ39" s="399"/>
      <c r="DK39" s="399"/>
      <c r="DL39" s="399"/>
      <c r="DM39" s="399"/>
      <c r="DN39" s="399"/>
      <c r="DO39" s="399"/>
      <c r="DP39" s="399"/>
      <c r="DQ39" s="399"/>
      <c r="DR39" s="399"/>
      <c r="DS39" s="399"/>
      <c r="DT39" s="399"/>
      <c r="DU39" s="399"/>
      <c r="DV39" s="399"/>
      <c r="DW39" s="399"/>
      <c r="DX39" s="399"/>
      <c r="DY39" s="399"/>
      <c r="DZ39" s="399"/>
      <c r="EA39" s="399"/>
      <c r="EB39" s="399"/>
      <c r="EC39" s="399"/>
      <c r="ED39" s="399"/>
      <c r="EE39" s="399"/>
      <c r="EF39" s="399"/>
      <c r="EG39" s="399"/>
      <c r="EH39" s="399"/>
      <c r="EI39" s="399"/>
      <c r="EJ39" s="399"/>
      <c r="EK39" s="399"/>
      <c r="EL39" s="399"/>
      <c r="EM39" s="399"/>
      <c r="EN39" s="399"/>
      <c r="EO39" s="399"/>
      <c r="EP39" s="399"/>
      <c r="EQ39" s="399"/>
      <c r="ER39" s="399"/>
      <c r="ES39" s="399"/>
      <c r="ET39" s="399"/>
      <c r="EU39" s="399"/>
      <c r="EV39" s="399"/>
      <c r="EW39" s="399"/>
      <c r="EX39" s="399"/>
      <c r="EY39" s="399"/>
      <c r="EZ39" s="399"/>
      <c r="FA39" s="399"/>
      <c r="FB39" s="399"/>
    </row>
    <row r="40" spans="1:158" ht="15">
      <c r="A40" s="424" t="s">
        <v>552</v>
      </c>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399"/>
      <c r="CN40" s="399"/>
      <c r="CO40" s="399"/>
      <c r="CP40" s="399"/>
      <c r="CQ40" s="399"/>
      <c r="CR40" s="399"/>
      <c r="CS40" s="399"/>
      <c r="CT40" s="399"/>
      <c r="CU40" s="399"/>
      <c r="CV40" s="399"/>
      <c r="CW40" s="399"/>
      <c r="CX40" s="399"/>
      <c r="CY40" s="399"/>
      <c r="CZ40" s="399"/>
      <c r="DA40" s="399"/>
      <c r="DB40" s="399"/>
      <c r="DC40" s="399"/>
      <c r="DD40" s="399"/>
      <c r="DE40" s="399"/>
      <c r="DF40" s="399"/>
      <c r="DG40" s="399"/>
      <c r="DH40" s="399"/>
      <c r="DI40" s="399"/>
      <c r="DJ40" s="399"/>
      <c r="DK40" s="399"/>
      <c r="DL40" s="399"/>
      <c r="DM40" s="399"/>
      <c r="DN40" s="399"/>
      <c r="DO40" s="399"/>
      <c r="DP40" s="399"/>
      <c r="DQ40" s="399"/>
      <c r="DR40" s="399"/>
      <c r="DS40" s="399"/>
      <c r="DT40" s="399"/>
      <c r="DU40" s="399"/>
      <c r="DV40" s="399"/>
      <c r="DW40" s="399"/>
      <c r="DX40" s="399"/>
      <c r="DY40" s="399"/>
      <c r="DZ40" s="399"/>
      <c r="EA40" s="399"/>
      <c r="EB40" s="399"/>
      <c r="EC40" s="399"/>
      <c r="ED40" s="399"/>
      <c r="EE40" s="399"/>
      <c r="EF40" s="399"/>
      <c r="EG40" s="399"/>
      <c r="EH40" s="399"/>
      <c r="EI40" s="399"/>
      <c r="EJ40" s="399"/>
      <c r="EK40" s="399"/>
      <c r="EL40" s="399"/>
      <c r="EM40" s="399"/>
      <c r="EN40" s="399"/>
      <c r="EO40" s="399"/>
      <c r="EP40" s="399"/>
      <c r="EQ40" s="399"/>
      <c r="ER40" s="399"/>
      <c r="ES40" s="399"/>
      <c r="ET40" s="399"/>
      <c r="EU40" s="399"/>
      <c r="EV40" s="399"/>
      <c r="EW40" s="399"/>
      <c r="EX40" s="399"/>
      <c r="EY40" s="399"/>
      <c r="EZ40" s="399"/>
      <c r="FA40" s="399"/>
      <c r="FB40" s="399"/>
    </row>
    <row r="41" spans="2:158" s="1648" customFormat="1" ht="15">
      <c r="B41" s="1648" t="s">
        <v>1202</v>
      </c>
      <c r="G41" s="1668"/>
      <c r="H41" s="1669"/>
      <c r="I41" s="1669"/>
      <c r="J41" s="1655">
        <f>IF(OR(Breakdown!H86=0,Breakdown!H86=""),0,-ROUND(PMT(Breakdown!D86/12,Breakdown!F86*12,Breakdown!H86)*12,0))</f>
        <v>0</v>
      </c>
      <c r="K41" s="1655">
        <f>IF(K11&lt;Breakdown!$F$86,NOI!J41,0)</f>
        <v>0</v>
      </c>
      <c r="L41" s="1655">
        <f>IF(L11&lt;Breakdown!$F$86,NOI!K41,0)</f>
        <v>0</v>
      </c>
      <c r="M41" s="1655">
        <f>IF(M11&lt;Breakdown!$F$86,NOI!L41,0)</f>
        <v>0</v>
      </c>
      <c r="N41" s="1655">
        <f>IF(N11&lt;Breakdown!$F$86,NOI!M41,0)</f>
        <v>0</v>
      </c>
      <c r="O41" s="1655">
        <f>IF(O11&lt;Breakdown!$F$86,NOI!N41,0)</f>
        <v>0</v>
      </c>
      <c r="P41" s="1655">
        <f>IF(P11&lt;Breakdown!$F$86,NOI!O41,0)</f>
        <v>0</v>
      </c>
      <c r="Q41" s="1655">
        <f>IF(Q11&lt;Breakdown!$F$86,NOI!P41,0)</f>
        <v>0</v>
      </c>
      <c r="R41" s="1655">
        <f>IF(R11&lt;Breakdown!$F$86,NOI!Q41,0)</f>
        <v>0</v>
      </c>
      <c r="S41" s="1655">
        <f>IF(S11&lt;Breakdown!$F$86,NOI!R41,0)</f>
        <v>0</v>
      </c>
      <c r="T41" s="1655">
        <f>IF(T11&lt;Breakdown!$F$86,NOI!S41,0)</f>
        <v>0</v>
      </c>
      <c r="U41" s="1655">
        <f>IF(U11&lt;Breakdown!$F$86,NOI!T41,0)</f>
        <v>0</v>
      </c>
      <c r="V41" s="1655">
        <f>IF(V11&lt;Breakdown!$F$86,NOI!U41,0)</f>
        <v>0</v>
      </c>
      <c r="W41" s="1655">
        <f>IF(W11&lt;Breakdown!$F$86,NOI!V41,0)</f>
        <v>0</v>
      </c>
      <c r="X41" s="1655">
        <f>IF(X11&lt;Breakdown!$F$86,NOI!W41,0)</f>
        <v>0</v>
      </c>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399"/>
      <c r="CS41" s="399"/>
      <c r="CT41" s="399"/>
      <c r="CU41" s="399"/>
      <c r="CV41" s="399"/>
      <c r="CW41" s="399"/>
      <c r="CX41" s="399"/>
      <c r="CY41" s="399"/>
      <c r="CZ41" s="399"/>
      <c r="DA41" s="399"/>
      <c r="DB41" s="399"/>
      <c r="DC41" s="399"/>
      <c r="DD41" s="399"/>
      <c r="DE41" s="399"/>
      <c r="DF41" s="399"/>
      <c r="DG41" s="399"/>
      <c r="DH41" s="399"/>
      <c r="DI41" s="399"/>
      <c r="DJ41" s="399"/>
      <c r="DK41" s="399"/>
      <c r="DL41" s="399"/>
      <c r="DM41" s="399"/>
      <c r="DN41" s="399"/>
      <c r="DO41" s="399"/>
      <c r="DP41" s="399"/>
      <c r="DQ41" s="399"/>
      <c r="DR41" s="399"/>
      <c r="DS41" s="399"/>
      <c r="DT41" s="399"/>
      <c r="DU41" s="399"/>
      <c r="DV41" s="399"/>
      <c r="DW41" s="399"/>
      <c r="DX41" s="399"/>
      <c r="DY41" s="399"/>
      <c r="DZ41" s="399"/>
      <c r="EA41" s="399"/>
      <c r="EB41" s="399"/>
      <c r="EC41" s="399"/>
      <c r="ED41" s="399"/>
      <c r="EE41" s="399"/>
      <c r="EF41" s="399"/>
      <c r="EG41" s="399"/>
      <c r="EH41" s="399"/>
      <c r="EI41" s="399"/>
      <c r="EJ41" s="399"/>
      <c r="EK41" s="399"/>
      <c r="EL41" s="399"/>
      <c r="EM41" s="399"/>
      <c r="EN41" s="399"/>
      <c r="EO41" s="399"/>
      <c r="EP41" s="399"/>
      <c r="EQ41" s="399"/>
      <c r="ER41" s="399"/>
      <c r="ES41" s="399"/>
      <c r="ET41" s="399"/>
      <c r="EU41" s="399"/>
      <c r="EV41" s="399"/>
      <c r="EW41" s="399"/>
      <c r="EX41" s="399"/>
      <c r="EY41" s="399"/>
      <c r="EZ41" s="399"/>
      <c r="FA41" s="399"/>
      <c r="FB41" s="399"/>
    </row>
    <row r="42" spans="2:158" s="1648" customFormat="1" ht="15">
      <c r="B42" s="1648" t="s">
        <v>1203</v>
      </c>
      <c r="G42" s="1670"/>
      <c r="H42" s="1671" t="s">
        <v>1204</v>
      </c>
      <c r="I42" s="1671"/>
      <c r="J42" s="1655"/>
      <c r="K42" s="1655">
        <f aca="true" t="shared" si="7" ref="K42:X42">IF(K41&gt;0,J42,0)</f>
        <v>0</v>
      </c>
      <c r="L42" s="1655">
        <f t="shared" si="7"/>
        <v>0</v>
      </c>
      <c r="M42" s="1655">
        <f t="shared" si="7"/>
        <v>0</v>
      </c>
      <c r="N42" s="1655">
        <f t="shared" si="7"/>
        <v>0</v>
      </c>
      <c r="O42" s="1655">
        <f t="shared" si="7"/>
        <v>0</v>
      </c>
      <c r="P42" s="1655">
        <f t="shared" si="7"/>
        <v>0</v>
      </c>
      <c r="Q42" s="1655">
        <f t="shared" si="7"/>
        <v>0</v>
      </c>
      <c r="R42" s="1655">
        <f t="shared" si="7"/>
        <v>0</v>
      </c>
      <c r="S42" s="1655">
        <f t="shared" si="7"/>
        <v>0</v>
      </c>
      <c r="T42" s="1655">
        <f t="shared" si="7"/>
        <v>0</v>
      </c>
      <c r="U42" s="1655">
        <f t="shared" si="7"/>
        <v>0</v>
      </c>
      <c r="V42" s="1655">
        <f t="shared" si="7"/>
        <v>0</v>
      </c>
      <c r="W42" s="1655">
        <f t="shared" si="7"/>
        <v>0</v>
      </c>
      <c r="X42" s="1655">
        <f t="shared" si="7"/>
        <v>0</v>
      </c>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9"/>
      <c r="BN42" s="399"/>
      <c r="BO42" s="399"/>
      <c r="BP42" s="399"/>
      <c r="BQ42" s="399"/>
      <c r="BR42" s="399"/>
      <c r="BS42" s="399"/>
      <c r="BT42" s="399"/>
      <c r="BU42" s="399"/>
      <c r="BV42" s="399"/>
      <c r="BW42" s="399"/>
      <c r="BX42" s="399"/>
      <c r="BY42" s="399"/>
      <c r="BZ42" s="399"/>
      <c r="CA42" s="399"/>
      <c r="CB42" s="399"/>
      <c r="CC42" s="399"/>
      <c r="CD42" s="399"/>
      <c r="CE42" s="399"/>
      <c r="CF42" s="399"/>
      <c r="CG42" s="399"/>
      <c r="CH42" s="399"/>
      <c r="CI42" s="399"/>
      <c r="CJ42" s="399"/>
      <c r="CK42" s="399"/>
      <c r="CL42" s="399"/>
      <c r="CM42" s="399"/>
      <c r="CN42" s="399"/>
      <c r="CO42" s="399"/>
      <c r="CP42" s="399"/>
      <c r="CQ42" s="399"/>
      <c r="CR42" s="399"/>
      <c r="CS42" s="399"/>
      <c r="CT42" s="399"/>
      <c r="CU42" s="399"/>
      <c r="CV42" s="399"/>
      <c r="CW42" s="399"/>
      <c r="CX42" s="399"/>
      <c r="CY42" s="399"/>
      <c r="CZ42" s="399"/>
      <c r="DA42" s="399"/>
      <c r="DB42" s="399"/>
      <c r="DC42" s="399"/>
      <c r="DD42" s="399"/>
      <c r="DE42" s="399"/>
      <c r="DF42" s="399"/>
      <c r="DG42" s="399"/>
      <c r="DH42" s="399"/>
      <c r="DI42" s="399"/>
      <c r="DJ42" s="399"/>
      <c r="DK42" s="399"/>
      <c r="DL42" s="399"/>
      <c r="DM42" s="399"/>
      <c r="DN42" s="399"/>
      <c r="DO42" s="399"/>
      <c r="DP42" s="399"/>
      <c r="DQ42" s="399"/>
      <c r="DR42" s="399"/>
      <c r="DS42" s="399"/>
      <c r="DT42" s="399"/>
      <c r="DU42" s="399"/>
      <c r="DV42" s="399"/>
      <c r="DW42" s="399"/>
      <c r="DX42" s="399"/>
      <c r="DY42" s="399"/>
      <c r="DZ42" s="399"/>
      <c r="EA42" s="399"/>
      <c r="EB42" s="399"/>
      <c r="EC42" s="399"/>
      <c r="ED42" s="399"/>
      <c r="EE42" s="399"/>
      <c r="EF42" s="399"/>
      <c r="EG42" s="399"/>
      <c r="EH42" s="399"/>
      <c r="EI42" s="399"/>
      <c r="EJ42" s="399"/>
      <c r="EK42" s="399"/>
      <c r="EL42" s="399"/>
      <c r="EM42" s="399"/>
      <c r="EN42" s="399"/>
      <c r="EO42" s="399"/>
      <c r="EP42" s="399"/>
      <c r="EQ42" s="399"/>
      <c r="ER42" s="399"/>
      <c r="ES42" s="399"/>
      <c r="ET42" s="399"/>
      <c r="EU42" s="399"/>
      <c r="EV42" s="399"/>
      <c r="EW42" s="399"/>
      <c r="EX42" s="399"/>
      <c r="EY42" s="399"/>
      <c r="EZ42" s="399"/>
      <c r="FA42" s="399"/>
      <c r="FB42" s="399"/>
    </row>
    <row r="43" spans="27:158" ht="15">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399"/>
      <c r="CS43" s="399"/>
      <c r="CT43" s="399"/>
      <c r="CU43" s="399"/>
      <c r="CV43" s="399"/>
      <c r="CW43" s="399"/>
      <c r="CX43" s="399"/>
      <c r="CY43" s="399"/>
      <c r="CZ43" s="399"/>
      <c r="DA43" s="399"/>
      <c r="DB43" s="399"/>
      <c r="DC43" s="399"/>
      <c r="DD43" s="399"/>
      <c r="DE43" s="399"/>
      <c r="DF43" s="399"/>
      <c r="DG43" s="399"/>
      <c r="DH43" s="399"/>
      <c r="DI43" s="399"/>
      <c r="DJ43" s="399"/>
      <c r="DK43" s="399"/>
      <c r="DL43" s="399"/>
      <c r="DM43" s="399"/>
      <c r="DN43" s="399"/>
      <c r="DO43" s="399"/>
      <c r="DP43" s="399"/>
      <c r="DQ43" s="399"/>
      <c r="DR43" s="399"/>
      <c r="DS43" s="399"/>
      <c r="DT43" s="399"/>
      <c r="DU43" s="399"/>
      <c r="DV43" s="399"/>
      <c r="DW43" s="399"/>
      <c r="DX43" s="399"/>
      <c r="DY43" s="399"/>
      <c r="DZ43" s="399"/>
      <c r="EA43" s="399"/>
      <c r="EB43" s="399"/>
      <c r="EC43" s="399"/>
      <c r="ED43" s="399"/>
      <c r="EE43" s="399"/>
      <c r="EF43" s="399"/>
      <c r="EG43" s="399"/>
      <c r="EH43" s="399"/>
      <c r="EI43" s="399"/>
      <c r="EJ43" s="399"/>
      <c r="EK43" s="399"/>
      <c r="EL43" s="399"/>
      <c r="EM43" s="399"/>
      <c r="EN43" s="399"/>
      <c r="EO43" s="399"/>
      <c r="EP43" s="399"/>
      <c r="EQ43" s="399"/>
      <c r="ER43" s="399"/>
      <c r="ES43" s="399"/>
      <c r="ET43" s="399"/>
      <c r="EU43" s="399"/>
      <c r="EV43" s="399"/>
      <c r="EW43" s="399"/>
      <c r="EX43" s="399"/>
      <c r="EY43" s="399"/>
      <c r="EZ43" s="399"/>
      <c r="FA43" s="399"/>
      <c r="FB43" s="399"/>
    </row>
    <row r="44" spans="2:158" ht="15">
      <c r="B44" s="1646" t="s">
        <v>1205</v>
      </c>
      <c r="J44" s="1664"/>
      <c r="K44" s="1664"/>
      <c r="L44" s="1664"/>
      <c r="M44" s="1664"/>
      <c r="N44" s="1664"/>
      <c r="O44" s="1664"/>
      <c r="P44" s="1664"/>
      <c r="Q44" s="1664"/>
      <c r="R44" s="1664"/>
      <c r="S44" s="1664"/>
      <c r="T44" s="1664"/>
      <c r="U44" s="1664"/>
      <c r="V44" s="1664"/>
      <c r="W44" s="1664"/>
      <c r="X44" s="1664"/>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399"/>
      <c r="CR44" s="399"/>
      <c r="CS44" s="399"/>
      <c r="CT44" s="399"/>
      <c r="CU44" s="399"/>
      <c r="CV44" s="399"/>
      <c r="CW44" s="399"/>
      <c r="CX44" s="399"/>
      <c r="CY44" s="399"/>
      <c r="CZ44" s="399"/>
      <c r="DA44" s="399"/>
      <c r="DB44" s="399"/>
      <c r="DC44" s="399"/>
      <c r="DD44" s="399"/>
      <c r="DE44" s="399"/>
      <c r="DF44" s="399"/>
      <c r="DG44" s="399"/>
      <c r="DH44" s="399"/>
      <c r="DI44" s="399"/>
      <c r="DJ44" s="399"/>
      <c r="DK44" s="399"/>
      <c r="DL44" s="399"/>
      <c r="DM44" s="399"/>
      <c r="DN44" s="399"/>
      <c r="DO44" s="399"/>
      <c r="DP44" s="399"/>
      <c r="DQ44" s="399"/>
      <c r="DR44" s="399"/>
      <c r="DS44" s="399"/>
      <c r="DT44" s="399"/>
      <c r="DU44" s="399"/>
      <c r="DV44" s="399"/>
      <c r="DW44" s="399"/>
      <c r="DX44" s="399"/>
      <c r="DY44" s="399"/>
      <c r="DZ44" s="399"/>
      <c r="EA44" s="399"/>
      <c r="EB44" s="399"/>
      <c r="EC44" s="399"/>
      <c r="ED44" s="399"/>
      <c r="EE44" s="399"/>
      <c r="EF44" s="399"/>
      <c r="EG44" s="399"/>
      <c r="EH44" s="399"/>
      <c r="EI44" s="399"/>
      <c r="EJ44" s="399"/>
      <c r="EK44" s="399"/>
      <c r="EL44" s="399"/>
      <c r="EM44" s="399"/>
      <c r="EN44" s="399"/>
      <c r="EO44" s="399"/>
      <c r="EP44" s="399"/>
      <c r="EQ44" s="399"/>
      <c r="ER44" s="399"/>
      <c r="ES44" s="399"/>
      <c r="ET44" s="399"/>
      <c r="EU44" s="399"/>
      <c r="EV44" s="399"/>
      <c r="EW44" s="399"/>
      <c r="EX44" s="399"/>
      <c r="EY44" s="399"/>
      <c r="EZ44" s="399"/>
      <c r="FA44" s="399"/>
      <c r="FB44" s="399"/>
    </row>
    <row r="45" spans="8:158" s="1667" customFormat="1" ht="15.75" thickBot="1">
      <c r="H45" s="1645"/>
      <c r="I45" s="1645"/>
      <c r="J45" s="1644"/>
      <c r="K45" s="1644"/>
      <c r="L45" s="1644"/>
      <c r="M45" s="1644"/>
      <c r="N45" s="1644"/>
      <c r="O45" s="1644"/>
      <c r="P45" s="1644"/>
      <c r="Q45" s="1644"/>
      <c r="R45" s="1644"/>
      <c r="S45" s="1644"/>
      <c r="T45" s="1644"/>
      <c r="U45" s="1644"/>
      <c r="V45" s="1644"/>
      <c r="W45" s="1644"/>
      <c r="X45" s="1644"/>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399"/>
      <c r="CY45" s="399"/>
      <c r="CZ45" s="399"/>
      <c r="DA45" s="399"/>
      <c r="DB45" s="399"/>
      <c r="DC45" s="399"/>
      <c r="DD45" s="399"/>
      <c r="DE45" s="399"/>
      <c r="DF45" s="399"/>
      <c r="DG45" s="399"/>
      <c r="DH45" s="399"/>
      <c r="DI45" s="399"/>
      <c r="DJ45" s="399"/>
      <c r="DK45" s="399"/>
      <c r="DL45" s="399"/>
      <c r="DM45" s="399"/>
      <c r="DN45" s="399"/>
      <c r="DO45" s="399"/>
      <c r="DP45" s="399"/>
      <c r="DQ45" s="399"/>
      <c r="DR45" s="399"/>
      <c r="DS45" s="399"/>
      <c r="DT45" s="399"/>
      <c r="DU45" s="399"/>
      <c r="DV45" s="399"/>
      <c r="DW45" s="399"/>
      <c r="DX45" s="399"/>
      <c r="DY45" s="399"/>
      <c r="DZ45" s="399"/>
      <c r="EA45" s="399"/>
      <c r="EB45" s="399"/>
      <c r="EC45" s="399"/>
      <c r="ED45" s="399"/>
      <c r="EE45" s="399"/>
      <c r="EF45" s="399"/>
      <c r="EG45" s="399"/>
      <c r="EH45" s="399"/>
      <c r="EI45" s="399"/>
      <c r="EJ45" s="399"/>
      <c r="EK45" s="399"/>
      <c r="EL45" s="399"/>
      <c r="EM45" s="399"/>
      <c r="EN45" s="399"/>
      <c r="EO45" s="399"/>
      <c r="EP45" s="399"/>
      <c r="EQ45" s="399"/>
      <c r="ER45" s="399"/>
      <c r="ES45" s="399"/>
      <c r="ET45" s="399"/>
      <c r="EU45" s="399"/>
      <c r="EV45" s="399"/>
      <c r="EW45" s="399"/>
      <c r="EX45" s="399"/>
      <c r="EY45" s="399"/>
      <c r="EZ45" s="399"/>
      <c r="FA45" s="399"/>
      <c r="FB45" s="399"/>
    </row>
    <row r="46" spans="1:158" s="424" customFormat="1" ht="15.75" thickTop="1">
      <c r="A46" s="424" t="s">
        <v>1206</v>
      </c>
      <c r="H46" s="425"/>
      <c r="I46" s="425"/>
      <c r="J46" s="426">
        <f aca="true" t="shared" si="8" ref="J46:X46">+J38-SUM(J41:J44)</f>
        <v>0</v>
      </c>
      <c r="K46" s="426">
        <f t="shared" si="8"/>
        <v>0</v>
      </c>
      <c r="L46" s="426">
        <f t="shared" si="8"/>
        <v>0</v>
      </c>
      <c r="M46" s="426">
        <f t="shared" si="8"/>
        <v>0</v>
      </c>
      <c r="N46" s="426">
        <f t="shared" si="8"/>
        <v>0</v>
      </c>
      <c r="O46" s="426">
        <f t="shared" si="8"/>
        <v>0</v>
      </c>
      <c r="P46" s="426">
        <f t="shared" si="8"/>
        <v>0</v>
      </c>
      <c r="Q46" s="426">
        <f t="shared" si="8"/>
        <v>0</v>
      </c>
      <c r="R46" s="426">
        <f t="shared" si="8"/>
        <v>0</v>
      </c>
      <c r="S46" s="426">
        <f t="shared" si="8"/>
        <v>0</v>
      </c>
      <c r="T46" s="426">
        <f t="shared" si="8"/>
        <v>0</v>
      </c>
      <c r="U46" s="426">
        <f t="shared" si="8"/>
        <v>0</v>
      </c>
      <c r="V46" s="426">
        <f t="shared" si="8"/>
        <v>0</v>
      </c>
      <c r="W46" s="426">
        <f t="shared" si="8"/>
        <v>0</v>
      </c>
      <c r="X46" s="426">
        <f t="shared" si="8"/>
        <v>0</v>
      </c>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399"/>
      <c r="CS46" s="399"/>
      <c r="CT46" s="399"/>
      <c r="CU46" s="399"/>
      <c r="CV46" s="399"/>
      <c r="CW46" s="399"/>
      <c r="CX46" s="399"/>
      <c r="CY46" s="399"/>
      <c r="CZ46" s="399"/>
      <c r="DA46" s="399"/>
      <c r="DB46" s="399"/>
      <c r="DC46" s="399"/>
      <c r="DD46" s="399"/>
      <c r="DE46" s="399"/>
      <c r="DF46" s="399"/>
      <c r="DG46" s="399"/>
      <c r="DH46" s="399"/>
      <c r="DI46" s="399"/>
      <c r="DJ46" s="399"/>
      <c r="DK46" s="399"/>
      <c r="DL46" s="399"/>
      <c r="DM46" s="399"/>
      <c r="DN46" s="399"/>
      <c r="DO46" s="399"/>
      <c r="DP46" s="399"/>
      <c r="DQ46" s="399"/>
      <c r="DR46" s="399"/>
      <c r="DS46" s="399"/>
      <c r="DT46" s="399"/>
      <c r="DU46" s="399"/>
      <c r="DV46" s="399"/>
      <c r="DW46" s="399"/>
      <c r="DX46" s="399"/>
      <c r="DY46" s="399"/>
      <c r="DZ46" s="399"/>
      <c r="EA46" s="399"/>
      <c r="EB46" s="399"/>
      <c r="EC46" s="399"/>
      <c r="ED46" s="399"/>
      <c r="EE46" s="399"/>
      <c r="EF46" s="399"/>
      <c r="EG46" s="399"/>
      <c r="EH46" s="399"/>
      <c r="EI46" s="399"/>
      <c r="EJ46" s="399"/>
      <c r="EK46" s="399"/>
      <c r="EL46" s="399"/>
      <c r="EM46" s="399"/>
      <c r="EN46" s="399"/>
      <c r="EO46" s="399"/>
      <c r="EP46" s="399"/>
      <c r="EQ46" s="399"/>
      <c r="ER46" s="399"/>
      <c r="ES46" s="399"/>
      <c r="ET46" s="399"/>
      <c r="EU46" s="399"/>
      <c r="EV46" s="399"/>
      <c r="EW46" s="399"/>
      <c r="EX46" s="399"/>
      <c r="EY46" s="399"/>
      <c r="EZ46" s="399"/>
      <c r="FA46" s="399"/>
      <c r="FB46" s="399"/>
    </row>
    <row r="47" spans="27:158" ht="15">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c r="CR47" s="399"/>
      <c r="CS47" s="399"/>
      <c r="CT47" s="399"/>
      <c r="CU47" s="399"/>
      <c r="CV47" s="399"/>
      <c r="CW47" s="399"/>
      <c r="CX47" s="399"/>
      <c r="CY47" s="399"/>
      <c r="CZ47" s="399"/>
      <c r="DA47" s="399"/>
      <c r="DB47" s="399"/>
      <c r="DC47" s="399"/>
      <c r="DD47" s="399"/>
      <c r="DE47" s="399"/>
      <c r="DF47" s="399"/>
      <c r="DG47" s="399"/>
      <c r="DH47" s="399"/>
      <c r="DI47" s="399"/>
      <c r="DJ47" s="399"/>
      <c r="DK47" s="399"/>
      <c r="DL47" s="399"/>
      <c r="DM47" s="399"/>
      <c r="DN47" s="399"/>
      <c r="DO47" s="399"/>
      <c r="DP47" s="399"/>
      <c r="DQ47" s="399"/>
      <c r="DR47" s="399"/>
      <c r="DS47" s="399"/>
      <c r="DT47" s="399"/>
      <c r="DU47" s="399"/>
      <c r="DV47" s="399"/>
      <c r="DW47" s="399"/>
      <c r="DX47" s="399"/>
      <c r="DY47" s="399"/>
      <c r="DZ47" s="399"/>
      <c r="EA47" s="399"/>
      <c r="EB47" s="399"/>
      <c r="EC47" s="399"/>
      <c r="ED47" s="399"/>
      <c r="EE47" s="399"/>
      <c r="EF47" s="399"/>
      <c r="EG47" s="399"/>
      <c r="EH47" s="399"/>
      <c r="EI47" s="399"/>
      <c r="EJ47" s="399"/>
      <c r="EK47" s="399"/>
      <c r="EL47" s="399"/>
      <c r="EM47" s="399"/>
      <c r="EN47" s="399"/>
      <c r="EO47" s="399"/>
      <c r="EP47" s="399"/>
      <c r="EQ47" s="399"/>
      <c r="ER47" s="399"/>
      <c r="ES47" s="399"/>
      <c r="ET47" s="399"/>
      <c r="EU47" s="399"/>
      <c r="EV47" s="399"/>
      <c r="EW47" s="399"/>
      <c r="EX47" s="399"/>
      <c r="EY47" s="399"/>
      <c r="EZ47" s="399"/>
      <c r="FA47" s="399"/>
      <c r="FB47" s="399"/>
    </row>
    <row r="48" spans="2:158" s="1672" customFormat="1" ht="15">
      <c r="B48" s="1672" t="s">
        <v>1258</v>
      </c>
      <c r="H48" s="1673"/>
      <c r="I48" s="1673"/>
      <c r="J48" s="1674" t="str">
        <f>+IF(J46&lt;1,"N/A",J46*0.5)</f>
        <v>N/A</v>
      </c>
      <c r="K48" s="1674" t="str">
        <f aca="true" t="shared" si="9" ref="K48:X48">+IF(K46&lt;1,"N/A",K46*0.5)</f>
        <v>N/A</v>
      </c>
      <c r="L48" s="1674" t="str">
        <f t="shared" si="9"/>
        <v>N/A</v>
      </c>
      <c r="M48" s="1674" t="str">
        <f t="shared" si="9"/>
        <v>N/A</v>
      </c>
      <c r="N48" s="1674" t="str">
        <f t="shared" si="9"/>
        <v>N/A</v>
      </c>
      <c r="O48" s="1674" t="str">
        <f t="shared" si="9"/>
        <v>N/A</v>
      </c>
      <c r="P48" s="1674" t="str">
        <f t="shared" si="9"/>
        <v>N/A</v>
      </c>
      <c r="Q48" s="1674" t="str">
        <f t="shared" si="9"/>
        <v>N/A</v>
      </c>
      <c r="R48" s="1674" t="str">
        <f t="shared" si="9"/>
        <v>N/A</v>
      </c>
      <c r="S48" s="1674" t="str">
        <f t="shared" si="9"/>
        <v>N/A</v>
      </c>
      <c r="T48" s="1674" t="str">
        <f t="shared" si="9"/>
        <v>N/A</v>
      </c>
      <c r="U48" s="1674" t="str">
        <f t="shared" si="9"/>
        <v>N/A</v>
      </c>
      <c r="V48" s="1674" t="str">
        <f t="shared" si="9"/>
        <v>N/A</v>
      </c>
      <c r="W48" s="1674" t="str">
        <f t="shared" si="9"/>
        <v>N/A</v>
      </c>
      <c r="X48" s="1674" t="str">
        <f t="shared" si="9"/>
        <v>N/A</v>
      </c>
      <c r="Y48" s="488"/>
      <c r="Z48" s="488"/>
      <c r="AA48" s="488"/>
      <c r="AB48" s="488"/>
      <c r="AC48" s="488"/>
      <c r="AD48" s="488"/>
      <c r="AE48" s="488"/>
      <c r="AF48" s="488"/>
      <c r="AG48" s="488"/>
      <c r="AH48" s="488"/>
      <c r="AI48" s="488"/>
      <c r="AJ48" s="488"/>
      <c r="AK48" s="488"/>
      <c r="AL48" s="488"/>
      <c r="AM48" s="488"/>
      <c r="AN48" s="488"/>
      <c r="AO48" s="488"/>
      <c r="AP48" s="488"/>
      <c r="AQ48" s="488"/>
      <c r="AR48" s="488"/>
      <c r="AS48" s="488"/>
      <c r="AT48" s="488"/>
      <c r="AU48" s="488"/>
      <c r="AV48" s="488"/>
      <c r="AW48" s="488"/>
      <c r="AX48" s="488"/>
      <c r="AY48" s="488"/>
      <c r="AZ48" s="488"/>
      <c r="BA48" s="488"/>
      <c r="BB48" s="488"/>
      <c r="BC48" s="488"/>
      <c r="BD48" s="488"/>
      <c r="BE48" s="488"/>
      <c r="BF48" s="488"/>
      <c r="BG48" s="488"/>
      <c r="BH48" s="488"/>
      <c r="BI48" s="488"/>
      <c r="BJ48" s="488"/>
      <c r="BK48" s="488"/>
      <c r="BL48" s="488"/>
      <c r="BM48" s="488"/>
      <c r="BN48" s="488"/>
      <c r="BO48" s="488"/>
      <c r="BP48" s="488"/>
      <c r="BQ48" s="488"/>
      <c r="BR48" s="488"/>
      <c r="BS48" s="488"/>
      <c r="BT48" s="488"/>
      <c r="BU48" s="488"/>
      <c r="BV48" s="488"/>
      <c r="BW48" s="488"/>
      <c r="BX48" s="488"/>
      <c r="BY48" s="488"/>
      <c r="BZ48" s="488"/>
      <c r="CA48" s="488"/>
      <c r="CB48" s="488"/>
      <c r="CC48" s="488"/>
      <c r="CD48" s="488"/>
      <c r="CE48" s="488"/>
      <c r="CF48" s="488"/>
      <c r="CG48" s="488"/>
      <c r="CH48" s="488"/>
      <c r="CI48" s="488"/>
      <c r="CJ48" s="488"/>
      <c r="CK48" s="488"/>
      <c r="CL48" s="488"/>
      <c r="CM48" s="488"/>
      <c r="CN48" s="488"/>
      <c r="CO48" s="488"/>
      <c r="CP48" s="488"/>
      <c r="CQ48" s="488"/>
      <c r="CR48" s="488"/>
      <c r="CS48" s="488"/>
      <c r="CT48" s="488"/>
      <c r="CU48" s="488"/>
      <c r="CV48" s="488"/>
      <c r="CW48" s="488"/>
      <c r="CX48" s="488"/>
      <c r="CY48" s="488"/>
      <c r="CZ48" s="488"/>
      <c r="DA48" s="488"/>
      <c r="DB48" s="488"/>
      <c r="DC48" s="488"/>
      <c r="DD48" s="488"/>
      <c r="DE48" s="488"/>
      <c r="DF48" s="488"/>
      <c r="DG48" s="488"/>
      <c r="DH48" s="488"/>
      <c r="DI48" s="488"/>
      <c r="DJ48" s="488"/>
      <c r="DK48" s="488"/>
      <c r="DL48" s="488"/>
      <c r="DM48" s="488"/>
      <c r="DN48" s="488"/>
      <c r="DO48" s="488"/>
      <c r="DP48" s="488"/>
      <c r="DQ48" s="488"/>
      <c r="DR48" s="488"/>
      <c r="DS48" s="488"/>
      <c r="DT48" s="488"/>
      <c r="DU48" s="488"/>
      <c r="DV48" s="488"/>
      <c r="DW48" s="488"/>
      <c r="DX48" s="488"/>
      <c r="DY48" s="488"/>
      <c r="DZ48" s="488"/>
      <c r="EA48" s="488"/>
      <c r="EB48" s="488"/>
      <c r="EC48" s="488"/>
      <c r="ED48" s="488"/>
      <c r="EE48" s="488"/>
      <c r="EF48" s="488"/>
      <c r="EG48" s="488"/>
      <c r="EH48" s="488"/>
      <c r="EI48" s="488"/>
      <c r="EJ48" s="488"/>
      <c r="EK48" s="488"/>
      <c r="EL48" s="488"/>
      <c r="EM48" s="488"/>
      <c r="EN48" s="488"/>
      <c r="EO48" s="488"/>
      <c r="EP48" s="488"/>
      <c r="EQ48" s="488"/>
      <c r="ER48" s="488"/>
      <c r="ES48" s="488"/>
      <c r="ET48" s="488"/>
      <c r="EU48" s="488"/>
      <c r="EV48" s="488"/>
      <c r="EW48" s="488"/>
      <c r="EX48" s="488"/>
      <c r="EY48" s="488"/>
      <c r="EZ48" s="488"/>
      <c r="FA48" s="488"/>
      <c r="FB48" s="488"/>
    </row>
    <row r="49" spans="27:158" ht="15">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c r="DJ49" s="399"/>
      <c r="DK49" s="399"/>
      <c r="DL49" s="399"/>
      <c r="DM49" s="399"/>
      <c r="DN49" s="399"/>
      <c r="DO49" s="399"/>
      <c r="DP49" s="399"/>
      <c r="DQ49" s="399"/>
      <c r="DR49" s="399"/>
      <c r="DS49" s="399"/>
      <c r="DT49" s="399"/>
      <c r="DU49" s="399"/>
      <c r="DV49" s="399"/>
      <c r="DW49" s="399"/>
      <c r="DX49" s="399"/>
      <c r="DY49" s="399"/>
      <c r="DZ49" s="399"/>
      <c r="EA49" s="399"/>
      <c r="EB49" s="399"/>
      <c r="EC49" s="399"/>
      <c r="ED49" s="399"/>
      <c r="EE49" s="399"/>
      <c r="EF49" s="399"/>
      <c r="EG49" s="399"/>
      <c r="EH49" s="399"/>
      <c r="EI49" s="399"/>
      <c r="EJ49" s="399"/>
      <c r="EK49" s="399"/>
      <c r="EL49" s="399"/>
      <c r="EM49" s="399"/>
      <c r="EN49" s="399"/>
      <c r="EO49" s="399"/>
      <c r="EP49" s="399"/>
      <c r="EQ49" s="399"/>
      <c r="ER49" s="399"/>
      <c r="ES49" s="399"/>
      <c r="ET49" s="399"/>
      <c r="EU49" s="399"/>
      <c r="EV49" s="399"/>
      <c r="EW49" s="399"/>
      <c r="EX49" s="399"/>
      <c r="EY49" s="399"/>
      <c r="EZ49" s="399"/>
      <c r="FA49" s="399"/>
      <c r="FB49" s="399"/>
    </row>
    <row r="50" spans="1:158" ht="15">
      <c r="A50" s="424" t="s">
        <v>1207</v>
      </c>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c r="BB50" s="399"/>
      <c r="BC50" s="399"/>
      <c r="BD50" s="399"/>
      <c r="BE50" s="399"/>
      <c r="BF50" s="399"/>
      <c r="BG50" s="399"/>
      <c r="BH50" s="399"/>
      <c r="BI50" s="399"/>
      <c r="BJ50" s="399"/>
      <c r="BK50" s="399"/>
      <c r="BL50" s="399"/>
      <c r="BM50" s="399"/>
      <c r="BN50" s="399"/>
      <c r="BO50" s="399"/>
      <c r="BP50" s="399"/>
      <c r="BQ50" s="399"/>
      <c r="BR50" s="399"/>
      <c r="BS50" s="399"/>
      <c r="BT50" s="399"/>
      <c r="BU50" s="399"/>
      <c r="BV50" s="399"/>
      <c r="BW50" s="399"/>
      <c r="BX50" s="399"/>
      <c r="BY50" s="399"/>
      <c r="BZ50" s="399"/>
      <c r="CA50" s="399"/>
      <c r="CB50" s="399"/>
      <c r="CC50" s="399"/>
      <c r="CD50" s="399"/>
      <c r="CE50" s="399"/>
      <c r="CF50" s="399"/>
      <c r="CG50" s="399"/>
      <c r="CH50" s="399"/>
      <c r="CI50" s="399"/>
      <c r="CJ50" s="399"/>
      <c r="CK50" s="399"/>
      <c r="CL50" s="399"/>
      <c r="CM50" s="399"/>
      <c r="CN50" s="399"/>
      <c r="CO50" s="399"/>
      <c r="CP50" s="399"/>
      <c r="CQ50" s="399"/>
      <c r="CR50" s="399"/>
      <c r="CS50" s="399"/>
      <c r="CT50" s="399"/>
      <c r="CU50" s="399"/>
      <c r="CV50" s="399"/>
      <c r="CW50" s="399"/>
      <c r="CX50" s="399"/>
      <c r="CY50" s="399"/>
      <c r="CZ50" s="399"/>
      <c r="DA50" s="399"/>
      <c r="DB50" s="399"/>
      <c r="DC50" s="399"/>
      <c r="DD50" s="399"/>
      <c r="DE50" s="399"/>
      <c r="DF50" s="399"/>
      <c r="DG50" s="399"/>
      <c r="DH50" s="399"/>
      <c r="DI50" s="399"/>
      <c r="DJ50" s="399"/>
      <c r="DK50" s="399"/>
      <c r="DL50" s="399"/>
      <c r="DM50" s="399"/>
      <c r="DN50" s="399"/>
      <c r="DO50" s="399"/>
      <c r="DP50" s="399"/>
      <c r="DQ50" s="399"/>
      <c r="DR50" s="399"/>
      <c r="DS50" s="399"/>
      <c r="DT50" s="399"/>
      <c r="DU50" s="399"/>
      <c r="DV50" s="399"/>
      <c r="DW50" s="399"/>
      <c r="DX50" s="399"/>
      <c r="DY50" s="399"/>
      <c r="DZ50" s="399"/>
      <c r="EA50" s="399"/>
      <c r="EB50" s="399"/>
      <c r="EC50" s="399"/>
      <c r="ED50" s="399"/>
      <c r="EE50" s="399"/>
      <c r="EF50" s="399"/>
      <c r="EG50" s="399"/>
      <c r="EH50" s="399"/>
      <c r="EI50" s="399"/>
      <c r="EJ50" s="399"/>
      <c r="EK50" s="399"/>
      <c r="EL50" s="399"/>
      <c r="EM50" s="399"/>
      <c r="EN50" s="399"/>
      <c r="EO50" s="399"/>
      <c r="EP50" s="399"/>
      <c r="EQ50" s="399"/>
      <c r="ER50" s="399"/>
      <c r="ES50" s="399"/>
      <c r="ET50" s="399"/>
      <c r="EU50" s="399"/>
      <c r="EV50" s="399"/>
      <c r="EW50" s="399"/>
      <c r="EX50" s="399"/>
      <c r="EY50" s="399"/>
      <c r="EZ50" s="399"/>
      <c r="FA50" s="399"/>
      <c r="FB50" s="399"/>
    </row>
    <row r="51" spans="2:158" ht="15">
      <c r="B51" s="1646" t="s">
        <v>1208</v>
      </c>
      <c r="J51" s="1628">
        <f aca="true" t="shared" si="10" ref="J51:X51">ROUND(IF(OR(J41=0,J41="",J38=0),0,+J38/(J41+J42)),2)</f>
        <v>0</v>
      </c>
      <c r="K51" s="1628">
        <f t="shared" si="10"/>
        <v>0</v>
      </c>
      <c r="L51" s="1628">
        <f t="shared" si="10"/>
        <v>0</v>
      </c>
      <c r="M51" s="1628">
        <f t="shared" si="10"/>
        <v>0</v>
      </c>
      <c r="N51" s="1628">
        <f t="shared" si="10"/>
        <v>0</v>
      </c>
      <c r="O51" s="1628">
        <f t="shared" si="10"/>
        <v>0</v>
      </c>
      <c r="P51" s="1628">
        <f t="shared" si="10"/>
        <v>0</v>
      </c>
      <c r="Q51" s="1628">
        <f t="shared" si="10"/>
        <v>0</v>
      </c>
      <c r="R51" s="1628">
        <f t="shared" si="10"/>
        <v>0</v>
      </c>
      <c r="S51" s="1628">
        <f t="shared" si="10"/>
        <v>0</v>
      </c>
      <c r="T51" s="1628">
        <f t="shared" si="10"/>
        <v>0</v>
      </c>
      <c r="U51" s="1628">
        <f t="shared" si="10"/>
        <v>0</v>
      </c>
      <c r="V51" s="1628">
        <f t="shared" si="10"/>
        <v>0</v>
      </c>
      <c r="W51" s="1628">
        <f t="shared" si="10"/>
        <v>0</v>
      </c>
      <c r="X51" s="1628">
        <f t="shared" si="10"/>
        <v>0</v>
      </c>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399"/>
      <c r="BH51" s="399"/>
      <c r="BI51" s="399"/>
      <c r="BJ51" s="399"/>
      <c r="BK51" s="399"/>
      <c r="BL51" s="399"/>
      <c r="BM51" s="399"/>
      <c r="BN51" s="399"/>
      <c r="BO51" s="399"/>
      <c r="BP51" s="399"/>
      <c r="BQ51" s="399"/>
      <c r="BR51" s="399"/>
      <c r="BS51" s="399"/>
      <c r="BT51" s="399"/>
      <c r="BU51" s="399"/>
      <c r="BV51" s="399"/>
      <c r="BW51" s="399"/>
      <c r="BX51" s="399"/>
      <c r="BY51" s="399"/>
      <c r="BZ51" s="399"/>
      <c r="CA51" s="399"/>
      <c r="CB51" s="399"/>
      <c r="CC51" s="399"/>
      <c r="CD51" s="399"/>
      <c r="CE51" s="399"/>
      <c r="CF51" s="399"/>
      <c r="CG51" s="399"/>
      <c r="CH51" s="399"/>
      <c r="CI51" s="399"/>
      <c r="CJ51" s="399"/>
      <c r="CK51" s="399"/>
      <c r="CL51" s="399"/>
      <c r="CM51" s="399"/>
      <c r="CN51" s="399"/>
      <c r="CO51" s="399"/>
      <c r="CP51" s="399"/>
      <c r="CQ51" s="399"/>
      <c r="CR51" s="399"/>
      <c r="CS51" s="399"/>
      <c r="CT51" s="399"/>
      <c r="CU51" s="399"/>
      <c r="CV51" s="399"/>
      <c r="CW51" s="399"/>
      <c r="CX51" s="399"/>
      <c r="CY51" s="399"/>
      <c r="CZ51" s="399"/>
      <c r="DA51" s="399"/>
      <c r="DB51" s="399"/>
      <c r="DC51" s="399"/>
      <c r="DD51" s="399"/>
      <c r="DE51" s="399"/>
      <c r="DF51" s="399"/>
      <c r="DG51" s="399"/>
      <c r="DH51" s="399"/>
      <c r="DI51" s="399"/>
      <c r="DJ51" s="399"/>
      <c r="DK51" s="399"/>
      <c r="DL51" s="399"/>
      <c r="DM51" s="399"/>
      <c r="DN51" s="399"/>
      <c r="DO51" s="399"/>
      <c r="DP51" s="399"/>
      <c r="DQ51" s="399"/>
      <c r="DR51" s="399"/>
      <c r="DS51" s="399"/>
      <c r="DT51" s="399"/>
      <c r="DU51" s="399"/>
      <c r="DV51" s="399"/>
      <c r="DW51" s="399"/>
      <c r="DX51" s="399"/>
      <c r="DY51" s="399"/>
      <c r="DZ51" s="399"/>
      <c r="EA51" s="399"/>
      <c r="EB51" s="399"/>
      <c r="EC51" s="399"/>
      <c r="ED51" s="399"/>
      <c r="EE51" s="399"/>
      <c r="EF51" s="399"/>
      <c r="EG51" s="399"/>
      <c r="EH51" s="399"/>
      <c r="EI51" s="399"/>
      <c r="EJ51" s="399"/>
      <c r="EK51" s="399"/>
      <c r="EL51" s="399"/>
      <c r="EM51" s="399"/>
      <c r="EN51" s="399"/>
      <c r="EO51" s="399"/>
      <c r="EP51" s="399"/>
      <c r="EQ51" s="399"/>
      <c r="ER51" s="399"/>
      <c r="ES51" s="399"/>
      <c r="ET51" s="399"/>
      <c r="EU51" s="399"/>
      <c r="EV51" s="399"/>
      <c r="EW51" s="399"/>
      <c r="EX51" s="399"/>
      <c r="EY51" s="399"/>
      <c r="EZ51" s="399"/>
      <c r="FA51" s="399"/>
      <c r="FB51" s="399"/>
    </row>
    <row r="52" spans="2:158" ht="15">
      <c r="B52" s="1646" t="s">
        <v>1209</v>
      </c>
      <c r="J52" s="1628">
        <f aca="true" t="shared" si="11" ref="J52:X52">ROUND(IF(J14=0,0,J36/J14),2)</f>
        <v>0</v>
      </c>
      <c r="K52" s="1628">
        <f t="shared" si="11"/>
        <v>0</v>
      </c>
      <c r="L52" s="1628">
        <f t="shared" si="11"/>
        <v>0</v>
      </c>
      <c r="M52" s="1628">
        <f t="shared" si="11"/>
        <v>0</v>
      </c>
      <c r="N52" s="1628">
        <f t="shared" si="11"/>
        <v>0</v>
      </c>
      <c r="O52" s="1628">
        <f t="shared" si="11"/>
        <v>0</v>
      </c>
      <c r="P52" s="1628">
        <f t="shared" si="11"/>
        <v>0</v>
      </c>
      <c r="Q52" s="1628">
        <f t="shared" si="11"/>
        <v>0</v>
      </c>
      <c r="R52" s="1628">
        <f t="shared" si="11"/>
        <v>0</v>
      </c>
      <c r="S52" s="1628">
        <f t="shared" si="11"/>
        <v>0</v>
      </c>
      <c r="T52" s="1628">
        <f t="shared" si="11"/>
        <v>0</v>
      </c>
      <c r="U52" s="1628">
        <f t="shared" si="11"/>
        <v>0</v>
      </c>
      <c r="V52" s="1628">
        <f t="shared" si="11"/>
        <v>0</v>
      </c>
      <c r="W52" s="1628">
        <f t="shared" si="11"/>
        <v>0</v>
      </c>
      <c r="X52" s="1628">
        <f t="shared" si="11"/>
        <v>0</v>
      </c>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c r="CA52" s="399"/>
      <c r="CB52" s="399"/>
      <c r="CC52" s="399"/>
      <c r="CD52" s="399"/>
      <c r="CE52" s="399"/>
      <c r="CF52" s="399"/>
      <c r="CG52" s="399"/>
      <c r="CH52" s="399"/>
      <c r="CI52" s="399"/>
      <c r="CJ52" s="399"/>
      <c r="CK52" s="399"/>
      <c r="CL52" s="399"/>
      <c r="CM52" s="399"/>
      <c r="CN52" s="399"/>
      <c r="CO52" s="399"/>
      <c r="CP52" s="399"/>
      <c r="CQ52" s="399"/>
      <c r="CR52" s="399"/>
      <c r="CS52" s="399"/>
      <c r="CT52" s="399"/>
      <c r="CU52" s="399"/>
      <c r="CV52" s="399"/>
      <c r="CW52" s="399"/>
      <c r="CX52" s="399"/>
      <c r="CY52" s="399"/>
      <c r="CZ52" s="399"/>
      <c r="DA52" s="399"/>
      <c r="DB52" s="399"/>
      <c r="DC52" s="399"/>
      <c r="DD52" s="399"/>
      <c r="DE52" s="399"/>
      <c r="DF52" s="399"/>
      <c r="DG52" s="399"/>
      <c r="DH52" s="399"/>
      <c r="DI52" s="399"/>
      <c r="DJ52" s="399"/>
      <c r="DK52" s="399"/>
      <c r="DL52" s="399"/>
      <c r="DM52" s="399"/>
      <c r="DN52" s="399"/>
      <c r="DO52" s="399"/>
      <c r="DP52" s="399"/>
      <c r="DQ52" s="399"/>
      <c r="DR52" s="399"/>
      <c r="DS52" s="399"/>
      <c r="DT52" s="399"/>
      <c r="DU52" s="399"/>
      <c r="DV52" s="399"/>
      <c r="DW52" s="399"/>
      <c r="DX52" s="399"/>
      <c r="DY52" s="399"/>
      <c r="DZ52" s="399"/>
      <c r="EA52" s="399"/>
      <c r="EB52" s="399"/>
      <c r="EC52" s="399"/>
      <c r="ED52" s="399"/>
      <c r="EE52" s="399"/>
      <c r="EF52" s="399"/>
      <c r="EG52" s="399"/>
      <c r="EH52" s="399"/>
      <c r="EI52" s="399"/>
      <c r="EJ52" s="399"/>
      <c r="EK52" s="399"/>
      <c r="EL52" s="399"/>
      <c r="EM52" s="399"/>
      <c r="EN52" s="399"/>
      <c r="EO52" s="399"/>
      <c r="EP52" s="399"/>
      <c r="EQ52" s="399"/>
      <c r="ER52" s="399"/>
      <c r="ES52" s="399"/>
      <c r="ET52" s="399"/>
      <c r="EU52" s="399"/>
      <c r="EV52" s="399"/>
      <c r="EW52" s="399"/>
      <c r="EX52" s="399"/>
      <c r="EY52" s="399"/>
      <c r="EZ52" s="399"/>
      <c r="FA52" s="399"/>
      <c r="FB52" s="399"/>
    </row>
    <row r="53" spans="27:158" ht="15">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c r="AX53" s="399"/>
      <c r="AY53" s="399"/>
      <c r="AZ53" s="399"/>
      <c r="BA53" s="399"/>
      <c r="BB53" s="399"/>
      <c r="BC53" s="399"/>
      <c r="BD53" s="399"/>
      <c r="BE53" s="399"/>
      <c r="BF53" s="399"/>
      <c r="BG53" s="399"/>
      <c r="BH53" s="399"/>
      <c r="BI53" s="399"/>
      <c r="BJ53" s="399"/>
      <c r="BK53" s="399"/>
      <c r="BL53" s="399"/>
      <c r="BM53" s="399"/>
      <c r="BN53" s="399"/>
      <c r="BO53" s="399"/>
      <c r="BP53" s="399"/>
      <c r="BQ53" s="399"/>
      <c r="BR53" s="399"/>
      <c r="BS53" s="399"/>
      <c r="BT53" s="399"/>
      <c r="BU53" s="399"/>
      <c r="BV53" s="399"/>
      <c r="BW53" s="399"/>
      <c r="BX53" s="399"/>
      <c r="BY53" s="399"/>
      <c r="BZ53" s="399"/>
      <c r="CA53" s="399"/>
      <c r="CB53" s="399"/>
      <c r="CC53" s="399"/>
      <c r="CD53" s="399"/>
      <c r="CE53" s="399"/>
      <c r="CF53" s="399"/>
      <c r="CG53" s="399"/>
      <c r="CH53" s="399"/>
      <c r="CI53" s="399"/>
      <c r="CJ53" s="399"/>
      <c r="CK53" s="399"/>
      <c r="CL53" s="399"/>
      <c r="CM53" s="399"/>
      <c r="CN53" s="399"/>
      <c r="CO53" s="399"/>
      <c r="CP53" s="399"/>
      <c r="CQ53" s="399"/>
      <c r="CR53" s="399"/>
      <c r="CS53" s="399"/>
      <c r="CT53" s="399"/>
      <c r="CU53" s="399"/>
      <c r="CV53" s="399"/>
      <c r="CW53" s="399"/>
      <c r="CX53" s="399"/>
      <c r="CY53" s="399"/>
      <c r="CZ53" s="399"/>
      <c r="DA53" s="399"/>
      <c r="DB53" s="399"/>
      <c r="DC53" s="399"/>
      <c r="DD53" s="399"/>
      <c r="DE53" s="399"/>
      <c r="DF53" s="399"/>
      <c r="DG53" s="399"/>
      <c r="DH53" s="399"/>
      <c r="DI53" s="399"/>
      <c r="DJ53" s="399"/>
      <c r="DK53" s="399"/>
      <c r="DL53" s="399"/>
      <c r="DM53" s="399"/>
      <c r="DN53" s="399"/>
      <c r="DO53" s="399"/>
      <c r="DP53" s="399"/>
      <c r="DQ53" s="399"/>
      <c r="DR53" s="399"/>
      <c r="DS53" s="399"/>
      <c r="DT53" s="399"/>
      <c r="DU53" s="399"/>
      <c r="DV53" s="399"/>
      <c r="DW53" s="399"/>
      <c r="DX53" s="399"/>
      <c r="DY53" s="399"/>
      <c r="DZ53" s="399"/>
      <c r="EA53" s="399"/>
      <c r="EB53" s="399"/>
      <c r="EC53" s="399"/>
      <c r="ED53" s="399"/>
      <c r="EE53" s="399"/>
      <c r="EF53" s="399"/>
      <c r="EG53" s="399"/>
      <c r="EH53" s="399"/>
      <c r="EI53" s="399"/>
      <c r="EJ53" s="399"/>
      <c r="EK53" s="399"/>
      <c r="EL53" s="399"/>
      <c r="EM53" s="399"/>
      <c r="EN53" s="399"/>
      <c r="EO53" s="399"/>
      <c r="EP53" s="399"/>
      <c r="EQ53" s="399"/>
      <c r="ER53" s="399"/>
      <c r="ES53" s="399"/>
      <c r="ET53" s="399"/>
      <c r="EU53" s="399"/>
      <c r="EV53" s="399"/>
      <c r="EW53" s="399"/>
      <c r="EX53" s="399"/>
      <c r="EY53" s="399"/>
      <c r="EZ53" s="399"/>
      <c r="FA53" s="399"/>
      <c r="FB53" s="399"/>
    </row>
    <row r="54" spans="1:158" ht="15">
      <c r="A54" s="424" t="s">
        <v>1210</v>
      </c>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c r="AX54" s="399"/>
      <c r="AY54" s="399"/>
      <c r="AZ54" s="399"/>
      <c r="BA54" s="399"/>
      <c r="BB54" s="399"/>
      <c r="BC54" s="399"/>
      <c r="BD54" s="399"/>
      <c r="BE54" s="399"/>
      <c r="BF54" s="399"/>
      <c r="BG54" s="399"/>
      <c r="BH54" s="399"/>
      <c r="BI54" s="399"/>
      <c r="BJ54" s="399"/>
      <c r="BK54" s="399"/>
      <c r="BL54" s="399"/>
      <c r="BM54" s="399"/>
      <c r="BN54" s="399"/>
      <c r="BO54" s="399"/>
      <c r="BP54" s="399"/>
      <c r="BQ54" s="399"/>
      <c r="BR54" s="399"/>
      <c r="BS54" s="399"/>
      <c r="BT54" s="399"/>
      <c r="BU54" s="399"/>
      <c r="BV54" s="399"/>
      <c r="BW54" s="399"/>
      <c r="BX54" s="399"/>
      <c r="BY54" s="399"/>
      <c r="BZ54" s="399"/>
      <c r="CA54" s="399"/>
      <c r="CB54" s="399"/>
      <c r="CC54" s="399"/>
      <c r="CD54" s="399"/>
      <c r="CE54" s="399"/>
      <c r="CF54" s="399"/>
      <c r="CG54" s="399"/>
      <c r="CH54" s="399"/>
      <c r="CI54" s="399"/>
      <c r="CJ54" s="399"/>
      <c r="CK54" s="399"/>
      <c r="CL54" s="399"/>
      <c r="CM54" s="399"/>
      <c r="CN54" s="399"/>
      <c r="CO54" s="399"/>
      <c r="CP54" s="399"/>
      <c r="CQ54" s="399"/>
      <c r="CR54" s="399"/>
      <c r="CS54" s="399"/>
      <c r="CT54" s="399"/>
      <c r="CU54" s="399"/>
      <c r="CV54" s="399"/>
      <c r="CW54" s="399"/>
      <c r="CX54" s="399"/>
      <c r="CY54" s="399"/>
      <c r="CZ54" s="399"/>
      <c r="DA54" s="399"/>
      <c r="DB54" s="399"/>
      <c r="DC54" s="399"/>
      <c r="DD54" s="399"/>
      <c r="DE54" s="399"/>
      <c r="DF54" s="399"/>
      <c r="DG54" s="399"/>
      <c r="DH54" s="399"/>
      <c r="DI54" s="399"/>
      <c r="DJ54" s="399"/>
      <c r="DK54" s="399"/>
      <c r="DL54" s="399"/>
      <c r="DM54" s="399"/>
      <c r="DN54" s="399"/>
      <c r="DO54" s="399"/>
      <c r="DP54" s="399"/>
      <c r="DQ54" s="399"/>
      <c r="DR54" s="399"/>
      <c r="DS54" s="399"/>
      <c r="DT54" s="399"/>
      <c r="DU54" s="399"/>
      <c r="DV54" s="399"/>
      <c r="DW54" s="399"/>
      <c r="DX54" s="399"/>
      <c r="DY54" s="399"/>
      <c r="DZ54" s="399"/>
      <c r="EA54" s="399"/>
      <c r="EB54" s="399"/>
      <c r="EC54" s="399"/>
      <c r="ED54" s="399"/>
      <c r="EE54" s="399"/>
      <c r="EF54" s="399"/>
      <c r="EG54" s="399"/>
      <c r="EH54" s="399"/>
      <c r="EI54" s="399"/>
      <c r="EJ54" s="399"/>
      <c r="EK54" s="399"/>
      <c r="EL54" s="399"/>
      <c r="EM54" s="399"/>
      <c r="EN54" s="399"/>
      <c r="EO54" s="399"/>
      <c r="EP54" s="399"/>
      <c r="EQ54" s="399"/>
      <c r="ER54" s="399"/>
      <c r="ES54" s="399"/>
      <c r="ET54" s="399"/>
      <c r="EU54" s="399"/>
      <c r="EV54" s="399"/>
      <c r="EW54" s="399"/>
      <c r="EX54" s="399"/>
      <c r="EY54" s="399"/>
      <c r="EZ54" s="399"/>
      <c r="FA54" s="399"/>
      <c r="FB54" s="399"/>
    </row>
    <row r="55" spans="2:158" ht="15">
      <c r="B55" s="1646" t="s">
        <v>1211</v>
      </c>
      <c r="H55" s="1675"/>
      <c r="I55" s="399" t="str">
        <f>IF(OR(H55="",H55=0),"%","")</f>
        <v>%</v>
      </c>
      <c r="J55" s="1655">
        <f>(INT($H$55*H57))</f>
        <v>0</v>
      </c>
      <c r="K55" s="1655">
        <f aca="true" t="shared" si="12" ref="K55:X55">(INT($H$55*J57))</f>
        <v>0</v>
      </c>
      <c r="L55" s="1655">
        <f t="shared" si="12"/>
        <v>0</v>
      </c>
      <c r="M55" s="1655">
        <f t="shared" si="12"/>
        <v>0</v>
      </c>
      <c r="N55" s="1655">
        <f t="shared" si="12"/>
        <v>0</v>
      </c>
      <c r="O55" s="1655">
        <f t="shared" si="12"/>
        <v>0</v>
      </c>
      <c r="P55" s="1655">
        <f t="shared" si="12"/>
        <v>0</v>
      </c>
      <c r="Q55" s="1655">
        <f t="shared" si="12"/>
        <v>0</v>
      </c>
      <c r="R55" s="1655">
        <f t="shared" si="12"/>
        <v>0</v>
      </c>
      <c r="S55" s="1655">
        <f t="shared" si="12"/>
        <v>0</v>
      </c>
      <c r="T55" s="1655">
        <f t="shared" si="12"/>
        <v>0</v>
      </c>
      <c r="U55" s="1655">
        <f t="shared" si="12"/>
        <v>0</v>
      </c>
      <c r="V55" s="1655">
        <f t="shared" si="12"/>
        <v>0</v>
      </c>
      <c r="W55" s="1655">
        <f t="shared" si="12"/>
        <v>0</v>
      </c>
      <c r="X55" s="1655">
        <f t="shared" si="12"/>
        <v>0</v>
      </c>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c r="BH55" s="399"/>
      <c r="BI55" s="399"/>
      <c r="BJ55" s="399"/>
      <c r="BK55" s="399"/>
      <c r="BL55" s="399"/>
      <c r="BM55" s="399"/>
      <c r="BN55" s="399"/>
      <c r="BO55" s="399"/>
      <c r="BP55" s="399"/>
      <c r="BQ55" s="399"/>
      <c r="BR55" s="399"/>
      <c r="BS55" s="399"/>
      <c r="BT55" s="399"/>
      <c r="BU55" s="399"/>
      <c r="BV55" s="399"/>
      <c r="BW55" s="399"/>
      <c r="BX55" s="399"/>
      <c r="BY55" s="399"/>
      <c r="BZ55" s="399"/>
      <c r="CA55" s="399"/>
      <c r="CB55" s="399"/>
      <c r="CC55" s="399"/>
      <c r="CD55" s="399"/>
      <c r="CE55" s="399"/>
      <c r="CF55" s="399"/>
      <c r="CG55" s="399"/>
      <c r="CH55" s="399"/>
      <c r="CI55" s="399"/>
      <c r="CJ55" s="399"/>
      <c r="CK55" s="399"/>
      <c r="CL55" s="399"/>
      <c r="CM55" s="399"/>
      <c r="CN55" s="399"/>
      <c r="CO55" s="399"/>
      <c r="CP55" s="399"/>
      <c r="CQ55" s="399"/>
      <c r="CR55" s="399"/>
      <c r="CS55" s="399"/>
      <c r="CT55" s="399"/>
      <c r="CU55" s="399"/>
      <c r="CV55" s="399"/>
      <c r="CW55" s="399"/>
      <c r="CX55" s="399"/>
      <c r="CY55" s="399"/>
      <c r="CZ55" s="399"/>
      <c r="DA55" s="399"/>
      <c r="DB55" s="399"/>
      <c r="DC55" s="399"/>
      <c r="DD55" s="399"/>
      <c r="DE55" s="399"/>
      <c r="DF55" s="399"/>
      <c r="DG55" s="399"/>
      <c r="DH55" s="399"/>
      <c r="DI55" s="399"/>
      <c r="DJ55" s="399"/>
      <c r="DK55" s="399"/>
      <c r="DL55" s="399"/>
      <c r="DM55" s="399"/>
      <c r="DN55" s="399"/>
      <c r="DO55" s="399"/>
      <c r="DP55" s="399"/>
      <c r="DQ55" s="399"/>
      <c r="DR55" s="399"/>
      <c r="DS55" s="399"/>
      <c r="DT55" s="399"/>
      <c r="DU55" s="399"/>
      <c r="DV55" s="399"/>
      <c r="DW55" s="399"/>
      <c r="DX55" s="399"/>
      <c r="DY55" s="399"/>
      <c r="DZ55" s="399"/>
      <c r="EA55" s="399"/>
      <c r="EB55" s="399"/>
      <c r="EC55" s="399"/>
      <c r="ED55" s="399"/>
      <c r="EE55" s="399"/>
      <c r="EF55" s="399"/>
      <c r="EG55" s="399"/>
      <c r="EH55" s="399"/>
      <c r="EI55" s="399"/>
      <c r="EJ55" s="399"/>
      <c r="EK55" s="399"/>
      <c r="EL55" s="399"/>
      <c r="EM55" s="399"/>
      <c r="EN55" s="399"/>
      <c r="EO55" s="399"/>
      <c r="EP55" s="399"/>
      <c r="EQ55" s="399"/>
      <c r="ER55" s="399"/>
      <c r="ES55" s="399"/>
      <c r="ET55" s="399"/>
      <c r="EU55" s="399"/>
      <c r="EV55" s="399"/>
      <c r="EW55" s="399"/>
      <c r="EX55" s="399"/>
      <c r="EY55" s="399"/>
      <c r="EZ55" s="399"/>
      <c r="FA55" s="399"/>
      <c r="FB55" s="399"/>
    </row>
    <row r="56" spans="2:158" ht="15">
      <c r="B56" s="1646" t="s">
        <v>1212</v>
      </c>
      <c r="J56" s="1655">
        <f aca="true" t="shared" si="13" ref="J56:X56">IF(J46&lt;0,-J46,0)</f>
        <v>0</v>
      </c>
      <c r="K56" s="1655">
        <f t="shared" si="13"/>
        <v>0</v>
      </c>
      <c r="L56" s="1655">
        <f t="shared" si="13"/>
        <v>0</v>
      </c>
      <c r="M56" s="1655">
        <f t="shared" si="13"/>
        <v>0</v>
      </c>
      <c r="N56" s="1655">
        <f t="shared" si="13"/>
        <v>0</v>
      </c>
      <c r="O56" s="1655">
        <f t="shared" si="13"/>
        <v>0</v>
      </c>
      <c r="P56" s="1655">
        <f t="shared" si="13"/>
        <v>0</v>
      </c>
      <c r="Q56" s="1655">
        <f t="shared" si="13"/>
        <v>0</v>
      </c>
      <c r="R56" s="1655">
        <f t="shared" si="13"/>
        <v>0</v>
      </c>
      <c r="S56" s="1655">
        <f t="shared" si="13"/>
        <v>0</v>
      </c>
      <c r="T56" s="1655">
        <f t="shared" si="13"/>
        <v>0</v>
      </c>
      <c r="U56" s="1655">
        <f t="shared" si="13"/>
        <v>0</v>
      </c>
      <c r="V56" s="1655">
        <f t="shared" si="13"/>
        <v>0</v>
      </c>
      <c r="W56" s="1655">
        <f t="shared" si="13"/>
        <v>0</v>
      </c>
      <c r="X56" s="1655">
        <f t="shared" si="13"/>
        <v>0</v>
      </c>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99"/>
      <c r="BS56" s="399"/>
      <c r="BT56" s="399"/>
      <c r="BU56" s="399"/>
      <c r="BV56" s="399"/>
      <c r="BW56" s="399"/>
      <c r="BX56" s="399"/>
      <c r="BY56" s="399"/>
      <c r="BZ56" s="399"/>
      <c r="CA56" s="399"/>
      <c r="CB56" s="399"/>
      <c r="CC56" s="399"/>
      <c r="CD56" s="399"/>
      <c r="CE56" s="399"/>
      <c r="CF56" s="399"/>
      <c r="CG56" s="399"/>
      <c r="CH56" s="399"/>
      <c r="CI56" s="399"/>
      <c r="CJ56" s="399"/>
      <c r="CK56" s="399"/>
      <c r="CL56" s="399"/>
      <c r="CM56" s="399"/>
      <c r="CN56" s="399"/>
      <c r="CO56" s="399"/>
      <c r="CP56" s="399"/>
      <c r="CQ56" s="399"/>
      <c r="CR56" s="399"/>
      <c r="CS56" s="399"/>
      <c r="CT56" s="399"/>
      <c r="CU56" s="399"/>
      <c r="CV56" s="399"/>
      <c r="CW56" s="399"/>
      <c r="CX56" s="399"/>
      <c r="CY56" s="399"/>
      <c r="CZ56" s="399"/>
      <c r="DA56" s="399"/>
      <c r="DB56" s="399"/>
      <c r="DC56" s="399"/>
      <c r="DD56" s="399"/>
      <c r="DE56" s="399"/>
      <c r="DF56" s="399"/>
      <c r="DG56" s="399"/>
      <c r="DH56" s="399"/>
      <c r="DI56" s="399"/>
      <c r="DJ56" s="399"/>
      <c r="DK56" s="399"/>
      <c r="DL56" s="399"/>
      <c r="DM56" s="399"/>
      <c r="DN56" s="399"/>
      <c r="DO56" s="399"/>
      <c r="DP56" s="399"/>
      <c r="DQ56" s="399"/>
      <c r="DR56" s="399"/>
      <c r="DS56" s="399"/>
      <c r="DT56" s="399"/>
      <c r="DU56" s="399"/>
      <c r="DV56" s="399"/>
      <c r="DW56" s="399"/>
      <c r="DX56" s="399"/>
      <c r="DY56" s="399"/>
      <c r="DZ56" s="399"/>
      <c r="EA56" s="399"/>
      <c r="EB56" s="399"/>
      <c r="EC56" s="399"/>
      <c r="ED56" s="399"/>
      <c r="EE56" s="399"/>
      <c r="EF56" s="399"/>
      <c r="EG56" s="399"/>
      <c r="EH56" s="399"/>
      <c r="EI56" s="399"/>
      <c r="EJ56" s="399"/>
      <c r="EK56" s="399"/>
      <c r="EL56" s="399"/>
      <c r="EM56" s="399"/>
      <c r="EN56" s="399"/>
      <c r="EO56" s="399"/>
      <c r="EP56" s="399"/>
      <c r="EQ56" s="399"/>
      <c r="ER56" s="399"/>
      <c r="ES56" s="399"/>
      <c r="ET56" s="399"/>
      <c r="EU56" s="399"/>
      <c r="EV56" s="399"/>
      <c r="EW56" s="399"/>
      <c r="EX56" s="399"/>
      <c r="EY56" s="399"/>
      <c r="EZ56" s="399"/>
      <c r="FA56" s="399"/>
      <c r="FB56" s="399"/>
    </row>
    <row r="57" spans="2:158" ht="15">
      <c r="B57" s="1646" t="s">
        <v>1213</v>
      </c>
      <c r="G57" s="1676">
        <f>IF(H57="","$","")</f>
      </c>
      <c r="H57" s="1677">
        <f>+Breakdown!F73</f>
        <v>0</v>
      </c>
      <c r="I57" s="399"/>
      <c r="J57" s="1655">
        <f>+H57+J55-J56</f>
        <v>0</v>
      </c>
      <c r="K57" s="1655">
        <f aca="true" t="shared" si="14" ref="K57:X57">+J57+K55-K56</f>
        <v>0</v>
      </c>
      <c r="L57" s="1655">
        <f t="shared" si="14"/>
        <v>0</v>
      </c>
      <c r="M57" s="1655">
        <f t="shared" si="14"/>
        <v>0</v>
      </c>
      <c r="N57" s="1655">
        <f t="shared" si="14"/>
        <v>0</v>
      </c>
      <c r="O57" s="1655">
        <f t="shared" si="14"/>
        <v>0</v>
      </c>
      <c r="P57" s="1655">
        <f t="shared" si="14"/>
        <v>0</v>
      </c>
      <c r="Q57" s="1655">
        <f t="shared" si="14"/>
        <v>0</v>
      </c>
      <c r="R57" s="1655">
        <f t="shared" si="14"/>
        <v>0</v>
      </c>
      <c r="S57" s="1655">
        <f t="shared" si="14"/>
        <v>0</v>
      </c>
      <c r="T57" s="1655">
        <f t="shared" si="14"/>
        <v>0</v>
      </c>
      <c r="U57" s="1655">
        <f t="shared" si="14"/>
        <v>0</v>
      </c>
      <c r="V57" s="1655">
        <f t="shared" si="14"/>
        <v>0</v>
      </c>
      <c r="W57" s="1655">
        <f t="shared" si="14"/>
        <v>0</v>
      </c>
      <c r="X57" s="1655">
        <f t="shared" si="14"/>
        <v>0</v>
      </c>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c r="BP57" s="399"/>
      <c r="BQ57" s="399"/>
      <c r="BR57" s="399"/>
      <c r="BS57" s="399"/>
      <c r="BT57" s="399"/>
      <c r="BU57" s="399"/>
      <c r="BV57" s="399"/>
      <c r="BW57" s="399"/>
      <c r="BX57" s="399"/>
      <c r="BY57" s="399"/>
      <c r="BZ57" s="399"/>
      <c r="CA57" s="399"/>
      <c r="CB57" s="399"/>
      <c r="CC57" s="399"/>
      <c r="CD57" s="399"/>
      <c r="CE57" s="399"/>
      <c r="CF57" s="399"/>
      <c r="CG57" s="399"/>
      <c r="CH57" s="399"/>
      <c r="CI57" s="399"/>
      <c r="CJ57" s="399"/>
      <c r="CK57" s="399"/>
      <c r="CL57" s="399"/>
      <c r="CM57" s="399"/>
      <c r="CN57" s="399"/>
      <c r="CO57" s="399"/>
      <c r="CP57" s="399"/>
      <c r="CQ57" s="399"/>
      <c r="CR57" s="399"/>
      <c r="CS57" s="399"/>
      <c r="CT57" s="399"/>
      <c r="CU57" s="399"/>
      <c r="CV57" s="399"/>
      <c r="CW57" s="399"/>
      <c r="CX57" s="399"/>
      <c r="CY57" s="399"/>
      <c r="CZ57" s="399"/>
      <c r="DA57" s="399"/>
      <c r="DB57" s="399"/>
      <c r="DC57" s="399"/>
      <c r="DD57" s="399"/>
      <c r="DE57" s="399"/>
      <c r="DF57" s="399"/>
      <c r="DG57" s="399"/>
      <c r="DH57" s="399"/>
      <c r="DI57" s="399"/>
      <c r="DJ57" s="399"/>
      <c r="DK57" s="399"/>
      <c r="DL57" s="399"/>
      <c r="DM57" s="399"/>
      <c r="DN57" s="399"/>
      <c r="DO57" s="399"/>
      <c r="DP57" s="399"/>
      <c r="DQ57" s="399"/>
      <c r="DR57" s="399"/>
      <c r="DS57" s="399"/>
      <c r="DT57" s="399"/>
      <c r="DU57" s="399"/>
      <c r="DV57" s="399"/>
      <c r="DW57" s="399"/>
      <c r="DX57" s="399"/>
      <c r="DY57" s="399"/>
      <c r="DZ57" s="399"/>
      <c r="EA57" s="399"/>
      <c r="EB57" s="399"/>
      <c r="EC57" s="399"/>
      <c r="ED57" s="399"/>
      <c r="EE57" s="399"/>
      <c r="EF57" s="399"/>
      <c r="EG57" s="399"/>
      <c r="EH57" s="399"/>
      <c r="EI57" s="399"/>
      <c r="EJ57" s="399"/>
      <c r="EK57" s="399"/>
      <c r="EL57" s="399"/>
      <c r="EM57" s="399"/>
      <c r="EN57" s="399"/>
      <c r="EO57" s="399"/>
      <c r="EP57" s="399"/>
      <c r="EQ57" s="399"/>
      <c r="ER57" s="399"/>
      <c r="ES57" s="399"/>
      <c r="ET57" s="399"/>
      <c r="EU57" s="399"/>
      <c r="EV57" s="399"/>
      <c r="EW57" s="399"/>
      <c r="EX57" s="399"/>
      <c r="EY57" s="399"/>
      <c r="EZ57" s="399"/>
      <c r="FA57" s="399"/>
      <c r="FB57" s="399"/>
    </row>
    <row r="58" spans="27:158" ht="15">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399"/>
      <c r="CI58" s="399"/>
      <c r="CJ58" s="399"/>
      <c r="CK58" s="399"/>
      <c r="CL58" s="399"/>
      <c r="CM58" s="399"/>
      <c r="CN58" s="399"/>
      <c r="CO58" s="399"/>
      <c r="CP58" s="399"/>
      <c r="CQ58" s="399"/>
      <c r="CR58" s="399"/>
      <c r="CS58" s="399"/>
      <c r="CT58" s="399"/>
      <c r="CU58" s="399"/>
      <c r="CV58" s="399"/>
      <c r="CW58" s="399"/>
      <c r="CX58" s="399"/>
      <c r="CY58" s="399"/>
      <c r="CZ58" s="399"/>
      <c r="DA58" s="399"/>
      <c r="DB58" s="399"/>
      <c r="DC58" s="399"/>
      <c r="DD58" s="399"/>
      <c r="DE58" s="399"/>
      <c r="DF58" s="399"/>
      <c r="DG58" s="399"/>
      <c r="DH58" s="399"/>
      <c r="DI58" s="399"/>
      <c r="DJ58" s="399"/>
      <c r="DK58" s="399"/>
      <c r="DL58" s="399"/>
      <c r="DM58" s="399"/>
      <c r="DN58" s="399"/>
      <c r="DO58" s="399"/>
      <c r="DP58" s="399"/>
      <c r="DQ58" s="399"/>
      <c r="DR58" s="399"/>
      <c r="DS58" s="399"/>
      <c r="DT58" s="399"/>
      <c r="DU58" s="399"/>
      <c r="DV58" s="399"/>
      <c r="DW58" s="399"/>
      <c r="DX58" s="399"/>
      <c r="DY58" s="399"/>
      <c r="DZ58" s="399"/>
      <c r="EA58" s="399"/>
      <c r="EB58" s="399"/>
      <c r="EC58" s="399"/>
      <c r="ED58" s="399"/>
      <c r="EE58" s="399"/>
      <c r="EF58" s="399"/>
      <c r="EG58" s="399"/>
      <c r="EH58" s="399"/>
      <c r="EI58" s="399"/>
      <c r="EJ58" s="399"/>
      <c r="EK58" s="399"/>
      <c r="EL58" s="399"/>
      <c r="EM58" s="399"/>
      <c r="EN58" s="399"/>
      <c r="EO58" s="399"/>
      <c r="EP58" s="399"/>
      <c r="EQ58" s="399"/>
      <c r="ER58" s="399"/>
      <c r="ES58" s="399"/>
      <c r="ET58" s="399"/>
      <c r="EU58" s="399"/>
      <c r="EV58" s="399"/>
      <c r="EW58" s="399"/>
      <c r="EX58" s="399"/>
      <c r="EY58" s="399"/>
      <c r="EZ58" s="399"/>
      <c r="FA58" s="399"/>
      <c r="FB58" s="399"/>
    </row>
    <row r="59" spans="1:158" ht="15.75" thickBot="1">
      <c r="A59" s="1628"/>
      <c r="B59" s="1628"/>
      <c r="C59" s="1628"/>
      <c r="D59" s="1628"/>
      <c r="E59" s="1628"/>
      <c r="F59" s="1628"/>
      <c r="G59" s="1627"/>
      <c r="H59" s="1628"/>
      <c r="I59" s="1628"/>
      <c r="O59" s="1678"/>
      <c r="P59" s="1678"/>
      <c r="Q59" s="1678"/>
      <c r="R59" s="1678"/>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399"/>
      <c r="BX59" s="399"/>
      <c r="BY59" s="399"/>
      <c r="BZ59" s="399"/>
      <c r="CA59" s="399"/>
      <c r="CB59" s="399"/>
      <c r="CC59" s="399"/>
      <c r="CD59" s="399"/>
      <c r="CE59" s="399"/>
      <c r="CF59" s="399"/>
      <c r="CG59" s="399"/>
      <c r="CH59" s="399"/>
      <c r="CI59" s="399"/>
      <c r="CJ59" s="399"/>
      <c r="CK59" s="399"/>
      <c r="CL59" s="399"/>
      <c r="CM59" s="399"/>
      <c r="CN59" s="399"/>
      <c r="CO59" s="399"/>
      <c r="CP59" s="399"/>
      <c r="CQ59" s="399"/>
      <c r="CR59" s="399"/>
      <c r="CS59" s="399"/>
      <c r="CT59" s="399"/>
      <c r="CU59" s="399"/>
      <c r="CV59" s="399"/>
      <c r="CW59" s="399"/>
      <c r="CX59" s="399"/>
      <c r="CY59" s="399"/>
      <c r="CZ59" s="399"/>
      <c r="DA59" s="399"/>
      <c r="DB59" s="399"/>
      <c r="DC59" s="399"/>
      <c r="DD59" s="399"/>
      <c r="DE59" s="399"/>
      <c r="DF59" s="399"/>
      <c r="DG59" s="399"/>
      <c r="DH59" s="399"/>
      <c r="DI59" s="399"/>
      <c r="DJ59" s="399"/>
      <c r="DK59" s="399"/>
      <c r="DL59" s="399"/>
      <c r="DM59" s="399"/>
      <c r="DN59" s="399"/>
      <c r="DO59" s="399"/>
      <c r="DP59" s="399"/>
      <c r="DQ59" s="399"/>
      <c r="DR59" s="399"/>
      <c r="DS59" s="399"/>
      <c r="DT59" s="399"/>
      <c r="DU59" s="399"/>
      <c r="DV59" s="399"/>
      <c r="DW59" s="399"/>
      <c r="DX59" s="399"/>
      <c r="DY59" s="399"/>
      <c r="DZ59" s="399"/>
      <c r="EA59" s="399"/>
      <c r="EB59" s="399"/>
      <c r="EC59" s="399"/>
      <c r="ED59" s="399"/>
      <c r="EE59" s="399"/>
      <c r="EF59" s="399"/>
      <c r="EG59" s="399"/>
      <c r="EH59" s="399"/>
      <c r="EI59" s="399"/>
      <c r="EJ59" s="399"/>
      <c r="EK59" s="399"/>
      <c r="EL59" s="399"/>
      <c r="EM59" s="399"/>
      <c r="EN59" s="399"/>
      <c r="EO59" s="399"/>
      <c r="EP59" s="399"/>
      <c r="EQ59" s="399"/>
      <c r="ER59" s="399"/>
      <c r="ES59" s="399"/>
      <c r="ET59" s="399"/>
      <c r="EU59" s="399"/>
      <c r="EV59" s="399"/>
      <c r="EW59" s="399"/>
      <c r="EX59" s="399"/>
      <c r="EY59" s="399"/>
      <c r="EZ59" s="399"/>
      <c r="FA59" s="399"/>
      <c r="FB59" s="399"/>
    </row>
    <row r="60" spans="1:158" ht="15">
      <c r="A60" s="1628"/>
      <c r="B60" s="1628"/>
      <c r="C60" s="1628"/>
      <c r="D60" s="1628"/>
      <c r="E60" s="1628"/>
      <c r="F60" s="1628"/>
      <c r="G60" s="1627"/>
      <c r="H60" s="1628"/>
      <c r="I60" s="1628"/>
      <c r="M60" s="167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c r="AY60" s="399"/>
      <c r="AZ60" s="399"/>
      <c r="BA60" s="399"/>
      <c r="BB60" s="399"/>
      <c r="BC60" s="399"/>
      <c r="BD60" s="399"/>
      <c r="BE60" s="399"/>
      <c r="BF60" s="399"/>
      <c r="BG60" s="399"/>
      <c r="BH60" s="399"/>
      <c r="BI60" s="399"/>
      <c r="BJ60" s="399"/>
      <c r="BK60" s="399"/>
      <c r="BL60" s="399"/>
      <c r="BM60" s="399"/>
      <c r="BN60" s="399"/>
      <c r="BO60" s="399"/>
      <c r="BP60" s="399"/>
      <c r="BQ60" s="399"/>
      <c r="BR60" s="399"/>
      <c r="BS60" s="399"/>
      <c r="BT60" s="399"/>
      <c r="BU60" s="399"/>
      <c r="BV60" s="399"/>
      <c r="BW60" s="399"/>
      <c r="BX60" s="399"/>
      <c r="BY60" s="399"/>
      <c r="BZ60" s="399"/>
      <c r="CA60" s="399"/>
      <c r="CB60" s="399"/>
      <c r="CC60" s="399"/>
      <c r="CD60" s="399"/>
      <c r="CE60" s="399"/>
      <c r="CF60" s="399"/>
      <c r="CG60" s="399"/>
      <c r="CH60" s="399"/>
      <c r="CI60" s="399"/>
      <c r="CJ60" s="399"/>
      <c r="CK60" s="399"/>
      <c r="CL60" s="399"/>
      <c r="CM60" s="399"/>
      <c r="CN60" s="399"/>
      <c r="CO60" s="399"/>
      <c r="CP60" s="399"/>
      <c r="CQ60" s="399"/>
      <c r="CR60" s="399"/>
      <c r="CS60" s="399"/>
      <c r="CT60" s="399"/>
      <c r="CU60" s="399"/>
      <c r="CV60" s="399"/>
      <c r="CW60" s="399"/>
      <c r="CX60" s="399"/>
      <c r="CY60" s="399"/>
      <c r="CZ60" s="399"/>
      <c r="DA60" s="399"/>
      <c r="DB60" s="399"/>
      <c r="DC60" s="399"/>
      <c r="DD60" s="399"/>
      <c r="DE60" s="399"/>
      <c r="DF60" s="399"/>
      <c r="DG60" s="399"/>
      <c r="DH60" s="399"/>
      <c r="DI60" s="399"/>
      <c r="DJ60" s="399"/>
      <c r="DK60" s="399"/>
      <c r="DL60" s="399"/>
      <c r="DM60" s="399"/>
      <c r="DN60" s="399"/>
      <c r="DO60" s="399"/>
      <c r="DP60" s="399"/>
      <c r="DQ60" s="399"/>
      <c r="DR60" s="399"/>
      <c r="DS60" s="399"/>
      <c r="DT60" s="399"/>
      <c r="DU60" s="399"/>
      <c r="DV60" s="399"/>
      <c r="DW60" s="399"/>
      <c r="DX60" s="399"/>
      <c r="DY60" s="399"/>
      <c r="DZ60" s="399"/>
      <c r="EA60" s="399"/>
      <c r="EB60" s="399"/>
      <c r="EC60" s="399"/>
      <c r="ED60" s="399"/>
      <c r="EE60" s="399"/>
      <c r="EF60" s="399"/>
      <c r="EG60" s="399"/>
      <c r="EH60" s="399"/>
      <c r="EI60" s="399"/>
      <c r="EJ60" s="399"/>
      <c r="EK60" s="399"/>
      <c r="EL60" s="399"/>
      <c r="EM60" s="399"/>
      <c r="EN60" s="399"/>
      <c r="EO60" s="399"/>
      <c r="EP60" s="399"/>
      <c r="EQ60" s="399"/>
      <c r="ER60" s="399"/>
      <c r="ES60" s="399"/>
      <c r="ET60" s="399"/>
      <c r="EU60" s="399"/>
      <c r="EV60" s="399"/>
      <c r="EW60" s="399"/>
      <c r="EX60" s="399"/>
      <c r="EY60" s="399"/>
      <c r="EZ60" s="399"/>
      <c r="FA60" s="399"/>
      <c r="FB60" s="399"/>
    </row>
    <row r="61" spans="27:158" ht="15">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399"/>
      <c r="BW61" s="399"/>
      <c r="BX61" s="399"/>
      <c r="BY61" s="399"/>
      <c r="BZ61" s="399"/>
      <c r="CA61" s="399"/>
      <c r="CB61" s="399"/>
      <c r="CC61" s="399"/>
      <c r="CD61" s="399"/>
      <c r="CE61" s="399"/>
      <c r="CF61" s="399"/>
      <c r="CG61" s="399"/>
      <c r="CH61" s="399"/>
      <c r="CI61" s="399"/>
      <c r="CJ61" s="399"/>
      <c r="CK61" s="399"/>
      <c r="CL61" s="399"/>
      <c r="CM61" s="399"/>
      <c r="CN61" s="399"/>
      <c r="CO61" s="399"/>
      <c r="CP61" s="399"/>
      <c r="CQ61" s="399"/>
      <c r="CR61" s="399"/>
      <c r="CS61" s="399"/>
      <c r="CT61" s="399"/>
      <c r="CU61" s="399"/>
      <c r="CV61" s="399"/>
      <c r="CW61" s="399"/>
      <c r="CX61" s="399"/>
      <c r="CY61" s="399"/>
      <c r="CZ61" s="399"/>
      <c r="DA61" s="399"/>
      <c r="DB61" s="399"/>
      <c r="DC61" s="399"/>
      <c r="DD61" s="399"/>
      <c r="DE61" s="399"/>
      <c r="DF61" s="399"/>
      <c r="DG61" s="399"/>
      <c r="DH61" s="399"/>
      <c r="DI61" s="399"/>
      <c r="DJ61" s="399"/>
      <c r="DK61" s="399"/>
      <c r="DL61" s="399"/>
      <c r="DM61" s="399"/>
      <c r="DN61" s="399"/>
      <c r="DO61" s="399"/>
      <c r="DP61" s="399"/>
      <c r="DQ61" s="399"/>
      <c r="DR61" s="399"/>
      <c r="DS61" s="399"/>
      <c r="DT61" s="399"/>
      <c r="DU61" s="399"/>
      <c r="DV61" s="399"/>
      <c r="DW61" s="399"/>
      <c r="DX61" s="399"/>
      <c r="DY61" s="399"/>
      <c r="DZ61" s="399"/>
      <c r="EA61" s="399"/>
      <c r="EB61" s="399"/>
      <c r="EC61" s="399"/>
      <c r="ED61" s="399"/>
      <c r="EE61" s="399"/>
      <c r="EF61" s="399"/>
      <c r="EG61" s="399"/>
      <c r="EH61" s="399"/>
      <c r="EI61" s="399"/>
      <c r="EJ61" s="399"/>
      <c r="EK61" s="399"/>
      <c r="EL61" s="399"/>
      <c r="EM61" s="399"/>
      <c r="EN61" s="399"/>
      <c r="EO61" s="399"/>
      <c r="EP61" s="399"/>
      <c r="EQ61" s="399"/>
      <c r="ER61" s="399"/>
      <c r="ES61" s="399"/>
      <c r="ET61" s="399"/>
      <c r="EU61" s="399"/>
      <c r="EV61" s="399"/>
      <c r="EW61" s="399"/>
      <c r="EX61" s="399"/>
      <c r="EY61" s="399"/>
      <c r="EZ61" s="399"/>
      <c r="FA61" s="399"/>
      <c r="FB61" s="399"/>
    </row>
    <row r="62" spans="27:158" ht="15">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99"/>
      <c r="DF62" s="399"/>
      <c r="DG62" s="399"/>
      <c r="DH62" s="399"/>
      <c r="DI62" s="399"/>
      <c r="DJ62" s="399"/>
      <c r="DK62" s="399"/>
      <c r="DL62" s="399"/>
      <c r="DM62" s="399"/>
      <c r="DN62" s="399"/>
      <c r="DO62" s="399"/>
      <c r="DP62" s="399"/>
      <c r="DQ62" s="399"/>
      <c r="DR62" s="399"/>
      <c r="DS62" s="399"/>
      <c r="DT62" s="399"/>
      <c r="DU62" s="399"/>
      <c r="DV62" s="399"/>
      <c r="DW62" s="399"/>
      <c r="DX62" s="399"/>
      <c r="DY62" s="399"/>
      <c r="DZ62" s="399"/>
      <c r="EA62" s="399"/>
      <c r="EB62" s="399"/>
      <c r="EC62" s="399"/>
      <c r="ED62" s="399"/>
      <c r="EE62" s="399"/>
      <c r="EF62" s="399"/>
      <c r="EG62" s="399"/>
      <c r="EH62" s="399"/>
      <c r="EI62" s="399"/>
      <c r="EJ62" s="399"/>
      <c r="EK62" s="399"/>
      <c r="EL62" s="399"/>
      <c r="EM62" s="399"/>
      <c r="EN62" s="399"/>
      <c r="EO62" s="399"/>
      <c r="EP62" s="399"/>
      <c r="EQ62" s="399"/>
      <c r="ER62" s="399"/>
      <c r="ES62" s="399"/>
      <c r="ET62" s="399"/>
      <c r="EU62" s="399"/>
      <c r="EV62" s="399"/>
      <c r="EW62" s="399"/>
      <c r="EX62" s="399"/>
      <c r="EY62" s="399"/>
      <c r="EZ62" s="399"/>
      <c r="FA62" s="399"/>
      <c r="FB62" s="399"/>
    </row>
    <row r="63" spans="27:158" ht="15">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399"/>
      <c r="CS63" s="399"/>
      <c r="CT63" s="399"/>
      <c r="CU63" s="399"/>
      <c r="CV63" s="399"/>
      <c r="CW63" s="399"/>
      <c r="CX63" s="399"/>
      <c r="CY63" s="399"/>
      <c r="CZ63" s="399"/>
      <c r="DA63" s="399"/>
      <c r="DB63" s="399"/>
      <c r="DC63" s="399"/>
      <c r="DD63" s="399"/>
      <c r="DE63" s="399"/>
      <c r="DF63" s="399"/>
      <c r="DG63" s="399"/>
      <c r="DH63" s="399"/>
      <c r="DI63" s="399"/>
      <c r="DJ63" s="399"/>
      <c r="DK63" s="399"/>
      <c r="DL63" s="399"/>
      <c r="DM63" s="399"/>
      <c r="DN63" s="399"/>
      <c r="DO63" s="399"/>
      <c r="DP63" s="399"/>
      <c r="DQ63" s="399"/>
      <c r="DR63" s="399"/>
      <c r="DS63" s="399"/>
      <c r="DT63" s="399"/>
      <c r="DU63" s="399"/>
      <c r="DV63" s="399"/>
      <c r="DW63" s="399"/>
      <c r="DX63" s="399"/>
      <c r="DY63" s="399"/>
      <c r="DZ63" s="399"/>
      <c r="EA63" s="399"/>
      <c r="EB63" s="399"/>
      <c r="EC63" s="399"/>
      <c r="ED63" s="399"/>
      <c r="EE63" s="399"/>
      <c r="EF63" s="399"/>
      <c r="EG63" s="399"/>
      <c r="EH63" s="399"/>
      <c r="EI63" s="399"/>
      <c r="EJ63" s="399"/>
      <c r="EK63" s="399"/>
      <c r="EL63" s="399"/>
      <c r="EM63" s="399"/>
      <c r="EN63" s="399"/>
      <c r="EO63" s="399"/>
      <c r="EP63" s="399"/>
      <c r="EQ63" s="399"/>
      <c r="ER63" s="399"/>
      <c r="ES63" s="399"/>
      <c r="ET63" s="399"/>
      <c r="EU63" s="399"/>
      <c r="EV63" s="399"/>
      <c r="EW63" s="399"/>
      <c r="EX63" s="399"/>
      <c r="EY63" s="399"/>
      <c r="EZ63" s="399"/>
      <c r="FA63" s="399"/>
      <c r="FB63" s="399"/>
    </row>
    <row r="64" spans="27:158" ht="15">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399"/>
      <c r="BD64" s="399"/>
      <c r="BE64" s="399"/>
      <c r="BF64" s="399"/>
      <c r="BG64" s="399"/>
      <c r="BH64" s="399"/>
      <c r="BI64" s="399"/>
      <c r="BJ64" s="399"/>
      <c r="BK64" s="399"/>
      <c r="BL64" s="399"/>
      <c r="BM64" s="399"/>
      <c r="BN64" s="399"/>
      <c r="BO64" s="399"/>
      <c r="BP64" s="399"/>
      <c r="BQ64" s="399"/>
      <c r="BR64" s="399"/>
      <c r="BS64" s="399"/>
      <c r="BT64" s="399"/>
      <c r="BU64" s="399"/>
      <c r="BV64" s="399"/>
      <c r="BW64" s="399"/>
      <c r="BX64" s="399"/>
      <c r="BY64" s="399"/>
      <c r="BZ64" s="399"/>
      <c r="CA64" s="399"/>
      <c r="CB64" s="399"/>
      <c r="CC64" s="399"/>
      <c r="CD64" s="399"/>
      <c r="CE64" s="399"/>
      <c r="CF64" s="399"/>
      <c r="CG64" s="399"/>
      <c r="CH64" s="399"/>
      <c r="CI64" s="399"/>
      <c r="CJ64" s="399"/>
      <c r="CK64" s="399"/>
      <c r="CL64" s="399"/>
      <c r="CM64" s="399"/>
      <c r="CN64" s="399"/>
      <c r="CO64" s="399"/>
      <c r="CP64" s="399"/>
      <c r="CQ64" s="399"/>
      <c r="CR64" s="399"/>
      <c r="CS64" s="399"/>
      <c r="CT64" s="399"/>
      <c r="CU64" s="399"/>
      <c r="CV64" s="399"/>
      <c r="CW64" s="399"/>
      <c r="CX64" s="399"/>
      <c r="CY64" s="399"/>
      <c r="CZ64" s="399"/>
      <c r="DA64" s="399"/>
      <c r="DB64" s="399"/>
      <c r="DC64" s="399"/>
      <c r="DD64" s="399"/>
      <c r="DE64" s="399"/>
      <c r="DF64" s="399"/>
      <c r="DG64" s="399"/>
      <c r="DH64" s="399"/>
      <c r="DI64" s="399"/>
      <c r="DJ64" s="399"/>
      <c r="DK64" s="399"/>
      <c r="DL64" s="399"/>
      <c r="DM64" s="399"/>
      <c r="DN64" s="399"/>
      <c r="DO64" s="399"/>
      <c r="DP64" s="399"/>
      <c r="DQ64" s="399"/>
      <c r="DR64" s="399"/>
      <c r="DS64" s="399"/>
      <c r="DT64" s="399"/>
      <c r="DU64" s="399"/>
      <c r="DV64" s="399"/>
      <c r="DW64" s="399"/>
      <c r="DX64" s="399"/>
      <c r="DY64" s="399"/>
      <c r="DZ64" s="399"/>
      <c r="EA64" s="399"/>
      <c r="EB64" s="399"/>
      <c r="EC64" s="399"/>
      <c r="ED64" s="399"/>
      <c r="EE64" s="399"/>
      <c r="EF64" s="399"/>
      <c r="EG64" s="399"/>
      <c r="EH64" s="399"/>
      <c r="EI64" s="399"/>
      <c r="EJ64" s="399"/>
      <c r="EK64" s="399"/>
      <c r="EL64" s="399"/>
      <c r="EM64" s="399"/>
      <c r="EN64" s="399"/>
      <c r="EO64" s="399"/>
      <c r="EP64" s="399"/>
      <c r="EQ64" s="399"/>
      <c r="ER64" s="399"/>
      <c r="ES64" s="399"/>
      <c r="ET64" s="399"/>
      <c r="EU64" s="399"/>
      <c r="EV64" s="399"/>
      <c r="EW64" s="399"/>
      <c r="EX64" s="399"/>
      <c r="EY64" s="399"/>
      <c r="EZ64" s="399"/>
      <c r="FA64" s="399"/>
      <c r="FB64" s="399"/>
    </row>
  </sheetData>
  <sheetProtection/>
  <mergeCells count="3">
    <mergeCell ref="A5:E5"/>
    <mergeCell ref="A6:E6"/>
    <mergeCell ref="A7:E7"/>
  </mergeCells>
  <printOptions/>
  <pageMargins left="0.75" right="0.75" top="0.5" bottom="0.5" header="0.25" footer="0.5"/>
  <pageSetup fitToHeight="1" fitToWidth="1" horizontalDpi="600" verticalDpi="600" orientation="landscape" paperSize="5" scale="59" r:id="rId1"/>
</worksheet>
</file>

<file path=xl/worksheets/sheet2.xml><?xml version="1.0" encoding="utf-8"?>
<worksheet xmlns="http://schemas.openxmlformats.org/spreadsheetml/2006/main" xmlns:r="http://schemas.openxmlformats.org/officeDocument/2006/relationships">
  <sheetPr codeName="Sheet17"/>
  <dimension ref="A1:A1"/>
  <sheetViews>
    <sheetView showGridLines="0" showRowColHeaders="0" showOutlineSymbols="0" defaultGridColor="0" zoomScalePageLayoutView="0" colorId="58" workbookViewId="0" topLeftCell="A25">
      <selection activeCell="D46" sqref="D46"/>
    </sheetView>
  </sheetViews>
  <sheetFormatPr defaultColWidth="7.10546875" defaultRowHeight="15"/>
  <cols>
    <col min="1" max="3" width="7.10546875" style="3" customWidth="1"/>
    <col min="4" max="4" width="4.3359375" style="3" customWidth="1"/>
    <col min="5" max="16384" width="7.10546875" style="3" customWidth="1"/>
  </cols>
  <sheetData/>
  <sheetProtection/>
  <printOptions/>
  <pageMargins left="0.75" right="0.75" top="1" bottom="1" header="0.5" footer="0.5"/>
  <pageSetup horizontalDpi="600" verticalDpi="600" orientation="portrait" r:id="rId2"/>
  <headerFooter alignWithMargins="0">
    <oddFooter>&amp;C&amp;"Arial,Bold"&amp;11This memorandum contains advisory, consultative and deliberative materials and is intended for the person(s) named as recipient(s).
</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W768"/>
  <sheetViews>
    <sheetView showGridLines="0" showZeros="0" tabSelected="1" zoomScale="75" zoomScaleNormal="75" workbookViewId="0" topLeftCell="A1">
      <selection activeCell="A1" sqref="A1"/>
    </sheetView>
  </sheetViews>
  <sheetFormatPr defaultColWidth="12.4453125" defaultRowHeight="15"/>
  <cols>
    <col min="1" max="1" width="10.4453125" style="9" customWidth="1"/>
    <col min="2" max="2" width="13.77734375" style="4" customWidth="1"/>
    <col min="3" max="3" width="12.10546875" style="4" customWidth="1"/>
    <col min="4" max="4" width="12.6640625" style="4" customWidth="1"/>
    <col min="5" max="6" width="15.6640625" style="4" customWidth="1"/>
    <col min="7" max="7" width="16.10546875" style="4" customWidth="1"/>
    <col min="8" max="8" width="14.21484375" style="4" customWidth="1"/>
    <col min="9" max="9" width="12.99609375" style="4" customWidth="1"/>
    <col min="10" max="10" width="14.99609375" style="4" customWidth="1"/>
    <col min="11" max="11" width="12.4453125" style="7" hidden="1" customWidth="1"/>
    <col min="12" max="12" width="11.21484375" style="7" hidden="1" customWidth="1"/>
    <col min="13" max="13" width="22.3359375" style="7" hidden="1" customWidth="1"/>
    <col min="14" max="14" width="15.10546875" style="7" hidden="1" customWidth="1"/>
    <col min="15" max="15" width="35.5546875" style="7" hidden="1" customWidth="1"/>
    <col min="16" max="16" width="26.6640625" style="8" hidden="1" customWidth="1"/>
    <col min="17" max="17" width="12.5546875" style="8" hidden="1" customWidth="1"/>
    <col min="18" max="18" width="16.99609375" style="7" hidden="1" customWidth="1"/>
    <col min="19" max="19" width="59.6640625" style="4" customWidth="1"/>
    <col min="20" max="21" width="11.21484375" style="4" customWidth="1"/>
    <col min="22" max="204" width="12.4453125" style="4" customWidth="1"/>
    <col min="205" max="205" width="1.88671875" style="4" customWidth="1"/>
    <col min="206" max="16384" width="12.4453125" style="4" customWidth="1"/>
  </cols>
  <sheetData>
    <row r="1" spans="1:17" ht="17.25">
      <c r="A1" s="500"/>
      <c r="P1" s="8" t="s">
        <v>1328</v>
      </c>
      <c r="Q1" s="8" t="s">
        <v>1329</v>
      </c>
    </row>
    <row r="2" spans="1:17" ht="22.5">
      <c r="A2" s="1719" t="s">
        <v>1332</v>
      </c>
      <c r="B2" s="1719"/>
      <c r="C2" s="1719"/>
      <c r="D2" s="1719"/>
      <c r="E2" s="1719"/>
      <c r="F2" s="1719"/>
      <c r="G2" s="1719"/>
      <c r="H2" s="1719"/>
      <c r="I2" s="1720"/>
      <c r="J2" s="1720"/>
      <c r="P2" s="8" t="s">
        <v>1330</v>
      </c>
      <c r="Q2" s="8" t="s">
        <v>1331</v>
      </c>
    </row>
    <row r="3" spans="1:17" ht="22.5" customHeight="1">
      <c r="A3" s="1721" t="s">
        <v>1717</v>
      </c>
      <c r="B3" s="1719"/>
      <c r="C3" s="1719"/>
      <c r="D3" s="1719"/>
      <c r="E3" s="1719"/>
      <c r="F3" s="1719"/>
      <c r="G3" s="1719"/>
      <c r="H3" s="1719"/>
      <c r="I3" s="1719"/>
      <c r="J3" s="1719"/>
      <c r="M3" s="7" t="s">
        <v>1333</v>
      </c>
      <c r="O3" s="7" t="s">
        <v>1334</v>
      </c>
      <c r="P3" s="8" t="s">
        <v>1335</v>
      </c>
      <c r="Q3" s="8" t="s">
        <v>1336</v>
      </c>
    </row>
    <row r="4" spans="1:17" ht="24.75" customHeight="1">
      <c r="A4" s="1726" t="s">
        <v>1718</v>
      </c>
      <c r="B4" s="1726"/>
      <c r="C4" s="1726"/>
      <c r="D4" s="1726"/>
      <c r="E4" s="1726"/>
      <c r="F4" s="1726"/>
      <c r="G4" s="1726"/>
      <c r="H4" s="1726"/>
      <c r="J4" s="10"/>
      <c r="M4" s="7" t="s">
        <v>1337</v>
      </c>
      <c r="P4" s="8" t="s">
        <v>1338</v>
      </c>
      <c r="Q4" s="8" t="s">
        <v>1339</v>
      </c>
    </row>
    <row r="5" spans="3:18" s="11" customFormat="1" ht="22.5">
      <c r="C5" s="1236" t="s">
        <v>521</v>
      </c>
      <c r="J5" s="12"/>
      <c r="K5" s="13"/>
      <c r="L5" s="13"/>
      <c r="M5" s="13" t="s">
        <v>1340</v>
      </c>
      <c r="N5" s="13"/>
      <c r="O5" s="13"/>
      <c r="P5" s="14" t="s">
        <v>1341</v>
      </c>
      <c r="Q5" s="14" t="s">
        <v>1342</v>
      </c>
      <c r="R5" s="13"/>
    </row>
    <row r="6" spans="1:17" ht="15.75" customHeight="1">
      <c r="A6" s="1079"/>
      <c r="B6" s="4" t="s">
        <v>688</v>
      </c>
      <c r="C6" s="657"/>
      <c r="D6" s="1237" t="s">
        <v>537</v>
      </c>
      <c r="E6" s="1238"/>
      <c r="M6" s="7" t="s">
        <v>1343</v>
      </c>
      <c r="P6" s="8" t="s">
        <v>1344</v>
      </c>
      <c r="Q6" s="8" t="s">
        <v>1345</v>
      </c>
    </row>
    <row r="7" spans="1:17" ht="15.75" customHeight="1">
      <c r="A7" s="1079"/>
      <c r="B7" s="4" t="s">
        <v>1350</v>
      </c>
      <c r="C7" s="657"/>
      <c r="D7" s="1237" t="s">
        <v>536</v>
      </c>
      <c r="E7" s="1239"/>
      <c r="F7" s="15" t="s">
        <v>1346</v>
      </c>
      <c r="G7" s="1713"/>
      <c r="H7" s="1713"/>
      <c r="I7" s="1230"/>
      <c r="J7" s="1231"/>
      <c r="M7" s="7" t="s">
        <v>1347</v>
      </c>
      <c r="P7" s="8" t="s">
        <v>1348</v>
      </c>
      <c r="Q7" s="8" t="s">
        <v>1349</v>
      </c>
    </row>
    <row r="8" spans="1:17" ht="15">
      <c r="A8" s="289"/>
      <c r="B8" s="4" t="s">
        <v>686</v>
      </c>
      <c r="C8" s="657"/>
      <c r="D8" s="15" t="s">
        <v>534</v>
      </c>
      <c r="E8" s="1047"/>
      <c r="F8" s="15" t="s">
        <v>1351</v>
      </c>
      <c r="G8" s="1718"/>
      <c r="H8" s="1718"/>
      <c r="I8" s="1230"/>
      <c r="J8" s="1231"/>
      <c r="M8" s="7" t="s">
        <v>1352</v>
      </c>
      <c r="P8" s="8" t="s">
        <v>1353</v>
      </c>
      <c r="Q8" s="8" t="s">
        <v>1354</v>
      </c>
    </row>
    <row r="9" spans="1:17" ht="15">
      <c r="A9" s="289"/>
      <c r="B9" s="4" t="s">
        <v>516</v>
      </c>
      <c r="C9" s="657"/>
      <c r="D9" s="1233" t="s">
        <v>325</v>
      </c>
      <c r="E9" s="1046"/>
      <c r="F9" s="15" t="s">
        <v>1356</v>
      </c>
      <c r="G9" s="1717"/>
      <c r="H9" s="1717"/>
      <c r="M9" s="7" t="s">
        <v>1357</v>
      </c>
      <c r="P9" s="8" t="s">
        <v>1358</v>
      </c>
      <c r="Q9" s="8" t="s">
        <v>1359</v>
      </c>
    </row>
    <row r="10" spans="1:17" ht="15">
      <c r="A10" s="289"/>
      <c r="B10" s="4" t="s">
        <v>687</v>
      </c>
      <c r="C10" s="657"/>
      <c r="D10" s="1233" t="s">
        <v>325</v>
      </c>
      <c r="E10" s="1046"/>
      <c r="F10" s="15" t="s">
        <v>1360</v>
      </c>
      <c r="G10" s="1715"/>
      <c r="H10" s="1715"/>
      <c r="I10" s="16"/>
      <c r="M10" s="7" t="s">
        <v>1361</v>
      </c>
      <c r="P10" s="8" t="s">
        <v>1362</v>
      </c>
      <c r="Q10" s="8" t="s">
        <v>1363</v>
      </c>
    </row>
    <row r="11" spans="1:17" ht="15">
      <c r="A11" s="289"/>
      <c r="B11" s="4" t="s">
        <v>535</v>
      </c>
      <c r="C11" s="657"/>
      <c r="D11" s="1234"/>
      <c r="E11" s="1232"/>
      <c r="G11" s="19"/>
      <c r="H11" s="19"/>
      <c r="M11" s="7" t="s">
        <v>1364</v>
      </c>
      <c r="P11" s="8" t="s">
        <v>1365</v>
      </c>
      <c r="Q11" s="8" t="s">
        <v>1366</v>
      </c>
    </row>
    <row r="12" spans="1:17" ht="15">
      <c r="A12" s="46"/>
      <c r="C12" s="1713"/>
      <c r="D12" s="1713"/>
      <c r="E12" s="1714"/>
      <c r="F12" s="1714"/>
      <c r="G12" s="1714"/>
      <c r="I12" s="1724"/>
      <c r="J12" s="1724"/>
      <c r="M12" s="7" t="s">
        <v>1367</v>
      </c>
      <c r="P12" s="8" t="s">
        <v>1368</v>
      </c>
      <c r="Q12" s="8" t="s">
        <v>1369</v>
      </c>
    </row>
    <row r="13" spans="3:17" ht="15">
      <c r="C13" s="1736" t="s">
        <v>669</v>
      </c>
      <c r="D13" s="1737"/>
      <c r="E13" s="1737"/>
      <c r="F13" s="1737"/>
      <c r="G13" s="1737"/>
      <c r="M13" s="7" t="s">
        <v>1370</v>
      </c>
      <c r="P13" s="8" t="s">
        <v>1371</v>
      </c>
      <c r="Q13" s="8" t="s">
        <v>1372</v>
      </c>
    </row>
    <row r="14" spans="3:17" ht="15">
      <c r="C14" s="1715"/>
      <c r="D14" s="1715"/>
      <c r="E14" s="1716"/>
      <c r="F14" s="1716"/>
      <c r="G14" s="1716"/>
      <c r="H14" s="15" t="s">
        <v>909</v>
      </c>
      <c r="I14" s="1699"/>
      <c r="J14" s="1699"/>
      <c r="M14" s="7" t="s">
        <v>1373</v>
      </c>
      <c r="P14" s="8" t="s">
        <v>1374</v>
      </c>
      <c r="Q14" s="8" t="s">
        <v>1375</v>
      </c>
    </row>
    <row r="15" spans="3:17" ht="15">
      <c r="C15" s="1736" t="s">
        <v>682</v>
      </c>
      <c r="D15" s="1736"/>
      <c r="E15" s="1736"/>
      <c r="F15" s="1736"/>
      <c r="G15" s="1736"/>
      <c r="M15" s="7" t="s">
        <v>1376</v>
      </c>
      <c r="P15" s="8" t="s">
        <v>1377</v>
      </c>
      <c r="Q15" s="8" t="s">
        <v>1378</v>
      </c>
    </row>
    <row r="16" spans="13:17" ht="15">
      <c r="M16" s="7" t="s">
        <v>1379</v>
      </c>
      <c r="P16" s="8" t="s">
        <v>1380</v>
      </c>
      <c r="Q16" s="8" t="s">
        <v>1381</v>
      </c>
    </row>
    <row r="17" spans="1:17" ht="15">
      <c r="A17" s="9" t="s">
        <v>1382</v>
      </c>
      <c r="B17" s="1715"/>
      <c r="C17" s="1715"/>
      <c r="D17" s="1716"/>
      <c r="E17" s="4" t="s">
        <v>1383</v>
      </c>
      <c r="F17" s="1735"/>
      <c r="G17" s="1735"/>
      <c r="H17" s="4" t="s">
        <v>1384</v>
      </c>
      <c r="I17" s="1712"/>
      <c r="J17" s="1712"/>
      <c r="M17" s="7" t="s">
        <v>1385</v>
      </c>
      <c r="P17" s="8" t="s">
        <v>1386</v>
      </c>
      <c r="Q17" s="8" t="s">
        <v>1387</v>
      </c>
    </row>
    <row r="18" spans="1:17" ht="15">
      <c r="A18" s="9" t="s">
        <v>1388</v>
      </c>
      <c r="B18" s="1715"/>
      <c r="C18" s="1715"/>
      <c r="D18" s="1716"/>
      <c r="F18" s="1725"/>
      <c r="G18" s="1725"/>
      <c r="I18" s="1712"/>
      <c r="J18" s="1712"/>
      <c r="M18" s="7" t="s">
        <v>1389</v>
      </c>
      <c r="P18" s="8" t="s">
        <v>1390</v>
      </c>
      <c r="Q18" s="8" t="s">
        <v>1391</v>
      </c>
    </row>
    <row r="19" spans="3:17" ht="15">
      <c r="C19" s="19"/>
      <c r="D19" s="19"/>
      <c r="F19" s="19"/>
      <c r="I19" s="20"/>
      <c r="M19" s="7" t="s">
        <v>1392</v>
      </c>
      <c r="P19" s="8" t="s">
        <v>1393</v>
      </c>
      <c r="Q19" s="8" t="s">
        <v>1394</v>
      </c>
    </row>
    <row r="20" spans="1:17" ht="15">
      <c r="A20" s="21" t="s">
        <v>705</v>
      </c>
      <c r="E20" s="22" t="s">
        <v>1395</v>
      </c>
      <c r="G20" s="1091"/>
      <c r="I20" s="490" t="s">
        <v>1278</v>
      </c>
      <c r="J20" s="302"/>
      <c r="M20" s="7" t="s">
        <v>1396</v>
      </c>
      <c r="P20" s="8" t="s">
        <v>1397</v>
      </c>
      <c r="Q20" s="8" t="s">
        <v>1398</v>
      </c>
    </row>
    <row r="21" spans="1:17" ht="15">
      <c r="A21" s="25" t="s">
        <v>679</v>
      </c>
      <c r="B21" s="42"/>
      <c r="C21" s="42"/>
      <c r="D21" s="79"/>
      <c r="M21" s="7" t="s">
        <v>1399</v>
      </c>
      <c r="P21" s="8" t="s">
        <v>1400</v>
      </c>
      <c r="Q21" s="8" t="s">
        <v>1401</v>
      </c>
    </row>
    <row r="22" spans="1:17" ht="15">
      <c r="A22" s="9" t="s">
        <v>1402</v>
      </c>
      <c r="C22" s="1079"/>
      <c r="E22" s="9" t="s">
        <v>1411</v>
      </c>
      <c r="G22" s="1079"/>
      <c r="I22" s="490" t="s">
        <v>1277</v>
      </c>
      <c r="J22" s="360"/>
      <c r="M22" s="7" t="s">
        <v>1403</v>
      </c>
      <c r="P22" s="8" t="s">
        <v>1404</v>
      </c>
      <c r="Q22" s="8" t="s">
        <v>1405</v>
      </c>
    </row>
    <row r="23" spans="1:17" ht="15">
      <c r="A23" s="9" t="s">
        <v>1406</v>
      </c>
      <c r="C23" s="1100"/>
      <c r="E23" s="9" t="s">
        <v>1417</v>
      </c>
      <c r="G23" s="289"/>
      <c r="M23" s="7" t="s">
        <v>1408</v>
      </c>
      <c r="P23" s="8" t="s">
        <v>1409</v>
      </c>
      <c r="Q23" s="8" t="s">
        <v>1410</v>
      </c>
    </row>
    <row r="24" spans="1:17" ht="15">
      <c r="A24" s="21" t="s">
        <v>948</v>
      </c>
      <c r="C24" s="46"/>
      <c r="E24" s="4" t="s">
        <v>1269</v>
      </c>
      <c r="G24" s="1100"/>
      <c r="M24" s="7" t="s">
        <v>1413</v>
      </c>
      <c r="N24" s="7" t="s">
        <v>1414</v>
      </c>
      <c r="P24" s="8" t="s">
        <v>1415</v>
      </c>
      <c r="Q24" s="8" t="s">
        <v>1416</v>
      </c>
    </row>
    <row r="25" spans="1:17" ht="15">
      <c r="A25" s="4" t="s">
        <v>946</v>
      </c>
      <c r="C25" s="355"/>
      <c r="E25" s="20" t="s">
        <v>1407</v>
      </c>
      <c r="G25" s="291"/>
      <c r="M25" s="7" t="s">
        <v>1426</v>
      </c>
      <c r="P25" s="8" t="s">
        <v>1427</v>
      </c>
      <c r="Q25" s="8" t="s">
        <v>1428</v>
      </c>
    </row>
    <row r="26" spans="1:10" ht="15">
      <c r="A26" s="9" t="s">
        <v>947</v>
      </c>
      <c r="C26" s="356"/>
      <c r="E26" s="16" t="s">
        <v>1412</v>
      </c>
      <c r="G26" s="291"/>
      <c r="I26" s="490" t="s">
        <v>1266</v>
      </c>
      <c r="J26" s="26" t="s">
        <v>1183</v>
      </c>
    </row>
    <row r="27" spans="1:10" ht="14.25" customHeight="1">
      <c r="A27" s="1191" t="s">
        <v>1225</v>
      </c>
      <c r="B27" s="16"/>
      <c r="C27" s="456"/>
      <c r="E27" s="16" t="s">
        <v>1418</v>
      </c>
      <c r="G27" s="291"/>
      <c r="I27" s="4" t="s">
        <v>1000</v>
      </c>
      <c r="J27" s="1082"/>
    </row>
    <row r="28" spans="1:10" ht="14.25" customHeight="1">
      <c r="A28" s="1191"/>
      <c r="B28" s="16"/>
      <c r="C28" s="1186"/>
      <c r="E28" s="1189" t="s">
        <v>1273</v>
      </c>
      <c r="G28" s="1207"/>
      <c r="I28" s="4" t="s">
        <v>1265</v>
      </c>
      <c r="J28" s="1082"/>
    </row>
    <row r="29" spans="1:17" ht="15">
      <c r="A29" s="1191" t="s">
        <v>1432</v>
      </c>
      <c r="B29" s="16"/>
      <c r="C29" s="283"/>
      <c r="E29" s="1189"/>
      <c r="G29" s="1208"/>
      <c r="I29" s="4" t="s">
        <v>1267</v>
      </c>
      <c r="J29" s="1081"/>
      <c r="M29" s="7" t="s">
        <v>1429</v>
      </c>
      <c r="P29" s="8" t="s">
        <v>1430</v>
      </c>
      <c r="Q29" s="8" t="s">
        <v>1431</v>
      </c>
    </row>
    <row r="30" spans="1:17" ht="15">
      <c r="A30" s="1192" t="s">
        <v>1640</v>
      </c>
      <c r="B30" s="16"/>
      <c r="C30" s="283"/>
      <c r="E30" s="1190" t="s">
        <v>1433</v>
      </c>
      <c r="J30" s="354" t="s">
        <v>1268</v>
      </c>
      <c r="M30" s="7" t="s">
        <v>1434</v>
      </c>
      <c r="P30" s="8" t="s">
        <v>1435</v>
      </c>
      <c r="Q30" s="8" t="s">
        <v>1436</v>
      </c>
    </row>
    <row r="31" spans="1:17" ht="15">
      <c r="A31" s="1192" t="s">
        <v>1594</v>
      </c>
      <c r="B31" s="16"/>
      <c r="C31" s="283"/>
      <c r="I31" s="15"/>
      <c r="J31" s="354"/>
      <c r="M31" s="7" t="s">
        <v>1437</v>
      </c>
      <c r="P31" s="8" t="s">
        <v>1438</v>
      </c>
      <c r="Q31" s="8" t="s">
        <v>1439</v>
      </c>
    </row>
    <row r="32" spans="1:17" ht="15">
      <c r="A32" s="1192" t="s">
        <v>1595</v>
      </c>
      <c r="B32" s="16"/>
      <c r="C32" s="1161"/>
      <c r="E32" s="4" t="s">
        <v>1440</v>
      </c>
      <c r="G32" s="283"/>
      <c r="M32" s="7" t="s">
        <v>1441</v>
      </c>
      <c r="P32" s="8" t="s">
        <v>1442</v>
      </c>
      <c r="Q32" s="8" t="s">
        <v>1443</v>
      </c>
    </row>
    <row r="33" spans="1:17" ht="15">
      <c r="A33" s="1191" t="s">
        <v>1444</v>
      </c>
      <c r="B33" s="16"/>
      <c r="C33" s="283"/>
      <c r="D33" s="4" t="s">
        <v>1445</v>
      </c>
      <c r="E33" s="4" t="s">
        <v>1446</v>
      </c>
      <c r="G33" s="667">
        <f>IF(F72&lt;&gt;0,+G32/F72,0)</f>
        <v>0</v>
      </c>
      <c r="H33" s="6" t="s">
        <v>1447</v>
      </c>
      <c r="I33" s="21" t="s">
        <v>916</v>
      </c>
      <c r="P33" s="8" t="s">
        <v>1448</v>
      </c>
      <c r="Q33" s="8" t="s">
        <v>1449</v>
      </c>
    </row>
    <row r="34" spans="1:17" ht="15">
      <c r="A34" s="1191" t="s">
        <v>1450</v>
      </c>
      <c r="B34" s="16"/>
      <c r="C34" s="283"/>
      <c r="D34" s="4" t="s">
        <v>1445</v>
      </c>
      <c r="E34" s="22" t="s">
        <v>707</v>
      </c>
      <c r="H34" s="22" t="s">
        <v>949</v>
      </c>
      <c r="P34" s="8" t="s">
        <v>1451</v>
      </c>
      <c r="Q34" s="8" t="s">
        <v>1452</v>
      </c>
    </row>
    <row r="35" spans="1:17" ht="15">
      <c r="A35" s="1191"/>
      <c r="B35" s="16"/>
      <c r="C35" s="19"/>
      <c r="E35" s="9" t="s">
        <v>689</v>
      </c>
      <c r="F35" s="1079"/>
      <c r="H35" s="1700" t="s">
        <v>1712</v>
      </c>
      <c r="I35" s="1700"/>
      <c r="J35" s="302"/>
      <c r="P35" s="8" t="s">
        <v>1453</v>
      </c>
      <c r="Q35" s="8" t="s">
        <v>1454</v>
      </c>
    </row>
    <row r="36" spans="1:17" ht="15">
      <c r="A36" s="515" t="s">
        <v>706</v>
      </c>
      <c r="B36" s="16"/>
      <c r="E36" s="9" t="s">
        <v>690</v>
      </c>
      <c r="F36" s="289"/>
      <c r="H36" s="1189" t="s">
        <v>1715</v>
      </c>
      <c r="I36" s="1193" t="s">
        <v>115</v>
      </c>
      <c r="J36" s="303"/>
      <c r="P36" s="8" t="s">
        <v>1455</v>
      </c>
      <c r="Q36" s="8" t="s">
        <v>1456</v>
      </c>
    </row>
    <row r="37" spans="5:17" ht="15">
      <c r="E37" s="22" t="s">
        <v>1270</v>
      </c>
      <c r="F37" s="498" t="s">
        <v>1272</v>
      </c>
      <c r="H37" s="1194" t="s">
        <v>1716</v>
      </c>
      <c r="I37" s="16"/>
      <c r="J37" s="4">
        <f>IF(F72&lt;&gt;0,(J36/F72),0)</f>
        <v>0</v>
      </c>
      <c r="P37" s="8" t="s">
        <v>1457</v>
      </c>
      <c r="Q37" s="8" t="s">
        <v>1458</v>
      </c>
    </row>
    <row r="38" spans="1:17" ht="15">
      <c r="A38" s="9" t="s">
        <v>1459</v>
      </c>
      <c r="C38" s="289"/>
      <c r="E38" s="491">
        <v>0.04</v>
      </c>
      <c r="F38" s="1081"/>
      <c r="H38" s="1700" t="s">
        <v>1711</v>
      </c>
      <c r="I38" s="1700"/>
      <c r="J38" s="1235"/>
      <c r="P38" s="8" t="s">
        <v>1461</v>
      </c>
      <c r="Q38" s="8" t="s">
        <v>1462</v>
      </c>
    </row>
    <row r="39" spans="1:17" ht="15">
      <c r="A39" s="9" t="s">
        <v>761</v>
      </c>
      <c r="C39" s="1079"/>
      <c r="E39" s="491">
        <v>0.09</v>
      </c>
      <c r="F39" s="458"/>
      <c r="H39" s="1091" t="s">
        <v>1296</v>
      </c>
      <c r="I39" s="1219" t="s">
        <v>115</v>
      </c>
      <c r="J39" s="1235"/>
      <c r="P39" s="8" t="s">
        <v>1463</v>
      </c>
      <c r="Q39" s="8" t="s">
        <v>1464</v>
      </c>
    </row>
    <row r="40" spans="1:17" ht="15">
      <c r="A40" s="9" t="s">
        <v>675</v>
      </c>
      <c r="C40" s="289"/>
      <c r="E40" s="15" t="s">
        <v>1273</v>
      </c>
      <c r="F40" s="458"/>
      <c r="H40" s="1189" t="s">
        <v>1713</v>
      </c>
      <c r="I40" s="1193" t="s">
        <v>115</v>
      </c>
      <c r="J40" s="303"/>
      <c r="P40" s="8" t="s">
        <v>1465</v>
      </c>
      <c r="Q40" s="8" t="s">
        <v>1466</v>
      </c>
    </row>
    <row r="41" spans="5:17" ht="15">
      <c r="E41" s="22" t="s">
        <v>1281</v>
      </c>
      <c r="H41" s="1194" t="s">
        <v>1587</v>
      </c>
      <c r="I41" s="16"/>
      <c r="J41" s="4">
        <f>IF(F76&lt;&gt;0,(J40/F76),0)</f>
        <v>0</v>
      </c>
      <c r="P41" s="8" t="s">
        <v>1467</v>
      </c>
      <c r="Q41" s="8" t="s">
        <v>1468</v>
      </c>
    </row>
    <row r="42" spans="5:17" ht="15">
      <c r="E42" s="115" t="s">
        <v>1282</v>
      </c>
      <c r="F42" s="458"/>
      <c r="H42" s="1091" t="s">
        <v>1676</v>
      </c>
      <c r="I42" s="1219" t="s">
        <v>115</v>
      </c>
      <c r="J42" s="1235"/>
      <c r="P42" s="8" t="s">
        <v>1470</v>
      </c>
      <c r="Q42" s="8" t="s">
        <v>1471</v>
      </c>
    </row>
    <row r="43" spans="1:17" ht="15">
      <c r="A43" s="21" t="s">
        <v>1469</v>
      </c>
      <c r="E43" s="1195" t="s">
        <v>1283</v>
      </c>
      <c r="F43" s="458"/>
      <c r="H43" s="89"/>
      <c r="I43" s="96"/>
      <c r="J43" s="46"/>
      <c r="L43" s="7" t="s">
        <v>1472</v>
      </c>
      <c r="M43" s="7" t="s">
        <v>1473</v>
      </c>
      <c r="P43" s="8" t="s">
        <v>1474</v>
      </c>
      <c r="Q43" s="8" t="s">
        <v>1475</v>
      </c>
    </row>
    <row r="44" spans="5:17" ht="15">
      <c r="E44" s="97" t="s">
        <v>1697</v>
      </c>
      <c r="F44" s="458"/>
      <c r="G44" s="1185"/>
      <c r="H44" s="89"/>
      <c r="I44" s="96"/>
      <c r="J44" s="46"/>
      <c r="L44" s="24"/>
      <c r="M44" s="7" t="s">
        <v>1479</v>
      </c>
      <c r="P44" s="8" t="s">
        <v>1480</v>
      </c>
      <c r="Q44" s="8" t="s">
        <v>1484</v>
      </c>
    </row>
    <row r="45" spans="1:17" ht="15">
      <c r="A45" s="9" t="s">
        <v>1476</v>
      </c>
      <c r="E45" s="23">
        <f>IF(F72&lt;&gt;0,(+H119+H120)/F72,0)</f>
        <v>0</v>
      </c>
      <c r="F45" s="4" t="s">
        <v>1477</v>
      </c>
      <c r="H45" s="23">
        <f>IF(G72&lt;&gt;0,(+H119+H120)/G72,0)</f>
        <v>0</v>
      </c>
      <c r="I45" s="6" t="s">
        <v>1478</v>
      </c>
      <c r="P45" s="8" t="s">
        <v>1486</v>
      </c>
      <c r="Q45" s="8" t="s">
        <v>1490</v>
      </c>
    </row>
    <row r="46" spans="1:17" ht="15">
      <c r="A46" s="9" t="s">
        <v>1485</v>
      </c>
      <c r="E46" s="23">
        <f>IF(F72&lt;&gt;0,+J136/F72,0)</f>
        <v>0</v>
      </c>
      <c r="F46" s="4" t="s">
        <v>1477</v>
      </c>
      <c r="H46" s="23">
        <f>IF(G72&lt;&gt;0,+J136/G72,0)</f>
        <v>0</v>
      </c>
      <c r="I46" s="4" t="s">
        <v>1478</v>
      </c>
      <c r="P46" s="8" t="s">
        <v>1492</v>
      </c>
      <c r="Q46" s="8" t="s">
        <v>1493</v>
      </c>
    </row>
    <row r="47" spans="1:17" ht="15">
      <c r="A47" s="9" t="s">
        <v>1491</v>
      </c>
      <c r="E47" s="23">
        <f>IF(AND(F72&lt;&gt;0,J224&lt;&gt;0),+J224/F72,0)</f>
        <v>0</v>
      </c>
      <c r="F47" s="4" t="s">
        <v>1477</v>
      </c>
      <c r="H47" s="23">
        <f>IF(G72&lt;&gt;0,+J224/G72,0)</f>
        <v>0</v>
      </c>
      <c r="I47" s="4" t="s">
        <v>1478</v>
      </c>
      <c r="P47" s="8" t="s">
        <v>1494</v>
      </c>
      <c r="Q47" s="8" t="s">
        <v>1495</v>
      </c>
    </row>
    <row r="48" spans="1:18" s="18" customFormat="1" ht="15">
      <c r="A48" s="42" t="s">
        <v>1496</v>
      </c>
      <c r="C48" s="26" t="s">
        <v>1497</v>
      </c>
      <c r="D48" s="26" t="s">
        <v>1498</v>
      </c>
      <c r="E48" s="1196" t="s">
        <v>1641</v>
      </c>
      <c r="G48" s="26" t="s">
        <v>1499</v>
      </c>
      <c r="K48" s="334"/>
      <c r="L48" s="334"/>
      <c r="M48" s="334" t="s">
        <v>1500</v>
      </c>
      <c r="N48" s="334"/>
      <c r="O48" s="334" t="s">
        <v>1501</v>
      </c>
      <c r="P48" s="335" t="s">
        <v>1502</v>
      </c>
      <c r="Q48" s="335" t="s">
        <v>1503</v>
      </c>
      <c r="R48" s="334"/>
    </row>
    <row r="49" spans="1:18" s="18" customFormat="1" ht="15">
      <c r="A49" s="42" t="s">
        <v>1504</v>
      </c>
      <c r="B49" s="26" t="s">
        <v>1497</v>
      </c>
      <c r="C49" s="26" t="s">
        <v>1505</v>
      </c>
      <c r="D49" s="26" t="s">
        <v>0</v>
      </c>
      <c r="E49" s="26" t="s">
        <v>1</v>
      </c>
      <c r="F49" s="26" t="s">
        <v>676</v>
      </c>
      <c r="G49" s="26" t="s">
        <v>905</v>
      </c>
      <c r="H49" s="26"/>
      <c r="K49" s="334"/>
      <c r="L49" s="334"/>
      <c r="M49" s="334" t="s">
        <v>2</v>
      </c>
      <c r="N49" s="334"/>
      <c r="O49" s="334"/>
      <c r="P49" s="335" t="s">
        <v>3</v>
      </c>
      <c r="Q49" s="335" t="s">
        <v>4</v>
      </c>
      <c r="R49" s="334"/>
    </row>
    <row r="50" spans="1:18" s="18" customFormat="1" ht="15.75" thickBot="1">
      <c r="A50" s="42" t="s">
        <v>5</v>
      </c>
      <c r="B50" s="26" t="s">
        <v>6</v>
      </c>
      <c r="C50" s="26" t="s">
        <v>7</v>
      </c>
      <c r="D50" s="26" t="s">
        <v>8</v>
      </c>
      <c r="E50" s="26" t="s">
        <v>9</v>
      </c>
      <c r="F50" s="26" t="s">
        <v>1513</v>
      </c>
      <c r="G50" s="336" t="s">
        <v>906</v>
      </c>
      <c r="H50" s="1196"/>
      <c r="I50" s="1196"/>
      <c r="J50" s="1197"/>
      <c r="K50" s="334"/>
      <c r="L50" s="334"/>
      <c r="M50" s="334"/>
      <c r="N50" s="334"/>
      <c r="O50" s="334"/>
      <c r="P50" s="335" t="s">
        <v>11</v>
      </c>
      <c r="Q50" s="335" t="s">
        <v>12</v>
      </c>
      <c r="R50" s="334"/>
    </row>
    <row r="51" spans="1:17" ht="15">
      <c r="A51" s="296"/>
      <c r="B51" s="292"/>
      <c r="C51" s="470"/>
      <c r="D51" s="292"/>
      <c r="E51" s="292"/>
      <c r="F51" s="291"/>
      <c r="G51" s="123">
        <f>E51*F51</f>
        <v>0</v>
      </c>
      <c r="H51" s="1727" t="s">
        <v>1635</v>
      </c>
      <c r="I51" s="1728"/>
      <c r="J51" s="1178">
        <f>J224</f>
        <v>0</v>
      </c>
      <c r="P51" s="8" t="s">
        <v>13</v>
      </c>
      <c r="Q51" s="8" t="s">
        <v>14</v>
      </c>
    </row>
    <row r="52" spans="1:17" ht="15">
      <c r="A52" s="297"/>
      <c r="B52" s="293"/>
      <c r="C52" s="471"/>
      <c r="D52" s="293"/>
      <c r="E52" s="293"/>
      <c r="F52" s="290"/>
      <c r="G52" s="124">
        <f>E52*F52</f>
        <v>0</v>
      </c>
      <c r="H52" s="1729" t="s">
        <v>1636</v>
      </c>
      <c r="I52" s="1730"/>
      <c r="J52" s="1179"/>
      <c r="M52" s="7" t="s">
        <v>15</v>
      </c>
      <c r="O52" s="28" t="s">
        <v>16</v>
      </c>
      <c r="P52" s="8" t="s">
        <v>17</v>
      </c>
      <c r="Q52" s="8" t="s">
        <v>18</v>
      </c>
    </row>
    <row r="53" spans="1:17" ht="15">
      <c r="A53" s="297"/>
      <c r="B53" s="293"/>
      <c r="C53" s="293"/>
      <c r="D53" s="293"/>
      <c r="E53" s="293"/>
      <c r="F53" s="290"/>
      <c r="G53" s="125">
        <f>E53*F53</f>
        <v>0</v>
      </c>
      <c r="H53" s="1731" t="s">
        <v>1637</v>
      </c>
      <c r="I53" s="1732"/>
      <c r="J53" s="1180">
        <f>J210+SUM(J214:J221)</f>
        <v>0</v>
      </c>
      <c r="P53" s="8" t="s">
        <v>19</v>
      </c>
      <c r="Q53" s="8" t="s">
        <v>21</v>
      </c>
    </row>
    <row r="54" spans="1:17" ht="15">
      <c r="A54" s="297"/>
      <c r="B54" s="293"/>
      <c r="C54" s="293"/>
      <c r="D54" s="293"/>
      <c r="E54" s="293"/>
      <c r="F54" s="290"/>
      <c r="G54" s="125">
        <f>E54*F54</f>
        <v>0</v>
      </c>
      <c r="H54" s="1731" t="s">
        <v>1677</v>
      </c>
      <c r="I54" s="1732"/>
      <c r="J54" s="1180" t="e">
        <f>Breakdown!H90+Breakdown!H91</f>
        <v>#REF!</v>
      </c>
      <c r="M54" s="7" t="s">
        <v>22</v>
      </c>
      <c r="O54" s="28" t="s">
        <v>23</v>
      </c>
      <c r="P54" s="8" t="s">
        <v>24</v>
      </c>
      <c r="Q54" s="8" t="s">
        <v>25</v>
      </c>
    </row>
    <row r="55" spans="1:17" ht="15">
      <c r="A55" s="297"/>
      <c r="B55" s="293"/>
      <c r="C55" s="293"/>
      <c r="D55" s="293"/>
      <c r="E55" s="293"/>
      <c r="F55" s="290"/>
      <c r="G55" s="125">
        <f aca="true" t="shared" si="0" ref="G55:G67">E55*F55</f>
        <v>0</v>
      </c>
      <c r="H55" s="1731" t="s">
        <v>1638</v>
      </c>
      <c r="I55" s="1730"/>
      <c r="J55" s="1181">
        <f>H125</f>
        <v>0</v>
      </c>
      <c r="P55" s="8" t="s">
        <v>26</v>
      </c>
      <c r="Q55" s="8" t="s">
        <v>27</v>
      </c>
    </row>
    <row r="56" spans="1:10" ht="15">
      <c r="A56" s="297"/>
      <c r="B56" s="293"/>
      <c r="C56" s="293"/>
      <c r="D56" s="293"/>
      <c r="E56" s="293"/>
      <c r="F56" s="290"/>
      <c r="G56" s="125">
        <f t="shared" si="0"/>
        <v>0</v>
      </c>
      <c r="H56" s="1182"/>
      <c r="I56" s="1183" t="s">
        <v>1070</v>
      </c>
      <c r="J56" s="1682" t="e">
        <f>J51-(J53+J54+J55)</f>
        <v>#REF!</v>
      </c>
    </row>
    <row r="57" spans="1:10" ht="15.75" thickBot="1">
      <c r="A57" s="297"/>
      <c r="B57" s="293"/>
      <c r="C57" s="293"/>
      <c r="D57" s="293"/>
      <c r="E57" s="293"/>
      <c r="F57" s="290"/>
      <c r="G57" s="125">
        <f t="shared" si="0"/>
        <v>0</v>
      </c>
      <c r="H57" s="1741" t="s">
        <v>1639</v>
      </c>
      <c r="I57" s="1742"/>
      <c r="J57" s="1184">
        <f>IF(F72&lt;&gt;0,J56/F72,0)</f>
        <v>0</v>
      </c>
    </row>
    <row r="58" spans="1:10" ht="15">
      <c r="A58" s="297"/>
      <c r="B58" s="293"/>
      <c r="C58" s="293"/>
      <c r="D58" s="293"/>
      <c r="E58" s="293"/>
      <c r="F58" s="290"/>
      <c r="G58" s="125">
        <f t="shared" si="0"/>
        <v>0</v>
      </c>
      <c r="H58" s="661"/>
      <c r="I58" s="662"/>
      <c r="J58" s="45"/>
    </row>
    <row r="59" spans="1:10" ht="15">
      <c r="A59" s="297"/>
      <c r="B59" s="293"/>
      <c r="C59" s="293"/>
      <c r="D59" s="293"/>
      <c r="E59" s="293"/>
      <c r="F59" s="290"/>
      <c r="G59" s="125">
        <f t="shared" si="0"/>
        <v>0</v>
      </c>
      <c r="H59" s="661"/>
      <c r="I59" s="662"/>
      <c r="J59" s="45"/>
    </row>
    <row r="60" spans="1:10" ht="15">
      <c r="A60" s="297"/>
      <c r="B60" s="293"/>
      <c r="C60" s="293"/>
      <c r="D60" s="293"/>
      <c r="E60" s="293"/>
      <c r="F60" s="290"/>
      <c r="G60" s="125">
        <f t="shared" si="0"/>
        <v>0</v>
      </c>
      <c r="H60" s="661"/>
      <c r="I60" s="662"/>
      <c r="J60" s="45"/>
    </row>
    <row r="61" spans="1:10" ht="15">
      <c r="A61" s="297"/>
      <c r="B61" s="293"/>
      <c r="C61" s="293"/>
      <c r="D61" s="293"/>
      <c r="E61" s="293"/>
      <c r="F61" s="290"/>
      <c r="G61" s="125">
        <f t="shared" si="0"/>
        <v>0</v>
      </c>
      <c r="H61" s="661"/>
      <c r="I61" s="662"/>
      <c r="J61" s="45"/>
    </row>
    <row r="62" spans="1:10" ht="15">
      <c r="A62" s="297"/>
      <c r="B62" s="293"/>
      <c r="C62" s="293"/>
      <c r="D62" s="293"/>
      <c r="E62" s="293"/>
      <c r="F62" s="290"/>
      <c r="G62" s="125">
        <f t="shared" si="0"/>
        <v>0</v>
      </c>
      <c r="H62" s="661"/>
      <c r="I62" s="662"/>
      <c r="J62" s="45"/>
    </row>
    <row r="63" spans="1:10" ht="15">
      <c r="A63" s="297"/>
      <c r="B63" s="293"/>
      <c r="C63" s="293"/>
      <c r="D63" s="293"/>
      <c r="E63" s="293"/>
      <c r="F63" s="290"/>
      <c r="G63" s="125">
        <f t="shared" si="0"/>
        <v>0</v>
      </c>
      <c r="H63" s="661"/>
      <c r="I63" s="662"/>
      <c r="J63" s="45"/>
    </row>
    <row r="64" spans="1:17" ht="15">
      <c r="A64" s="297"/>
      <c r="B64" s="293"/>
      <c r="C64" s="293"/>
      <c r="D64" s="293"/>
      <c r="E64" s="293"/>
      <c r="F64" s="290"/>
      <c r="G64" s="125">
        <f t="shared" si="0"/>
        <v>0</v>
      </c>
      <c r="H64" s="661"/>
      <c r="I64" s="662"/>
      <c r="J64" s="45"/>
      <c r="M64" s="7" t="s">
        <v>28</v>
      </c>
      <c r="O64" s="7" t="s">
        <v>29</v>
      </c>
      <c r="P64" s="8" t="s">
        <v>30</v>
      </c>
      <c r="Q64" s="8" t="s">
        <v>31</v>
      </c>
    </row>
    <row r="65" spans="1:17" ht="15">
      <c r="A65" s="297"/>
      <c r="B65" s="293"/>
      <c r="C65" s="293"/>
      <c r="D65" s="293"/>
      <c r="E65" s="293"/>
      <c r="F65" s="290"/>
      <c r="G65" s="125">
        <f t="shared" si="0"/>
        <v>0</v>
      </c>
      <c r="H65" s="661"/>
      <c r="I65" s="662"/>
      <c r="J65" s="45"/>
      <c r="P65" s="8" t="s">
        <v>32</v>
      </c>
      <c r="Q65" s="8" t="s">
        <v>33</v>
      </c>
    </row>
    <row r="66" spans="1:17" ht="15">
      <c r="A66" s="1198" t="s">
        <v>1642</v>
      </c>
      <c r="B66" s="1199"/>
      <c r="C66" s="293"/>
      <c r="D66" s="293"/>
      <c r="E66" s="293"/>
      <c r="F66" s="290"/>
      <c r="G66" s="125">
        <f t="shared" si="0"/>
        <v>0</v>
      </c>
      <c r="H66" s="661"/>
      <c r="I66" s="662"/>
      <c r="J66" s="45"/>
      <c r="O66" s="7" t="s">
        <v>34</v>
      </c>
      <c r="P66" s="8" t="s">
        <v>35</v>
      </c>
      <c r="Q66" s="8" t="s">
        <v>36</v>
      </c>
    </row>
    <row r="67" spans="1:10" ht="15">
      <c r="A67" s="1198" t="s">
        <v>1643</v>
      </c>
      <c r="B67" s="1199"/>
      <c r="C67" s="293"/>
      <c r="D67" s="293"/>
      <c r="E67" s="293"/>
      <c r="F67" s="290"/>
      <c r="G67" s="125">
        <f t="shared" si="0"/>
        <v>0</v>
      </c>
      <c r="H67" s="661"/>
      <c r="I67" s="662"/>
      <c r="J67" s="45"/>
    </row>
    <row r="68" spans="1:10" ht="15">
      <c r="A68" s="1200" t="s">
        <v>531</v>
      </c>
      <c r="B68" s="1201"/>
      <c r="C68" s="493"/>
      <c r="D68" s="317"/>
      <c r="E68" s="290"/>
      <c r="F68" s="492"/>
      <c r="G68" s="294"/>
      <c r="H68" s="661"/>
      <c r="I68" s="662"/>
      <c r="J68" s="45"/>
    </row>
    <row r="69" spans="1:17" ht="15">
      <c r="A69" s="235" t="s">
        <v>927</v>
      </c>
      <c r="B69" s="236"/>
      <c r="C69" s="279"/>
      <c r="D69" s="280"/>
      <c r="E69" s="280"/>
      <c r="F69" s="281"/>
      <c r="G69" s="294"/>
      <c r="H69" s="661"/>
      <c r="I69" s="662"/>
      <c r="J69" s="45"/>
      <c r="P69" s="8" t="s">
        <v>37</v>
      </c>
      <c r="Q69" s="8" t="s">
        <v>38</v>
      </c>
    </row>
    <row r="70" spans="1:17" ht="15">
      <c r="A70" s="235" t="s">
        <v>926</v>
      </c>
      <c r="B70" s="236"/>
      <c r="C70" s="282"/>
      <c r="D70" s="283"/>
      <c r="E70" s="283"/>
      <c r="F70" s="284"/>
      <c r="G70" s="295"/>
      <c r="H70" s="661"/>
      <c r="I70" s="662"/>
      <c r="J70" s="45"/>
      <c r="M70" s="7" t="s">
        <v>39</v>
      </c>
      <c r="O70" s="7" t="s">
        <v>40</v>
      </c>
      <c r="P70" s="8" t="s">
        <v>41</v>
      </c>
      <c r="Q70" s="8" t="s">
        <v>42</v>
      </c>
    </row>
    <row r="71" spans="1:17" ht="15">
      <c r="A71" s="29"/>
      <c r="D71" s="19"/>
      <c r="E71" s="19"/>
      <c r="P71" s="8" t="s">
        <v>43</v>
      </c>
      <c r="Q71" s="8" t="s">
        <v>44</v>
      </c>
    </row>
    <row r="72" spans="1:17" ht="15">
      <c r="A72" s="25" t="s">
        <v>45</v>
      </c>
      <c r="B72" s="4">
        <f>SUM(B51:B70)</f>
        <v>0</v>
      </c>
      <c r="F72" s="682">
        <f>SUM(F51:F70)</f>
        <v>0</v>
      </c>
      <c r="G72" s="32">
        <f>SUM(G51:G70)</f>
        <v>0</v>
      </c>
      <c r="I72" s="45"/>
      <c r="M72" s="7" t="s">
        <v>46</v>
      </c>
      <c r="P72" s="8" t="s">
        <v>47</v>
      </c>
      <c r="Q72" s="8" t="s">
        <v>48</v>
      </c>
    </row>
    <row r="73" spans="2:17" ht="15">
      <c r="B73" s="19"/>
      <c r="I73" s="45"/>
      <c r="O73" s="7" t="s">
        <v>49</v>
      </c>
      <c r="P73" s="8" t="s">
        <v>50</v>
      </c>
      <c r="Q73" s="8" t="s">
        <v>51</v>
      </c>
    </row>
    <row r="74" spans="1:17" ht="15">
      <c r="A74" s="1113" t="s">
        <v>1657</v>
      </c>
      <c r="P74" s="8" t="s">
        <v>52</v>
      </c>
      <c r="Q74" s="8" t="s">
        <v>53</v>
      </c>
    </row>
    <row r="75" spans="1:17" ht="15">
      <c r="A75" s="1191" t="s">
        <v>1284</v>
      </c>
      <c r="B75" s="16"/>
      <c r="C75" s="16"/>
      <c r="D75" s="16"/>
      <c r="E75" s="16"/>
      <c r="F75" s="16"/>
      <c r="P75" s="8" t="s">
        <v>54</v>
      </c>
      <c r="Q75" s="8" t="s">
        <v>55</v>
      </c>
    </row>
    <row r="76" spans="1:17" ht="15">
      <c r="A76" s="1202" t="s">
        <v>1287</v>
      </c>
      <c r="B76" s="16"/>
      <c r="C76" s="16"/>
      <c r="D76" s="16"/>
      <c r="E76" s="16"/>
      <c r="F76" s="16"/>
      <c r="M76" s="7" t="s">
        <v>56</v>
      </c>
      <c r="O76" s="7" t="s">
        <v>57</v>
      </c>
      <c r="P76" s="8" t="s">
        <v>58</v>
      </c>
      <c r="Q76" s="8" t="s">
        <v>59</v>
      </c>
    </row>
    <row r="77" spans="1:17" ht="15">
      <c r="A77" s="1192" t="s">
        <v>1644</v>
      </c>
      <c r="B77" s="1189"/>
      <c r="C77" s="1189"/>
      <c r="D77" s="1189"/>
      <c r="E77" s="1189"/>
      <c r="F77" s="16"/>
      <c r="P77" s="8" t="s">
        <v>60</v>
      </c>
      <c r="Q77" s="8" t="s">
        <v>61</v>
      </c>
    </row>
    <row r="78" spans="1:17" ht="15">
      <c r="A78" s="1191"/>
      <c r="B78" s="16"/>
      <c r="C78" s="16"/>
      <c r="D78" s="16"/>
      <c r="E78" s="16"/>
      <c r="F78" s="16"/>
      <c r="M78" s="7" t="s">
        <v>62</v>
      </c>
      <c r="O78" s="7" t="s">
        <v>63</v>
      </c>
      <c r="P78" s="8" t="s">
        <v>64</v>
      </c>
      <c r="Q78" s="8" t="s">
        <v>65</v>
      </c>
    </row>
    <row r="79" spans="1:17" ht="15">
      <c r="A79" s="1191"/>
      <c r="B79" s="16"/>
      <c r="C79" s="16"/>
      <c r="D79" s="16"/>
      <c r="E79" s="16"/>
      <c r="F79" s="16"/>
      <c r="P79" s="8" t="s">
        <v>66</v>
      </c>
      <c r="Q79" s="8" t="s">
        <v>67</v>
      </c>
    </row>
    <row r="80" spans="16:17" ht="15">
      <c r="P80" s="8" t="s">
        <v>68</v>
      </c>
      <c r="Q80" s="8" t="s">
        <v>69</v>
      </c>
    </row>
    <row r="81" spans="16:17" ht="15">
      <c r="P81" s="8" t="s">
        <v>70</v>
      </c>
      <c r="Q81" s="8" t="s">
        <v>71</v>
      </c>
    </row>
    <row r="82" spans="16:17" ht="15">
      <c r="P82" s="8" t="s">
        <v>72</v>
      </c>
      <c r="Q82" s="8" t="s">
        <v>73</v>
      </c>
    </row>
    <row r="83" spans="16:17" ht="15">
      <c r="P83" s="8" t="s">
        <v>74</v>
      </c>
      <c r="Q83" s="8" t="s">
        <v>75</v>
      </c>
    </row>
    <row r="84" spans="16:17" ht="15">
      <c r="P84" s="8" t="s">
        <v>76</v>
      </c>
      <c r="Q84" s="8" t="s">
        <v>77</v>
      </c>
    </row>
    <row r="85" spans="16:17" ht="15">
      <c r="P85" s="8" t="s">
        <v>78</v>
      </c>
      <c r="Q85" s="8" t="s">
        <v>79</v>
      </c>
    </row>
    <row r="86" spans="16:17" ht="15">
      <c r="P86" s="8" t="s">
        <v>80</v>
      </c>
      <c r="Q86" s="8" t="s">
        <v>81</v>
      </c>
    </row>
    <row r="87" spans="16:17" ht="15">
      <c r="P87" s="8" t="s">
        <v>82</v>
      </c>
      <c r="Q87" s="8" t="s">
        <v>83</v>
      </c>
    </row>
    <row r="88" spans="16:17" ht="15">
      <c r="P88" s="8" t="s">
        <v>84</v>
      </c>
      <c r="Q88" s="8" t="s">
        <v>85</v>
      </c>
    </row>
    <row r="89" spans="5:17" ht="15">
      <c r="E89" s="18"/>
      <c r="P89" s="8" t="s">
        <v>86</v>
      </c>
      <c r="Q89" s="8" t="s">
        <v>87</v>
      </c>
    </row>
    <row r="90" spans="16:17" ht="15">
      <c r="P90" s="8" t="s">
        <v>88</v>
      </c>
      <c r="Q90" s="8" t="s">
        <v>89</v>
      </c>
    </row>
    <row r="91" spans="16:17" ht="15">
      <c r="P91" s="8" t="s">
        <v>90</v>
      </c>
      <c r="Q91" s="8" t="s">
        <v>91</v>
      </c>
    </row>
    <row r="92" spans="1:17" ht="22.5">
      <c r="A92" s="80" t="s">
        <v>96</v>
      </c>
      <c r="P92" s="8" t="s">
        <v>92</v>
      </c>
      <c r="Q92" s="8" t="s">
        <v>93</v>
      </c>
    </row>
    <row r="93" spans="4:17" ht="22.5">
      <c r="D93" s="31"/>
      <c r="E93" s="31"/>
      <c r="F93" s="15" t="s">
        <v>1346</v>
      </c>
      <c r="G93" s="112">
        <f>G7</f>
        <v>0</v>
      </c>
      <c r="P93" s="8" t="s">
        <v>94</v>
      </c>
      <c r="Q93" s="8" t="s">
        <v>95</v>
      </c>
    </row>
    <row r="94" spans="1:17" ht="15">
      <c r="A94" s="116">
        <f aca="true" t="shared" si="1" ref="A94:A99">A6</f>
        <v>0</v>
      </c>
      <c r="B94" s="4" t="s">
        <v>688</v>
      </c>
      <c r="F94" s="15" t="s">
        <v>1356</v>
      </c>
      <c r="G94" s="454">
        <f>G9</f>
        <v>0</v>
      </c>
      <c r="H94" s="30"/>
      <c r="J94" s="10"/>
      <c r="P94" s="8" t="s">
        <v>97</v>
      </c>
      <c r="Q94" s="8" t="s">
        <v>98</v>
      </c>
    </row>
    <row r="95" spans="1:17" ht="15">
      <c r="A95" s="117">
        <f t="shared" si="1"/>
        <v>0</v>
      </c>
      <c r="B95" s="4" t="s">
        <v>1350</v>
      </c>
      <c r="F95" s="15" t="s">
        <v>1360</v>
      </c>
      <c r="G95" s="1032"/>
      <c r="H95" s="1032"/>
      <c r="J95" s="20"/>
      <c r="P95" s="8" t="s">
        <v>99</v>
      </c>
      <c r="Q95" s="8" t="s">
        <v>100</v>
      </c>
    </row>
    <row r="96" spans="1:17" ht="15">
      <c r="A96" s="117">
        <f t="shared" si="1"/>
        <v>0</v>
      </c>
      <c r="B96" s="4" t="s">
        <v>686</v>
      </c>
      <c r="D96" s="15"/>
      <c r="E96" s="9"/>
      <c r="G96" s="1033" t="s">
        <v>1698</v>
      </c>
      <c r="H96" s="1215"/>
      <c r="J96" s="20"/>
      <c r="P96" s="8" t="s">
        <v>101</v>
      </c>
      <c r="Q96" s="8" t="s">
        <v>102</v>
      </c>
    </row>
    <row r="97" spans="1:17" ht="15">
      <c r="A97" s="9">
        <f t="shared" si="1"/>
        <v>0</v>
      </c>
      <c r="B97" s="4" t="s">
        <v>516</v>
      </c>
      <c r="D97" s="15"/>
      <c r="E97" s="9"/>
      <c r="G97" s="1683"/>
      <c r="H97" s="1683"/>
      <c r="J97" s="33" t="s">
        <v>105</v>
      </c>
      <c r="P97" s="8" t="s">
        <v>103</v>
      </c>
      <c r="Q97" s="8" t="s">
        <v>104</v>
      </c>
    </row>
    <row r="98" spans="1:17" ht="15">
      <c r="A98" s="117">
        <f t="shared" si="1"/>
        <v>0</v>
      </c>
      <c r="B98" s="4" t="s">
        <v>687</v>
      </c>
      <c r="C98" s="16"/>
      <c r="D98" s="16"/>
      <c r="E98" s="16"/>
      <c r="F98" s="16"/>
      <c r="G98" s="1033" t="s">
        <v>1705</v>
      </c>
      <c r="H98" s="1215"/>
      <c r="J98" s="20"/>
      <c r="P98" s="8" t="s">
        <v>106</v>
      </c>
      <c r="Q98" s="8" t="s">
        <v>107</v>
      </c>
    </row>
    <row r="99" spans="1:17" ht="15">
      <c r="A99" s="116">
        <f t="shared" si="1"/>
        <v>0</v>
      </c>
      <c r="B99" s="9" t="s">
        <v>1355</v>
      </c>
      <c r="C99" s="1189"/>
      <c r="D99" s="1189"/>
      <c r="E99" s="1194"/>
      <c r="F99" s="1195"/>
      <c r="G99" s="1683"/>
      <c r="H99" s="1683"/>
      <c r="J99" s="33" t="s">
        <v>105</v>
      </c>
      <c r="P99" s="8" t="s">
        <v>108</v>
      </c>
      <c r="Q99" s="8" t="s">
        <v>110</v>
      </c>
    </row>
    <row r="100" spans="1:10" ht="15">
      <c r="A100" s="1176"/>
      <c r="B100" s="9"/>
      <c r="C100" s="1738"/>
      <c r="D100" s="1738"/>
      <c r="E100" s="1738"/>
      <c r="F100" s="1738"/>
      <c r="G100" s="1033" t="s">
        <v>1699</v>
      </c>
      <c r="H100" s="1215"/>
      <c r="J100" s="662"/>
    </row>
    <row r="101" spans="1:10" ht="15">
      <c r="A101" s="1176"/>
      <c r="B101" s="9"/>
      <c r="C101" s="1195"/>
      <c r="D101" s="1195"/>
      <c r="E101" s="1195"/>
      <c r="F101" s="1195"/>
      <c r="G101" s="1177"/>
      <c r="H101" s="1177"/>
      <c r="J101" s="662"/>
    </row>
    <row r="102" spans="1:10" ht="15">
      <c r="A102" s="1176"/>
      <c r="B102" s="9"/>
      <c r="C102" s="1195"/>
      <c r="D102" s="1195"/>
      <c r="E102" s="1195"/>
      <c r="F102" s="1195"/>
      <c r="G102" s="1734" t="s">
        <v>1700</v>
      </c>
      <c r="H102" s="1734"/>
      <c r="I102" s="1225"/>
      <c r="J102" s="662"/>
    </row>
    <row r="103" spans="1:10" ht="15">
      <c r="A103" s="37"/>
      <c r="E103" s="140"/>
      <c r="F103" s="38"/>
      <c r="G103" s="1688" t="s">
        <v>238</v>
      </c>
      <c r="H103" s="1689"/>
      <c r="I103" s="1690"/>
      <c r="J103" s="138"/>
    </row>
    <row r="104" spans="1:10" ht="15">
      <c r="A104" s="21" t="s">
        <v>928</v>
      </c>
      <c r="F104" s="42" t="s">
        <v>421</v>
      </c>
      <c r="G104" s="1691" t="s">
        <v>239</v>
      </c>
      <c r="H104" s="1692"/>
      <c r="I104" s="1693"/>
      <c r="J104" s="45"/>
    </row>
    <row r="105" spans="6:7" ht="15">
      <c r="F105" s="42" t="s">
        <v>422</v>
      </c>
      <c r="G105" s="4" t="s">
        <v>420</v>
      </c>
    </row>
    <row r="106" spans="1:10" ht="15">
      <c r="A106" s="15" t="s">
        <v>240</v>
      </c>
      <c r="B106" s="1733"/>
      <c r="C106" s="1723"/>
      <c r="D106" s="1723"/>
      <c r="E106" s="1723"/>
      <c r="F106" s="683"/>
      <c r="G106" s="289"/>
      <c r="H106" s="15"/>
      <c r="I106" s="15" t="s">
        <v>241</v>
      </c>
      <c r="J106" s="283"/>
    </row>
    <row r="107" spans="1:10" ht="15">
      <c r="A107" s="15" t="s">
        <v>242</v>
      </c>
      <c r="B107" s="1710"/>
      <c r="C107" s="1703"/>
      <c r="D107" s="1704"/>
      <c r="E107" s="1704"/>
      <c r="F107" s="684"/>
      <c r="G107" s="289"/>
      <c r="H107" s="15"/>
      <c r="I107" s="15" t="s">
        <v>241</v>
      </c>
      <c r="J107" s="283"/>
    </row>
    <row r="108" spans="1:10" ht="15">
      <c r="A108" s="15" t="s">
        <v>243</v>
      </c>
      <c r="B108" s="1702"/>
      <c r="C108" s="1703"/>
      <c r="D108" s="1704"/>
      <c r="E108" s="1704"/>
      <c r="F108" s="684"/>
      <c r="G108" s="289"/>
      <c r="H108" s="15"/>
      <c r="I108" s="15" t="s">
        <v>241</v>
      </c>
      <c r="J108" s="283"/>
    </row>
    <row r="109" spans="1:10" ht="15">
      <c r="A109" s="15" t="s">
        <v>244</v>
      </c>
      <c r="B109" s="1702"/>
      <c r="C109" s="1703"/>
      <c r="D109" s="1704"/>
      <c r="E109" s="1704"/>
      <c r="F109" s="684"/>
      <c r="G109" s="289"/>
      <c r="H109" s="15"/>
      <c r="I109" s="15" t="s">
        <v>241</v>
      </c>
      <c r="J109" s="283"/>
    </row>
    <row r="110" spans="1:10" ht="15">
      <c r="A110" s="15" t="s">
        <v>245</v>
      </c>
      <c r="B110" s="1722"/>
      <c r="C110" s="1723"/>
      <c r="D110" s="1723"/>
      <c r="E110" s="1723"/>
      <c r="F110" s="684"/>
      <c r="G110" s="289"/>
      <c r="H110" s="15"/>
      <c r="I110" s="15" t="s">
        <v>241</v>
      </c>
      <c r="J110" s="283"/>
    </row>
    <row r="111" spans="1:10" ht="15">
      <c r="A111" s="15" t="s">
        <v>246</v>
      </c>
      <c r="B111" s="1702"/>
      <c r="C111" s="1703"/>
      <c r="D111" s="1704"/>
      <c r="E111" s="1704"/>
      <c r="F111" s="684"/>
      <c r="G111" s="289"/>
      <c r="H111" s="15"/>
      <c r="I111" s="15" t="s">
        <v>241</v>
      </c>
      <c r="J111" s="283"/>
    </row>
    <row r="112" spans="1:10" ht="15">
      <c r="A112" s="15" t="s">
        <v>691</v>
      </c>
      <c r="B112" s="1702"/>
      <c r="C112" s="1703"/>
      <c r="D112" s="1704"/>
      <c r="E112" s="1704"/>
      <c r="F112" s="684"/>
      <c r="G112" s="289"/>
      <c r="H112" s="15"/>
      <c r="I112" s="15" t="s">
        <v>241</v>
      </c>
      <c r="J112" s="283"/>
    </row>
    <row r="113" spans="1:10" ht="15">
      <c r="A113" s="15" t="s">
        <v>692</v>
      </c>
      <c r="B113" s="1745" t="s">
        <v>261</v>
      </c>
      <c r="C113" s="1746"/>
      <c r="D113" s="1747"/>
      <c r="E113" s="1747"/>
      <c r="G113" s="289"/>
      <c r="H113" s="15"/>
      <c r="I113" s="15" t="s">
        <v>241</v>
      </c>
      <c r="J113" s="283"/>
    </row>
    <row r="114" ht="15">
      <c r="J114" s="19"/>
    </row>
    <row r="115" spans="1:10" ht="15">
      <c r="A115" s="21"/>
      <c r="B115" s="21" t="s">
        <v>929</v>
      </c>
      <c r="C115" s="45"/>
      <c r="D115" s="45"/>
      <c r="E115" s="45"/>
      <c r="I115" s="15" t="s">
        <v>241</v>
      </c>
      <c r="J115" s="663">
        <f>SUM(J106:J113)</f>
        <v>0</v>
      </c>
    </row>
    <row r="116" spans="1:10" ht="15">
      <c r="A116" s="37" t="s">
        <v>930</v>
      </c>
      <c r="E116" s="140"/>
      <c r="F116" s="38"/>
      <c r="I116" s="40"/>
      <c r="J116" s="349"/>
    </row>
    <row r="117" spans="1:17" ht="15">
      <c r="A117" s="21"/>
      <c r="B117" s="45"/>
      <c r="C117" s="45"/>
      <c r="D117" s="45"/>
      <c r="E117" s="45"/>
      <c r="I117" s="115" t="s">
        <v>1520</v>
      </c>
      <c r="J117" s="134"/>
      <c r="P117" s="8" t="s">
        <v>111</v>
      </c>
      <c r="Q117" s="8" t="s">
        <v>112</v>
      </c>
    </row>
    <row r="118" spans="1:17" ht="15">
      <c r="A118" s="25" t="s">
        <v>942</v>
      </c>
      <c r="I118" s="42" t="s">
        <v>1521</v>
      </c>
      <c r="P118" s="8" t="s">
        <v>113</v>
      </c>
      <c r="Q118" s="8" t="s">
        <v>114</v>
      </c>
    </row>
    <row r="119" spans="1:17" ht="15">
      <c r="A119" s="9" t="s">
        <v>789</v>
      </c>
      <c r="C119" s="357"/>
      <c r="D119" s="4" t="s">
        <v>907</v>
      </c>
      <c r="E119" s="83">
        <f>IF(SQFT&gt;0,SQFT_ACR/+SQFT,0)</f>
        <v>0</v>
      </c>
      <c r="F119" s="4" t="str">
        <f>IF(_xlfn.SINGLE(C119:C119)&lt;5000,"per Acre)","Per Sq.Ft.)")</f>
        <v>per Acre)</v>
      </c>
      <c r="G119" s="15" t="s">
        <v>115</v>
      </c>
      <c r="H119" s="283"/>
      <c r="I119" s="1091"/>
      <c r="P119" s="8" t="s">
        <v>116</v>
      </c>
      <c r="Q119" s="8" t="s">
        <v>117</v>
      </c>
    </row>
    <row r="120" spans="1:17" ht="15">
      <c r="A120" s="9" t="s">
        <v>118</v>
      </c>
      <c r="C120" s="1112" t="s">
        <v>1530</v>
      </c>
      <c r="E120" s="19"/>
      <c r="H120" s="283"/>
      <c r="I120" s="1103">
        <f>IF(C30&gt;0,J122/C30,0)</f>
        <v>0</v>
      </c>
      <c r="P120" s="8" t="s">
        <v>119</v>
      </c>
      <c r="Q120" s="8" t="s">
        <v>120</v>
      </c>
    </row>
    <row r="121" spans="1:17" ht="15">
      <c r="A121" s="9" t="s">
        <v>763</v>
      </c>
      <c r="B121" s="20"/>
      <c r="C121" s="20"/>
      <c r="D121" s="20"/>
      <c r="H121" s="283"/>
      <c r="I121" s="1091"/>
      <c r="P121" s="8" t="s">
        <v>121</v>
      </c>
      <c r="Q121" s="8" t="s">
        <v>122</v>
      </c>
    </row>
    <row r="122" spans="1:17" ht="15">
      <c r="A122" s="126" t="s">
        <v>764</v>
      </c>
      <c r="B122" s="289"/>
      <c r="C122" s="302"/>
      <c r="D122" s="20"/>
      <c r="H122" s="283"/>
      <c r="I122" s="1091"/>
      <c r="J122" s="82">
        <f>SUM(H119:H122)</f>
        <v>0</v>
      </c>
      <c r="P122" s="8" t="s">
        <v>123</v>
      </c>
      <c r="Q122" s="8" t="s">
        <v>124</v>
      </c>
    </row>
    <row r="123" spans="1:17" ht="15">
      <c r="A123" s="25" t="s">
        <v>943</v>
      </c>
      <c r="D123" s="1121" t="s">
        <v>1535</v>
      </c>
      <c r="E123" s="659"/>
      <c r="F123" s="659"/>
      <c r="G123" s="1122">
        <f>IF(J224&lt;&gt;0,(J122/J224),0)</f>
        <v>0</v>
      </c>
      <c r="H123" s="19"/>
      <c r="P123" s="8" t="s">
        <v>125</v>
      </c>
      <c r="Q123" s="8" t="s">
        <v>126</v>
      </c>
    </row>
    <row r="124" spans="1:17" ht="15">
      <c r="A124" s="9" t="s">
        <v>127</v>
      </c>
      <c r="G124" s="15" t="s">
        <v>128</v>
      </c>
      <c r="H124" s="283"/>
      <c r="P124" s="8" t="s">
        <v>129</v>
      </c>
      <c r="Q124" s="8" t="s">
        <v>130</v>
      </c>
    </row>
    <row r="125" spans="1:17" ht="15">
      <c r="A125" s="1191" t="s">
        <v>131</v>
      </c>
      <c r="B125" s="16"/>
      <c r="C125" s="16"/>
      <c r="D125" s="16"/>
      <c r="H125" s="283"/>
      <c r="P125" s="8" t="s">
        <v>132</v>
      </c>
      <c r="Q125" s="8" t="s">
        <v>133</v>
      </c>
    </row>
    <row r="126" spans="1:17" ht="15">
      <c r="A126" s="1192" t="s">
        <v>1645</v>
      </c>
      <c r="B126" s="1189"/>
      <c r="C126" s="1189"/>
      <c r="D126" s="1189"/>
      <c r="H126" s="283"/>
      <c r="P126" s="8" t="s">
        <v>134</v>
      </c>
      <c r="Q126" s="8" t="s">
        <v>135</v>
      </c>
    </row>
    <row r="127" spans="1:8" ht="15">
      <c r="A127" s="1192" t="s">
        <v>1646</v>
      </c>
      <c r="B127" s="1189"/>
      <c r="C127" s="1189"/>
      <c r="D127" s="1189"/>
      <c r="H127" s="283"/>
    </row>
    <row r="128" spans="1:17" ht="15">
      <c r="A128" s="1191" t="s">
        <v>138</v>
      </c>
      <c r="B128" s="16"/>
      <c r="C128" s="16"/>
      <c r="D128" s="16"/>
      <c r="H128" s="283"/>
      <c r="P128" s="8" t="s">
        <v>136</v>
      </c>
      <c r="Q128" s="8" t="s">
        <v>137</v>
      </c>
    </row>
    <row r="129" spans="1:17" ht="15">
      <c r="A129" s="9" t="s">
        <v>765</v>
      </c>
      <c r="C129" s="1104" t="s">
        <v>1522</v>
      </c>
      <c r="D129" s="1091"/>
      <c r="H129" s="283"/>
      <c r="I129" s="1107">
        <f>IF(H129&gt;0,H129/CONSTR,0)</f>
        <v>0</v>
      </c>
      <c r="P129" s="8" t="s">
        <v>139</v>
      </c>
      <c r="Q129" s="8" t="s">
        <v>140</v>
      </c>
    </row>
    <row r="130" spans="1:17" ht="15">
      <c r="A130" s="9" t="s">
        <v>766</v>
      </c>
      <c r="C130" s="1091"/>
      <c r="D130" s="1091"/>
      <c r="H130" s="283"/>
      <c r="I130" s="1091"/>
      <c r="P130" s="8" t="s">
        <v>141</v>
      </c>
      <c r="Q130" s="8" t="s">
        <v>142</v>
      </c>
    </row>
    <row r="131" spans="1:17" ht="15">
      <c r="A131" s="9" t="s">
        <v>784</v>
      </c>
      <c r="C131" s="1104" t="s">
        <v>1523</v>
      </c>
      <c r="D131" s="1091"/>
      <c r="H131" s="283"/>
      <c r="I131" s="1108">
        <f>IF(G32&gt;0,H131/G32,0)</f>
        <v>0</v>
      </c>
      <c r="P131" s="8" t="s">
        <v>143</v>
      </c>
      <c r="Q131" s="8" t="s">
        <v>144</v>
      </c>
    </row>
    <row r="132" spans="1:17" ht="15">
      <c r="A132" s="1191" t="s">
        <v>1157</v>
      </c>
      <c r="C132" s="1104" t="s">
        <v>1524</v>
      </c>
      <c r="D132" s="1098"/>
      <c r="H132" s="283"/>
      <c r="I132" s="1107">
        <f>IF(H132&gt;0,H132/M132,0)</f>
        <v>0</v>
      </c>
      <c r="M132" s="7">
        <f>CONSTR-SUM(H132:H133)</f>
        <v>0</v>
      </c>
      <c r="P132" s="8" t="s">
        <v>145</v>
      </c>
      <c r="Q132" s="8" t="s">
        <v>146</v>
      </c>
    </row>
    <row r="133" spans="1:17" ht="15">
      <c r="A133" s="1192" t="s">
        <v>1532</v>
      </c>
      <c r="B133" s="129"/>
      <c r="C133" s="1105"/>
      <c r="D133" s="1106"/>
      <c r="H133" s="283"/>
      <c r="I133" s="1107">
        <f>IF(H133&gt;0,H133/M132,0)</f>
        <v>0</v>
      </c>
      <c r="P133" s="8" t="s">
        <v>147</v>
      </c>
      <c r="Q133" s="8" t="s">
        <v>148</v>
      </c>
    </row>
    <row r="134" spans="1:8" ht="15">
      <c r="A134" s="1192" t="s">
        <v>1649</v>
      </c>
      <c r="B134" s="1187"/>
      <c r="C134" s="350"/>
      <c r="D134" s="348"/>
      <c r="H134" s="283"/>
    </row>
    <row r="135" spans="1:8" ht="15">
      <c r="A135" s="1192" t="s">
        <v>1701</v>
      </c>
      <c r="B135" s="302"/>
      <c r="C135" s="129"/>
      <c r="D135" s="1121" t="s">
        <v>1536</v>
      </c>
      <c r="E135" s="659"/>
      <c r="F135" s="659"/>
      <c r="G135" s="1122">
        <f>IF(J224&lt;&gt;0,(SUM(H141+J136)/J224),0)</f>
        <v>0</v>
      </c>
      <c r="H135" s="283"/>
    </row>
    <row r="136" spans="1:10" ht="15">
      <c r="A136" s="1191"/>
      <c r="H136" s="668"/>
      <c r="J136" s="130">
        <f>SUM(H124:H135)</f>
        <v>0</v>
      </c>
    </row>
    <row r="137" spans="1:17" ht="15">
      <c r="A137" s="1192" t="s">
        <v>1652</v>
      </c>
      <c r="B137" s="134"/>
      <c r="C137" s="129"/>
      <c r="D137" s="439">
        <f>IF(H137&lt;&gt;0,H137/(SUM(H121:H135)+SUM(J142:J174)+SUM(J193+J194+J198+J199+J201+F235)-J161),0)</f>
        <v>0</v>
      </c>
      <c r="E137" s="1701" t="s">
        <v>1261</v>
      </c>
      <c r="F137" s="1701"/>
      <c r="G137" s="1701"/>
      <c r="H137" s="1204"/>
      <c r="I137" s="89"/>
      <c r="P137" s="8" t="s">
        <v>149</v>
      </c>
      <c r="Q137" s="8" t="s">
        <v>150</v>
      </c>
    </row>
    <row r="138" spans="1:10" ht="15.75" thickBot="1">
      <c r="A138" s="1192" t="s">
        <v>1653</v>
      </c>
      <c r="B138" s="134"/>
      <c r="C138" s="129"/>
      <c r="D138" s="1228">
        <f>IF(H120&gt;0,H138/H120,"")</f>
      </c>
      <c r="E138" s="1701"/>
      <c r="F138" s="1701"/>
      <c r="G138" s="1701"/>
      <c r="H138" s="1205">
        <f>H120*0.04</f>
        <v>0</v>
      </c>
      <c r="I138" s="89"/>
      <c r="J138" s="128">
        <f>H138+H137</f>
        <v>0</v>
      </c>
    </row>
    <row r="139" spans="1:10" ht="16.5" thickBot="1" thickTop="1">
      <c r="A139" s="1203" t="s">
        <v>1220</v>
      </c>
      <c r="B139" s="127"/>
      <c r="E139" s="1222" t="s">
        <v>1674</v>
      </c>
      <c r="F139" s="1223">
        <f>(J138-FUNDH_AMT)+J192</f>
        <v>0</v>
      </c>
      <c r="G139" s="1224">
        <f>IF(F139&lt;&gt;0,F139/(SUM(H120:H135)+SUM(J142:J174)+SUM(J193+J194+J198+J199+J201+F235)-J161),0)</f>
        <v>0</v>
      </c>
      <c r="H139" s="129"/>
      <c r="J139" s="45"/>
    </row>
    <row r="140" spans="1:10" ht="15.75" thickTop="1">
      <c r="A140" s="1203"/>
      <c r="B140" s="127"/>
      <c r="C140" s="1711" t="s">
        <v>1675</v>
      </c>
      <c r="D140" s="1711"/>
      <c r="E140" s="1711"/>
      <c r="F140" s="1711"/>
      <c r="G140" s="1227">
        <f>0.02*H120</f>
        <v>0</v>
      </c>
      <c r="H140" s="129"/>
      <c r="J140" s="45"/>
    </row>
    <row r="141" spans="1:10" ht="15">
      <c r="A141" s="1203" t="s">
        <v>767</v>
      </c>
      <c r="B141" s="127"/>
      <c r="C141" s="360"/>
      <c r="D141" s="1109" t="s">
        <v>1525</v>
      </c>
      <c r="E141" s="1060"/>
      <c r="F141" s="45"/>
      <c r="G141" s="1226"/>
      <c r="H141" s="130">
        <f>(J136)*C141</f>
        <v>0</v>
      </c>
      <c r="J141" s="45"/>
    </row>
    <row r="142" spans="1:10" ht="15">
      <c r="A142" s="1191" t="s">
        <v>768</v>
      </c>
      <c r="B142" s="127"/>
      <c r="C142" s="360"/>
      <c r="D142" s="1109" t="s">
        <v>1526</v>
      </c>
      <c r="E142" s="9"/>
      <c r="G142" s="45"/>
      <c r="H142" s="132">
        <f>(SUM(J155:J174)+SUM(H121:H122)+SUM(J193:J195)+SUM(J197:J199)+SUM(J201:J204)*C142)</f>
        <v>0</v>
      </c>
      <c r="J142" s="128">
        <f>SUM(H141+H142)</f>
        <v>0</v>
      </c>
    </row>
    <row r="143" spans="1:17" ht="15">
      <c r="A143" s="1203" t="s">
        <v>1221</v>
      </c>
      <c r="D143" s="45"/>
      <c r="P143" s="8" t="s">
        <v>151</v>
      </c>
      <c r="Q143" s="8" t="s">
        <v>152</v>
      </c>
    </row>
    <row r="144" spans="1:8" ht="15">
      <c r="A144" s="1191" t="s">
        <v>769</v>
      </c>
      <c r="B144" s="16"/>
      <c r="D144" s="45"/>
      <c r="G144" s="15" t="s">
        <v>128</v>
      </c>
      <c r="H144" s="302"/>
    </row>
    <row r="145" spans="1:8" ht="15">
      <c r="A145" s="1191" t="s">
        <v>770</v>
      </c>
      <c r="B145" s="16"/>
      <c r="D145" s="45"/>
      <c r="G145" s="15"/>
      <c r="H145" s="303"/>
    </row>
    <row r="146" spans="1:17" ht="15">
      <c r="A146" s="1189" t="s">
        <v>1647</v>
      </c>
      <c r="B146" s="1189"/>
      <c r="H146" s="283"/>
      <c r="P146" s="8" t="s">
        <v>153</v>
      </c>
      <c r="Q146" s="8" t="s">
        <v>154</v>
      </c>
    </row>
    <row r="147" spans="1:17" ht="15">
      <c r="A147" s="1191" t="s">
        <v>771</v>
      </c>
      <c r="B147" s="16"/>
      <c r="H147" s="283"/>
      <c r="P147" s="8" t="s">
        <v>155</v>
      </c>
      <c r="Q147" s="8" t="s">
        <v>156</v>
      </c>
    </row>
    <row r="148" spans="1:8" ht="15">
      <c r="A148" s="1192" t="s">
        <v>1544</v>
      </c>
      <c r="B148" s="16"/>
      <c r="H148" s="283"/>
    </row>
    <row r="149" spans="1:17" ht="15">
      <c r="A149" s="1191" t="s">
        <v>782</v>
      </c>
      <c r="B149" s="16"/>
      <c r="H149" s="283"/>
      <c r="P149" s="8" t="s">
        <v>157</v>
      </c>
      <c r="Q149" s="8" t="s">
        <v>158</v>
      </c>
    </row>
    <row r="150" spans="1:17" ht="15">
      <c r="A150" s="1191" t="s">
        <v>783</v>
      </c>
      <c r="B150" s="16"/>
      <c r="H150" s="283"/>
      <c r="P150" s="8" t="s">
        <v>159</v>
      </c>
      <c r="Q150" s="8" t="s">
        <v>160</v>
      </c>
    </row>
    <row r="151" spans="1:17" ht="15">
      <c r="A151" s="1192" t="s">
        <v>1648</v>
      </c>
      <c r="B151" s="1189"/>
      <c r="H151" s="283"/>
      <c r="P151" s="8" t="s">
        <v>161</v>
      </c>
      <c r="Q151" s="8" t="s">
        <v>126</v>
      </c>
    </row>
    <row r="152" spans="1:8" ht="15">
      <c r="A152" s="1192" t="s">
        <v>1702</v>
      </c>
      <c r="B152" s="1189"/>
      <c r="H152" s="283"/>
    </row>
    <row r="153" spans="1:17" ht="15">
      <c r="A153" s="1192" t="s">
        <v>787</v>
      </c>
      <c r="B153" s="16"/>
      <c r="H153" s="283"/>
      <c r="J153" s="16"/>
      <c r="P153" s="8" t="s">
        <v>162</v>
      </c>
      <c r="Q153" s="8" t="s">
        <v>163</v>
      </c>
    </row>
    <row r="154" spans="1:17" ht="15">
      <c r="A154" s="1192" t="s">
        <v>1703</v>
      </c>
      <c r="B154" s="67"/>
      <c r="C154" s="89"/>
      <c r="D154" s="20"/>
      <c r="H154" s="283"/>
      <c r="P154" s="8" t="s">
        <v>164</v>
      </c>
      <c r="Q154" s="8" t="s">
        <v>165</v>
      </c>
    </row>
    <row r="155" spans="1:17" ht="15">
      <c r="A155" s="1192" t="s">
        <v>1701</v>
      </c>
      <c r="B155" s="46"/>
      <c r="C155" s="89"/>
      <c r="D155" s="1121" t="s">
        <v>1537</v>
      </c>
      <c r="E155" s="659"/>
      <c r="F155" s="659"/>
      <c r="G155" s="1122">
        <f>IF(J224&lt;&gt;0,(J155/J224),0)</f>
        <v>0</v>
      </c>
      <c r="H155" s="283"/>
      <c r="J155" s="82">
        <f>SUM(H144:H155)</f>
        <v>0</v>
      </c>
      <c r="P155" s="8" t="s">
        <v>166</v>
      </c>
      <c r="Q155" s="8" t="s">
        <v>167</v>
      </c>
    </row>
    <row r="156" spans="1:17" ht="22.5">
      <c r="A156" s="1203" t="s">
        <v>1323</v>
      </c>
      <c r="E156" s="512" t="s">
        <v>1327</v>
      </c>
      <c r="F156" s="513"/>
      <c r="G156" s="514"/>
      <c r="H156" s="19"/>
      <c r="P156" s="8" t="s">
        <v>168</v>
      </c>
      <c r="Q156" s="8" t="s">
        <v>169</v>
      </c>
    </row>
    <row r="157" spans="1:8" ht="15">
      <c r="A157" s="131" t="s">
        <v>1324</v>
      </c>
      <c r="E157" s="1104" t="s">
        <v>1531</v>
      </c>
      <c r="G157" s="15" t="s">
        <v>128</v>
      </c>
      <c r="H157" s="302"/>
    </row>
    <row r="158" spans="1:17" ht="15">
      <c r="A158" s="131" t="s">
        <v>1326</v>
      </c>
      <c r="F158" s="81"/>
      <c r="H158" s="283"/>
      <c r="P158" s="8" t="s">
        <v>170</v>
      </c>
      <c r="Q158" s="8" t="s">
        <v>171</v>
      </c>
    </row>
    <row r="159" spans="1:8" ht="15">
      <c r="A159" s="131" t="s">
        <v>1325</v>
      </c>
      <c r="F159" s="81"/>
      <c r="H159" s="283"/>
    </row>
    <row r="160" spans="1:17" ht="15">
      <c r="A160" s="1113" t="s">
        <v>1539</v>
      </c>
      <c r="B160" s="302"/>
      <c r="C160" s="501"/>
      <c r="E160" s="45"/>
      <c r="F160" s="45"/>
      <c r="H160" s="283"/>
      <c r="P160" s="8" t="s">
        <v>172</v>
      </c>
      <c r="Q160" s="8" t="s">
        <v>173</v>
      </c>
    </row>
    <row r="161" spans="1:17" ht="15">
      <c r="A161" s="1114" t="s">
        <v>1538</v>
      </c>
      <c r="B161" s="457"/>
      <c r="C161" s="304"/>
      <c r="D161" s="1121" t="s">
        <v>1540</v>
      </c>
      <c r="E161" s="659"/>
      <c r="F161" s="659"/>
      <c r="G161" s="1122">
        <f>IF(J224&lt;&gt;0,(J161/J224),0)</f>
        <v>0</v>
      </c>
      <c r="H161" s="306"/>
      <c r="J161" s="82">
        <f>SUM(H157:H161)</f>
        <v>0</v>
      </c>
      <c r="P161" s="8" t="s">
        <v>174</v>
      </c>
      <c r="Q161" s="8" t="s">
        <v>175</v>
      </c>
    </row>
    <row r="162" spans="1:17" ht="15">
      <c r="A162" s="25" t="s">
        <v>1222</v>
      </c>
      <c r="F162" s="1104" t="s">
        <v>1527</v>
      </c>
      <c r="H162" s="67"/>
      <c r="I162" s="1107">
        <f>IF(J174&gt;0,J174/J224,0)</f>
        <v>0</v>
      </c>
      <c r="P162" s="8" t="s">
        <v>176</v>
      </c>
      <c r="Q162" s="8" t="s">
        <v>177</v>
      </c>
    </row>
    <row r="163" spans="1:17" ht="15">
      <c r="A163" s="9" t="s">
        <v>178</v>
      </c>
      <c r="C163" s="305"/>
      <c r="D163" s="4" t="s">
        <v>759</v>
      </c>
      <c r="E163" s="1120"/>
      <c r="F163" s="1098" t="s">
        <v>1515</v>
      </c>
      <c r="G163" s="440">
        <f>IF(C40=0,(SUM(J225+F234)/2),IF(C39=0,(J196/2)))</f>
        <v>0</v>
      </c>
      <c r="H163" s="278">
        <f>((((C163*0.01)*(G163))/12)*E163)</f>
        <v>0</v>
      </c>
      <c r="P163" s="8" t="s">
        <v>179</v>
      </c>
      <c r="Q163" s="8" t="s">
        <v>180</v>
      </c>
    </row>
    <row r="164" spans="1:17" ht="15">
      <c r="A164" s="9" t="s">
        <v>181</v>
      </c>
      <c r="C164" s="283"/>
      <c r="D164" s="4" t="s">
        <v>182</v>
      </c>
      <c r="E164" s="19"/>
      <c r="F164" s="84">
        <f>E163/12</f>
        <v>0</v>
      </c>
      <c r="G164" s="4" t="s">
        <v>183</v>
      </c>
      <c r="H164" s="30">
        <f>C164*F164</f>
        <v>0</v>
      </c>
      <c r="P164" s="8" t="s">
        <v>184</v>
      </c>
      <c r="Q164" s="8" t="s">
        <v>185</v>
      </c>
    </row>
    <row r="165" spans="1:17" ht="15">
      <c r="A165" s="9" t="s">
        <v>186</v>
      </c>
      <c r="C165" s="283"/>
      <c r="D165" s="4" t="s">
        <v>182</v>
      </c>
      <c r="F165" s="83">
        <f>E163/12</f>
        <v>0</v>
      </c>
      <c r="G165" s="4" t="s">
        <v>183</v>
      </c>
      <c r="H165" s="111">
        <f>C165*F165</f>
        <v>0</v>
      </c>
      <c r="P165" s="8" t="s">
        <v>187</v>
      </c>
      <c r="Q165" s="8" t="s">
        <v>188</v>
      </c>
    </row>
    <row r="166" spans="1:17" ht="15">
      <c r="A166" s="9" t="s">
        <v>189</v>
      </c>
      <c r="C166" s="19"/>
      <c r="F166" s="19"/>
      <c r="H166" s="283"/>
      <c r="P166" s="8" t="s">
        <v>190</v>
      </c>
      <c r="Q166" s="8" t="s">
        <v>191</v>
      </c>
    </row>
    <row r="167" spans="1:17" ht="15">
      <c r="A167" s="9" t="s">
        <v>413</v>
      </c>
      <c r="H167" s="283"/>
      <c r="P167" s="8" t="s">
        <v>192</v>
      </c>
      <c r="Q167" s="8" t="s">
        <v>193</v>
      </c>
    </row>
    <row r="168" spans="1:17" ht="15">
      <c r="A168" s="9" t="s">
        <v>414</v>
      </c>
      <c r="C168" s="87"/>
      <c r="D168" s="16"/>
      <c r="E168" s="671"/>
      <c r="F168" s="16"/>
      <c r="G168" s="672"/>
      <c r="H168" s="300"/>
      <c r="P168" s="8" t="s">
        <v>194</v>
      </c>
      <c r="Q168" s="8" t="s">
        <v>195</v>
      </c>
    </row>
    <row r="169" spans="1:17" ht="15">
      <c r="A169" s="4" t="s">
        <v>415</v>
      </c>
      <c r="B169" s="133"/>
      <c r="C169" s="110"/>
      <c r="D169" s="20"/>
      <c r="E169" s="45"/>
      <c r="H169" s="283"/>
      <c r="P169" s="8" t="s">
        <v>196</v>
      </c>
      <c r="Q169" s="8" t="s">
        <v>197</v>
      </c>
    </row>
    <row r="170" spans="1:17" ht="15">
      <c r="A170" s="9" t="s">
        <v>416</v>
      </c>
      <c r="B170" s="134"/>
      <c r="C170" s="110"/>
      <c r="D170" s="459" t="s">
        <v>1237</v>
      </c>
      <c r="E170" s="460"/>
      <c r="F170" s="460"/>
      <c r="G170" s="461"/>
      <c r="H170" s="283"/>
      <c r="J170" s="45"/>
      <c r="P170" s="8" t="s">
        <v>198</v>
      </c>
      <c r="Q170" s="8" t="s">
        <v>199</v>
      </c>
    </row>
    <row r="171" spans="1:10" ht="15">
      <c r="A171" s="9" t="s">
        <v>417</v>
      </c>
      <c r="B171" s="134"/>
      <c r="C171" s="110"/>
      <c r="D171" s="20"/>
      <c r="E171" s="462" t="s">
        <v>1238</v>
      </c>
      <c r="F171" s="463"/>
      <c r="G171" s="464"/>
      <c r="H171" s="283"/>
      <c r="I171" s="42" t="s">
        <v>1264</v>
      </c>
      <c r="J171" s="113"/>
    </row>
    <row r="172" spans="1:10" ht="15">
      <c r="A172" s="4" t="s">
        <v>418</v>
      </c>
      <c r="B172" s="134"/>
      <c r="C172" s="110"/>
      <c r="D172" s="20"/>
      <c r="E172" s="465" t="s">
        <v>1239</v>
      </c>
      <c r="F172" s="466"/>
      <c r="G172" s="467"/>
      <c r="H172" s="283"/>
      <c r="I172" s="42" t="s">
        <v>1264</v>
      </c>
      <c r="J172" s="113"/>
    </row>
    <row r="173" spans="1:10" ht="15">
      <c r="A173" s="1091" t="s">
        <v>1512</v>
      </c>
      <c r="B173" s="134"/>
      <c r="C173" s="110"/>
      <c r="D173" s="20"/>
      <c r="E173" s="89"/>
      <c r="F173" s="89"/>
      <c r="G173" s="89"/>
      <c r="H173" s="283"/>
      <c r="I173" s="42"/>
      <c r="J173" s="113"/>
    </row>
    <row r="174" spans="4:10" ht="15">
      <c r="D174" s="1121" t="s">
        <v>1541</v>
      </c>
      <c r="E174" s="659"/>
      <c r="F174" s="659"/>
      <c r="G174" s="1122">
        <f>IF(J224&lt;&gt;0,(J174/J224),0)</f>
        <v>0</v>
      </c>
      <c r="J174" s="673">
        <f>(SUM(H163:H173))</f>
        <v>0</v>
      </c>
    </row>
    <row r="175" ht="15.75" thickBot="1">
      <c r="J175" s="113"/>
    </row>
    <row r="176" spans="1:10" ht="15.75" thickBot="1">
      <c r="A176" s="139" t="s">
        <v>1223</v>
      </c>
      <c r="B176" s="347"/>
      <c r="C176" s="138"/>
      <c r="D176" s="348"/>
      <c r="E176" s="129"/>
      <c r="F176" s="350"/>
      <c r="G176" s="350"/>
      <c r="H176" s="134"/>
      <c r="I176" s="15" t="s">
        <v>115</v>
      </c>
      <c r="J176" s="351">
        <f>J122+J136+J138+J142+J155+J161+J174</f>
        <v>0</v>
      </c>
    </row>
    <row r="177" spans="1:10" ht="15">
      <c r="A177" s="139" t="s">
        <v>945</v>
      </c>
      <c r="B177" s="347"/>
      <c r="C177" s="138"/>
      <c r="D177" s="348"/>
      <c r="E177" s="129"/>
      <c r="F177" s="350"/>
      <c r="G177" s="350"/>
      <c r="H177" s="134"/>
      <c r="I177" s="15" t="s">
        <v>115</v>
      </c>
      <c r="J177" s="362">
        <f>J115-J176</f>
        <v>0</v>
      </c>
    </row>
    <row r="178" spans="1:10" ht="15">
      <c r="A178" s="126"/>
      <c r="B178" s="347"/>
      <c r="C178" s="138"/>
      <c r="D178" s="348"/>
      <c r="E178" s="129"/>
      <c r="F178" s="350"/>
      <c r="G178" s="350"/>
      <c r="H178" s="134"/>
      <c r="J178" s="113"/>
    </row>
    <row r="179" spans="1:10" ht="25.5" customHeight="1">
      <c r="A179" s="1057" t="s">
        <v>1271</v>
      </c>
      <c r="B179" s="1051"/>
      <c r="C179" s="1052"/>
      <c r="D179" s="1053"/>
      <c r="E179" s="1054"/>
      <c r="F179" s="1050"/>
      <c r="G179" s="1050"/>
      <c r="H179" s="1051"/>
      <c r="I179" s="455"/>
      <c r="J179" s="1055"/>
    </row>
    <row r="180" spans="1:10" ht="25.5" customHeight="1">
      <c r="A180" s="1056"/>
      <c r="B180" s="1051"/>
      <c r="C180" s="1052"/>
      <c r="D180" s="1053"/>
      <c r="E180" s="1054"/>
      <c r="F180" s="1050"/>
      <c r="G180" s="1050"/>
      <c r="H180" s="1051"/>
      <c r="I180" s="455"/>
      <c r="J180" s="1055"/>
    </row>
    <row r="181" spans="1:10" ht="15">
      <c r="A181" s="21" t="s">
        <v>944</v>
      </c>
      <c r="B181" s="45"/>
      <c r="C181" s="45"/>
      <c r="D181" s="45"/>
      <c r="E181" s="45"/>
      <c r="F181" s="350"/>
      <c r="G181" s="4" t="s">
        <v>420</v>
      </c>
      <c r="H181" s="134"/>
      <c r="J181" s="113"/>
    </row>
    <row r="182" spans="1:10" ht="15">
      <c r="A182" s="15" t="s">
        <v>240</v>
      </c>
      <c r="B182" s="1708" t="s">
        <v>423</v>
      </c>
      <c r="C182" s="1709"/>
      <c r="D182" s="1709"/>
      <c r="E182" s="1709"/>
      <c r="G182" s="675" t="s">
        <v>424</v>
      </c>
      <c r="H182" s="15"/>
      <c r="I182" s="15" t="s">
        <v>241</v>
      </c>
      <c r="J182" s="676">
        <f>MORTGAGE</f>
        <v>0</v>
      </c>
    </row>
    <row r="183" spans="1:10" ht="15">
      <c r="A183" s="15" t="s">
        <v>242</v>
      </c>
      <c r="B183" s="1702"/>
      <c r="C183" s="1703"/>
      <c r="D183" s="1704"/>
      <c r="E183" s="1704"/>
      <c r="G183" s="289"/>
      <c r="H183" s="15"/>
      <c r="I183" s="15" t="s">
        <v>241</v>
      </c>
      <c r="J183" s="283"/>
    </row>
    <row r="184" spans="1:10" ht="15">
      <c r="A184" s="15" t="s">
        <v>243</v>
      </c>
      <c r="B184" s="1710"/>
      <c r="C184" s="1703"/>
      <c r="D184" s="1704"/>
      <c r="E184" s="1704"/>
      <c r="G184" s="289"/>
      <c r="H184" s="15"/>
      <c r="I184" s="15" t="s">
        <v>241</v>
      </c>
      <c r="J184" s="283"/>
    </row>
    <row r="185" spans="1:10" ht="15">
      <c r="A185" s="15" t="s">
        <v>244</v>
      </c>
      <c r="B185" s="1702"/>
      <c r="C185" s="1703"/>
      <c r="D185" s="1704"/>
      <c r="E185" s="1704"/>
      <c r="G185" s="289"/>
      <c r="H185" s="15"/>
      <c r="I185" s="15" t="s">
        <v>241</v>
      </c>
      <c r="J185" s="283"/>
    </row>
    <row r="186" spans="1:10" ht="15">
      <c r="A186" s="15" t="s">
        <v>245</v>
      </c>
      <c r="B186" s="1702"/>
      <c r="C186" s="1703"/>
      <c r="D186" s="1704"/>
      <c r="E186" s="1704"/>
      <c r="G186" s="289"/>
      <c r="H186" s="15"/>
      <c r="I186" s="15" t="s">
        <v>241</v>
      </c>
      <c r="J186" s="283"/>
    </row>
    <row r="187" spans="1:10" ht="15">
      <c r="A187" s="15" t="s">
        <v>246</v>
      </c>
      <c r="B187" s="1702"/>
      <c r="C187" s="1703"/>
      <c r="D187" s="1704"/>
      <c r="E187" s="1704"/>
      <c r="G187" s="289"/>
      <c r="H187" s="15"/>
      <c r="I187" s="15" t="s">
        <v>241</v>
      </c>
      <c r="J187" s="283"/>
    </row>
    <row r="188" spans="1:10" ht="15">
      <c r="A188" s="15" t="s">
        <v>691</v>
      </c>
      <c r="B188" s="1702"/>
      <c r="C188" s="1703"/>
      <c r="D188" s="1704"/>
      <c r="E188" s="1704"/>
      <c r="G188" s="289"/>
      <c r="H188" s="15"/>
      <c r="I188" s="15" t="s">
        <v>241</v>
      </c>
      <c r="J188" s="283"/>
    </row>
    <row r="189" spans="1:10" ht="15">
      <c r="A189" s="15" t="s">
        <v>692</v>
      </c>
      <c r="B189" s="1705"/>
      <c r="C189" s="1706"/>
      <c r="D189" s="1707"/>
      <c r="E189" s="1707"/>
      <c r="G189" s="289"/>
      <c r="H189" s="15"/>
      <c r="I189" s="15" t="s">
        <v>241</v>
      </c>
      <c r="J189" s="283"/>
    </row>
    <row r="190" spans="2:17" ht="15">
      <c r="B190" s="21" t="s">
        <v>931</v>
      </c>
      <c r="C190" s="45"/>
      <c r="D190" s="45"/>
      <c r="E190" s="45"/>
      <c r="I190" s="15" t="s">
        <v>241</v>
      </c>
      <c r="J190" s="446">
        <f>SUM(J182:J189)</f>
        <v>0</v>
      </c>
      <c r="P190" s="8" t="s">
        <v>200</v>
      </c>
      <c r="Q190" s="8" t="s">
        <v>201</v>
      </c>
    </row>
    <row r="191" spans="1:4" ht="15">
      <c r="A191" s="37" t="s">
        <v>1290</v>
      </c>
      <c r="B191" s="515"/>
      <c r="C191" s="16"/>
      <c r="D191" s="16"/>
    </row>
    <row r="192" spans="1:10" ht="15" customHeight="1">
      <c r="A192" s="25" t="s">
        <v>1291</v>
      </c>
      <c r="B192" s="21"/>
      <c r="C192" s="45"/>
      <c r="D192" s="703"/>
      <c r="E192" s="45"/>
      <c r="I192" s="15" t="s">
        <v>115</v>
      </c>
      <c r="J192" s="300"/>
    </row>
    <row r="193" spans="1:10" ht="15" customHeight="1">
      <c r="A193" s="9" t="s">
        <v>1292</v>
      </c>
      <c r="E193" s="444"/>
      <c r="F193" s="1091" t="s">
        <v>457</v>
      </c>
      <c r="G193" s="302"/>
      <c r="H193" s="30">
        <f>SUM(E193*G193)</f>
        <v>0</v>
      </c>
      <c r="J193" s="128">
        <f>H193</f>
        <v>0</v>
      </c>
    </row>
    <row r="194" spans="1:10" ht="15" customHeight="1">
      <c r="A194" s="9" t="s">
        <v>1293</v>
      </c>
      <c r="E194" s="1216"/>
      <c r="F194" s="1091" t="s">
        <v>457</v>
      </c>
      <c r="G194" s="441">
        <f>SUM(F234)</f>
        <v>0</v>
      </c>
      <c r="H194" s="35">
        <f>SUM(E194*G194)</f>
        <v>0</v>
      </c>
      <c r="I194" s="15"/>
      <c r="J194" s="445">
        <f>H194</f>
        <v>0</v>
      </c>
    </row>
    <row r="195" spans="1:10" ht="15" customHeight="1">
      <c r="A195" s="1113" t="s">
        <v>1678</v>
      </c>
      <c r="E195" s="1217">
        <v>0.03</v>
      </c>
      <c r="F195" s="1091" t="s">
        <v>457</v>
      </c>
      <c r="G195" s="1218"/>
      <c r="I195" s="15"/>
      <c r="J195" s="45">
        <f>SUM(E195*G195)</f>
        <v>0</v>
      </c>
    </row>
    <row r="196" spans="1:10" ht="15" customHeight="1">
      <c r="A196" s="53" t="s">
        <v>1658</v>
      </c>
      <c r="B196" s="21"/>
      <c r="C196" s="45"/>
      <c r="D196" s="45"/>
      <c r="E196" s="1049"/>
      <c r="F196" s="89"/>
      <c r="H196" s="67"/>
      <c r="I196" s="15" t="s">
        <v>115</v>
      </c>
      <c r="J196" s="713"/>
    </row>
    <row r="197" spans="1:10" ht="15" customHeight="1">
      <c r="A197" s="25" t="s">
        <v>1659</v>
      </c>
      <c r="B197" s="25"/>
      <c r="D197" s="45"/>
      <c r="E197" s="1097"/>
      <c r="F197" s="1091" t="s">
        <v>457</v>
      </c>
      <c r="G197" s="302"/>
      <c r="H197" s="30">
        <f>SUM(E197*G197)</f>
        <v>0</v>
      </c>
      <c r="I197" s="15" t="s">
        <v>115</v>
      </c>
      <c r="J197" s="1067">
        <f>H197</f>
        <v>0</v>
      </c>
    </row>
    <row r="198" spans="1:17" ht="15" customHeight="1">
      <c r="A198" s="1113" t="s">
        <v>1660</v>
      </c>
      <c r="B198" s="134"/>
      <c r="C198" s="42" t="s">
        <v>1264</v>
      </c>
      <c r="D198" s="20"/>
      <c r="E198" s="45"/>
      <c r="G198" s="129" t="s">
        <v>109</v>
      </c>
      <c r="H198" s="283"/>
      <c r="I198" s="15"/>
      <c r="J198" s="278">
        <f>H198</f>
        <v>0</v>
      </c>
      <c r="P198" s="8" t="s">
        <v>202</v>
      </c>
      <c r="Q198" s="8" t="s">
        <v>203</v>
      </c>
    </row>
    <row r="199" spans="1:10" ht="15" customHeight="1">
      <c r="A199" s="42" t="s">
        <v>1661</v>
      </c>
      <c r="B199" s="134"/>
      <c r="C199" s="42" t="s">
        <v>1264</v>
      </c>
      <c r="D199" s="20"/>
      <c r="E199" s="1049"/>
      <c r="F199" s="89"/>
      <c r="G199" s="129"/>
      <c r="H199" s="306"/>
      <c r="J199" s="278">
        <f>H199</f>
        <v>0</v>
      </c>
    </row>
    <row r="200" spans="1:10" ht="15" customHeight="1">
      <c r="A200" s="42" t="s">
        <v>1662</v>
      </c>
      <c r="B200" s="134"/>
      <c r="C200" s="42"/>
      <c r="D200" s="20"/>
      <c r="E200" s="1049"/>
      <c r="F200" s="89"/>
      <c r="G200" s="89"/>
      <c r="H200" s="67"/>
      <c r="J200" s="1068"/>
    </row>
    <row r="201" spans="1:10" ht="15" customHeight="1">
      <c r="A201" s="42" t="s">
        <v>1663</v>
      </c>
      <c r="B201" s="134"/>
      <c r="C201" s="42"/>
      <c r="D201" s="20"/>
      <c r="E201" s="1061"/>
      <c r="F201" s="89"/>
      <c r="G201" s="67"/>
      <c r="H201" s="89"/>
      <c r="J201" s="314"/>
    </row>
    <row r="202" spans="1:10" ht="15" customHeight="1">
      <c r="A202" s="42" t="s">
        <v>1664</v>
      </c>
      <c r="B202" s="134"/>
      <c r="C202" s="42"/>
      <c r="D202" s="20"/>
      <c r="E202" s="1049"/>
      <c r="F202" s="89"/>
      <c r="G202" s="129"/>
      <c r="H202" s="67"/>
      <c r="J202" s="314"/>
    </row>
    <row r="203" spans="1:10" ht="15" customHeight="1">
      <c r="A203" s="42" t="s">
        <v>1665</v>
      </c>
      <c r="B203" s="134"/>
      <c r="C203" s="42"/>
      <c r="D203" s="20"/>
      <c r="E203" s="89" t="s">
        <v>1298</v>
      </c>
      <c r="F203" s="89"/>
      <c r="G203" s="129" t="s">
        <v>109</v>
      </c>
      <c r="H203" s="67"/>
      <c r="J203" s="314"/>
    </row>
    <row r="204" spans="1:10" ht="15" customHeight="1">
      <c r="A204" s="42" t="s">
        <v>1666</v>
      </c>
      <c r="B204" s="134"/>
      <c r="C204" s="42"/>
      <c r="D204" s="20"/>
      <c r="E204" s="1066"/>
      <c r="F204" s="1091" t="s">
        <v>457</v>
      </c>
      <c r="G204" s="302"/>
      <c r="H204" s="30">
        <f>SUM(E204*G204)</f>
        <v>0</v>
      </c>
      <c r="J204" s="445">
        <f>H204</f>
        <v>0</v>
      </c>
    </row>
    <row r="205" spans="1:10" ht="15" customHeight="1">
      <c r="A205" s="42" t="s">
        <v>1667</v>
      </c>
      <c r="B205" s="134"/>
      <c r="C205" s="42"/>
      <c r="D205" s="20"/>
      <c r="E205" s="1049"/>
      <c r="F205" s="89"/>
      <c r="G205" s="129"/>
      <c r="H205" s="67"/>
      <c r="J205" s="314"/>
    </row>
    <row r="206" spans="1:10" ht="15" customHeight="1">
      <c r="A206" s="42" t="s">
        <v>1668</v>
      </c>
      <c r="B206" s="134"/>
      <c r="C206" s="42"/>
      <c r="D206" s="20"/>
      <c r="E206" s="1049"/>
      <c r="F206" s="89"/>
      <c r="G206" s="129"/>
      <c r="H206" s="67"/>
      <c r="J206" s="314"/>
    </row>
    <row r="207" spans="1:10" ht="15" customHeight="1">
      <c r="A207" s="42" t="s">
        <v>1669</v>
      </c>
      <c r="B207" s="134"/>
      <c r="C207" s="1090"/>
      <c r="D207" s="302"/>
      <c r="E207" s="1064"/>
      <c r="F207" s="89"/>
      <c r="G207" s="129"/>
      <c r="H207" s="67"/>
      <c r="J207" s="314"/>
    </row>
    <row r="208" spans="1:8" ht="15">
      <c r="A208" s="25" t="s">
        <v>1670</v>
      </c>
      <c r="B208" s="20"/>
      <c r="D208" s="1121" t="s">
        <v>1542</v>
      </c>
      <c r="E208" s="659"/>
      <c r="F208" s="659"/>
      <c r="G208" s="1122">
        <f>IF(J224&lt;&gt;0,(SUM(J191:J207)-J196)/J224,0)</f>
        <v>0</v>
      </c>
      <c r="H208" s="15"/>
    </row>
    <row r="209" spans="1:8" ht="15">
      <c r="A209" s="25" t="s">
        <v>932</v>
      </c>
      <c r="B209" s="20"/>
      <c r="E209" s="129"/>
      <c r="F209" s="129"/>
      <c r="H209" s="15"/>
    </row>
    <row r="210" spans="1:10" ht="15">
      <c r="A210" s="137" t="s">
        <v>933</v>
      </c>
      <c r="B210" s="135"/>
      <c r="C210" s="135"/>
      <c r="D210" s="135"/>
      <c r="E210" s="135"/>
      <c r="H210" s="122"/>
      <c r="J210" s="81">
        <f>((((TOT_EXP+AGENCY_DEBTSERV)*0.75)/12)*RENT_UP)</f>
        <v>0</v>
      </c>
    </row>
    <row r="211" spans="1:17" ht="15">
      <c r="A211" s="131" t="s">
        <v>934</v>
      </c>
      <c r="B211" s="135"/>
      <c r="C211" s="135"/>
      <c r="D211" s="136"/>
      <c r="E211" s="131"/>
      <c r="H211" s="15"/>
      <c r="J211" s="303"/>
      <c r="P211" s="8" t="s">
        <v>204</v>
      </c>
      <c r="Q211" s="8" t="s">
        <v>205</v>
      </c>
    </row>
    <row r="212" spans="1:17" ht="15">
      <c r="A212" s="131" t="s">
        <v>935</v>
      </c>
      <c r="B212" s="135"/>
      <c r="C212" s="135"/>
      <c r="D212" s="136"/>
      <c r="E212" s="131"/>
      <c r="H212" s="15"/>
      <c r="J212" s="299"/>
      <c r="P212" s="8" t="s">
        <v>206</v>
      </c>
      <c r="Q212" s="8" t="s">
        <v>231</v>
      </c>
    </row>
    <row r="213" spans="1:17" ht="15">
      <c r="A213" s="25" t="s">
        <v>936</v>
      </c>
      <c r="J213" s="19"/>
      <c r="P213" s="8" t="s">
        <v>232</v>
      </c>
      <c r="Q213" s="8" t="s">
        <v>233</v>
      </c>
    </row>
    <row r="214" spans="1:17" ht="15">
      <c r="A214" s="9" t="s">
        <v>937</v>
      </c>
      <c r="H214" s="15"/>
      <c r="I214" s="15" t="s">
        <v>115</v>
      </c>
      <c r="J214" s="1069">
        <f>INSUR_EX/2</f>
        <v>0</v>
      </c>
      <c r="P214" s="8" t="s">
        <v>234</v>
      </c>
      <c r="Q214" s="8" t="s">
        <v>235</v>
      </c>
    </row>
    <row r="215" spans="1:10" ht="15">
      <c r="A215" s="9" t="s">
        <v>938</v>
      </c>
      <c r="C215" s="42"/>
      <c r="H215" s="15"/>
      <c r="I215" s="15" t="s">
        <v>115</v>
      </c>
      <c r="J215" s="82">
        <f>(+F454*0.25)</f>
        <v>0</v>
      </c>
    </row>
    <row r="216" spans="1:10" ht="15">
      <c r="A216" s="9" t="s">
        <v>939</v>
      </c>
      <c r="H216" s="15"/>
      <c r="I216" s="15" t="s">
        <v>115</v>
      </c>
      <c r="J216" s="82">
        <f>(AGENCY_DEBTSERV/12)</f>
        <v>0</v>
      </c>
    </row>
    <row r="217" spans="1:10" ht="15">
      <c r="A217" s="9" t="s">
        <v>940</v>
      </c>
      <c r="H217" s="15"/>
      <c r="I217" s="15" t="s">
        <v>115</v>
      </c>
      <c r="J217" s="82">
        <f>F465+((F465/12)*3)</f>
        <v>0</v>
      </c>
    </row>
    <row r="218" spans="1:10" ht="15">
      <c r="A218" s="9" t="s">
        <v>1236</v>
      </c>
      <c r="H218" s="15"/>
      <c r="I218" s="15" t="s">
        <v>115</v>
      </c>
      <c r="J218" s="300"/>
    </row>
    <row r="219" spans="1:17" ht="15">
      <c r="A219" s="9" t="s">
        <v>419</v>
      </c>
      <c r="H219" s="15"/>
      <c r="I219" s="15" t="s">
        <v>115</v>
      </c>
      <c r="J219" s="674">
        <f>'Cash Flow'!D80</f>
        <v>0</v>
      </c>
      <c r="P219" s="8" t="s">
        <v>236</v>
      </c>
      <c r="Q219" s="8" t="s">
        <v>237</v>
      </c>
    </row>
    <row r="220" spans="1:10" ht="15">
      <c r="A220" s="9" t="s">
        <v>941</v>
      </c>
      <c r="B220" s="670"/>
      <c r="C220" s="304"/>
      <c r="D220" s="304"/>
      <c r="H220" s="15"/>
      <c r="I220" s="15" t="s">
        <v>115</v>
      </c>
      <c r="J220" s="300">
        <v>0</v>
      </c>
    </row>
    <row r="221" spans="1:10" ht="15">
      <c r="A221" s="9" t="s">
        <v>532</v>
      </c>
      <c r="B221" s="670"/>
      <c r="C221" s="304"/>
      <c r="D221" s="304"/>
      <c r="E221" s="1121" t="s">
        <v>1543</v>
      </c>
      <c r="F221" s="659"/>
      <c r="G221" s="659"/>
      <c r="H221" s="1122">
        <f>IF(J224&lt;&gt;0,SUM(J210:J221)/J224,0)</f>
        <v>0</v>
      </c>
      <c r="I221" s="15"/>
      <c r="J221" s="300"/>
    </row>
    <row r="222" spans="1:10" ht="15.75" customHeight="1" thickBot="1">
      <c r="A222" s="37" t="s">
        <v>1311</v>
      </c>
      <c r="E222" s="38"/>
      <c r="H222" s="39"/>
      <c r="I222" s="40" t="s">
        <v>115</v>
      </c>
      <c r="J222" s="341">
        <f>SUM(J192:J221)</f>
        <v>0</v>
      </c>
    </row>
    <row r="223" spans="1:10" ht="15.75" thickBot="1">
      <c r="A223" s="21" t="s">
        <v>1312</v>
      </c>
      <c r="B223" s="45"/>
      <c r="C223" s="45"/>
      <c r="D223" s="45"/>
      <c r="E223" s="45"/>
      <c r="I223" s="15" t="s">
        <v>115</v>
      </c>
      <c r="J223" s="345">
        <f>J190-J222</f>
        <v>0</v>
      </c>
    </row>
    <row r="224" spans="1:10" ht="15">
      <c r="A224" s="21" t="s">
        <v>1313</v>
      </c>
      <c r="B224" s="354"/>
      <c r="C224" s="45"/>
      <c r="D224" s="45"/>
      <c r="E224" s="45"/>
      <c r="I224" s="15" t="s">
        <v>115</v>
      </c>
      <c r="J224" s="341">
        <f>J176+SUM(J193:J195)+SUM(J197:J221)+F235</f>
        <v>0</v>
      </c>
    </row>
    <row r="225" spans="1:10" ht="15">
      <c r="A225" s="37" t="s">
        <v>1314</v>
      </c>
      <c r="E225" s="119">
        <f>IF(J222&lt;&gt;0,(J225/J224)*100,0)</f>
        <v>0</v>
      </c>
      <c r="F225" s="38" t="s">
        <v>1263</v>
      </c>
      <c r="I225" s="40" t="s">
        <v>115</v>
      </c>
      <c r="J225" s="307"/>
    </row>
    <row r="226" spans="1:10" ht="15">
      <c r="A226" s="21"/>
      <c r="B226" s="45"/>
      <c r="C226" s="45"/>
      <c r="D226" s="45"/>
      <c r="E226" s="45"/>
      <c r="I226" s="15"/>
      <c r="J226" s="346"/>
    </row>
    <row r="227" spans="1:10" ht="15.75" thickBot="1">
      <c r="A227" s="21" t="s">
        <v>1315</v>
      </c>
      <c r="B227" s="45"/>
      <c r="C227" s="45"/>
      <c r="D227" s="503" t="s">
        <v>1317</v>
      </c>
      <c r="E227" s="460"/>
      <c r="F227" s="504" t="s">
        <v>115</v>
      </c>
      <c r="G227" s="510">
        <f>J176-(H121+H122+H124+H125+J161+H171+H172)</f>
        <v>0</v>
      </c>
      <c r="H227" s="42" t="s">
        <v>1289</v>
      </c>
      <c r="I227" s="40"/>
      <c r="J227" s="113"/>
    </row>
    <row r="228" spans="4:10" ht="15">
      <c r="D228" s="462"/>
      <c r="E228" s="463"/>
      <c r="F228" s="463"/>
      <c r="G228" s="464"/>
      <c r="J228" s="20"/>
    </row>
    <row r="229" spans="4:10" ht="15">
      <c r="D229" s="505" t="s">
        <v>1262</v>
      </c>
      <c r="E229" s="463"/>
      <c r="F229" s="463"/>
      <c r="G229" s="511">
        <f>G227*0.55</f>
        <v>0</v>
      </c>
      <c r="H229" s="134"/>
      <c r="J229" s="20"/>
    </row>
    <row r="230" spans="4:10" ht="15.75" thickBot="1">
      <c r="D230" s="506" t="s">
        <v>1318</v>
      </c>
      <c r="E230" s="463"/>
      <c r="F230" s="463"/>
      <c r="G230" s="507">
        <f>IF(F36=0,MORTGAGE,0)</f>
        <v>0</v>
      </c>
      <c r="H230" s="134"/>
      <c r="J230" s="20"/>
    </row>
    <row r="231" spans="4:10" ht="16.5" thickBot="1" thickTop="1">
      <c r="D231" s="508" t="s">
        <v>1319</v>
      </c>
      <c r="E231" s="466"/>
      <c r="F231" s="466"/>
      <c r="G231" s="509">
        <f>G229-G230</f>
        <v>0</v>
      </c>
      <c r="H231" s="134"/>
      <c r="I231" s="352"/>
      <c r="J231" s="353"/>
    </row>
    <row r="232" spans="1:18" s="45" customFormat="1" ht="15">
      <c r="A232" s="21" t="s">
        <v>1316</v>
      </c>
      <c r="B232" s="4"/>
      <c r="C232" s="4"/>
      <c r="D232" s="4"/>
      <c r="E232" s="4"/>
      <c r="F232" s="4"/>
      <c r="G232" s="4"/>
      <c r="H232" s="350"/>
      <c r="I232" s="238" t="s">
        <v>733</v>
      </c>
      <c r="J232" s="237"/>
      <c r="K232" s="1058"/>
      <c r="L232" s="1058"/>
      <c r="M232" s="1058"/>
      <c r="N232" s="1058"/>
      <c r="O232" s="1058"/>
      <c r="P232" s="1059"/>
      <c r="Q232" s="1059"/>
      <c r="R232" s="1058"/>
    </row>
    <row r="233" spans="1:18" s="45" customFormat="1" ht="15">
      <c r="A233" s="1060"/>
      <c r="G233" s="122" t="s">
        <v>115</v>
      </c>
      <c r="H233" s="499"/>
      <c r="I233" s="302"/>
      <c r="J233" s="302"/>
      <c r="K233" s="1058"/>
      <c r="L233" s="1058"/>
      <c r="M233" s="1058"/>
      <c r="N233" s="1058"/>
      <c r="O233" s="1058"/>
      <c r="P233" s="1059"/>
      <c r="Q233" s="1059"/>
      <c r="R233" s="1058"/>
    </row>
    <row r="234" spans="5:10" ht="15">
      <c r="E234" s="15" t="s">
        <v>753</v>
      </c>
      <c r="F234" s="302"/>
      <c r="G234" s="15" t="s">
        <v>756</v>
      </c>
      <c r="H234" s="308"/>
      <c r="I234" s="309"/>
      <c r="J234" s="302"/>
    </row>
    <row r="235" spans="1:10" ht="15.75" thickBot="1">
      <c r="A235" s="15" t="s">
        <v>758</v>
      </c>
      <c r="B235" s="361"/>
      <c r="C235" s="118" t="s">
        <v>757</v>
      </c>
      <c r="D235" s="302"/>
      <c r="E235" s="4" t="s">
        <v>754</v>
      </c>
      <c r="F235" s="120">
        <f>SUM((F234*B235)/12)*(D235)</f>
        <v>0</v>
      </c>
      <c r="G235" s="15" t="s">
        <v>756</v>
      </c>
      <c r="H235" s="310"/>
      <c r="I235" s="309"/>
      <c r="J235" s="303"/>
    </row>
    <row r="236" spans="5:10" ht="16.5" thickBot="1" thickTop="1">
      <c r="E236" s="15" t="s">
        <v>755</v>
      </c>
      <c r="F236" s="121">
        <f>SUM(F234:F235)</f>
        <v>0</v>
      </c>
      <c r="G236" s="15" t="s">
        <v>755</v>
      </c>
      <c r="H236" s="442">
        <f>H233+H234+H235</f>
        <v>0</v>
      </c>
      <c r="I236" s="350"/>
      <c r="J236" s="348"/>
    </row>
    <row r="237" spans="2:10" ht="15.75" thickTop="1">
      <c r="B237" s="16"/>
      <c r="E237" s="16"/>
      <c r="G237" s="15" t="s">
        <v>115</v>
      </c>
      <c r="H237" s="443">
        <f>H236-F236</f>
        <v>0</v>
      </c>
      <c r="J237" s="20"/>
    </row>
    <row r="238" spans="2:10" ht="15">
      <c r="B238" s="16"/>
      <c r="E238" s="16"/>
      <c r="G238" s="15"/>
      <c r="H238" s="489"/>
      <c r="J238" s="20"/>
    </row>
    <row r="239" spans="2:10" ht="15">
      <c r="B239" s="16"/>
      <c r="E239" s="16"/>
      <c r="G239" s="15"/>
      <c r="H239" s="489"/>
      <c r="J239" s="20"/>
    </row>
    <row r="240" spans="2:10" ht="15">
      <c r="B240" s="16"/>
      <c r="E240" s="16"/>
      <c r="G240" s="15"/>
      <c r="H240" s="489"/>
      <c r="J240" s="20"/>
    </row>
    <row r="241" spans="3:10" ht="15.75">
      <c r="C241" s="41" t="s">
        <v>1332</v>
      </c>
      <c r="J241" s="20"/>
    </row>
    <row r="242" spans="3:10" ht="15.75">
      <c r="C242" s="41"/>
      <c r="J242" s="20"/>
    </row>
    <row r="243" spans="3:10" ht="15.75">
      <c r="C243" s="41"/>
      <c r="J243" s="20"/>
    </row>
    <row r="244" ht="15">
      <c r="J244" s="20"/>
    </row>
    <row r="245" ht="15">
      <c r="J245" s="20"/>
    </row>
    <row r="246" spans="1:10" ht="15">
      <c r="A246" s="9" t="s">
        <v>247</v>
      </c>
      <c r="E246" s="4" t="s">
        <v>248</v>
      </c>
      <c r="J246" s="20"/>
    </row>
    <row r="247" spans="2:10" ht="15">
      <c r="B247" s="19" t="s">
        <v>249</v>
      </c>
      <c r="C247" s="19"/>
      <c r="D247" s="19"/>
      <c r="E247" s="42"/>
      <c r="F247" s="19" t="s">
        <v>250</v>
      </c>
      <c r="G247" s="19"/>
      <c r="H247" s="19"/>
      <c r="J247" s="20"/>
    </row>
    <row r="248" spans="2:10" ht="15">
      <c r="B248" s="45"/>
      <c r="C248" s="45"/>
      <c r="D248" s="45"/>
      <c r="E248" s="42"/>
      <c r="F248" s="45"/>
      <c r="G248" s="45"/>
      <c r="H248" s="45"/>
      <c r="J248" s="20"/>
    </row>
    <row r="249" spans="2:10" ht="15">
      <c r="B249" s="45"/>
      <c r="C249" s="45"/>
      <c r="D249" s="45"/>
      <c r="E249" s="42"/>
      <c r="F249" s="45"/>
      <c r="G249" s="45"/>
      <c r="H249" s="45"/>
      <c r="J249" s="20"/>
    </row>
    <row r="250" ht="22.5">
      <c r="A250" s="80" t="s">
        <v>680</v>
      </c>
    </row>
    <row r="251" spans="6:17" ht="15">
      <c r="F251" s="20"/>
      <c r="J251" s="10"/>
      <c r="P251" s="8" t="s">
        <v>251</v>
      </c>
      <c r="Q251" s="8" t="s">
        <v>252</v>
      </c>
    </row>
    <row r="252" spans="10:17" ht="15">
      <c r="J252" s="20"/>
      <c r="P252" s="8" t="s">
        <v>253</v>
      </c>
      <c r="Q252" s="8" t="s">
        <v>254</v>
      </c>
    </row>
    <row r="253" spans="2:17" ht="15">
      <c r="B253" s="15" t="s">
        <v>647</v>
      </c>
      <c r="C253" s="1080"/>
      <c r="D253" s="343"/>
      <c r="E253" s="344"/>
      <c r="F253" s="15" t="s">
        <v>1346</v>
      </c>
      <c r="G253" s="32">
        <f>G7</f>
        <v>0</v>
      </c>
      <c r="P253" s="8" t="s">
        <v>255</v>
      </c>
      <c r="Q253" s="8" t="s">
        <v>256</v>
      </c>
    </row>
    <row r="254" spans="2:17" ht="15">
      <c r="B254" s="15" t="s">
        <v>259</v>
      </c>
      <c r="C254" s="30">
        <f>C12</f>
        <v>0</v>
      </c>
      <c r="D254" s="30"/>
      <c r="E254" s="15"/>
      <c r="F254" s="15" t="s">
        <v>1356</v>
      </c>
      <c r="G254" s="32">
        <f>G9</f>
        <v>0</v>
      </c>
      <c r="H254" s="30"/>
      <c r="J254" s="1089">
        <f>G8</f>
        <v>0</v>
      </c>
      <c r="P254" s="8" t="s">
        <v>257</v>
      </c>
      <c r="Q254" s="8" t="s">
        <v>258</v>
      </c>
    </row>
    <row r="255" spans="5:17" ht="15">
      <c r="E255" s="15"/>
      <c r="F255" s="15" t="s">
        <v>1360</v>
      </c>
      <c r="G255" s="1744"/>
      <c r="H255" s="1744"/>
      <c r="J255" s="283"/>
      <c r="P255" s="8" t="s">
        <v>260</v>
      </c>
      <c r="Q255" s="8" t="s">
        <v>262</v>
      </c>
    </row>
    <row r="256" spans="6:17" ht="15">
      <c r="F256" s="1091" t="s">
        <v>1695</v>
      </c>
      <c r="G256" s="15"/>
      <c r="J256" s="33" t="s">
        <v>105</v>
      </c>
      <c r="P256" s="8" t="s">
        <v>263</v>
      </c>
      <c r="Q256" s="8" t="s">
        <v>264</v>
      </c>
    </row>
    <row r="257" spans="16:17" ht="15">
      <c r="P257" s="8" t="s">
        <v>265</v>
      </c>
      <c r="Q257" s="8" t="s">
        <v>266</v>
      </c>
    </row>
    <row r="258" spans="1:17" ht="15">
      <c r="A258" s="115" t="s">
        <v>276</v>
      </c>
      <c r="B258" s="22" t="s">
        <v>277</v>
      </c>
      <c r="E258" s="115" t="s">
        <v>278</v>
      </c>
      <c r="F258" s="22" t="s">
        <v>279</v>
      </c>
      <c r="H258" s="4" t="s">
        <v>280</v>
      </c>
      <c r="J258" s="4" t="s">
        <v>281</v>
      </c>
      <c r="P258" s="8" t="s">
        <v>267</v>
      </c>
      <c r="Q258" s="8" t="s">
        <v>275</v>
      </c>
    </row>
    <row r="259" spans="1:17" ht="15">
      <c r="A259" s="25"/>
      <c r="F259" s="22" t="s">
        <v>284</v>
      </c>
      <c r="H259" s="34" t="s">
        <v>285</v>
      </c>
      <c r="J259" s="34" t="s">
        <v>286</v>
      </c>
      <c r="P259" s="8" t="s">
        <v>282</v>
      </c>
      <c r="Q259" s="8" t="s">
        <v>283</v>
      </c>
    </row>
    <row r="260" spans="16:17" ht="15">
      <c r="P260" s="8" t="s">
        <v>287</v>
      </c>
      <c r="Q260" s="8" t="s">
        <v>288</v>
      </c>
    </row>
    <row r="261" spans="2:17" ht="15">
      <c r="B261" s="4" t="s">
        <v>708</v>
      </c>
      <c r="D261" s="311"/>
      <c r="F261" s="4" t="s">
        <v>290</v>
      </c>
      <c r="H261" s="313"/>
      <c r="J261" s="311"/>
      <c r="P261" s="8" t="s">
        <v>289</v>
      </c>
      <c r="Q261" s="8" t="s">
        <v>126</v>
      </c>
    </row>
    <row r="262" spans="2:17" ht="15">
      <c r="B262" s="4" t="s">
        <v>293</v>
      </c>
      <c r="D262" s="311"/>
      <c r="F262" s="4" t="s">
        <v>294</v>
      </c>
      <c r="H262" s="313"/>
      <c r="J262" s="311"/>
      <c r="P262" s="8" t="s">
        <v>291</v>
      </c>
      <c r="Q262" s="8" t="s">
        <v>292</v>
      </c>
    </row>
    <row r="263" spans="2:17" ht="15">
      <c r="B263" s="4" t="s">
        <v>297</v>
      </c>
      <c r="D263" s="311"/>
      <c r="F263" s="4" t="s">
        <v>298</v>
      </c>
      <c r="H263" s="313"/>
      <c r="J263" s="311"/>
      <c r="P263" s="8" t="s">
        <v>295</v>
      </c>
      <c r="Q263" s="8" t="s">
        <v>296</v>
      </c>
    </row>
    <row r="264" spans="2:17" ht="15">
      <c r="B264" s="4" t="s">
        <v>300</v>
      </c>
      <c r="D264" s="311"/>
      <c r="F264" s="4" t="s">
        <v>301</v>
      </c>
      <c r="H264" s="313"/>
      <c r="J264" s="311"/>
      <c r="P264" s="8" t="s">
        <v>299</v>
      </c>
      <c r="Q264" s="8" t="s">
        <v>126</v>
      </c>
    </row>
    <row r="265" spans="2:17" ht="15">
      <c r="B265" s="4" t="s">
        <v>304</v>
      </c>
      <c r="D265" s="311"/>
      <c r="F265" s="4" t="s">
        <v>305</v>
      </c>
      <c r="H265" s="313"/>
      <c r="J265" s="311"/>
      <c r="P265" s="8" t="s">
        <v>302</v>
      </c>
      <c r="Q265" s="8" t="s">
        <v>303</v>
      </c>
    </row>
    <row r="266" spans="2:17" ht="15">
      <c r="B266" s="4" t="s">
        <v>308</v>
      </c>
      <c r="D266" s="311"/>
      <c r="F266" s="4" t="s">
        <v>309</v>
      </c>
      <c r="H266" s="313"/>
      <c r="J266" s="311"/>
      <c r="P266" s="8" t="s">
        <v>306</v>
      </c>
      <c r="Q266" s="8" t="s">
        <v>307</v>
      </c>
    </row>
    <row r="267" spans="2:17" ht="15">
      <c r="B267" s="4" t="s">
        <v>313</v>
      </c>
      <c r="D267" s="311"/>
      <c r="F267" s="4" t="s">
        <v>314</v>
      </c>
      <c r="H267" s="313"/>
      <c r="J267" s="311"/>
      <c r="P267" s="8" t="s">
        <v>310</v>
      </c>
      <c r="Q267" s="8" t="s">
        <v>312</v>
      </c>
    </row>
    <row r="268" spans="2:17" ht="15">
      <c r="B268" s="1091" t="s">
        <v>317</v>
      </c>
      <c r="D268" s="1214">
        <f>IF(C29&gt;=1,13255,0)</f>
        <v>0</v>
      </c>
      <c r="F268" s="319" t="s">
        <v>318</v>
      </c>
      <c r="H268" s="313"/>
      <c r="J268" s="311"/>
      <c r="P268" s="8" t="s">
        <v>315</v>
      </c>
      <c r="Q268" s="8" t="s">
        <v>316</v>
      </c>
    </row>
    <row r="269" spans="2:19" ht="15">
      <c r="B269" s="4" t="s">
        <v>321</v>
      </c>
      <c r="D269" s="311">
        <v>0</v>
      </c>
      <c r="F269" s="4" t="s">
        <v>322</v>
      </c>
      <c r="H269" s="313"/>
      <c r="J269" s="311"/>
      <c r="P269" s="8" t="s">
        <v>319</v>
      </c>
      <c r="Q269" s="8" t="s">
        <v>320</v>
      </c>
      <c r="S269" s="1220" t="s">
        <v>1671</v>
      </c>
    </row>
    <row r="270" spans="2:19" ht="15">
      <c r="B270" s="4" t="s">
        <v>328</v>
      </c>
      <c r="D270" s="311"/>
      <c r="F270" s="4" t="s">
        <v>323</v>
      </c>
      <c r="H270" s="313"/>
      <c r="J270" s="311"/>
      <c r="S270" s="1221" t="s">
        <v>1672</v>
      </c>
    </row>
    <row r="271" spans="2:19" ht="15">
      <c r="B271" s="4" t="s">
        <v>732</v>
      </c>
      <c r="D271" s="1048"/>
      <c r="F271" s="4" t="s">
        <v>324</v>
      </c>
      <c r="H271" s="313"/>
      <c r="J271" s="311"/>
      <c r="S271" s="1221" t="s">
        <v>1673</v>
      </c>
    </row>
    <row r="272" spans="2:10" ht="15">
      <c r="B272" s="4" t="s">
        <v>1460</v>
      </c>
      <c r="D272" s="4">
        <f>IF(F72&lt;=153,(F72*7.29)*12,IF(F72&gt;=154,13440))</f>
        <v>0</v>
      </c>
      <c r="F272" s="319" t="s">
        <v>325</v>
      </c>
      <c r="H272" s="313"/>
      <c r="J272" s="311"/>
    </row>
    <row r="273" spans="1:4" ht="15">
      <c r="A273" s="15"/>
      <c r="B273" s="301" t="s">
        <v>325</v>
      </c>
      <c r="D273" s="280"/>
    </row>
    <row r="274" spans="2:10" ht="15">
      <c r="B274" s="34"/>
      <c r="D274" s="36"/>
      <c r="G274" s="115" t="s">
        <v>329</v>
      </c>
      <c r="H274" s="239">
        <f>SUM(H261:H272)</f>
        <v>0</v>
      </c>
      <c r="J274" s="30">
        <f>SUM(J261:J272)</f>
        <v>0</v>
      </c>
    </row>
    <row r="275" spans="3:4" ht="15">
      <c r="C275" s="115" t="s">
        <v>677</v>
      </c>
      <c r="D275" s="4">
        <f>SUM(D261:D274)</f>
        <v>0</v>
      </c>
    </row>
    <row r="276" ht="15">
      <c r="D276" s="19"/>
    </row>
    <row r="277" spans="1:7" ht="15">
      <c r="A277" s="115" t="s">
        <v>330</v>
      </c>
      <c r="B277" s="22" t="s">
        <v>331</v>
      </c>
      <c r="C277" s="42"/>
      <c r="E277" s="115" t="s">
        <v>332</v>
      </c>
      <c r="F277" s="22" t="s">
        <v>333</v>
      </c>
      <c r="G277" s="22"/>
    </row>
    <row r="278" ht="15">
      <c r="A278" s="25"/>
    </row>
    <row r="279" spans="2:9" ht="15">
      <c r="B279" s="4" t="s">
        <v>334</v>
      </c>
      <c r="D279" s="311"/>
      <c r="F279" s="4" t="s">
        <v>301</v>
      </c>
      <c r="I279" s="311"/>
    </row>
    <row r="280" spans="2:9" ht="15">
      <c r="B280" s="4" t="s">
        <v>335</v>
      </c>
      <c r="D280" s="311"/>
      <c r="F280" s="4" t="s">
        <v>336</v>
      </c>
      <c r="I280" s="311"/>
    </row>
    <row r="281" spans="2:9" ht="15">
      <c r="B281" s="4" t="s">
        <v>337</v>
      </c>
      <c r="D281" s="311"/>
      <c r="F281" s="4" t="s">
        <v>338</v>
      </c>
      <c r="I281" s="311"/>
    </row>
    <row r="282" spans="2:9" ht="15">
      <c r="B282" s="4" t="s">
        <v>339</v>
      </c>
      <c r="D282" s="311"/>
      <c r="F282" s="4" t="s">
        <v>340</v>
      </c>
      <c r="I282" s="311"/>
    </row>
    <row r="283" spans="2:9" ht="15">
      <c r="B283" s="4" t="s">
        <v>341</v>
      </c>
      <c r="D283" s="311"/>
      <c r="F283" s="4" t="s">
        <v>342</v>
      </c>
      <c r="I283" s="311"/>
    </row>
    <row r="284" spans="2:9" ht="15">
      <c r="B284" s="4" t="s">
        <v>336</v>
      </c>
      <c r="D284" s="311"/>
      <c r="F284" s="4" t="s">
        <v>343</v>
      </c>
      <c r="I284" s="311"/>
    </row>
    <row r="285" spans="2:9" ht="15">
      <c r="B285" s="4" t="s">
        <v>344</v>
      </c>
      <c r="D285" s="311"/>
      <c r="F285" s="4" t="s">
        <v>345</v>
      </c>
      <c r="I285" s="4">
        <f>F72*350/3</f>
        <v>0</v>
      </c>
    </row>
    <row r="286" spans="2:9" ht="15">
      <c r="B286" s="4" t="s">
        <v>346</v>
      </c>
      <c r="D286" s="311"/>
      <c r="E286" s="20"/>
      <c r="F286" s="312" t="s">
        <v>325</v>
      </c>
      <c r="G286" s="20"/>
      <c r="H286" s="20"/>
      <c r="I286" s="314"/>
    </row>
    <row r="287" spans="2:4" ht="15">
      <c r="B287" s="4" t="s">
        <v>347</v>
      </c>
      <c r="D287" s="311"/>
    </row>
    <row r="288" spans="2:9" ht="15">
      <c r="B288" s="4" t="s">
        <v>298</v>
      </c>
      <c r="D288" s="311"/>
      <c r="H288" s="115" t="s">
        <v>348</v>
      </c>
      <c r="I288" s="30">
        <f>SUM(I279:I286)</f>
        <v>0</v>
      </c>
    </row>
    <row r="289" spans="2:4" ht="15">
      <c r="B289" s="4" t="s">
        <v>349</v>
      </c>
      <c r="D289" s="311"/>
    </row>
    <row r="290" spans="2:6" ht="15">
      <c r="B290" s="4" t="s">
        <v>350</v>
      </c>
      <c r="D290" s="311"/>
      <c r="E290" s="115" t="s">
        <v>351</v>
      </c>
      <c r="F290" s="22" t="s">
        <v>352</v>
      </c>
    </row>
    <row r="291" spans="2:4" ht="15">
      <c r="B291" s="4" t="s">
        <v>353</v>
      </c>
      <c r="D291" s="311"/>
    </row>
    <row r="292" spans="2:9" ht="15">
      <c r="B292" s="4" t="s">
        <v>354</v>
      </c>
      <c r="D292" s="311"/>
      <c r="F292" s="4" t="s">
        <v>355</v>
      </c>
      <c r="I292" s="311"/>
    </row>
    <row r="293" spans="2:9" ht="15">
      <c r="B293" s="4" t="s">
        <v>356</v>
      </c>
      <c r="D293" s="311"/>
      <c r="F293" s="4" t="s">
        <v>357</v>
      </c>
      <c r="I293" s="311"/>
    </row>
    <row r="294" spans="1:9" ht="15">
      <c r="A294" s="17"/>
      <c r="B294" s="312" t="s">
        <v>325</v>
      </c>
      <c r="C294" s="20"/>
      <c r="D294" s="311"/>
      <c r="F294" s="4" t="s">
        <v>358</v>
      </c>
      <c r="I294" s="311"/>
    </row>
    <row r="295" spans="6:9" ht="15">
      <c r="F295" s="4" t="s">
        <v>359</v>
      </c>
      <c r="I295" s="311"/>
    </row>
    <row r="296" spans="3:9" ht="15">
      <c r="C296" s="115" t="s">
        <v>908</v>
      </c>
      <c r="D296" s="30">
        <f>SUM(D279:D294)</f>
        <v>0</v>
      </c>
      <c r="F296" s="4" t="s">
        <v>360</v>
      </c>
      <c r="I296" s="311"/>
    </row>
    <row r="297" spans="6:9" ht="15">
      <c r="F297" s="4" t="s">
        <v>1072</v>
      </c>
      <c r="I297" s="303"/>
    </row>
    <row r="298" spans="7:9" ht="15">
      <c r="G298" s="42"/>
      <c r="H298" s="115" t="s">
        <v>348</v>
      </c>
      <c r="I298" s="30">
        <f>SUM(I292:I296)-I297</f>
        <v>0</v>
      </c>
    </row>
    <row r="301" spans="1:2" ht="15">
      <c r="A301" s="115" t="s">
        <v>361</v>
      </c>
      <c r="B301" s="22" t="s">
        <v>362</v>
      </c>
    </row>
    <row r="302" ht="15">
      <c r="A302" s="25"/>
    </row>
    <row r="303" spans="2:5" ht="15">
      <c r="B303" s="4" t="s">
        <v>363</v>
      </c>
      <c r="D303" s="4" t="s">
        <v>364</v>
      </c>
      <c r="E303" s="30">
        <f>GROSRENT</f>
        <v>0</v>
      </c>
    </row>
    <row r="304" spans="2:5" ht="15">
      <c r="B304" s="4" t="s">
        <v>365</v>
      </c>
      <c r="D304" s="20" t="s">
        <v>366</v>
      </c>
      <c r="E304" s="30">
        <f>VACANCY</f>
        <v>0</v>
      </c>
    </row>
    <row r="305" spans="2:5" ht="15">
      <c r="B305" s="20" t="s">
        <v>698</v>
      </c>
      <c r="D305" s="20" t="s">
        <v>366</v>
      </c>
      <c r="E305" s="4">
        <f>I298</f>
        <v>0</v>
      </c>
    </row>
    <row r="306" ht="15">
      <c r="E306" s="19"/>
    </row>
    <row r="307" spans="2:8" ht="15">
      <c r="B307" s="4" t="s">
        <v>367</v>
      </c>
      <c r="D307" s="4" t="s">
        <v>364</v>
      </c>
      <c r="E307" s="4">
        <f>E303-SUM(E304:E306)</f>
        <v>0</v>
      </c>
      <c r="G307" s="20"/>
      <c r="H307" s="20"/>
    </row>
    <row r="308" spans="5:8" ht="15.75" thickBot="1">
      <c r="E308" s="19"/>
      <c r="G308" s="20"/>
      <c r="H308" s="20"/>
    </row>
    <row r="309" spans="2:8" ht="15.75" thickBot="1">
      <c r="B309" s="4" t="s">
        <v>368</v>
      </c>
      <c r="D309" s="4" t="s">
        <v>369</v>
      </c>
      <c r="E309" s="313"/>
      <c r="F309" s="4" t="s">
        <v>370</v>
      </c>
      <c r="G309" s="664"/>
      <c r="H309" s="665" t="s">
        <v>1233</v>
      </c>
    </row>
    <row r="310" spans="2:8" ht="15.75" thickBot="1">
      <c r="B310" s="4" t="s">
        <v>371</v>
      </c>
      <c r="D310" s="4" t="s">
        <v>364</v>
      </c>
      <c r="E310" s="4">
        <f>IF(E309&gt;0,+E307*(E309/100),0)</f>
        <v>0</v>
      </c>
      <c r="F310" s="18" t="s">
        <v>1234</v>
      </c>
      <c r="G310" s="666"/>
      <c r="H310" s="664" t="s">
        <v>1235</v>
      </c>
    </row>
    <row r="311" ht="15">
      <c r="E311" s="19"/>
    </row>
    <row r="330" ht="22.5">
      <c r="A330" s="80" t="s">
        <v>372</v>
      </c>
    </row>
    <row r="331" ht="15">
      <c r="J331" s="10"/>
    </row>
    <row r="332" spans="5:10" ht="15">
      <c r="E332" s="42"/>
      <c r="J332" s="10"/>
    </row>
    <row r="333" spans="1:7" ht="15">
      <c r="A333" s="9" t="s">
        <v>373</v>
      </c>
      <c r="C333" s="4">
        <f>J225:J225</f>
        <v>0</v>
      </c>
      <c r="E333" s="45"/>
      <c r="F333" s="15" t="s">
        <v>374</v>
      </c>
      <c r="G333" s="32">
        <f>G7:G7</f>
        <v>0</v>
      </c>
    </row>
    <row r="334" spans="1:10" ht="15">
      <c r="A334" s="9" t="s">
        <v>375</v>
      </c>
      <c r="C334" s="496"/>
      <c r="D334" s="9" t="s">
        <v>1489</v>
      </c>
      <c r="E334" s="129"/>
      <c r="F334" s="15" t="s">
        <v>1356</v>
      </c>
      <c r="G334" s="32">
        <f>G9:G9</f>
        <v>0</v>
      </c>
      <c r="H334" s="43"/>
      <c r="J334" s="1088">
        <f>G8</f>
        <v>0</v>
      </c>
    </row>
    <row r="335" spans="1:10" ht="15">
      <c r="A335" s="9" t="s">
        <v>376</v>
      </c>
      <c r="C335" s="497"/>
      <c r="D335" s="9" t="s">
        <v>745</v>
      </c>
      <c r="E335" s="654"/>
      <c r="F335" s="15" t="s">
        <v>1360</v>
      </c>
      <c r="G335" s="4">
        <f>G255:G255</f>
        <v>0</v>
      </c>
      <c r="H335" s="43"/>
      <c r="J335" s="44"/>
    </row>
    <row r="336" spans="1:10" ht="15">
      <c r="A336" s="9" t="s">
        <v>377</v>
      </c>
      <c r="C336" s="290"/>
      <c r="D336" s="115" t="s">
        <v>746</v>
      </c>
      <c r="E336" s="655"/>
      <c r="F336" s="42" t="s">
        <v>749</v>
      </c>
      <c r="G336" s="19"/>
      <c r="J336" s="18" t="s">
        <v>105</v>
      </c>
    </row>
    <row r="337" spans="1:10" ht="15">
      <c r="A337" s="9" t="s">
        <v>378</v>
      </c>
      <c r="C337" s="1030">
        <f>COUNTY</f>
        <v>0</v>
      </c>
      <c r="D337" s="656" t="s">
        <v>747</v>
      </c>
      <c r="E337" s="629"/>
      <c r="F337" s="129"/>
      <c r="G337" s="45"/>
      <c r="I337" s="45"/>
      <c r="J337" s="42"/>
    </row>
    <row r="338" spans="4:13" ht="15">
      <c r="D338" s="42" t="s">
        <v>748</v>
      </c>
      <c r="E338" s="42"/>
      <c r="H338" s="115" t="s">
        <v>1226</v>
      </c>
      <c r="I338" s="1034"/>
      <c r="M338" s="7" t="str">
        <f>IF(LEFT(C336,1)="M",12,IF(LEFT(C336,1)="S",2,IF(LEFT(C336,1)="Y",1,"INVALID RESPONSE")))</f>
        <v>INVALID RESPONSE</v>
      </c>
    </row>
    <row r="339" spans="8:9" ht="15">
      <c r="H339" s="115" t="s">
        <v>1227</v>
      </c>
      <c r="I339" s="1034"/>
    </row>
    <row r="340" spans="4:9" ht="15">
      <c r="D340" s="22" t="s">
        <v>1285</v>
      </c>
      <c r="I340" s="9"/>
    </row>
    <row r="341" ht="15">
      <c r="F341" s="18" t="s">
        <v>683</v>
      </c>
    </row>
    <row r="342" spans="2:10" ht="15">
      <c r="B342" s="18" t="s">
        <v>699</v>
      </c>
      <c r="C342" s="18" t="s">
        <v>699</v>
      </c>
      <c r="D342" s="18" t="s">
        <v>379</v>
      </c>
      <c r="E342" s="18" t="s">
        <v>902</v>
      </c>
      <c r="F342" s="18" t="s">
        <v>684</v>
      </c>
      <c r="J342" s="4" t="s">
        <v>952</v>
      </c>
    </row>
    <row r="343" spans="2:10" ht="15">
      <c r="B343" s="18" t="s">
        <v>700</v>
      </c>
      <c r="C343" s="18" t="s">
        <v>701</v>
      </c>
      <c r="D343" s="18" t="s">
        <v>380</v>
      </c>
      <c r="E343" s="18" t="s">
        <v>904</v>
      </c>
      <c r="F343" s="18" t="s">
        <v>685</v>
      </c>
      <c r="G343" s="18" t="s">
        <v>899</v>
      </c>
      <c r="H343" s="18" t="s">
        <v>702</v>
      </c>
      <c r="I343" s="18" t="s">
        <v>703</v>
      </c>
      <c r="J343" s="4" t="s">
        <v>953</v>
      </c>
    </row>
    <row r="344" spans="2:10" ht="15">
      <c r="B344" s="315"/>
      <c r="C344" s="315"/>
      <c r="D344" s="315"/>
      <c r="E344" s="315"/>
      <c r="F344" s="315"/>
      <c r="G344" s="27">
        <f>E344-F344</f>
        <v>0</v>
      </c>
      <c r="H344" s="27">
        <f>G344*C344</f>
        <v>0</v>
      </c>
      <c r="I344" s="240">
        <f>H344*12</f>
        <v>0</v>
      </c>
      <c r="J344" s="292"/>
    </row>
    <row r="345" spans="2:10" ht="15">
      <c r="B345" s="315"/>
      <c r="C345" s="315"/>
      <c r="D345" s="315"/>
      <c r="E345" s="315"/>
      <c r="F345" s="315"/>
      <c r="G345" s="27">
        <f aca="true" t="shared" si="2" ref="G345:G363">E345-F345</f>
        <v>0</v>
      </c>
      <c r="H345" s="27">
        <f aca="true" t="shared" si="3" ref="H345:H362">G345*C345</f>
        <v>0</v>
      </c>
      <c r="I345" s="240">
        <f aca="true" t="shared" si="4" ref="I345:I363">H345*12</f>
        <v>0</v>
      </c>
      <c r="J345" s="293"/>
    </row>
    <row r="346" spans="2:10" ht="15">
      <c r="B346" s="315"/>
      <c r="C346" s="315"/>
      <c r="D346" s="315"/>
      <c r="E346" s="315"/>
      <c r="F346" s="315"/>
      <c r="G346" s="27">
        <f t="shared" si="2"/>
        <v>0</v>
      </c>
      <c r="H346" s="27">
        <f t="shared" si="3"/>
        <v>0</v>
      </c>
      <c r="I346" s="240">
        <f t="shared" si="4"/>
        <v>0</v>
      </c>
      <c r="J346" s="293"/>
    </row>
    <row r="347" spans="2:10" ht="15">
      <c r="B347" s="315"/>
      <c r="C347" s="315"/>
      <c r="D347" s="315"/>
      <c r="E347" s="315"/>
      <c r="F347" s="315"/>
      <c r="G347" s="27">
        <f t="shared" si="2"/>
        <v>0</v>
      </c>
      <c r="H347" s="27">
        <f t="shared" si="3"/>
        <v>0</v>
      </c>
      <c r="I347" s="240">
        <f t="shared" si="4"/>
        <v>0</v>
      </c>
      <c r="J347" s="293"/>
    </row>
    <row r="348" spans="2:10" ht="15">
      <c r="B348" s="315"/>
      <c r="C348" s="315"/>
      <c r="D348" s="315"/>
      <c r="E348" s="315"/>
      <c r="F348" s="315"/>
      <c r="G348" s="27">
        <f t="shared" si="2"/>
        <v>0</v>
      </c>
      <c r="H348" s="27">
        <f t="shared" si="3"/>
        <v>0</v>
      </c>
      <c r="I348" s="240">
        <f t="shared" si="4"/>
        <v>0</v>
      </c>
      <c r="J348" s="1063"/>
    </row>
    <row r="349" spans="2:10" ht="15">
      <c r="B349" s="315"/>
      <c r="C349" s="315"/>
      <c r="D349" s="315"/>
      <c r="E349" s="315"/>
      <c r="F349" s="315"/>
      <c r="G349" s="27">
        <f t="shared" si="2"/>
        <v>0</v>
      </c>
      <c r="H349" s="27">
        <f t="shared" si="3"/>
        <v>0</v>
      </c>
      <c r="I349" s="240">
        <f t="shared" si="4"/>
        <v>0</v>
      </c>
      <c r="J349" s="1063"/>
    </row>
    <row r="350" spans="2:10" ht="15">
      <c r="B350" s="315"/>
      <c r="C350" s="315"/>
      <c r="D350" s="315"/>
      <c r="E350" s="315"/>
      <c r="F350" s="315"/>
      <c r="G350" s="27">
        <f t="shared" si="2"/>
        <v>0</v>
      </c>
      <c r="H350" s="27">
        <f t="shared" si="3"/>
        <v>0</v>
      </c>
      <c r="I350" s="240">
        <f t="shared" si="4"/>
        <v>0</v>
      </c>
      <c r="J350" s="1063"/>
    </row>
    <row r="351" spans="2:10" ht="15">
      <c r="B351" s="315"/>
      <c r="C351" s="315"/>
      <c r="D351" s="315"/>
      <c r="E351" s="315"/>
      <c r="F351" s="315"/>
      <c r="G351" s="27">
        <f t="shared" si="2"/>
        <v>0</v>
      </c>
      <c r="H351" s="27">
        <f t="shared" si="3"/>
        <v>0</v>
      </c>
      <c r="I351" s="240">
        <f t="shared" si="4"/>
        <v>0</v>
      </c>
      <c r="J351" s="1063"/>
    </row>
    <row r="352" spans="2:10" ht="15">
      <c r="B352" s="315"/>
      <c r="C352" s="315"/>
      <c r="D352" s="315"/>
      <c r="E352" s="315"/>
      <c r="F352" s="315"/>
      <c r="G352" s="27">
        <f t="shared" si="2"/>
        <v>0</v>
      </c>
      <c r="H352" s="27">
        <f t="shared" si="3"/>
        <v>0</v>
      </c>
      <c r="I352" s="240">
        <f t="shared" si="4"/>
        <v>0</v>
      </c>
      <c r="J352" s="1063"/>
    </row>
    <row r="353" spans="2:10" ht="15">
      <c r="B353" s="315"/>
      <c r="C353" s="315"/>
      <c r="D353" s="315"/>
      <c r="E353" s="315"/>
      <c r="F353" s="315"/>
      <c r="G353" s="27">
        <f t="shared" si="2"/>
        <v>0</v>
      </c>
      <c r="H353" s="27">
        <f t="shared" si="3"/>
        <v>0</v>
      </c>
      <c r="I353" s="240">
        <f t="shared" si="4"/>
        <v>0</v>
      </c>
      <c r="J353" s="1063"/>
    </row>
    <row r="354" spans="2:10" ht="15">
      <c r="B354" s="315"/>
      <c r="C354" s="315"/>
      <c r="D354" s="315"/>
      <c r="E354" s="315"/>
      <c r="F354" s="315"/>
      <c r="G354" s="27">
        <f t="shared" si="2"/>
        <v>0</v>
      </c>
      <c r="H354" s="27">
        <f t="shared" si="3"/>
        <v>0</v>
      </c>
      <c r="I354" s="240">
        <f t="shared" si="4"/>
        <v>0</v>
      </c>
      <c r="J354" s="1063"/>
    </row>
    <row r="355" spans="2:10" ht="15">
      <c r="B355" s="315"/>
      <c r="C355" s="315"/>
      <c r="D355" s="315"/>
      <c r="E355" s="315"/>
      <c r="F355" s="315"/>
      <c r="G355" s="27">
        <f t="shared" si="2"/>
        <v>0</v>
      </c>
      <c r="H355" s="27">
        <f t="shared" si="3"/>
        <v>0</v>
      </c>
      <c r="I355" s="240">
        <f t="shared" si="4"/>
        <v>0</v>
      </c>
      <c r="J355" s="1063"/>
    </row>
    <row r="356" spans="2:10" ht="15">
      <c r="B356" s="315"/>
      <c r="C356" s="315"/>
      <c r="D356" s="315"/>
      <c r="E356" s="315"/>
      <c r="F356" s="315"/>
      <c r="G356" s="27">
        <f t="shared" si="2"/>
        <v>0</v>
      </c>
      <c r="H356" s="27">
        <f t="shared" si="3"/>
        <v>0</v>
      </c>
      <c r="I356" s="240">
        <f t="shared" si="4"/>
        <v>0</v>
      </c>
      <c r="J356" s="1063"/>
    </row>
    <row r="357" spans="2:10" ht="15">
      <c r="B357" s="315"/>
      <c r="C357" s="315"/>
      <c r="D357" s="315"/>
      <c r="E357" s="315"/>
      <c r="F357" s="315"/>
      <c r="G357" s="27">
        <f t="shared" si="2"/>
        <v>0</v>
      </c>
      <c r="H357" s="27">
        <f t="shared" si="3"/>
        <v>0</v>
      </c>
      <c r="I357" s="240">
        <f t="shared" si="4"/>
        <v>0</v>
      </c>
      <c r="J357" s="1063"/>
    </row>
    <row r="358" spans="2:10" ht="15">
      <c r="B358" s="315"/>
      <c r="C358" s="315"/>
      <c r="D358" s="315"/>
      <c r="E358" s="315"/>
      <c r="F358" s="315"/>
      <c r="G358" s="27">
        <f t="shared" si="2"/>
        <v>0</v>
      </c>
      <c r="H358" s="27">
        <f t="shared" si="3"/>
        <v>0</v>
      </c>
      <c r="I358" s="240">
        <f t="shared" si="4"/>
        <v>0</v>
      </c>
      <c r="J358" s="1063"/>
    </row>
    <row r="359" spans="2:10" ht="15">
      <c r="B359" s="315"/>
      <c r="C359" s="315"/>
      <c r="D359" s="315"/>
      <c r="E359" s="315"/>
      <c r="F359" s="315"/>
      <c r="G359" s="27">
        <f t="shared" si="2"/>
        <v>0</v>
      </c>
      <c r="H359" s="27">
        <f t="shared" si="3"/>
        <v>0</v>
      </c>
      <c r="I359" s="240">
        <f t="shared" si="4"/>
        <v>0</v>
      </c>
      <c r="J359" s="1063"/>
    </row>
    <row r="360" spans="2:10" ht="15">
      <c r="B360" s="315"/>
      <c r="C360" s="315"/>
      <c r="D360" s="315"/>
      <c r="E360" s="315"/>
      <c r="F360" s="315"/>
      <c r="G360" s="27">
        <f t="shared" si="2"/>
        <v>0</v>
      </c>
      <c r="H360" s="27">
        <f t="shared" si="3"/>
        <v>0</v>
      </c>
      <c r="I360" s="240">
        <f t="shared" si="4"/>
        <v>0</v>
      </c>
      <c r="J360" s="1063"/>
    </row>
    <row r="361" spans="2:10" ht="15">
      <c r="B361" s="315"/>
      <c r="C361" s="315"/>
      <c r="D361" s="315"/>
      <c r="E361" s="315"/>
      <c r="F361" s="315"/>
      <c r="G361" s="27">
        <f t="shared" si="2"/>
        <v>0</v>
      </c>
      <c r="H361" s="27">
        <f t="shared" si="3"/>
        <v>0</v>
      </c>
      <c r="I361" s="240">
        <f t="shared" si="4"/>
        <v>0</v>
      </c>
      <c r="J361" s="1063"/>
    </row>
    <row r="362" spans="2:10" ht="15">
      <c r="B362" s="315"/>
      <c r="C362" s="315"/>
      <c r="D362" s="315"/>
      <c r="E362" s="315"/>
      <c r="F362" s="315"/>
      <c r="G362" s="27">
        <f t="shared" si="2"/>
        <v>0</v>
      </c>
      <c r="H362" s="27">
        <f t="shared" si="3"/>
        <v>0</v>
      </c>
      <c r="I362" s="240">
        <f t="shared" si="4"/>
        <v>0</v>
      </c>
      <c r="J362" s="1063"/>
    </row>
    <row r="363" spans="1:10" ht="15">
      <c r="A363" s="17" t="s">
        <v>734</v>
      </c>
      <c r="B363" s="315"/>
      <c r="C363" s="315"/>
      <c r="D363" s="315"/>
      <c r="E363" s="315"/>
      <c r="F363" s="315"/>
      <c r="G363" s="240">
        <f t="shared" si="2"/>
        <v>0</v>
      </c>
      <c r="H363" s="240">
        <f>G363*C363</f>
        <v>0</v>
      </c>
      <c r="I363" s="240">
        <f t="shared" si="4"/>
        <v>0</v>
      </c>
      <c r="J363" s="1063"/>
    </row>
    <row r="364" spans="2:6" ht="15">
      <c r="B364" s="19"/>
      <c r="E364" s="19"/>
      <c r="F364" s="19"/>
    </row>
    <row r="365" spans="2:8" ht="15.75" thickBot="1">
      <c r="B365" s="42" t="s">
        <v>381</v>
      </c>
      <c r="C365" s="42">
        <f>SUM(C344:C363)</f>
        <v>0</v>
      </c>
      <c r="G365" s="45"/>
      <c r="H365" s="276">
        <f>SUM(H344:H363)</f>
        <v>0</v>
      </c>
    </row>
    <row r="366" spans="3:7" ht="15.75" thickTop="1">
      <c r="C366" s="19"/>
      <c r="G366" s="45"/>
    </row>
    <row r="367" spans="7:9" ht="15.75" thickBot="1">
      <c r="G367" s="42" t="s">
        <v>382</v>
      </c>
      <c r="H367" s="45"/>
      <c r="I367" s="276">
        <f>SUM(I344:I363)</f>
        <v>0</v>
      </c>
    </row>
    <row r="368" ht="15.75" thickTop="1">
      <c r="H368" s="45"/>
    </row>
    <row r="369" spans="1:2" ht="15">
      <c r="A369" s="9" t="s">
        <v>383</v>
      </c>
      <c r="B369" s="4" t="s">
        <v>385</v>
      </c>
    </row>
    <row r="370" ht="15">
      <c r="B370" s="4" t="s">
        <v>386</v>
      </c>
    </row>
    <row r="371" spans="1:6" ht="15">
      <c r="A371" s="9" t="s">
        <v>387</v>
      </c>
      <c r="B371" s="4" t="s">
        <v>388</v>
      </c>
      <c r="F371" s="42" t="s">
        <v>918</v>
      </c>
    </row>
    <row r="372" spans="2:7" ht="15">
      <c r="B372" s="4" t="s">
        <v>389</v>
      </c>
      <c r="G372" s="22" t="s">
        <v>917</v>
      </c>
    </row>
    <row r="373" ht="15">
      <c r="B373" s="4" t="s">
        <v>390</v>
      </c>
    </row>
    <row r="374" ht="15">
      <c r="B374" s="4" t="s">
        <v>391</v>
      </c>
    </row>
    <row r="375" ht="15">
      <c r="B375" s="42" t="s">
        <v>1286</v>
      </c>
    </row>
    <row r="376" spans="1:2" ht="15">
      <c r="A376" s="9" t="s">
        <v>392</v>
      </c>
      <c r="B376" s="4" t="s">
        <v>393</v>
      </c>
    </row>
    <row r="377" ht="15">
      <c r="B377" s="4" t="s">
        <v>394</v>
      </c>
    </row>
    <row r="382" ht="15">
      <c r="D382" s="22" t="s">
        <v>405</v>
      </c>
    </row>
    <row r="383" spans="8:10" ht="15">
      <c r="H383" s="26" t="s">
        <v>407</v>
      </c>
      <c r="I383" s="1739" t="s">
        <v>1593</v>
      </c>
      <c r="J383" s="26" t="s">
        <v>408</v>
      </c>
    </row>
    <row r="384" spans="1:10" ht="15">
      <c r="A384" s="25" t="s">
        <v>409</v>
      </c>
      <c r="B384" s="22" t="s">
        <v>410</v>
      </c>
      <c r="E384" s="42" t="s">
        <v>411</v>
      </c>
      <c r="F384" s="114" t="s">
        <v>709</v>
      </c>
      <c r="G384" s="42"/>
      <c r="H384" s="109" t="s">
        <v>710</v>
      </c>
      <c r="I384" s="1740"/>
      <c r="J384" s="109" t="s">
        <v>412</v>
      </c>
    </row>
    <row r="385" spans="2:10" ht="15">
      <c r="B385" s="4" t="s">
        <v>503</v>
      </c>
      <c r="D385" s="298"/>
      <c r="F385" s="45" t="s">
        <v>504</v>
      </c>
      <c r="H385" s="316"/>
      <c r="I385" s="1159"/>
      <c r="J385" s="316"/>
    </row>
    <row r="386" spans="2:10" ht="15">
      <c r="B386" s="4" t="s">
        <v>505</v>
      </c>
      <c r="D386" s="316"/>
      <c r="F386" s="4" t="s">
        <v>506</v>
      </c>
      <c r="H386" s="316"/>
      <c r="I386" s="1159"/>
      <c r="J386" s="316"/>
    </row>
    <row r="387" spans="2:10" ht="15">
      <c r="B387" s="4" t="s">
        <v>507</v>
      </c>
      <c r="D387" s="316"/>
      <c r="F387" s="4" t="s">
        <v>508</v>
      </c>
      <c r="H387" s="316"/>
      <c r="I387" s="1159"/>
      <c r="J387" s="316"/>
    </row>
    <row r="388" spans="2:10" ht="15">
      <c r="B388" s="4" t="s">
        <v>509</v>
      </c>
      <c r="D388" s="316"/>
      <c r="F388" s="4" t="s">
        <v>507</v>
      </c>
      <c r="H388" s="316"/>
      <c r="I388" s="1159"/>
      <c r="J388" s="316"/>
    </row>
    <row r="389" spans="2:10" ht="15">
      <c r="B389" s="4" t="s">
        <v>510</v>
      </c>
      <c r="D389" s="316"/>
      <c r="F389" s="4" t="s">
        <v>511</v>
      </c>
      <c r="H389" s="19"/>
      <c r="I389" s="1159"/>
      <c r="J389" s="316"/>
    </row>
    <row r="390" spans="2:10" ht="15">
      <c r="B390" s="4" t="s">
        <v>512</v>
      </c>
      <c r="D390" s="316"/>
      <c r="E390" s="45"/>
      <c r="F390" s="4" t="s">
        <v>513</v>
      </c>
      <c r="I390" s="1159"/>
      <c r="J390" s="316"/>
    </row>
    <row r="391" spans="2:10" ht="15">
      <c r="B391" s="4" t="s">
        <v>514</v>
      </c>
      <c r="D391" s="316"/>
      <c r="E391" s="46"/>
      <c r="F391" s="4" t="s">
        <v>515</v>
      </c>
      <c r="I391" s="1160"/>
      <c r="J391" s="316"/>
    </row>
    <row r="392" spans="2:10" ht="15">
      <c r="B392" s="4" t="s">
        <v>517</v>
      </c>
      <c r="D392" s="316"/>
      <c r="F392" s="4" t="s">
        <v>1433</v>
      </c>
      <c r="J392" s="316"/>
    </row>
    <row r="393" spans="2:10" ht="15">
      <c r="B393" s="4" t="s">
        <v>518</v>
      </c>
      <c r="D393" s="316"/>
      <c r="E393" s="46"/>
      <c r="F393" s="318" t="s">
        <v>325</v>
      </c>
      <c r="G393" s="20"/>
      <c r="J393" s="316"/>
    </row>
    <row r="394" spans="2:10" ht="15">
      <c r="B394" s="4" t="s">
        <v>519</v>
      </c>
      <c r="D394" s="320"/>
      <c r="F394" s="319" t="s">
        <v>325</v>
      </c>
      <c r="G394" s="20"/>
      <c r="J394" s="317"/>
    </row>
    <row r="395" spans="2:10" ht="15">
      <c r="B395" s="319" t="s">
        <v>325</v>
      </c>
      <c r="C395" s="20"/>
      <c r="D395" s="298"/>
      <c r="J395" s="18"/>
    </row>
    <row r="396" spans="1:7" ht="15">
      <c r="A396" s="515" t="s">
        <v>1588</v>
      </c>
      <c r="B396" s="1190"/>
      <c r="C396" s="1190"/>
      <c r="D396" s="1189"/>
      <c r="E396" s="1091"/>
      <c r="F396" s="1091"/>
      <c r="G396" s="1091"/>
    </row>
    <row r="397" spans="1:7" ht="15">
      <c r="A397" s="25" t="s">
        <v>1589</v>
      </c>
      <c r="B397" s="1091"/>
      <c r="C397" s="1079"/>
      <c r="D397" s="42" t="s">
        <v>1590</v>
      </c>
      <c r="E397" s="42"/>
      <c r="F397" s="1079"/>
      <c r="G397" s="1091"/>
    </row>
    <row r="398" spans="1:7" ht="15">
      <c r="A398" s="42" t="s">
        <v>1591</v>
      </c>
      <c r="B398" s="42"/>
      <c r="C398" s="1079"/>
      <c r="D398" s="25" t="s">
        <v>1592</v>
      </c>
      <c r="E398" s="42"/>
      <c r="F398" s="1079"/>
      <c r="G398" s="42"/>
    </row>
    <row r="399" ht="15">
      <c r="A399" s="21"/>
    </row>
    <row r="400" spans="3:9" ht="15">
      <c r="C400" s="20"/>
      <c r="D400" s="20"/>
      <c r="E400" s="20"/>
      <c r="F400" s="20"/>
      <c r="G400" s="20"/>
      <c r="H400" s="20"/>
      <c r="I400" s="20"/>
    </row>
    <row r="401" ht="15">
      <c r="A401" s="21" t="s">
        <v>520</v>
      </c>
    </row>
    <row r="402" ht="15">
      <c r="A402" s="9" t="s">
        <v>522</v>
      </c>
    </row>
    <row r="403" spans="1:9" ht="15">
      <c r="A403" s="1722"/>
      <c r="B403" s="1743"/>
      <c r="C403" s="1743"/>
      <c r="D403" s="1743"/>
      <c r="E403" s="1743"/>
      <c r="F403" s="1743"/>
      <c r="G403" s="1743"/>
      <c r="H403" s="1743"/>
      <c r="I403" s="1743"/>
    </row>
    <row r="404" spans="1:9" ht="15">
      <c r="A404" s="1722"/>
      <c r="B404" s="1743"/>
      <c r="C404" s="1743"/>
      <c r="D404" s="1743"/>
      <c r="E404" s="1743"/>
      <c r="F404" s="1743"/>
      <c r="G404" s="1743"/>
      <c r="H404" s="1743"/>
      <c r="I404" s="1743"/>
    </row>
    <row r="405" spans="1:9" ht="15">
      <c r="A405" s="1722"/>
      <c r="B405" s="1743"/>
      <c r="C405" s="1743"/>
      <c r="D405" s="1743"/>
      <c r="E405" s="1743"/>
      <c r="F405" s="1743"/>
      <c r="G405" s="1743"/>
      <c r="H405" s="1743"/>
      <c r="I405" s="1743"/>
    </row>
    <row r="406" spans="1:9" ht="15">
      <c r="A406" s="47"/>
      <c r="B406" s="36"/>
      <c r="C406" s="36"/>
      <c r="D406" s="36"/>
      <c r="E406" s="36"/>
      <c r="F406" s="36"/>
      <c r="G406" s="36"/>
      <c r="H406" s="36"/>
      <c r="I406" s="36"/>
    </row>
    <row r="420" ht="22.5">
      <c r="A420" s="80" t="s">
        <v>523</v>
      </c>
    </row>
    <row r="421" ht="15">
      <c r="J421" s="10"/>
    </row>
    <row r="422" ht="15">
      <c r="J422" s="20"/>
    </row>
    <row r="423" spans="2:7" ht="15">
      <c r="B423" s="122" t="str">
        <f>B253</f>
        <v>  Borrowing Entity:</v>
      </c>
      <c r="C423" s="128">
        <f>C253</f>
        <v>0</v>
      </c>
      <c r="D423" s="128"/>
      <c r="F423" s="15" t="s">
        <v>1346</v>
      </c>
      <c r="G423" s="4">
        <f>G7:G7</f>
        <v>0</v>
      </c>
    </row>
    <row r="424" spans="2:10" ht="15">
      <c r="B424" s="45"/>
      <c r="C424" s="45"/>
      <c r="E424" s="15"/>
      <c r="F424" s="9" t="s">
        <v>1356</v>
      </c>
      <c r="G424" s="1087">
        <f>G9:G9</f>
        <v>0</v>
      </c>
      <c r="H424" s="43"/>
      <c r="J424" s="1086">
        <f>G8</f>
        <v>0</v>
      </c>
    </row>
    <row r="425" spans="2:10" ht="15">
      <c r="B425" s="9" t="s">
        <v>259</v>
      </c>
      <c r="C425" s="4">
        <f>C12:C12</f>
        <v>0</v>
      </c>
      <c r="D425" s="128"/>
      <c r="E425" s="15"/>
      <c r="F425" s="9" t="s">
        <v>1360</v>
      </c>
      <c r="G425" s="1087">
        <f>G255:G255</f>
        <v>0</v>
      </c>
      <c r="H425" s="43"/>
      <c r="J425" s="20"/>
    </row>
    <row r="426" spans="2:10" ht="15">
      <c r="B426" s="19"/>
      <c r="C426" s="19"/>
      <c r="F426" s="1091" t="s">
        <v>1696</v>
      </c>
      <c r="G426" s="19"/>
      <c r="J426" s="33" t="s">
        <v>105</v>
      </c>
    </row>
    <row r="427" ht="15">
      <c r="A427" s="25" t="s">
        <v>524</v>
      </c>
    </row>
    <row r="428" spans="2:6" ht="15">
      <c r="B428" s="4" t="s">
        <v>525</v>
      </c>
      <c r="E428" s="15" t="s">
        <v>526</v>
      </c>
      <c r="F428" s="30">
        <f>I367</f>
        <v>0</v>
      </c>
    </row>
    <row r="429" spans="2:6" ht="15">
      <c r="B429" s="4" t="s">
        <v>693</v>
      </c>
      <c r="C429" s="15" t="s">
        <v>694</v>
      </c>
      <c r="D429" s="321"/>
      <c r="E429" s="4" t="s">
        <v>527</v>
      </c>
      <c r="F429" s="30">
        <f>GROSRENT*(VACANCY_PERC/100)</f>
        <v>0</v>
      </c>
    </row>
    <row r="430" spans="2:6" ht="15">
      <c r="B430" s="4" t="s">
        <v>528</v>
      </c>
      <c r="F430" s="30">
        <f>SUM(F428-VACANCY)</f>
        <v>0</v>
      </c>
    </row>
    <row r="432" spans="2:6" ht="15">
      <c r="B432" s="4" t="s">
        <v>529</v>
      </c>
      <c r="D432" s="495">
        <f>IF(G69&lt;&gt;0,F432/G69,0)</f>
        <v>0</v>
      </c>
      <c r="E432" s="15" t="s">
        <v>1280</v>
      </c>
      <c r="F432" s="311"/>
    </row>
    <row r="433" spans="2:6" ht="15">
      <c r="B433" s="4" t="s">
        <v>531</v>
      </c>
      <c r="D433" s="494">
        <f>IF(G68&lt;&gt;0,F433/G68,0)</f>
        <v>0</v>
      </c>
      <c r="E433" s="15" t="s">
        <v>1279</v>
      </c>
      <c r="F433" s="314"/>
    </row>
    <row r="434" spans="2:6" ht="15">
      <c r="B434" s="4" t="s">
        <v>540</v>
      </c>
      <c r="D434" s="302"/>
      <c r="E434" s="20" t="s">
        <v>370</v>
      </c>
      <c r="F434" s="30">
        <f>SUM(F432:F433)*(D434/100)</f>
        <v>0</v>
      </c>
    </row>
    <row r="435" spans="2:6" ht="15">
      <c r="B435" s="4" t="s">
        <v>541</v>
      </c>
      <c r="F435" s="30">
        <f>(+F432+F433)-F434</f>
        <v>0</v>
      </c>
    </row>
    <row r="437" spans="2:6" ht="15">
      <c r="B437" s="4" t="s">
        <v>542</v>
      </c>
      <c r="E437" s="15" t="s">
        <v>526</v>
      </c>
      <c r="F437" s="4">
        <f>NET_OTHR_RENTAL+NET_APT_RENTS</f>
        <v>0</v>
      </c>
    </row>
    <row r="438" ht="15">
      <c r="F438" s="19"/>
    </row>
    <row r="439" ht="15">
      <c r="A439" s="25" t="s">
        <v>543</v>
      </c>
    </row>
    <row r="440" spans="2:6" ht="15">
      <c r="B440" s="4" t="s">
        <v>544</v>
      </c>
      <c r="E440" s="15" t="s">
        <v>526</v>
      </c>
      <c r="F440" s="311"/>
    </row>
    <row r="441" spans="1:6" ht="15">
      <c r="A441" s="18"/>
      <c r="B441" s="319" t="s">
        <v>325</v>
      </c>
      <c r="C441" s="20"/>
      <c r="D441" s="20"/>
      <c r="F441" s="311"/>
    </row>
    <row r="442" spans="2:6" ht="15">
      <c r="B442" s="4" t="s">
        <v>545</v>
      </c>
      <c r="E442" s="15" t="s">
        <v>526</v>
      </c>
      <c r="F442" s="30">
        <f>SUM(F440:F441)</f>
        <v>0</v>
      </c>
    </row>
    <row r="444" spans="2:8" ht="15.75" thickBot="1">
      <c r="B444" s="48" t="s">
        <v>546</v>
      </c>
      <c r="D444" s="38"/>
      <c r="E444" s="38"/>
      <c r="F444" s="38"/>
      <c r="G444" s="40" t="s">
        <v>526</v>
      </c>
      <c r="H444" s="49">
        <f>F437+(F442)</f>
        <v>0</v>
      </c>
    </row>
    <row r="445" ht="15.75" thickTop="1">
      <c r="H445" s="19"/>
    </row>
    <row r="446" ht="15">
      <c r="A446" s="25" t="s">
        <v>547</v>
      </c>
    </row>
    <row r="447" spans="2:6" ht="15">
      <c r="B447" s="4" t="s">
        <v>735</v>
      </c>
      <c r="C447" s="4" t="s">
        <v>736</v>
      </c>
      <c r="E447" s="15" t="s">
        <v>241</v>
      </c>
      <c r="F447" s="30">
        <f>D275:D275</f>
        <v>0</v>
      </c>
    </row>
    <row r="448" spans="2:6" ht="15">
      <c r="B448" s="4" t="s">
        <v>737</v>
      </c>
      <c r="C448" s="4" t="s">
        <v>744</v>
      </c>
      <c r="F448" s="30">
        <f>J274:J274</f>
        <v>0</v>
      </c>
    </row>
    <row r="449" spans="2:6" ht="15">
      <c r="B449" s="4" t="s">
        <v>738</v>
      </c>
      <c r="C449" s="4" t="s">
        <v>739</v>
      </c>
      <c r="F449" s="30">
        <f>TOT_M_R</f>
        <v>0</v>
      </c>
    </row>
    <row r="450" spans="2:6" ht="15">
      <c r="B450" s="4" t="s">
        <v>742</v>
      </c>
      <c r="C450" s="4" t="s">
        <v>743</v>
      </c>
      <c r="F450" s="30">
        <f>I288:I288</f>
        <v>0</v>
      </c>
    </row>
    <row r="451" spans="2:9" ht="15">
      <c r="B451" s="4" t="s">
        <v>740</v>
      </c>
      <c r="C451" s="4" t="s">
        <v>741</v>
      </c>
      <c r="F451" s="30">
        <f>I298:I298</f>
        <v>0</v>
      </c>
      <c r="G451" s="16"/>
      <c r="H451" s="16"/>
      <c r="I451" s="16"/>
    </row>
    <row r="452" spans="2:9" ht="15">
      <c r="B452" s="4" t="s">
        <v>695</v>
      </c>
      <c r="C452" s="1084">
        <f>IF(C365&lt;&gt;0,(F452/C365/12),0)</f>
        <v>0</v>
      </c>
      <c r="D452" s="45" t="s">
        <v>681</v>
      </c>
      <c r="F452" s="300"/>
      <c r="G452" s="1189" t="s">
        <v>1714</v>
      </c>
      <c r="H452" s="16"/>
      <c r="I452" s="16"/>
    </row>
    <row r="453" spans="2:6" ht="15">
      <c r="B453" s="4" t="s">
        <v>1228</v>
      </c>
      <c r="C453" s="9"/>
      <c r="D453" s="658"/>
      <c r="E453" s="4" t="s">
        <v>20</v>
      </c>
      <c r="F453" s="35">
        <f>F435*(D453/100)</f>
        <v>0</v>
      </c>
    </row>
    <row r="454" spans="2:6" ht="15">
      <c r="B454" s="4" t="s">
        <v>750</v>
      </c>
      <c r="C454" s="4" t="s">
        <v>751</v>
      </c>
      <c r="F454" s="111">
        <f>IF(G310=0,E310,G310)</f>
        <v>0</v>
      </c>
    </row>
    <row r="455" spans="2:7" ht="15">
      <c r="B455" s="4" t="s">
        <v>548</v>
      </c>
      <c r="C455" s="308"/>
      <c r="D455" s="4" t="s">
        <v>1224</v>
      </c>
      <c r="F455" s="663">
        <f>C455*C29</f>
        <v>0</v>
      </c>
      <c r="G455" s="42" t="s">
        <v>1514</v>
      </c>
    </row>
    <row r="456" spans="2:7" ht="15">
      <c r="B456" s="4" t="s">
        <v>549</v>
      </c>
      <c r="G456" s="4">
        <v>0</v>
      </c>
    </row>
    <row r="457" spans="2:6" ht="15">
      <c r="B457" s="18"/>
      <c r="C457" s="1206">
        <f>IF(AND(F457&lt;&gt;0,C29&lt;&gt;0),F457/C29,0)</f>
        <v>0</v>
      </c>
      <c r="D457" s="4" t="s">
        <v>681</v>
      </c>
      <c r="F457" s="1083">
        <f>IF(C29&lt;50,525*C29,IF(AND(C23&lt;&gt;"",OR(G22&lt;&gt;"",G23&lt;&gt;"")),390*C29,IF(AND(C23&lt;&gt;"",OR(G23&lt;&gt;"",G25&lt;&gt;"",G26&lt;&gt;"",G27&lt;&gt;"")),440*C29,IF(AND(C22&lt;&gt;"",OR(G22&lt;&gt;"",G23&lt;&gt;"")),440*C29,IF(AND(C22&lt;&gt;"",OR(G24&lt;&gt;"",G25&lt;&gt;"",G26&lt;&gt;"",G27&lt;&gt;"")),490*C29,440*C29)))))</f>
        <v>0</v>
      </c>
    </row>
    <row r="458" ht="15">
      <c r="F458" s="19"/>
    </row>
    <row r="459" spans="2:8" ht="15.75" thickBot="1">
      <c r="B459" s="48" t="s">
        <v>550</v>
      </c>
      <c r="C459" s="38"/>
      <c r="D459" s="38"/>
      <c r="E459" s="38"/>
      <c r="F459" s="38"/>
      <c r="G459" s="40" t="s">
        <v>526</v>
      </c>
      <c r="H459" s="49">
        <f>SUM(F447:F458)</f>
        <v>0</v>
      </c>
    </row>
    <row r="460" ht="15.75" thickTop="1">
      <c r="F460" s="4">
        <v>0</v>
      </c>
    </row>
    <row r="461" spans="1:8" ht="15.75" thickBot="1">
      <c r="A461" s="25" t="s">
        <v>551</v>
      </c>
      <c r="G461" s="15" t="s">
        <v>526</v>
      </c>
      <c r="H461" s="1085">
        <f>ROUND(H444-(+H459:H459),0)</f>
        <v>0</v>
      </c>
    </row>
    <row r="462" spans="1:8" ht="15.75" thickTop="1">
      <c r="A462" s="25" t="s">
        <v>552</v>
      </c>
      <c r="H462" s="50"/>
    </row>
    <row r="463" spans="1:6" ht="15">
      <c r="A463" s="9" t="s">
        <v>696</v>
      </c>
      <c r="E463" s="15" t="s">
        <v>553</v>
      </c>
      <c r="F463" s="30">
        <f>IF(AND(J225:J225&gt;1,C334&lt;&gt;0,C335&lt;&gt;0,C336&lt;&gt;0),PMT((C334/100)/M338,C335*M338,-+J225:J225)*M338,0)</f>
        <v>0</v>
      </c>
    </row>
    <row r="464" spans="1:6" ht="15">
      <c r="A464" s="9" t="s">
        <v>697</v>
      </c>
      <c r="D464" s="322"/>
      <c r="E464" s="4" t="s">
        <v>762</v>
      </c>
      <c r="F464" s="111">
        <f>J225*(+D464/100)</f>
        <v>0</v>
      </c>
    </row>
    <row r="465" spans="1:13" ht="15">
      <c r="A465" s="9" t="s">
        <v>704</v>
      </c>
      <c r="D465" s="323"/>
      <c r="E465" s="4" t="s">
        <v>762</v>
      </c>
      <c r="F465" s="659">
        <f>J225*(+D465/100)</f>
        <v>0</v>
      </c>
      <c r="L465" s="7" t="s">
        <v>554</v>
      </c>
      <c r="M465" s="7">
        <f>IF(G106="Y",H526,0)</f>
        <v>0</v>
      </c>
    </row>
    <row r="466" spans="1:13" ht="15">
      <c r="A466" s="4" t="s">
        <v>1320</v>
      </c>
      <c r="D466" s="45"/>
      <c r="L466" s="7" t="s">
        <v>555</v>
      </c>
      <c r="M466" s="7">
        <f>IF(G107="Y",H542,0)</f>
        <v>0</v>
      </c>
    </row>
    <row r="467" spans="2:6" ht="15">
      <c r="B467" s="6" t="s">
        <v>1321</v>
      </c>
      <c r="C467" s="122" t="s">
        <v>115</v>
      </c>
      <c r="D467" s="501"/>
      <c r="E467" s="15" t="s">
        <v>115</v>
      </c>
      <c r="F467" s="130">
        <f>D467</f>
        <v>0</v>
      </c>
    </row>
    <row r="468" spans="2:13" ht="15">
      <c r="B468" s="42" t="s">
        <v>557</v>
      </c>
      <c r="E468" s="15" t="s">
        <v>553</v>
      </c>
      <c r="F468" s="81">
        <f>SUM(F463:F467)</f>
        <v>0</v>
      </c>
      <c r="G468" s="4">
        <v>0</v>
      </c>
      <c r="L468" s="7" t="s">
        <v>556</v>
      </c>
      <c r="M468" s="7">
        <f>IF(G108="Y",H559,0)</f>
        <v>0</v>
      </c>
    </row>
    <row r="469" spans="5:13" ht="15">
      <c r="E469" s="15"/>
      <c r="F469" s="19"/>
      <c r="L469" s="7" t="s">
        <v>558</v>
      </c>
      <c r="M469" s="7">
        <f>IF(G109="Y",H575,0)</f>
        <v>0</v>
      </c>
    </row>
    <row r="470" spans="2:13" ht="15">
      <c r="B470" s="4" t="s">
        <v>671</v>
      </c>
      <c r="D470" s="6"/>
      <c r="E470" s="15"/>
      <c r="L470" s="7" t="s">
        <v>559</v>
      </c>
      <c r="M470" s="7">
        <f>IF(G110="Y",H599,0)</f>
        <v>0</v>
      </c>
    </row>
    <row r="471" spans="2:13" ht="15">
      <c r="B471" s="660" t="s">
        <v>1322</v>
      </c>
      <c r="C471" s="122"/>
      <c r="D471" s="6"/>
      <c r="E471" s="15" t="s">
        <v>553</v>
      </c>
      <c r="F471" s="313"/>
      <c r="L471" s="7" t="s">
        <v>560</v>
      </c>
      <c r="M471" s="7">
        <f>IF(G113="Y",H615,0)</f>
        <v>0</v>
      </c>
    </row>
    <row r="472" spans="12:13" ht="15">
      <c r="L472" s="7" t="s">
        <v>561</v>
      </c>
      <c r="M472" s="51">
        <f>SUM(M465:M471)</f>
        <v>0</v>
      </c>
    </row>
    <row r="473" spans="2:8" ht="15.75" thickBot="1">
      <c r="B473" s="48" t="s">
        <v>562</v>
      </c>
      <c r="C473" s="38"/>
      <c r="D473" s="38"/>
      <c r="E473" s="38"/>
      <c r="F473" s="38"/>
      <c r="G473" s="40" t="s">
        <v>526</v>
      </c>
      <c r="H473" s="52">
        <f>F468+F471</f>
        <v>0</v>
      </c>
    </row>
    <row r="474" ht="15.75" thickTop="1">
      <c r="G474" s="15"/>
    </row>
    <row r="475" spans="1:8" ht="15.75" thickBot="1">
      <c r="A475" s="53" t="s">
        <v>563</v>
      </c>
      <c r="C475" s="38"/>
      <c r="D475" s="38"/>
      <c r="E475" s="38"/>
      <c r="F475" s="38"/>
      <c r="G475" s="40" t="s">
        <v>526</v>
      </c>
      <c r="H475" s="49">
        <f>H461-(+H473)</f>
        <v>0</v>
      </c>
    </row>
    <row r="476" ht="15.75" thickTop="1">
      <c r="G476" s="4">
        <v>0</v>
      </c>
    </row>
    <row r="477" spans="1:8" ht="15">
      <c r="A477" s="9" t="s">
        <v>752</v>
      </c>
      <c r="D477" s="321"/>
      <c r="E477" s="4" t="s">
        <v>564</v>
      </c>
      <c r="F477" s="4">
        <f>SPONSOR_EQUITY+RETURN_ONEQ_AMT</f>
        <v>0</v>
      </c>
      <c r="G477" s="9" t="s">
        <v>565</v>
      </c>
      <c r="H477" s="4">
        <f>F477*(D477/100)</f>
        <v>0</v>
      </c>
    </row>
    <row r="478" spans="4:13" ht="15.75" thickBot="1">
      <c r="D478" s="19"/>
      <c r="F478" s="19"/>
      <c r="H478" s="19"/>
      <c r="M478" s="7">
        <f>IF(G106="n",J106,0)</f>
        <v>0</v>
      </c>
    </row>
    <row r="479" spans="1:13" ht="16.5" thickBot="1" thickTop="1">
      <c r="A479" s="53" t="s">
        <v>566</v>
      </c>
      <c r="C479" s="38"/>
      <c r="D479" s="38"/>
      <c r="E479" s="38"/>
      <c r="F479" s="38"/>
      <c r="G479" s="40" t="s">
        <v>526</v>
      </c>
      <c r="H479" s="54">
        <f>H475-(H477)</f>
        <v>0</v>
      </c>
      <c r="M479" s="7">
        <f>IF(G107="n",J107,0)</f>
        <v>0</v>
      </c>
    </row>
    <row r="480" spans="8:13" ht="15.75" thickTop="1">
      <c r="H480" s="50"/>
      <c r="M480" s="7">
        <f>IF(G108="n",J108,0)</f>
        <v>0</v>
      </c>
    </row>
    <row r="481" spans="1:13" ht="15">
      <c r="A481" s="25" t="s">
        <v>567</v>
      </c>
      <c r="M481" s="7">
        <f>IF(G109="n",J109,0)</f>
        <v>0</v>
      </c>
    </row>
    <row r="482" spans="1:13" ht="15">
      <c r="A482" s="25"/>
      <c r="M482" s="7">
        <f>IF(G110="n",J110,0)</f>
        <v>0</v>
      </c>
    </row>
    <row r="483" ht="15">
      <c r="A483" s="25"/>
    </row>
    <row r="484" ht="15">
      <c r="A484" s="25"/>
    </row>
    <row r="486" spans="3:13" ht="15">
      <c r="C486" s="4" t="s">
        <v>568</v>
      </c>
      <c r="M486" s="7">
        <f>IF(G113="n",J113,0)</f>
        <v>0</v>
      </c>
    </row>
    <row r="487" spans="2:13" ht="15.75" thickBot="1">
      <c r="B487" s="4" t="s">
        <v>569</v>
      </c>
      <c r="C487" s="19" t="s">
        <v>570</v>
      </c>
      <c r="D487" s="19"/>
      <c r="E487" s="19"/>
      <c r="F487" s="4" t="s">
        <v>571</v>
      </c>
      <c r="G487" s="86">
        <f>IF(AGENCY_DEBTSERV&gt;1,NET_OPERATING/AGENCY_DEBTSERV,0)</f>
        <v>0</v>
      </c>
      <c r="M487" s="7">
        <f>SUM(M478:M486)</f>
        <v>0</v>
      </c>
    </row>
    <row r="488" ht="15.75" thickTop="1">
      <c r="M488" s="7" t="s">
        <v>572</v>
      </c>
    </row>
    <row r="490" spans="8:13" ht="15">
      <c r="H490" s="5" t="s">
        <v>574</v>
      </c>
      <c r="M490" s="7" t="s">
        <v>573</v>
      </c>
    </row>
    <row r="491" spans="3:18" ht="21" thickBot="1">
      <c r="C491" s="55"/>
      <c r="D491" s="20"/>
      <c r="E491" s="20"/>
      <c r="H491" s="5" t="s">
        <v>678</v>
      </c>
      <c r="M491" s="7" t="s">
        <v>575</v>
      </c>
      <c r="R491" s="7">
        <v>0</v>
      </c>
    </row>
    <row r="492" spans="8:21" ht="25.5" thickBot="1" thickTop="1">
      <c r="H492" s="58">
        <f>MORTGAGE</f>
        <v>0</v>
      </c>
      <c r="I492" s="20"/>
      <c r="M492" s="56">
        <f>NET_OPERATING/DSR</f>
        <v>0</v>
      </c>
      <c r="Q492" s="57" t="s">
        <v>576</v>
      </c>
      <c r="R492" s="8"/>
      <c r="S492" s="55"/>
      <c r="T492" s="20"/>
      <c r="U492" s="20"/>
    </row>
    <row r="493" spans="9:23" ht="37.5" thickTop="1">
      <c r="I493" s="20"/>
      <c r="Q493" s="59" t="s">
        <v>24</v>
      </c>
      <c r="R493" s="60"/>
      <c r="T493" s="61"/>
      <c r="U493" s="20"/>
      <c r="W493" s="20"/>
    </row>
    <row r="494" spans="8:23" ht="24">
      <c r="H494" s="20"/>
      <c r="I494" s="20"/>
      <c r="M494" s="7" t="s">
        <v>577</v>
      </c>
      <c r="Q494" s="57" t="s">
        <v>578</v>
      </c>
      <c r="R494" s="62" t="s">
        <v>579</v>
      </c>
      <c r="S494" s="63"/>
      <c r="T494" s="64"/>
      <c r="U494" s="20"/>
      <c r="V494" s="20"/>
      <c r="W494" s="20"/>
    </row>
    <row r="495" spans="8:23" ht="22.5">
      <c r="H495" s="20"/>
      <c r="M495" s="7" t="s">
        <v>580</v>
      </c>
      <c r="Q495" s="28"/>
      <c r="R495" s="8"/>
      <c r="S495" s="20"/>
      <c r="T495" s="64"/>
      <c r="U495" s="20"/>
      <c r="V495" s="20"/>
      <c r="W495" s="20"/>
    </row>
    <row r="496" spans="8:23" ht="36.75">
      <c r="H496" s="20"/>
      <c r="Q496" s="28"/>
      <c r="R496" s="8"/>
      <c r="S496" s="20"/>
      <c r="T496" s="65"/>
      <c r="U496" s="66"/>
      <c r="V496" s="20"/>
      <c r="W496" s="61"/>
    </row>
    <row r="497" ht="15">
      <c r="E497" s="109"/>
    </row>
    <row r="498" spans="5:13" ht="15">
      <c r="E498" s="109"/>
      <c r="M498" s="7" t="s">
        <v>24</v>
      </c>
    </row>
    <row r="499" ht="15">
      <c r="M499" s="85">
        <v>1.149999976158142</v>
      </c>
    </row>
    <row r="500" ht="15">
      <c r="O500" s="7">
        <v>0</v>
      </c>
    </row>
    <row r="502" spans="3:7" ht="15">
      <c r="C502" s="342"/>
      <c r="D502" s="342"/>
      <c r="E502" s="342"/>
      <c r="F502" s="342"/>
      <c r="G502" s="9"/>
    </row>
    <row r="503" spans="3:7" ht="15">
      <c r="C503" s="9"/>
      <c r="D503" s="9"/>
      <c r="E503" s="9"/>
      <c r="F503" s="9"/>
      <c r="G503" s="9"/>
    </row>
    <row r="504" spans="3:15" ht="15">
      <c r="C504" s="9"/>
      <c r="D504" s="9"/>
      <c r="E504" s="9"/>
      <c r="F504" s="9"/>
      <c r="G504" s="9"/>
      <c r="O504" s="7">
        <f>S494:S494</f>
        <v>0</v>
      </c>
    </row>
    <row r="505" spans="3:15" ht="15">
      <c r="C505" s="9"/>
      <c r="D505" s="9"/>
      <c r="E505" s="9"/>
      <c r="F505" s="9"/>
      <c r="G505" s="9"/>
      <c r="O505" s="7">
        <f>M492:M492</f>
        <v>0</v>
      </c>
    </row>
    <row r="506" spans="3:7" ht="15">
      <c r="C506" s="9"/>
      <c r="D506" s="9"/>
      <c r="E506" s="9"/>
      <c r="F506" s="9"/>
      <c r="G506" s="9"/>
    </row>
    <row r="507" spans="3:7" ht="15">
      <c r="C507" s="9"/>
      <c r="D507" s="9"/>
      <c r="E507" s="9"/>
      <c r="F507" s="9"/>
      <c r="G507" s="9"/>
    </row>
    <row r="508" spans="1:7" ht="22.5">
      <c r="A508" s="88"/>
      <c r="C508" s="90"/>
      <c r="D508" s="9"/>
      <c r="E508" s="90"/>
      <c r="F508" s="90"/>
      <c r="G508" s="9"/>
    </row>
    <row r="509" spans="1:10" ht="16.5" customHeight="1">
      <c r="A509" s="90"/>
      <c r="C509" s="90"/>
      <c r="D509" s="9"/>
      <c r="E509" s="90"/>
      <c r="F509" s="90"/>
      <c r="G509" s="9"/>
      <c r="J509" s="10"/>
    </row>
    <row r="510" spans="1:10" ht="15">
      <c r="A510" s="90"/>
      <c r="C510" s="90"/>
      <c r="D510" s="9"/>
      <c r="E510" s="90"/>
      <c r="F510" s="90"/>
      <c r="G510" s="9"/>
      <c r="J510" s="20"/>
    </row>
    <row r="511" spans="1:7" ht="15">
      <c r="A511" s="90"/>
      <c r="C511" s="90"/>
      <c r="D511" s="9"/>
      <c r="E511" s="90"/>
      <c r="F511" s="90"/>
      <c r="G511" s="9"/>
    </row>
    <row r="512" spans="1:8" ht="15">
      <c r="A512" s="90"/>
      <c r="B512" s="89"/>
      <c r="C512" s="89"/>
      <c r="D512" s="89"/>
      <c r="E512" s="89"/>
      <c r="F512" s="89"/>
      <c r="G512" s="89"/>
      <c r="H512" s="89"/>
    </row>
    <row r="513" spans="1:8" ht="15">
      <c r="A513" s="90"/>
      <c r="B513" s="91"/>
      <c r="C513" s="89"/>
      <c r="D513" s="89"/>
      <c r="E513" s="89"/>
      <c r="F513" s="89"/>
      <c r="G513" s="89"/>
      <c r="H513" s="89"/>
    </row>
    <row r="514" spans="1:8" ht="15">
      <c r="A514" s="90"/>
      <c r="B514" s="89"/>
      <c r="C514" s="89"/>
      <c r="D514" s="89"/>
      <c r="E514" s="89"/>
      <c r="F514" s="89"/>
      <c r="G514" s="89"/>
      <c r="H514" s="89"/>
    </row>
    <row r="515" spans="1:8" ht="15">
      <c r="A515" s="90"/>
      <c r="B515" s="92"/>
      <c r="C515" s="91"/>
      <c r="D515" s="93"/>
      <c r="E515" s="89"/>
      <c r="F515" s="89"/>
      <c r="G515" s="89"/>
      <c r="H515" s="89"/>
    </row>
    <row r="516" spans="1:8" ht="15">
      <c r="A516" s="90"/>
      <c r="B516" s="91"/>
      <c r="C516" s="91"/>
      <c r="D516" s="89"/>
      <c r="E516" s="89"/>
      <c r="F516" s="89"/>
      <c r="G516" s="89"/>
      <c r="H516" s="89"/>
    </row>
    <row r="517" spans="1:8" ht="15">
      <c r="A517" s="90"/>
      <c r="B517" s="89"/>
      <c r="C517" s="89"/>
      <c r="D517" s="89"/>
      <c r="E517" s="89"/>
      <c r="F517" s="89"/>
      <c r="G517" s="89"/>
      <c r="H517" s="89"/>
    </row>
    <row r="518" spans="1:8" ht="15">
      <c r="A518" s="90"/>
      <c r="B518" s="89"/>
      <c r="C518" s="89"/>
      <c r="D518" s="89"/>
      <c r="E518" s="89"/>
      <c r="F518" s="89"/>
      <c r="G518" s="89"/>
      <c r="H518" s="89"/>
    </row>
    <row r="519" spans="1:8" ht="15">
      <c r="A519" s="90"/>
      <c r="B519" s="89"/>
      <c r="C519" s="89"/>
      <c r="D519" s="89"/>
      <c r="E519" s="89"/>
      <c r="F519" s="67"/>
      <c r="G519" s="89"/>
      <c r="H519" s="89"/>
    </row>
    <row r="520" spans="1:8" ht="15">
      <c r="A520" s="90"/>
      <c r="B520" s="89"/>
      <c r="C520" s="89"/>
      <c r="D520" s="89"/>
      <c r="E520" s="89"/>
      <c r="F520" s="89"/>
      <c r="G520" s="89"/>
      <c r="H520" s="89"/>
    </row>
    <row r="521" spans="1:8" ht="15">
      <c r="A521" s="90"/>
      <c r="B521" s="89"/>
      <c r="C521" s="89"/>
      <c r="D521" s="89"/>
      <c r="E521" s="89"/>
      <c r="F521" s="87"/>
      <c r="G521" s="89"/>
      <c r="H521" s="67"/>
    </row>
    <row r="522" spans="1:8" ht="15">
      <c r="A522" s="90"/>
      <c r="B522" s="89"/>
      <c r="C522" s="89"/>
      <c r="D522" s="89"/>
      <c r="E522" s="89"/>
      <c r="F522" s="89"/>
      <c r="G522" s="89"/>
      <c r="H522" s="89"/>
    </row>
    <row r="523" spans="1:8" ht="15">
      <c r="A523" s="90"/>
      <c r="B523" s="89"/>
      <c r="C523" s="89"/>
      <c r="D523" s="89"/>
      <c r="E523" s="89"/>
      <c r="F523" s="89"/>
      <c r="G523" s="89"/>
      <c r="H523" s="89"/>
    </row>
    <row r="524" spans="1:8" ht="15">
      <c r="A524" s="90"/>
      <c r="B524" s="89"/>
      <c r="C524" s="89"/>
      <c r="D524" s="89"/>
      <c r="E524" s="89"/>
      <c r="F524" s="89"/>
      <c r="G524" s="89"/>
      <c r="H524" s="67"/>
    </row>
    <row r="525" spans="1:12" ht="15">
      <c r="A525" s="90"/>
      <c r="B525" s="89"/>
      <c r="C525" s="89"/>
      <c r="D525" s="89"/>
      <c r="E525" s="89"/>
      <c r="F525" s="89"/>
      <c r="G525" s="89"/>
      <c r="H525" s="89"/>
      <c r="L525" s="7">
        <f>IF(F517&lt;&gt;0,(IF(LEFT(H524,1)="M",12,IF(LEFT(H524,1)="S",2,IF(LEFT(H524,1)="Y",1,"")))),0)</f>
        <v>0</v>
      </c>
    </row>
    <row r="526" spans="1:8" ht="15">
      <c r="A526" s="90"/>
      <c r="B526" s="92"/>
      <c r="C526" s="89"/>
      <c r="D526" s="89"/>
      <c r="E526" s="89"/>
      <c r="F526" s="89"/>
      <c r="G526" s="89"/>
      <c r="H526" s="92"/>
    </row>
    <row r="527" spans="1:8" ht="15">
      <c r="A527" s="90"/>
      <c r="B527" s="89"/>
      <c r="C527" s="89"/>
      <c r="D527" s="89"/>
      <c r="E527" s="89"/>
      <c r="F527" s="89"/>
      <c r="G527" s="89"/>
      <c r="H527" s="89"/>
    </row>
    <row r="528" spans="1:8" ht="15">
      <c r="A528" s="90"/>
      <c r="B528" s="89"/>
      <c r="C528" s="89"/>
      <c r="D528" s="89"/>
      <c r="E528" s="89"/>
      <c r="F528" s="89"/>
      <c r="G528" s="1724"/>
      <c r="H528" s="1724"/>
    </row>
    <row r="529" spans="1:8" ht="15">
      <c r="A529" s="90"/>
      <c r="B529" s="89"/>
      <c r="C529" s="89"/>
      <c r="D529" s="89"/>
      <c r="E529" s="89"/>
      <c r="F529" s="89"/>
      <c r="G529" s="89"/>
      <c r="H529" s="89"/>
    </row>
    <row r="530" spans="1:8" ht="15">
      <c r="A530" s="90"/>
      <c r="B530" s="89"/>
      <c r="C530" s="89"/>
      <c r="D530" s="89"/>
      <c r="E530" s="89"/>
      <c r="F530" s="89"/>
      <c r="G530" s="89"/>
      <c r="H530" s="89"/>
    </row>
    <row r="531" spans="1:8" ht="15">
      <c r="A531" s="90"/>
      <c r="B531" s="92"/>
      <c r="C531" s="89"/>
      <c r="D531" s="93"/>
      <c r="E531" s="89"/>
      <c r="F531" s="89"/>
      <c r="G531" s="89"/>
      <c r="H531" s="89"/>
    </row>
    <row r="532" spans="1:8" ht="15">
      <c r="A532" s="90"/>
      <c r="B532" s="89"/>
      <c r="C532" s="89"/>
      <c r="D532" s="89"/>
      <c r="E532" s="89"/>
      <c r="F532" s="89"/>
      <c r="G532" s="89"/>
      <c r="H532" s="89"/>
    </row>
    <row r="533" spans="1:8" ht="15">
      <c r="A533" s="90"/>
      <c r="B533" s="89"/>
      <c r="C533" s="89"/>
      <c r="D533" s="89"/>
      <c r="E533" s="89"/>
      <c r="F533" s="89"/>
      <c r="G533" s="89"/>
      <c r="H533" s="89"/>
    </row>
    <row r="534" spans="1:8" ht="15">
      <c r="A534" s="90"/>
      <c r="B534" s="89"/>
      <c r="C534" s="89"/>
      <c r="D534" s="89"/>
      <c r="E534" s="89"/>
      <c r="F534" s="89"/>
      <c r="G534" s="89"/>
      <c r="H534" s="89"/>
    </row>
    <row r="535" spans="1:8" ht="15">
      <c r="A535" s="90"/>
      <c r="B535" s="89"/>
      <c r="C535" s="89"/>
      <c r="D535" s="89"/>
      <c r="E535" s="89"/>
      <c r="F535" s="67"/>
      <c r="G535" s="89"/>
      <c r="H535" s="89"/>
    </row>
    <row r="536" spans="1:8" ht="15">
      <c r="A536" s="90"/>
      <c r="B536" s="89"/>
      <c r="C536" s="89"/>
      <c r="D536" s="89"/>
      <c r="E536" s="89"/>
      <c r="F536" s="89"/>
      <c r="G536" s="89"/>
      <c r="H536" s="89"/>
    </row>
    <row r="537" spans="1:8" ht="15">
      <c r="A537" s="90"/>
      <c r="B537" s="89"/>
      <c r="C537" s="89"/>
      <c r="D537" s="89"/>
      <c r="E537" s="89"/>
      <c r="F537" s="87"/>
      <c r="G537" s="89"/>
      <c r="H537" s="67"/>
    </row>
    <row r="538" spans="1:8" ht="15">
      <c r="A538" s="90"/>
      <c r="B538" s="89"/>
      <c r="C538" s="89"/>
      <c r="D538" s="89"/>
      <c r="E538" s="89"/>
      <c r="F538" s="89"/>
      <c r="G538" s="89"/>
      <c r="H538" s="89"/>
    </row>
    <row r="539" spans="1:8" ht="15">
      <c r="A539" s="90"/>
      <c r="B539" s="89"/>
      <c r="C539" s="89"/>
      <c r="D539" s="89"/>
      <c r="E539" s="89"/>
      <c r="F539" s="89"/>
      <c r="G539" s="89"/>
      <c r="H539" s="89"/>
    </row>
    <row r="540" spans="1:8" ht="15">
      <c r="A540" s="90"/>
      <c r="B540" s="89"/>
      <c r="C540" s="89"/>
      <c r="D540" s="89"/>
      <c r="E540" s="89"/>
      <c r="F540" s="89"/>
      <c r="G540" s="89"/>
      <c r="H540" s="67"/>
    </row>
    <row r="541" spans="1:12" ht="15">
      <c r="A541" s="90"/>
      <c r="B541" s="89"/>
      <c r="C541" s="89"/>
      <c r="D541" s="89"/>
      <c r="E541" s="89"/>
      <c r="F541" s="89"/>
      <c r="G541" s="89"/>
      <c r="H541" s="89"/>
      <c r="L541" s="7">
        <f>IF(F533&lt;&gt;0,IF(LEFT(H540,1)="M",12,IF(LEFT(H540,1)="S",2,IF(LEFT(H540,1)="Y",1,""))),0)</f>
        <v>0</v>
      </c>
    </row>
    <row r="542" spans="1:8" ht="15">
      <c r="A542" s="90"/>
      <c r="B542" s="92"/>
      <c r="C542" s="89"/>
      <c r="D542" s="89"/>
      <c r="E542" s="89"/>
      <c r="F542" s="89"/>
      <c r="G542" s="89"/>
      <c r="H542" s="92"/>
    </row>
    <row r="543" spans="1:8" ht="15">
      <c r="A543" s="90"/>
      <c r="B543" s="89"/>
      <c r="C543" s="89"/>
      <c r="D543" s="89"/>
      <c r="E543" s="89"/>
      <c r="F543" s="89"/>
      <c r="G543" s="89"/>
      <c r="H543" s="89"/>
    </row>
    <row r="544" spans="1:8" ht="15">
      <c r="A544" s="90"/>
      <c r="B544" s="89"/>
      <c r="C544" s="89"/>
      <c r="D544" s="89"/>
      <c r="E544" s="89"/>
      <c r="F544" s="89"/>
      <c r="G544" s="1724"/>
      <c r="H544" s="1724"/>
    </row>
    <row r="545" spans="1:8" ht="15">
      <c r="A545" s="90"/>
      <c r="B545" s="89"/>
      <c r="C545" s="89"/>
      <c r="D545" s="89"/>
      <c r="E545" s="89"/>
      <c r="F545" s="89"/>
      <c r="G545" s="89"/>
      <c r="H545" s="89"/>
    </row>
    <row r="546" spans="1:8" ht="15">
      <c r="A546" s="90"/>
      <c r="B546" s="89"/>
      <c r="C546" s="89"/>
      <c r="D546" s="89"/>
      <c r="E546" s="89"/>
      <c r="F546" s="89"/>
      <c r="G546" s="89"/>
      <c r="H546" s="89"/>
    </row>
    <row r="547" spans="1:8" ht="15">
      <c r="A547" s="90"/>
      <c r="B547" s="89"/>
      <c r="C547" s="89"/>
      <c r="D547" s="89"/>
      <c r="E547" s="89"/>
      <c r="F547" s="89"/>
      <c r="G547" s="89"/>
      <c r="H547" s="89"/>
    </row>
    <row r="548" spans="1:8" ht="15">
      <c r="A548" s="90"/>
      <c r="B548" s="92"/>
      <c r="C548" s="91"/>
      <c r="D548" s="93"/>
      <c r="E548" s="89"/>
      <c r="F548" s="89"/>
      <c r="G548" s="89"/>
      <c r="H548" s="89"/>
    </row>
    <row r="549" spans="1:8" ht="15">
      <c r="A549" s="90"/>
      <c r="B549" s="91"/>
      <c r="C549" s="91"/>
      <c r="D549" s="89"/>
      <c r="E549" s="89"/>
      <c r="F549" s="89"/>
      <c r="G549" s="89"/>
      <c r="H549" s="89"/>
    </row>
    <row r="550" spans="1:8" ht="15">
      <c r="A550" s="90"/>
      <c r="B550" s="89"/>
      <c r="C550" s="89"/>
      <c r="D550" s="89"/>
      <c r="E550" s="89"/>
      <c r="F550" s="89"/>
      <c r="G550" s="89"/>
      <c r="H550" s="89"/>
    </row>
    <row r="551" spans="1:8" ht="15">
      <c r="A551" s="90"/>
      <c r="B551" s="89"/>
      <c r="C551" s="89"/>
      <c r="D551" s="89"/>
      <c r="E551" s="89"/>
      <c r="F551" s="89"/>
      <c r="G551" s="89"/>
      <c r="H551" s="89"/>
    </row>
    <row r="552" spans="1:8" ht="15">
      <c r="A552" s="90"/>
      <c r="B552" s="89"/>
      <c r="C552" s="89"/>
      <c r="D552" s="89"/>
      <c r="E552" s="89"/>
      <c r="F552" s="67"/>
      <c r="G552" s="89"/>
      <c r="H552" s="89"/>
    </row>
    <row r="553" spans="1:8" ht="15">
      <c r="A553" s="90"/>
      <c r="B553" s="89"/>
      <c r="C553" s="89"/>
      <c r="D553" s="89"/>
      <c r="E553" s="89"/>
      <c r="F553" s="89"/>
      <c r="G553" s="89"/>
      <c r="H553" s="89"/>
    </row>
    <row r="554" spans="1:8" ht="15">
      <c r="A554" s="90"/>
      <c r="B554" s="89"/>
      <c r="C554" s="89"/>
      <c r="D554" s="89"/>
      <c r="E554" s="89"/>
      <c r="F554" s="87"/>
      <c r="G554" s="89"/>
      <c r="H554" s="67"/>
    </row>
    <row r="555" spans="1:8" ht="15">
      <c r="A555" s="90"/>
      <c r="B555" s="89"/>
      <c r="C555" s="89"/>
      <c r="D555" s="89"/>
      <c r="E555" s="89"/>
      <c r="F555" s="89"/>
      <c r="G555" s="89"/>
      <c r="H555" s="89"/>
    </row>
    <row r="556" spans="1:8" ht="15">
      <c r="A556" s="90"/>
      <c r="B556" s="89"/>
      <c r="C556" s="89"/>
      <c r="D556" s="89"/>
      <c r="E556" s="89"/>
      <c r="F556" s="89"/>
      <c r="G556" s="89"/>
      <c r="H556" s="89"/>
    </row>
    <row r="557" spans="1:8" ht="15">
      <c r="A557" s="90"/>
      <c r="B557" s="89"/>
      <c r="C557" s="89"/>
      <c r="D557" s="89"/>
      <c r="E557" s="89"/>
      <c r="F557" s="89"/>
      <c r="G557" s="89"/>
      <c r="H557" s="67"/>
    </row>
    <row r="558" spans="1:12" ht="15">
      <c r="A558" s="90"/>
      <c r="B558" s="89"/>
      <c r="C558" s="89"/>
      <c r="D558" s="89"/>
      <c r="E558" s="89"/>
      <c r="F558" s="89"/>
      <c r="G558" s="89"/>
      <c r="H558" s="89"/>
      <c r="L558" s="7">
        <f>IF(F550&lt;&gt;0,(IF(LEFT(H557,1)="M",12,IF(LEFT(H557,1)="S",2,IF(LEFT(H557,1)="Y",1,"")))),L541)</f>
        <v>0</v>
      </c>
    </row>
    <row r="559" spans="1:8" ht="15">
      <c r="A559" s="90"/>
      <c r="B559" s="92"/>
      <c r="C559" s="89"/>
      <c r="D559" s="89"/>
      <c r="E559" s="89"/>
      <c r="F559" s="89"/>
      <c r="G559" s="89"/>
      <c r="H559" s="92"/>
    </row>
    <row r="560" spans="1:8" ht="15">
      <c r="A560" s="90"/>
      <c r="B560" s="89"/>
      <c r="C560" s="89"/>
      <c r="D560" s="89"/>
      <c r="E560" s="89"/>
      <c r="F560" s="89"/>
      <c r="G560" s="89"/>
      <c r="H560" s="89"/>
    </row>
    <row r="561" spans="1:8" ht="15">
      <c r="A561" s="90"/>
      <c r="B561" s="89"/>
      <c r="C561" s="89"/>
      <c r="D561" s="89"/>
      <c r="E561" s="89"/>
      <c r="F561" s="89"/>
      <c r="G561" s="67"/>
      <c r="H561" s="67"/>
    </row>
    <row r="562" spans="1:8" ht="15">
      <c r="A562" s="90"/>
      <c r="B562" s="89"/>
      <c r="C562" s="89"/>
      <c r="D562" s="89"/>
      <c r="E562" s="89"/>
      <c r="F562" s="89"/>
      <c r="G562" s="89"/>
      <c r="H562" s="89"/>
    </row>
    <row r="563" spans="1:8" ht="15">
      <c r="A563" s="90"/>
      <c r="B563" s="89"/>
      <c r="C563" s="89"/>
      <c r="D563" s="89"/>
      <c r="E563" s="89"/>
      <c r="F563" s="89"/>
      <c r="G563" s="89"/>
      <c r="H563" s="89"/>
    </row>
    <row r="564" spans="1:8" ht="15">
      <c r="A564" s="90"/>
      <c r="B564" s="92"/>
      <c r="C564" s="89"/>
      <c r="D564" s="93"/>
      <c r="E564" s="89"/>
      <c r="F564" s="89"/>
      <c r="G564" s="89"/>
      <c r="H564" s="89"/>
    </row>
    <row r="565" spans="1:8" ht="15">
      <c r="A565" s="90"/>
      <c r="B565" s="89"/>
      <c r="C565" s="89"/>
      <c r="D565" s="89"/>
      <c r="E565" s="89"/>
      <c r="F565" s="89"/>
      <c r="G565" s="89"/>
      <c r="H565" s="89"/>
    </row>
    <row r="566" spans="1:8" ht="15">
      <c r="A566" s="90"/>
      <c r="B566" s="89"/>
      <c r="C566" s="89"/>
      <c r="D566" s="89"/>
      <c r="E566" s="89"/>
      <c r="F566" s="89"/>
      <c r="G566" s="89"/>
      <c r="H566" s="89"/>
    </row>
    <row r="567" spans="1:8" ht="15">
      <c r="A567" s="90"/>
      <c r="B567" s="89"/>
      <c r="C567" s="89"/>
      <c r="D567" s="89"/>
      <c r="E567" s="89"/>
      <c r="F567" s="67"/>
      <c r="G567" s="89"/>
      <c r="H567" s="89"/>
    </row>
    <row r="568" spans="1:8" ht="15">
      <c r="A568" s="90"/>
      <c r="B568" s="89"/>
      <c r="C568" s="89"/>
      <c r="D568" s="89"/>
      <c r="E568" s="89"/>
      <c r="F568" s="67"/>
      <c r="G568" s="89"/>
      <c r="H568" s="89"/>
    </row>
    <row r="569" spans="1:8" ht="15">
      <c r="A569" s="90"/>
      <c r="B569" s="89"/>
      <c r="C569" s="89"/>
      <c r="D569" s="89"/>
      <c r="E569" s="89"/>
      <c r="F569" s="89"/>
      <c r="G569" s="89"/>
      <c r="H569" s="89"/>
    </row>
    <row r="570" spans="1:8" ht="15">
      <c r="A570" s="90"/>
      <c r="B570" s="89"/>
      <c r="C570" s="89"/>
      <c r="D570" s="89"/>
      <c r="E570" s="89"/>
      <c r="F570" s="87"/>
      <c r="G570" s="89"/>
      <c r="H570" s="67"/>
    </row>
    <row r="571" spans="1:8" ht="15">
      <c r="A571" s="90"/>
      <c r="B571" s="89"/>
      <c r="C571" s="89"/>
      <c r="D571" s="89"/>
      <c r="E571" s="89"/>
      <c r="F571" s="89"/>
      <c r="G571" s="89"/>
      <c r="H571" s="89"/>
    </row>
    <row r="572" spans="1:8" ht="15">
      <c r="A572" s="90"/>
      <c r="B572" s="89"/>
      <c r="C572" s="89"/>
      <c r="D572" s="89"/>
      <c r="E572" s="89"/>
      <c r="F572" s="89"/>
      <c r="G572" s="89"/>
      <c r="H572" s="89"/>
    </row>
    <row r="573" spans="1:8" ht="15">
      <c r="A573" s="90"/>
      <c r="B573" s="89"/>
      <c r="C573" s="89"/>
      <c r="D573" s="89"/>
      <c r="E573" s="89"/>
      <c r="F573" s="89"/>
      <c r="G573" s="89"/>
      <c r="H573" s="67"/>
    </row>
    <row r="574" spans="1:12" ht="15">
      <c r="A574" s="90"/>
      <c r="B574" s="89"/>
      <c r="C574" s="89"/>
      <c r="D574" s="89"/>
      <c r="E574" s="89"/>
      <c r="F574" s="89"/>
      <c r="G574" s="89"/>
      <c r="H574" s="89"/>
      <c r="L574" s="7">
        <f>IF(F566&lt;&gt;0,IF(LEFT(H573,1)="M",12,IF(LEFT(H573,1)="S",2,IF(LEFT(H573,1)="Y",1,""))),0)</f>
        <v>0</v>
      </c>
    </row>
    <row r="575" spans="1:8" ht="15">
      <c r="A575" s="90"/>
      <c r="B575" s="92"/>
      <c r="C575" s="89"/>
      <c r="D575" s="89"/>
      <c r="E575" s="89"/>
      <c r="F575" s="89"/>
      <c r="G575" s="89"/>
      <c r="H575" s="92"/>
    </row>
    <row r="576" spans="1:8" ht="15">
      <c r="A576" s="90"/>
      <c r="B576" s="89"/>
      <c r="C576" s="89"/>
      <c r="D576" s="89"/>
      <c r="E576" s="89"/>
      <c r="F576" s="89"/>
      <c r="G576" s="89"/>
      <c r="H576" s="89"/>
    </row>
    <row r="577" spans="1:8" ht="15">
      <c r="A577" s="90"/>
      <c r="B577" s="89"/>
      <c r="C577" s="89"/>
      <c r="D577" s="89"/>
      <c r="E577" s="89"/>
      <c r="F577" s="89"/>
      <c r="G577" s="1724"/>
      <c r="H577" s="1724"/>
    </row>
    <row r="578" spans="1:8" ht="15">
      <c r="A578" s="90"/>
      <c r="B578" s="89"/>
      <c r="C578" s="89"/>
      <c r="D578" s="89"/>
      <c r="E578" s="89"/>
      <c r="F578" s="89"/>
      <c r="G578" s="89"/>
      <c r="H578" s="89"/>
    </row>
    <row r="579" spans="1:8" ht="15">
      <c r="A579" s="90"/>
      <c r="B579" s="89"/>
      <c r="C579" s="89"/>
      <c r="D579" s="89"/>
      <c r="E579" s="89"/>
      <c r="F579" s="89"/>
      <c r="G579" s="89"/>
      <c r="H579" s="89"/>
    </row>
    <row r="580" spans="1:8" ht="15">
      <c r="A580" s="90"/>
      <c r="B580" s="89"/>
      <c r="C580" s="89"/>
      <c r="D580" s="89"/>
      <c r="E580" s="89"/>
      <c r="F580" s="89"/>
      <c r="G580" s="89"/>
      <c r="H580" s="89"/>
    </row>
    <row r="581" spans="1:8" ht="15">
      <c r="A581" s="90"/>
      <c r="B581" s="89"/>
      <c r="C581" s="89"/>
      <c r="D581" s="89"/>
      <c r="E581" s="89"/>
      <c r="F581" s="89"/>
      <c r="G581" s="89"/>
      <c r="H581" s="89"/>
    </row>
    <row r="582" spans="1:10" ht="22.5">
      <c r="A582" s="94"/>
      <c r="B582" s="89"/>
      <c r="C582" s="89"/>
      <c r="D582" s="89"/>
      <c r="E582" s="89"/>
      <c r="F582" s="89"/>
      <c r="G582" s="89"/>
      <c r="H582" s="89"/>
      <c r="J582" s="10"/>
    </row>
    <row r="583" spans="1:10" ht="15">
      <c r="A583" s="90"/>
      <c r="B583" s="89"/>
      <c r="C583" s="89"/>
      <c r="D583" s="89"/>
      <c r="E583" s="89"/>
      <c r="F583" s="89"/>
      <c r="G583" s="89"/>
      <c r="H583" s="89"/>
      <c r="J583" s="20"/>
    </row>
    <row r="584" spans="1:8" ht="15">
      <c r="A584" s="90"/>
      <c r="B584" s="89"/>
      <c r="C584" s="89"/>
      <c r="D584" s="89"/>
      <c r="E584" s="89"/>
      <c r="F584" s="89"/>
      <c r="G584" s="89"/>
      <c r="H584" s="89"/>
    </row>
    <row r="585" spans="1:8" ht="15">
      <c r="A585" s="90"/>
      <c r="B585" s="89"/>
      <c r="C585" s="92"/>
      <c r="D585" s="89"/>
      <c r="E585" s="89"/>
      <c r="F585" s="89"/>
      <c r="G585" s="89"/>
      <c r="H585" s="89"/>
    </row>
    <row r="586" spans="1:8" ht="15">
      <c r="A586" s="90"/>
      <c r="B586" s="89"/>
      <c r="C586" s="91"/>
      <c r="D586" s="89"/>
      <c r="E586" s="89"/>
      <c r="F586" s="89"/>
      <c r="G586" s="89"/>
      <c r="H586" s="89"/>
    </row>
    <row r="587" spans="1:8" ht="15">
      <c r="A587" s="90"/>
      <c r="B587" s="89"/>
      <c r="C587" s="89"/>
      <c r="D587" s="89"/>
      <c r="E587" s="89"/>
      <c r="F587" s="89"/>
      <c r="G587" s="89"/>
      <c r="H587" s="89"/>
    </row>
    <row r="588" spans="1:8" ht="15">
      <c r="A588" s="90"/>
      <c r="B588" s="92"/>
      <c r="C588" s="91"/>
      <c r="D588" s="93"/>
      <c r="E588" s="89"/>
      <c r="F588" s="89"/>
      <c r="G588" s="89"/>
      <c r="H588" s="89"/>
    </row>
    <row r="589" spans="1:8" ht="15">
      <c r="A589" s="90"/>
      <c r="B589" s="91"/>
      <c r="C589" s="91"/>
      <c r="D589" s="89"/>
      <c r="E589" s="89"/>
      <c r="F589" s="89"/>
      <c r="G589" s="89"/>
      <c r="H589" s="89"/>
    </row>
    <row r="590" spans="1:8" ht="15">
      <c r="A590" s="90"/>
      <c r="B590" s="89"/>
      <c r="C590" s="89"/>
      <c r="D590" s="89"/>
      <c r="E590" s="89"/>
      <c r="F590" s="89"/>
      <c r="G590" s="89"/>
      <c r="H590" s="89"/>
    </row>
    <row r="591" spans="1:8" ht="15">
      <c r="A591" s="90"/>
      <c r="B591" s="89"/>
      <c r="C591" s="89"/>
      <c r="D591" s="89"/>
      <c r="E591" s="89"/>
      <c r="F591" s="89"/>
      <c r="G591" s="89"/>
      <c r="H591" s="89"/>
    </row>
    <row r="592" spans="1:8" ht="15">
      <c r="A592" s="90"/>
      <c r="B592" s="89"/>
      <c r="C592" s="89"/>
      <c r="D592" s="89"/>
      <c r="E592" s="89"/>
      <c r="F592" s="67"/>
      <c r="G592" s="89"/>
      <c r="H592" s="89"/>
    </row>
    <row r="593" spans="1:8" ht="15">
      <c r="A593" s="90"/>
      <c r="B593" s="89"/>
      <c r="C593" s="89"/>
      <c r="D593" s="89"/>
      <c r="E593" s="89"/>
      <c r="F593" s="87"/>
      <c r="G593" s="89"/>
      <c r="H593" s="89"/>
    </row>
    <row r="594" spans="1:8" ht="15">
      <c r="A594" s="90"/>
      <c r="B594" s="89"/>
      <c r="C594" s="89"/>
      <c r="D594" s="89"/>
      <c r="E594" s="89"/>
      <c r="F594" s="87"/>
      <c r="G594" s="89"/>
      <c r="H594" s="67"/>
    </row>
    <row r="595" spans="1:8" ht="15">
      <c r="A595" s="90"/>
      <c r="B595" s="89"/>
      <c r="C595" s="89"/>
      <c r="D595" s="89"/>
      <c r="E595" s="89"/>
      <c r="F595" s="89"/>
      <c r="G595" s="89"/>
      <c r="H595" s="89"/>
    </row>
    <row r="596" spans="1:8" ht="15">
      <c r="A596" s="90"/>
      <c r="B596" s="89"/>
      <c r="C596" s="89"/>
      <c r="D596" s="89"/>
      <c r="E596" s="89"/>
      <c r="F596" s="89"/>
      <c r="G596" s="89"/>
      <c r="H596" s="89"/>
    </row>
    <row r="597" spans="1:8" ht="15">
      <c r="A597" s="90"/>
      <c r="B597" s="89"/>
      <c r="C597" s="89"/>
      <c r="D597" s="89"/>
      <c r="E597" s="89"/>
      <c r="F597" s="89"/>
      <c r="G597" s="89"/>
      <c r="H597" s="67"/>
    </row>
    <row r="598" spans="1:12" ht="15">
      <c r="A598" s="90"/>
      <c r="B598" s="89"/>
      <c r="C598" s="89"/>
      <c r="D598" s="89"/>
      <c r="E598" s="89"/>
      <c r="F598" s="89"/>
      <c r="G598" s="89"/>
      <c r="H598" s="89"/>
      <c r="L598" s="7">
        <f>IF(F590&lt;&gt;0,IF(LEFT(H597,1)="M",12,IF(LEFT(H597,1)="S",2,IF(LEFT(H597,1)="Y",1,#VALUE!))),0)</f>
        <v>0</v>
      </c>
    </row>
    <row r="599" spans="1:8" ht="15">
      <c r="A599" s="90"/>
      <c r="B599" s="92"/>
      <c r="C599" s="89"/>
      <c r="D599" s="89"/>
      <c r="E599" s="89"/>
      <c r="F599" s="89"/>
      <c r="G599" s="89"/>
      <c r="H599" s="92"/>
    </row>
    <row r="600" spans="1:8" ht="15">
      <c r="A600" s="90"/>
      <c r="B600" s="89"/>
      <c r="C600" s="89"/>
      <c r="D600" s="89"/>
      <c r="E600" s="89"/>
      <c r="F600" s="89"/>
      <c r="G600" s="89"/>
      <c r="H600" s="89"/>
    </row>
    <row r="601" spans="1:8" ht="15">
      <c r="A601" s="90"/>
      <c r="B601" s="89"/>
      <c r="C601" s="89"/>
      <c r="D601" s="89"/>
      <c r="E601" s="89"/>
      <c r="F601" s="89"/>
      <c r="G601" s="1724"/>
      <c r="H601" s="1724"/>
    </row>
    <row r="602" spans="1:8" ht="15">
      <c r="A602" s="90"/>
      <c r="B602" s="89"/>
      <c r="C602" s="89"/>
      <c r="D602" s="89"/>
      <c r="E602" s="89"/>
      <c r="F602" s="89"/>
      <c r="G602" s="89"/>
      <c r="H602" s="89"/>
    </row>
    <row r="603" spans="1:8" ht="15">
      <c r="A603" s="90"/>
      <c r="B603" s="89"/>
      <c r="C603" s="89"/>
      <c r="D603" s="89"/>
      <c r="E603" s="89"/>
      <c r="F603" s="89"/>
      <c r="G603" s="89"/>
      <c r="H603" s="89"/>
    </row>
    <row r="604" spans="1:8" ht="15">
      <c r="A604" s="90"/>
      <c r="B604" s="92"/>
      <c r="C604" s="89"/>
      <c r="D604" s="93"/>
      <c r="E604" s="89"/>
      <c r="F604" s="89"/>
      <c r="G604" s="89"/>
      <c r="H604" s="89"/>
    </row>
    <row r="605" spans="1:8" ht="15">
      <c r="A605" s="90"/>
      <c r="B605" s="89"/>
      <c r="C605" s="89"/>
      <c r="D605" s="89"/>
      <c r="E605" s="89"/>
      <c r="F605" s="89"/>
      <c r="G605" s="89"/>
      <c r="H605" s="89"/>
    </row>
    <row r="606" spans="1:8" ht="15">
      <c r="A606" s="90"/>
      <c r="B606" s="89"/>
      <c r="C606" s="89"/>
      <c r="D606" s="89"/>
      <c r="E606" s="89"/>
      <c r="F606" s="89"/>
      <c r="G606" s="89"/>
      <c r="H606" s="89"/>
    </row>
    <row r="607" spans="1:8" ht="15">
      <c r="A607" s="90"/>
      <c r="B607" s="89"/>
      <c r="C607" s="89"/>
      <c r="D607" s="89"/>
      <c r="E607" s="89"/>
      <c r="F607" s="89"/>
      <c r="G607" s="89"/>
      <c r="H607" s="89"/>
    </row>
    <row r="608" spans="1:8" ht="15">
      <c r="A608" s="90"/>
      <c r="B608" s="89"/>
      <c r="C608" s="89"/>
      <c r="D608" s="89"/>
      <c r="E608" s="89"/>
      <c r="F608" s="67"/>
      <c r="G608" s="89"/>
      <c r="H608" s="89"/>
    </row>
    <row r="609" spans="1:8" ht="15">
      <c r="A609" s="90"/>
      <c r="B609" s="89"/>
      <c r="C609" s="89"/>
      <c r="D609" s="89"/>
      <c r="E609" s="89"/>
      <c r="F609" s="89"/>
      <c r="G609" s="89"/>
      <c r="H609" s="89"/>
    </row>
    <row r="610" spans="1:8" ht="15">
      <c r="A610" s="90"/>
      <c r="B610" s="89"/>
      <c r="C610" s="89"/>
      <c r="D610" s="89"/>
      <c r="E610" s="89"/>
      <c r="F610" s="87"/>
      <c r="G610" s="89"/>
      <c r="H610" s="67"/>
    </row>
    <row r="611" spans="1:8" ht="15">
      <c r="A611" s="90"/>
      <c r="B611" s="89"/>
      <c r="C611" s="89"/>
      <c r="D611" s="89"/>
      <c r="E611" s="89"/>
      <c r="F611" s="89"/>
      <c r="G611" s="89"/>
      <c r="H611" s="89"/>
    </row>
    <row r="612" spans="1:8" ht="15">
      <c r="A612" s="90"/>
      <c r="B612" s="89"/>
      <c r="C612" s="89"/>
      <c r="D612" s="89"/>
      <c r="E612" s="89"/>
      <c r="F612" s="89"/>
      <c r="G612" s="89"/>
      <c r="H612" s="89"/>
    </row>
    <row r="613" spans="1:8" ht="15">
      <c r="A613" s="90"/>
      <c r="B613" s="89"/>
      <c r="C613" s="89"/>
      <c r="D613" s="89"/>
      <c r="E613" s="89"/>
      <c r="F613" s="89"/>
      <c r="G613" s="89"/>
      <c r="H613" s="67"/>
    </row>
    <row r="614" spans="1:12" ht="15">
      <c r="A614" s="90"/>
      <c r="B614" s="89"/>
      <c r="C614" s="89"/>
      <c r="D614" s="89"/>
      <c r="E614" s="89"/>
      <c r="F614" s="89"/>
      <c r="G614" s="89"/>
      <c r="H614" s="89"/>
      <c r="L614" s="7">
        <f>IF(F606&lt;&gt;0,IF(LEFT(H613,1)="M",12,IF(LEFT(H613,1)="S",2,IF(LEFT(H613,1)="Y",1,""))),0)</f>
        <v>0</v>
      </c>
    </row>
    <row r="615" spans="1:8" ht="15">
      <c r="A615" s="90"/>
      <c r="B615" s="92"/>
      <c r="C615" s="89"/>
      <c r="D615" s="89"/>
      <c r="E615" s="89"/>
      <c r="F615" s="89"/>
      <c r="G615" s="89"/>
      <c r="H615" s="92"/>
    </row>
    <row r="616" spans="1:8" ht="15">
      <c r="A616" s="90"/>
      <c r="B616" s="89"/>
      <c r="C616" s="89"/>
      <c r="D616" s="89"/>
      <c r="E616" s="89"/>
      <c r="F616" s="89"/>
      <c r="G616" s="89"/>
      <c r="H616" s="89"/>
    </row>
    <row r="617" spans="1:8" ht="15">
      <c r="A617" s="90"/>
      <c r="B617" s="89"/>
      <c r="C617" s="89"/>
      <c r="D617" s="89"/>
      <c r="E617" s="89"/>
      <c r="F617" s="89"/>
      <c r="G617" s="1724"/>
      <c r="H617" s="1724"/>
    </row>
    <row r="618" spans="1:8" ht="15">
      <c r="A618" s="90"/>
      <c r="B618" s="89"/>
      <c r="C618" s="89"/>
      <c r="D618" s="89"/>
      <c r="E618" s="89"/>
      <c r="F618" s="89"/>
      <c r="G618" s="89"/>
      <c r="H618" s="89"/>
    </row>
    <row r="619" spans="1:8" ht="15">
      <c r="A619" s="90"/>
      <c r="B619" s="89"/>
      <c r="C619" s="89"/>
      <c r="D619" s="89"/>
      <c r="E619" s="89"/>
      <c r="F619" s="89"/>
      <c r="G619" s="89"/>
      <c r="H619" s="89"/>
    </row>
    <row r="620" spans="1:8" ht="15">
      <c r="A620" s="90"/>
      <c r="B620" s="89"/>
      <c r="C620" s="89"/>
      <c r="D620" s="89"/>
      <c r="E620" s="93"/>
      <c r="F620" s="89"/>
      <c r="G620" s="89"/>
      <c r="H620" s="89"/>
    </row>
    <row r="621" spans="1:8" ht="15">
      <c r="A621" s="90"/>
      <c r="B621" s="89"/>
      <c r="C621" s="89"/>
      <c r="D621" s="89"/>
      <c r="E621" s="89"/>
      <c r="F621" s="89"/>
      <c r="G621" s="89"/>
      <c r="H621" s="89"/>
    </row>
    <row r="622" spans="1:8" ht="15">
      <c r="A622" s="90"/>
      <c r="B622" s="89"/>
      <c r="C622" s="89"/>
      <c r="D622" s="89"/>
      <c r="E622" s="89"/>
      <c r="F622" s="89"/>
      <c r="G622" s="89"/>
      <c r="H622" s="89"/>
    </row>
    <row r="623" spans="1:8" ht="15">
      <c r="A623" s="90"/>
      <c r="B623" s="89"/>
      <c r="C623" s="89"/>
      <c r="D623" s="89"/>
      <c r="E623" s="89"/>
      <c r="F623" s="89"/>
      <c r="G623" s="89"/>
      <c r="H623" s="89"/>
    </row>
    <row r="624" spans="1:8" ht="15">
      <c r="A624" s="90"/>
      <c r="B624" s="89"/>
      <c r="C624" s="89"/>
      <c r="D624" s="89"/>
      <c r="E624" s="89"/>
      <c r="F624" s="89"/>
      <c r="G624" s="89"/>
      <c r="H624" s="89"/>
    </row>
    <row r="625" spans="1:8" ht="15">
      <c r="A625" s="95"/>
      <c r="B625" s="93"/>
      <c r="C625" s="89"/>
      <c r="D625" s="89"/>
      <c r="E625" s="89"/>
      <c r="F625" s="89"/>
      <c r="G625" s="89"/>
      <c r="H625" s="89"/>
    </row>
    <row r="626" spans="1:8" ht="15">
      <c r="A626" s="90"/>
      <c r="B626" s="89"/>
      <c r="C626" s="89"/>
      <c r="D626" s="89"/>
      <c r="E626" s="89"/>
      <c r="F626" s="89"/>
      <c r="G626" s="89"/>
      <c r="H626" s="89"/>
    </row>
    <row r="627" spans="1:8" ht="15">
      <c r="A627" s="90"/>
      <c r="B627" s="92"/>
      <c r="C627" s="89"/>
      <c r="D627" s="89"/>
      <c r="E627" s="96"/>
      <c r="F627" s="97"/>
      <c r="G627" s="89"/>
      <c r="H627" s="89"/>
    </row>
    <row r="628" spans="1:8" ht="15">
      <c r="A628" s="90"/>
      <c r="B628" s="89"/>
      <c r="C628" s="89"/>
      <c r="D628" s="89"/>
      <c r="E628" s="89"/>
      <c r="F628" s="89"/>
      <c r="G628" s="89"/>
      <c r="H628" s="89"/>
    </row>
    <row r="629" spans="1:8" ht="15">
      <c r="A629" s="90"/>
      <c r="B629" s="89"/>
      <c r="C629" s="89"/>
      <c r="D629" s="89"/>
      <c r="E629" s="98"/>
      <c r="F629" s="89"/>
      <c r="G629" s="89"/>
      <c r="H629" s="89"/>
    </row>
    <row r="630" spans="1:8" ht="15">
      <c r="A630" s="90"/>
      <c r="B630" s="89"/>
      <c r="C630" s="89"/>
      <c r="D630" s="89"/>
      <c r="E630" s="89"/>
      <c r="F630" s="89"/>
      <c r="G630" s="89"/>
      <c r="H630" s="89"/>
    </row>
    <row r="631" spans="1:8" ht="15">
      <c r="A631" s="90"/>
      <c r="B631" s="89"/>
      <c r="C631" s="89"/>
      <c r="D631" s="89"/>
      <c r="E631" s="89"/>
      <c r="F631" s="89"/>
      <c r="G631" s="89"/>
      <c r="H631" s="89"/>
    </row>
    <row r="632" spans="1:8" ht="15">
      <c r="A632" s="90"/>
      <c r="B632" s="89"/>
      <c r="C632" s="89"/>
      <c r="D632" s="89"/>
      <c r="E632" s="98"/>
      <c r="F632" s="89"/>
      <c r="G632" s="89"/>
      <c r="H632" s="89"/>
    </row>
    <row r="633" spans="1:8" ht="15">
      <c r="A633" s="90"/>
      <c r="B633" s="89"/>
      <c r="C633" s="89"/>
      <c r="D633" s="89"/>
      <c r="E633" s="90"/>
      <c r="F633" s="89"/>
      <c r="G633" s="89"/>
      <c r="H633" s="89"/>
    </row>
    <row r="634" spans="1:8" ht="15">
      <c r="A634" s="90"/>
      <c r="B634" s="89"/>
      <c r="C634" s="89"/>
      <c r="D634" s="89"/>
      <c r="E634" s="89"/>
      <c r="F634" s="89"/>
      <c r="G634" s="89"/>
      <c r="H634" s="89"/>
    </row>
    <row r="635" spans="1:8" ht="15">
      <c r="A635" s="90"/>
      <c r="B635" s="89"/>
      <c r="C635" s="89"/>
      <c r="D635" s="89"/>
      <c r="E635" s="98"/>
      <c r="F635" s="89"/>
      <c r="G635" s="89"/>
      <c r="H635" s="89"/>
    </row>
    <row r="636" spans="1:8" ht="15">
      <c r="A636" s="90"/>
      <c r="B636" s="89"/>
      <c r="C636" s="89"/>
      <c r="D636" s="89"/>
      <c r="E636" s="90"/>
      <c r="F636" s="89"/>
      <c r="G636" s="89"/>
      <c r="H636" s="89"/>
    </row>
    <row r="637" spans="1:8" ht="15">
      <c r="A637" s="90"/>
      <c r="B637" s="89"/>
      <c r="C637" s="89"/>
      <c r="D637" s="89"/>
      <c r="E637" s="89"/>
      <c r="F637" s="89"/>
      <c r="G637" s="89"/>
      <c r="H637" s="89"/>
    </row>
    <row r="638" spans="1:8" ht="15">
      <c r="A638" s="90"/>
      <c r="B638" s="89"/>
      <c r="C638" s="89"/>
      <c r="D638" s="89"/>
      <c r="E638" s="98"/>
      <c r="F638" s="89"/>
      <c r="G638" s="89"/>
      <c r="H638" s="89"/>
    </row>
    <row r="639" spans="1:8" ht="15">
      <c r="A639" s="90"/>
      <c r="B639" s="89"/>
      <c r="C639" s="89"/>
      <c r="D639" s="89"/>
      <c r="E639" s="90"/>
      <c r="F639" s="89"/>
      <c r="G639" s="89"/>
      <c r="H639" s="89"/>
    </row>
    <row r="640" spans="1:8" ht="15">
      <c r="A640" s="90"/>
      <c r="B640" s="89"/>
      <c r="C640" s="89"/>
      <c r="D640" s="89"/>
      <c r="E640" s="89"/>
      <c r="F640" s="89"/>
      <c r="G640" s="89"/>
      <c r="H640" s="89"/>
    </row>
    <row r="641" spans="1:8" ht="15">
      <c r="A641" s="90"/>
      <c r="B641" s="89"/>
      <c r="C641" s="89"/>
      <c r="D641" s="89"/>
      <c r="E641" s="98"/>
      <c r="F641" s="89"/>
      <c r="G641" s="89"/>
      <c r="H641" s="89"/>
    </row>
    <row r="642" spans="1:8" ht="15">
      <c r="A642" s="90"/>
      <c r="B642" s="89"/>
      <c r="C642" s="89"/>
      <c r="D642" s="89"/>
      <c r="E642" s="90"/>
      <c r="F642" s="89"/>
      <c r="G642" s="89"/>
      <c r="H642" s="89"/>
    </row>
    <row r="643" spans="1:8" ht="15">
      <c r="A643" s="90"/>
      <c r="B643" s="89"/>
      <c r="C643" s="89"/>
      <c r="D643" s="89"/>
      <c r="E643" s="89"/>
      <c r="F643" s="89"/>
      <c r="G643" s="89"/>
      <c r="H643" s="89"/>
    </row>
    <row r="644" spans="1:8" ht="15">
      <c r="A644" s="90"/>
      <c r="B644" s="89"/>
      <c r="C644" s="89"/>
      <c r="D644" s="89"/>
      <c r="E644" s="98"/>
      <c r="F644" s="89"/>
      <c r="G644" s="89"/>
      <c r="H644" s="89"/>
    </row>
    <row r="645" spans="1:8" ht="15">
      <c r="A645" s="90"/>
      <c r="B645" s="89"/>
      <c r="C645" s="89"/>
      <c r="D645" s="89"/>
      <c r="E645" s="90"/>
      <c r="F645" s="89"/>
      <c r="G645" s="89"/>
      <c r="H645" s="67"/>
    </row>
    <row r="646" spans="1:8" ht="15">
      <c r="A646" s="90"/>
      <c r="B646" s="89"/>
      <c r="C646" s="89"/>
      <c r="D646" s="89"/>
      <c r="E646" s="89"/>
      <c r="F646" s="89"/>
      <c r="G646" s="89"/>
      <c r="H646" s="89"/>
    </row>
    <row r="647" spans="1:8" ht="15">
      <c r="A647" s="90"/>
      <c r="B647" s="89"/>
      <c r="C647" s="89"/>
      <c r="D647" s="89"/>
      <c r="E647" s="89"/>
      <c r="F647" s="89"/>
      <c r="G647" s="89"/>
      <c r="H647" s="89"/>
    </row>
    <row r="648" spans="1:8" ht="15">
      <c r="A648" s="90"/>
      <c r="B648" s="89"/>
      <c r="C648" s="92"/>
      <c r="D648" s="89"/>
      <c r="E648" s="89"/>
      <c r="F648" s="92"/>
      <c r="G648" s="89"/>
      <c r="H648" s="89"/>
    </row>
    <row r="649" spans="1:8" ht="15">
      <c r="A649" s="90"/>
      <c r="B649" s="89"/>
      <c r="C649" s="89"/>
      <c r="D649" s="89"/>
      <c r="E649" s="89"/>
      <c r="F649" s="89"/>
      <c r="G649" s="89"/>
      <c r="H649" s="89"/>
    </row>
    <row r="650" spans="1:8" ht="15">
      <c r="A650" s="90"/>
      <c r="B650" s="89"/>
      <c r="C650" s="89"/>
      <c r="D650" s="89"/>
      <c r="E650" s="89"/>
      <c r="F650" s="89"/>
      <c r="G650" s="89"/>
      <c r="H650" s="89"/>
    </row>
    <row r="651" spans="1:8" ht="15">
      <c r="A651" s="90"/>
      <c r="B651" s="89"/>
      <c r="C651" s="89"/>
      <c r="D651" s="89"/>
      <c r="E651" s="89"/>
      <c r="F651" s="89"/>
      <c r="G651" s="89"/>
      <c r="H651" s="89"/>
    </row>
    <row r="652" spans="1:8" ht="15">
      <c r="A652" s="90"/>
      <c r="B652" s="89"/>
      <c r="C652" s="89"/>
      <c r="D652" s="89"/>
      <c r="E652" s="89"/>
      <c r="F652" s="89"/>
      <c r="G652" s="89"/>
      <c r="H652" s="89"/>
    </row>
    <row r="653" spans="1:8" ht="15">
      <c r="A653" s="90"/>
      <c r="B653" s="89"/>
      <c r="C653" s="89"/>
      <c r="D653" s="89"/>
      <c r="E653" s="89"/>
      <c r="F653" s="89"/>
      <c r="G653" s="89"/>
      <c r="H653" s="89"/>
    </row>
    <row r="654" spans="1:8" ht="15">
      <c r="A654" s="90"/>
      <c r="B654" s="89"/>
      <c r="C654" s="89"/>
      <c r="D654" s="89"/>
      <c r="E654" s="89"/>
      <c r="F654" s="89"/>
      <c r="G654" s="89"/>
      <c r="H654" s="89"/>
    </row>
    <row r="655" spans="1:8" ht="15">
      <c r="A655" s="90"/>
      <c r="B655" s="89"/>
      <c r="C655" s="89"/>
      <c r="D655" s="89"/>
      <c r="E655" s="89"/>
      <c r="F655" s="89"/>
      <c r="G655" s="89"/>
      <c r="H655" s="89"/>
    </row>
    <row r="656" spans="1:8" ht="15">
      <c r="A656" s="90"/>
      <c r="B656" s="89"/>
      <c r="C656" s="89"/>
      <c r="D656" s="89"/>
      <c r="E656" s="89"/>
      <c r="F656" s="89"/>
      <c r="G656" s="89"/>
      <c r="H656" s="89"/>
    </row>
    <row r="657" spans="1:10" ht="20.25" hidden="1">
      <c r="A657" s="99"/>
      <c r="B657" s="89"/>
      <c r="C657" s="100"/>
      <c r="D657" s="89"/>
      <c r="E657" s="89"/>
      <c r="F657" s="89"/>
      <c r="G657" s="89"/>
      <c r="H657" s="89"/>
      <c r="J657" s="10">
        <f ca="1">NOW()</f>
        <v>44686.49283645833</v>
      </c>
    </row>
    <row r="658" spans="1:10" ht="15" hidden="1">
      <c r="A658" s="90"/>
      <c r="B658" s="89"/>
      <c r="C658" s="89"/>
      <c r="D658" s="89"/>
      <c r="E658" s="89"/>
      <c r="F658" s="96"/>
      <c r="G658" s="90"/>
      <c r="H658" s="89"/>
      <c r="J658" s="4">
        <f>J5</f>
        <v>0</v>
      </c>
    </row>
    <row r="659" spans="1:8" ht="15" hidden="1">
      <c r="A659" s="90"/>
      <c r="B659" s="89"/>
      <c r="C659" s="89"/>
      <c r="D659" s="96"/>
      <c r="E659" s="90"/>
      <c r="F659" s="96"/>
      <c r="G659" s="101"/>
      <c r="H659" s="89"/>
    </row>
    <row r="660" spans="1:10" ht="15" hidden="1">
      <c r="A660" s="102"/>
      <c r="B660" s="89"/>
      <c r="C660" s="89"/>
      <c r="D660" s="96"/>
      <c r="E660" s="67"/>
      <c r="F660" s="96"/>
      <c r="G660" s="67"/>
      <c r="H660" s="103"/>
      <c r="I660" s="68"/>
      <c r="J660" s="4" t="s">
        <v>370</v>
      </c>
    </row>
    <row r="661" spans="1:9" ht="15" hidden="1">
      <c r="A661" s="90"/>
      <c r="B661" s="89"/>
      <c r="C661" s="89"/>
      <c r="D661" s="96"/>
      <c r="E661" s="67"/>
      <c r="F661" s="96"/>
      <c r="G661" s="67"/>
      <c r="H661" s="103"/>
      <c r="I661" s="68"/>
    </row>
    <row r="662" spans="1:8" ht="15" hidden="1">
      <c r="A662" s="90"/>
      <c r="B662" s="89"/>
      <c r="C662" s="89"/>
      <c r="D662" s="89"/>
      <c r="E662" s="89"/>
      <c r="F662" s="89"/>
      <c r="G662" s="89"/>
      <c r="H662" s="89"/>
    </row>
    <row r="663" spans="1:8" ht="15.75" hidden="1">
      <c r="A663" s="90"/>
      <c r="B663" s="89"/>
      <c r="C663" s="89"/>
      <c r="D663" s="89"/>
      <c r="E663" s="89"/>
      <c r="F663" s="104"/>
      <c r="G663" s="89"/>
      <c r="H663" s="89"/>
    </row>
    <row r="664" spans="1:9" ht="15" hidden="1">
      <c r="A664" s="90"/>
      <c r="B664" s="89"/>
      <c r="C664" s="92"/>
      <c r="D664" s="89"/>
      <c r="E664" s="89"/>
      <c r="F664" s="92"/>
      <c r="G664" s="89"/>
      <c r="H664" s="105"/>
      <c r="I664" s="42" t="s">
        <v>581</v>
      </c>
    </row>
    <row r="665" spans="1:10" ht="15" hidden="1">
      <c r="A665" s="99"/>
      <c r="B665" s="89"/>
      <c r="C665" s="89"/>
      <c r="D665" s="95"/>
      <c r="E665" s="89"/>
      <c r="F665" s="105"/>
      <c r="G665" s="92"/>
      <c r="H665" s="105"/>
      <c r="J665" s="69" t="s">
        <v>582</v>
      </c>
    </row>
    <row r="666" spans="1:10" ht="15" hidden="1">
      <c r="A666" s="90"/>
      <c r="B666" s="89"/>
      <c r="C666" s="67"/>
      <c r="D666" s="89"/>
      <c r="E666" s="67"/>
      <c r="F666" s="67"/>
      <c r="G666" s="96"/>
      <c r="H666" s="89"/>
      <c r="J666" s="30">
        <v>0</v>
      </c>
    </row>
    <row r="667" spans="1:10" ht="15" hidden="1">
      <c r="A667" s="90"/>
      <c r="B667" s="89"/>
      <c r="C667" s="89"/>
      <c r="D667" s="89"/>
      <c r="E667" s="89"/>
      <c r="F667" s="67"/>
      <c r="G667" s="89"/>
      <c r="H667" s="67"/>
      <c r="J667" s="70" t="str">
        <f>IF(H667&lt;&gt;"",+H667*($I$660/100)," ")</f>
        <v> </v>
      </c>
    </row>
    <row r="668" spans="1:10" ht="15" hidden="1">
      <c r="A668" s="90"/>
      <c r="B668" s="89"/>
      <c r="C668" s="89"/>
      <c r="D668" s="89"/>
      <c r="E668" s="89"/>
      <c r="F668" s="67"/>
      <c r="G668" s="89"/>
      <c r="H668" s="67"/>
      <c r="J668" s="70" t="str">
        <f>IF(H668&lt;&gt;"",+H668*($I$660/100)," ")</f>
        <v> </v>
      </c>
    </row>
    <row r="669" spans="1:10" ht="15" hidden="1">
      <c r="A669" s="90"/>
      <c r="B669" s="89"/>
      <c r="C669" s="89"/>
      <c r="D669" s="89"/>
      <c r="E669" s="89"/>
      <c r="F669" s="67"/>
      <c r="G669" s="89"/>
      <c r="H669" s="67"/>
      <c r="J669" s="70" t="str">
        <f>IF(H669&lt;&gt;"",+H669*($I$660/100)," ")</f>
        <v> </v>
      </c>
    </row>
    <row r="670" spans="1:10" ht="15" hidden="1">
      <c r="A670" s="90"/>
      <c r="B670" s="89"/>
      <c r="C670" s="89"/>
      <c r="D670" s="89"/>
      <c r="E670" s="89"/>
      <c r="F670" s="67"/>
      <c r="G670" s="89"/>
      <c r="H670" s="67"/>
      <c r="I670" s="15"/>
      <c r="J670" s="70" t="str">
        <f>IF(H670&lt;&gt;"",+H670*($I$660/100)," ")</f>
        <v> </v>
      </c>
    </row>
    <row r="671" spans="1:8" ht="15" hidden="1">
      <c r="A671" s="99"/>
      <c r="B671" s="89"/>
      <c r="C671" s="89"/>
      <c r="D671" s="89"/>
      <c r="E671" s="89"/>
      <c r="F671" s="89"/>
      <c r="G671" s="89"/>
      <c r="H671" s="89"/>
    </row>
    <row r="672" spans="1:10" ht="15" hidden="1">
      <c r="A672" s="90"/>
      <c r="B672" s="89"/>
      <c r="C672" s="89"/>
      <c r="D672" s="89"/>
      <c r="E672" s="89"/>
      <c r="F672" s="67"/>
      <c r="G672" s="96"/>
      <c r="H672" s="67"/>
      <c r="J672" s="71" t="str">
        <f aca="true" t="shared" si="5" ref="J672:J682">IF(H672&lt;&gt;"",+H672*($I$660/100)," ")</f>
        <v> </v>
      </c>
    </row>
    <row r="673" spans="1:10" ht="15" hidden="1">
      <c r="A673" s="90"/>
      <c r="B673" s="89"/>
      <c r="C673" s="89"/>
      <c r="D673" s="89"/>
      <c r="E673" s="89"/>
      <c r="F673" s="67"/>
      <c r="G673" s="89"/>
      <c r="H673" s="67"/>
      <c r="J673" s="71" t="str">
        <f t="shared" si="5"/>
        <v> </v>
      </c>
    </row>
    <row r="674" spans="1:10" ht="15" hidden="1">
      <c r="A674" s="90"/>
      <c r="B674" s="89"/>
      <c r="C674" s="89"/>
      <c r="D674" s="89"/>
      <c r="E674" s="89"/>
      <c r="F674" s="67"/>
      <c r="G674" s="89"/>
      <c r="H674" s="67"/>
      <c r="J674" s="71" t="str">
        <f t="shared" si="5"/>
        <v> </v>
      </c>
    </row>
    <row r="675" spans="1:10" ht="15" hidden="1">
      <c r="A675" s="90"/>
      <c r="B675" s="89"/>
      <c r="C675" s="89"/>
      <c r="D675" s="89"/>
      <c r="E675" s="89"/>
      <c r="F675" s="67"/>
      <c r="G675" s="89"/>
      <c r="H675" s="67"/>
      <c r="J675" s="71" t="str">
        <f t="shared" si="5"/>
        <v> </v>
      </c>
    </row>
    <row r="676" spans="1:10" ht="15" hidden="1">
      <c r="A676" s="90"/>
      <c r="B676" s="89"/>
      <c r="C676" s="89"/>
      <c r="D676" s="89"/>
      <c r="E676" s="89"/>
      <c r="F676" s="67"/>
      <c r="G676" s="89"/>
      <c r="H676" s="67"/>
      <c r="J676" s="71" t="str">
        <f t="shared" si="5"/>
        <v> </v>
      </c>
    </row>
    <row r="677" spans="1:10" ht="15" hidden="1">
      <c r="A677" s="90"/>
      <c r="B677" s="89"/>
      <c r="C677" s="89"/>
      <c r="D677" s="89"/>
      <c r="E677" s="89"/>
      <c r="F677" s="67"/>
      <c r="G677" s="89"/>
      <c r="H677" s="67"/>
      <c r="J677" s="71" t="str">
        <f t="shared" si="5"/>
        <v> </v>
      </c>
    </row>
    <row r="678" spans="1:10" ht="15" hidden="1">
      <c r="A678" s="90"/>
      <c r="B678" s="89"/>
      <c r="C678" s="89"/>
      <c r="D678" s="89"/>
      <c r="E678" s="89"/>
      <c r="F678" s="67"/>
      <c r="G678" s="89"/>
      <c r="H678" s="67"/>
      <c r="J678" s="71" t="str">
        <f t="shared" si="5"/>
        <v> </v>
      </c>
    </row>
    <row r="679" spans="1:10" ht="15" hidden="1">
      <c r="A679" s="90"/>
      <c r="B679" s="89"/>
      <c r="C679" s="89"/>
      <c r="D679" s="89"/>
      <c r="E679" s="89"/>
      <c r="F679" s="67"/>
      <c r="G679" s="89"/>
      <c r="H679" s="67"/>
      <c r="J679" s="71" t="str">
        <f t="shared" si="5"/>
        <v> </v>
      </c>
    </row>
    <row r="680" spans="1:10" ht="15" hidden="1">
      <c r="A680" s="90"/>
      <c r="B680" s="91"/>
      <c r="C680" s="89"/>
      <c r="D680" s="89"/>
      <c r="E680" s="89"/>
      <c r="F680" s="67"/>
      <c r="G680" s="89"/>
      <c r="H680" s="67"/>
      <c r="J680" s="71" t="str">
        <f t="shared" si="5"/>
        <v> </v>
      </c>
    </row>
    <row r="681" spans="1:10" ht="15" hidden="1">
      <c r="A681" s="90"/>
      <c r="B681" s="89"/>
      <c r="C681" s="89"/>
      <c r="D681" s="89"/>
      <c r="E681" s="89"/>
      <c r="F681" s="67"/>
      <c r="G681" s="89"/>
      <c r="H681" s="67"/>
      <c r="I681" s="15"/>
      <c r="J681" s="71" t="str">
        <f t="shared" si="5"/>
        <v> </v>
      </c>
    </row>
    <row r="682" spans="1:10" ht="15" hidden="1">
      <c r="A682" s="99"/>
      <c r="B682" s="91"/>
      <c r="C682" s="89"/>
      <c r="D682" s="89"/>
      <c r="E682" s="89"/>
      <c r="F682" s="67"/>
      <c r="G682" s="89"/>
      <c r="H682" s="103"/>
      <c r="J682" s="71" t="str">
        <f t="shared" si="5"/>
        <v> </v>
      </c>
    </row>
    <row r="683" spans="1:8" ht="15" hidden="1">
      <c r="A683" s="99"/>
      <c r="B683" s="89"/>
      <c r="C683" s="89"/>
      <c r="D683" s="89"/>
      <c r="E683" s="89"/>
      <c r="F683" s="89"/>
      <c r="G683" s="89"/>
      <c r="H683" s="89"/>
    </row>
    <row r="684" spans="1:10" ht="15" hidden="1">
      <c r="A684" s="90"/>
      <c r="B684" s="89"/>
      <c r="C684" s="89"/>
      <c r="D684" s="89"/>
      <c r="E684" s="89"/>
      <c r="F684" s="67"/>
      <c r="G684" s="96"/>
      <c r="H684" s="67"/>
      <c r="J684" s="71" t="str">
        <f aca="true" t="shared" si="6" ref="J684:J691">IF(H684&lt;&gt;"",+H684*($I$660/100)," ")</f>
        <v> </v>
      </c>
    </row>
    <row r="685" spans="1:10" ht="15" hidden="1">
      <c r="A685" s="90"/>
      <c r="B685" s="89"/>
      <c r="C685" s="89"/>
      <c r="D685" s="89"/>
      <c r="E685" s="89"/>
      <c r="F685" s="67"/>
      <c r="G685" s="89"/>
      <c r="H685" s="67"/>
      <c r="J685" s="71" t="str">
        <f t="shared" si="6"/>
        <v> </v>
      </c>
    </row>
    <row r="686" spans="1:10" ht="15" hidden="1">
      <c r="A686" s="90"/>
      <c r="B686" s="89"/>
      <c r="C686" s="89"/>
      <c r="D686" s="89"/>
      <c r="E686" s="89"/>
      <c r="F686" s="67"/>
      <c r="G686" s="89"/>
      <c r="H686" s="67"/>
      <c r="J686" s="71" t="str">
        <f t="shared" si="6"/>
        <v> </v>
      </c>
    </row>
    <row r="687" spans="1:10" ht="15" hidden="1">
      <c r="A687" s="90"/>
      <c r="B687" s="89"/>
      <c r="C687" s="89"/>
      <c r="D687" s="89"/>
      <c r="E687" s="89"/>
      <c r="F687" s="67"/>
      <c r="G687" s="89"/>
      <c r="H687" s="67"/>
      <c r="J687" s="71" t="str">
        <f t="shared" si="6"/>
        <v> </v>
      </c>
    </row>
    <row r="688" spans="1:10" ht="15" hidden="1">
      <c r="A688" s="90"/>
      <c r="B688" s="89"/>
      <c r="C688" s="89"/>
      <c r="D688" s="89"/>
      <c r="E688" s="89"/>
      <c r="F688" s="67"/>
      <c r="G688" s="89"/>
      <c r="H688" s="67"/>
      <c r="J688" s="71" t="str">
        <f t="shared" si="6"/>
        <v> </v>
      </c>
    </row>
    <row r="689" spans="1:10" ht="15" hidden="1">
      <c r="A689" s="90"/>
      <c r="B689" s="89"/>
      <c r="C689" s="89"/>
      <c r="D689" s="89"/>
      <c r="E689" s="89"/>
      <c r="F689" s="67"/>
      <c r="G689" s="89"/>
      <c r="H689" s="67"/>
      <c r="J689" s="71" t="str">
        <f t="shared" si="6"/>
        <v> </v>
      </c>
    </row>
    <row r="690" spans="1:10" ht="15" hidden="1">
      <c r="A690" s="90"/>
      <c r="B690" s="91"/>
      <c r="C690" s="89"/>
      <c r="D690" s="89"/>
      <c r="E690" s="89"/>
      <c r="F690" s="67"/>
      <c r="G690" s="89"/>
      <c r="H690" s="67"/>
      <c r="J690" s="71" t="str">
        <f t="shared" si="6"/>
        <v> </v>
      </c>
    </row>
    <row r="691" spans="1:10" ht="15" hidden="1">
      <c r="A691" s="90"/>
      <c r="B691" s="89"/>
      <c r="C691" s="89"/>
      <c r="D691" s="89"/>
      <c r="E691" s="89"/>
      <c r="F691" s="67"/>
      <c r="G691" s="89"/>
      <c r="H691" s="67"/>
      <c r="J691" s="71" t="str">
        <f t="shared" si="6"/>
        <v> </v>
      </c>
    </row>
    <row r="692" spans="1:8" ht="15" hidden="1">
      <c r="A692" s="99"/>
      <c r="B692" s="89"/>
      <c r="C692" s="89"/>
      <c r="D692" s="89"/>
      <c r="E692" s="89"/>
      <c r="F692" s="89"/>
      <c r="G692" s="89"/>
      <c r="H692" s="89"/>
    </row>
    <row r="693" spans="1:10" ht="15" hidden="1">
      <c r="A693" s="90"/>
      <c r="B693" s="89"/>
      <c r="C693" s="89"/>
      <c r="D693" s="89"/>
      <c r="E693" s="89"/>
      <c r="F693" s="89"/>
      <c r="G693" s="96"/>
      <c r="H693" s="89"/>
      <c r="J693" s="30">
        <v>0</v>
      </c>
    </row>
    <row r="694" spans="1:10" ht="15" hidden="1">
      <c r="A694" s="90"/>
      <c r="B694" s="89"/>
      <c r="C694" s="89"/>
      <c r="D694" s="89"/>
      <c r="E694" s="89"/>
      <c r="F694" s="89"/>
      <c r="G694" s="89"/>
      <c r="H694" s="89"/>
      <c r="J694" s="30">
        <v>0</v>
      </c>
    </row>
    <row r="695" spans="1:10" ht="15" hidden="1">
      <c r="A695" s="90"/>
      <c r="B695" s="91"/>
      <c r="C695" s="89"/>
      <c r="D695" s="89"/>
      <c r="E695" s="89"/>
      <c r="F695" s="89"/>
      <c r="G695" s="89"/>
      <c r="H695" s="89"/>
      <c r="J695" s="30">
        <v>0</v>
      </c>
    </row>
    <row r="696" spans="1:8" ht="15" hidden="1">
      <c r="A696" s="99"/>
      <c r="B696" s="89"/>
      <c r="C696" s="89"/>
      <c r="D696" s="89"/>
      <c r="E696" s="89"/>
      <c r="F696" s="89"/>
      <c r="G696" s="89"/>
      <c r="H696" s="89"/>
    </row>
    <row r="697" spans="1:10" ht="15" hidden="1">
      <c r="A697" s="90"/>
      <c r="B697" s="89"/>
      <c r="C697" s="67"/>
      <c r="D697" s="89"/>
      <c r="E697" s="89"/>
      <c r="F697" s="67"/>
      <c r="G697" s="89"/>
      <c r="H697" s="67"/>
      <c r="J697" s="71" t="str">
        <f aca="true" t="shared" si="7" ref="J697:J704">IF(H697&lt;&gt;"",+H697*($I$660/100)," ")</f>
        <v> </v>
      </c>
    </row>
    <row r="698" spans="1:10" ht="15" hidden="1">
      <c r="A698" s="90"/>
      <c r="B698" s="89"/>
      <c r="C698" s="89"/>
      <c r="D698" s="89"/>
      <c r="E698" s="89"/>
      <c r="F698" s="67"/>
      <c r="G698" s="89"/>
      <c r="H698" s="67"/>
      <c r="J698" s="71" t="str">
        <f t="shared" si="7"/>
        <v> </v>
      </c>
    </row>
    <row r="699" spans="1:10" ht="15" hidden="1">
      <c r="A699" s="90"/>
      <c r="B699" s="89"/>
      <c r="C699" s="89"/>
      <c r="D699" s="89"/>
      <c r="E699" s="89"/>
      <c r="F699" s="67"/>
      <c r="G699" s="89"/>
      <c r="H699" s="67"/>
      <c r="J699" s="71" t="str">
        <f t="shared" si="7"/>
        <v> </v>
      </c>
    </row>
    <row r="700" spans="1:10" ht="15" hidden="1">
      <c r="A700" s="90"/>
      <c r="B700" s="89"/>
      <c r="C700" s="89"/>
      <c r="D700" s="89"/>
      <c r="E700" s="89"/>
      <c r="F700" s="67"/>
      <c r="G700" s="89"/>
      <c r="H700" s="67"/>
      <c r="J700" s="71" t="str">
        <f t="shared" si="7"/>
        <v> </v>
      </c>
    </row>
    <row r="701" spans="1:10" ht="15" hidden="1">
      <c r="A701" s="90"/>
      <c r="B701" s="89"/>
      <c r="C701" s="89"/>
      <c r="D701" s="89"/>
      <c r="E701" s="89"/>
      <c r="F701" s="67"/>
      <c r="G701" s="89"/>
      <c r="H701" s="67"/>
      <c r="J701" s="71" t="str">
        <f t="shared" si="7"/>
        <v> </v>
      </c>
    </row>
    <row r="702" spans="1:10" ht="15" hidden="1">
      <c r="A702" s="90"/>
      <c r="B702" s="89"/>
      <c r="C702" s="89"/>
      <c r="D702" s="89"/>
      <c r="E702" s="89"/>
      <c r="F702" s="67"/>
      <c r="G702" s="89"/>
      <c r="H702" s="67"/>
      <c r="J702" s="71" t="str">
        <f t="shared" si="7"/>
        <v> </v>
      </c>
    </row>
    <row r="703" spans="1:10" ht="15" hidden="1">
      <c r="A703" s="90"/>
      <c r="B703" s="89"/>
      <c r="C703" s="89"/>
      <c r="D703" s="89"/>
      <c r="E703" s="89"/>
      <c r="F703" s="67"/>
      <c r="G703" s="89"/>
      <c r="H703" s="67"/>
      <c r="J703" s="71" t="str">
        <f t="shared" si="7"/>
        <v> </v>
      </c>
    </row>
    <row r="704" spans="1:10" ht="15" hidden="1">
      <c r="A704" s="90"/>
      <c r="B704" s="91"/>
      <c r="C704" s="89"/>
      <c r="D704" s="89"/>
      <c r="E704" s="89"/>
      <c r="F704" s="67"/>
      <c r="G704" s="89"/>
      <c r="H704" s="67"/>
      <c r="I704" s="20"/>
      <c r="J704" s="71" t="str">
        <f t="shared" si="7"/>
        <v> </v>
      </c>
    </row>
    <row r="705" spans="1:10" ht="15" hidden="1">
      <c r="A705" s="99"/>
      <c r="B705" s="89"/>
      <c r="C705" s="89"/>
      <c r="D705" s="89"/>
      <c r="E705" s="89"/>
      <c r="F705" s="89"/>
      <c r="G705" s="89"/>
      <c r="H705" s="96"/>
      <c r="I705" s="16"/>
      <c r="J705" s="30" t="s">
        <v>583</v>
      </c>
    </row>
    <row r="706" spans="1:10" ht="15" hidden="1">
      <c r="A706" s="99"/>
      <c r="B706" s="67"/>
      <c r="C706" s="89"/>
      <c r="D706" s="89"/>
      <c r="E706" s="89"/>
      <c r="F706" s="89"/>
      <c r="G706" s="89"/>
      <c r="H706" s="96"/>
      <c r="I706" s="16"/>
      <c r="J706" s="30">
        <v>0</v>
      </c>
    </row>
    <row r="707" spans="1:8" ht="15" hidden="1">
      <c r="A707" s="99"/>
      <c r="B707" s="89"/>
      <c r="C707" s="89"/>
      <c r="D707" s="89"/>
      <c r="E707" s="89"/>
      <c r="F707" s="89"/>
      <c r="G707" s="89"/>
      <c r="H707" s="89"/>
    </row>
    <row r="708" spans="1:10" ht="15" hidden="1">
      <c r="A708" s="90"/>
      <c r="B708" s="89"/>
      <c r="C708" s="89"/>
      <c r="D708" s="89"/>
      <c r="E708" s="89"/>
      <c r="F708" s="89"/>
      <c r="G708" s="89"/>
      <c r="H708" s="89"/>
      <c r="J708" s="30">
        <v>0</v>
      </c>
    </row>
    <row r="709" spans="1:10" ht="15" hidden="1">
      <c r="A709" s="90"/>
      <c r="B709" s="89"/>
      <c r="C709" s="89"/>
      <c r="D709" s="89"/>
      <c r="E709" s="89"/>
      <c r="F709" s="89"/>
      <c r="G709" s="89"/>
      <c r="H709" s="89"/>
      <c r="J709" s="30">
        <v>0</v>
      </c>
    </row>
    <row r="710" spans="1:10" ht="15" hidden="1">
      <c r="A710" s="90"/>
      <c r="B710" s="89"/>
      <c r="C710" s="89"/>
      <c r="D710" s="89"/>
      <c r="E710" s="89"/>
      <c r="F710" s="89"/>
      <c r="G710" s="89"/>
      <c r="H710" s="89"/>
      <c r="J710" s="30">
        <v>0</v>
      </c>
    </row>
    <row r="711" spans="1:10" ht="15" hidden="1">
      <c r="A711" s="99"/>
      <c r="B711" s="89"/>
      <c r="C711" s="89"/>
      <c r="D711" s="89"/>
      <c r="E711" s="89"/>
      <c r="F711" s="67"/>
      <c r="G711" s="89"/>
      <c r="H711" s="67"/>
      <c r="I711" s="16"/>
      <c r="J711" s="71" t="str">
        <f>IF(H711&lt;&gt;"",+H711*($I$660/100)," ")</f>
        <v> </v>
      </c>
    </row>
    <row r="712" spans="1:10" ht="15" hidden="1">
      <c r="A712" s="99"/>
      <c r="B712" s="89"/>
      <c r="C712" s="89"/>
      <c r="D712" s="89"/>
      <c r="E712" s="89"/>
      <c r="F712" s="67"/>
      <c r="G712" s="89"/>
      <c r="H712" s="89"/>
      <c r="I712" s="16"/>
      <c r="J712" s="30">
        <f>SUM(J666:J711)</f>
        <v>0</v>
      </c>
    </row>
    <row r="713" spans="1:8" ht="15" hidden="1">
      <c r="A713" s="106"/>
      <c r="B713" s="89"/>
      <c r="C713" s="89"/>
      <c r="D713" s="89"/>
      <c r="E713" s="89"/>
      <c r="F713" s="89"/>
      <c r="G713" s="89"/>
      <c r="H713" s="89"/>
    </row>
    <row r="714" spans="1:10" ht="16.5" hidden="1" thickBot="1" thickTop="1">
      <c r="A714" s="90"/>
      <c r="B714" s="89"/>
      <c r="C714" s="89"/>
      <c r="D714" s="89"/>
      <c r="E714" s="89"/>
      <c r="F714" s="89"/>
      <c r="G714" s="89"/>
      <c r="H714" s="92"/>
      <c r="J714" s="72" t="e">
        <f>#N/A</f>
        <v>#N/A</v>
      </c>
    </row>
    <row r="715" spans="1:15" ht="15" hidden="1">
      <c r="A715" s="90"/>
      <c r="B715" s="89"/>
      <c r="C715" s="89"/>
      <c r="D715" s="89"/>
      <c r="E715" s="89"/>
      <c r="F715" s="89"/>
      <c r="G715" s="89"/>
      <c r="H715" s="92"/>
      <c r="J715" s="42"/>
      <c r="O715" s="7" t="s">
        <v>584</v>
      </c>
    </row>
    <row r="716" spans="1:10" ht="15" hidden="1">
      <c r="A716" s="95"/>
      <c r="B716" s="89"/>
      <c r="C716" s="89"/>
      <c r="D716" s="89"/>
      <c r="E716" s="89"/>
      <c r="F716" s="89"/>
      <c r="G716" s="89"/>
      <c r="H716" s="89"/>
      <c r="I716" s="30"/>
      <c r="J716" s="30"/>
    </row>
    <row r="717" spans="1:8" ht="15" hidden="1">
      <c r="A717" s="90"/>
      <c r="B717" s="89"/>
      <c r="C717" s="89"/>
      <c r="D717" s="89"/>
      <c r="E717" s="67"/>
      <c r="F717" s="89"/>
      <c r="G717" s="89"/>
      <c r="H717" s="89"/>
    </row>
    <row r="718" spans="1:8" ht="15" hidden="1">
      <c r="A718" s="90"/>
      <c r="B718" s="89"/>
      <c r="C718" s="89"/>
      <c r="D718" s="89"/>
      <c r="E718" s="67"/>
      <c r="F718" s="89"/>
      <c r="G718" s="89"/>
      <c r="H718" s="89"/>
    </row>
    <row r="719" spans="1:8" ht="15" hidden="1">
      <c r="A719" s="107"/>
      <c r="B719" s="89"/>
      <c r="C719" s="89"/>
      <c r="D719" s="89"/>
      <c r="E719" s="87"/>
      <c r="F719" s="89"/>
      <c r="G719" s="89"/>
      <c r="H719" s="89"/>
    </row>
    <row r="720" spans="1:8" ht="15" hidden="1">
      <c r="A720" s="107"/>
      <c r="B720" s="89"/>
      <c r="C720" s="89"/>
      <c r="D720" s="89"/>
      <c r="E720" s="89"/>
      <c r="F720" s="89"/>
      <c r="G720" s="89"/>
      <c r="H720" s="89"/>
    </row>
    <row r="721" spans="1:10" ht="15.75" hidden="1" thickBot="1">
      <c r="A721" s="90"/>
      <c r="B721" s="89"/>
      <c r="C721" s="89"/>
      <c r="D721" s="89"/>
      <c r="E721" s="89"/>
      <c r="F721" s="89"/>
      <c r="G721" s="89"/>
      <c r="H721" s="89"/>
      <c r="I721" s="73"/>
      <c r="J721" s="73"/>
    </row>
    <row r="722" spans="1:8" ht="15" hidden="1">
      <c r="A722" s="90"/>
      <c r="B722" s="89"/>
      <c r="C722" s="89"/>
      <c r="D722" s="89"/>
      <c r="E722" s="89"/>
      <c r="F722" s="96"/>
      <c r="G722" s="89"/>
      <c r="H722" s="89"/>
    </row>
    <row r="723" spans="1:8" ht="15" hidden="1">
      <c r="A723" s="90"/>
      <c r="B723" s="89"/>
      <c r="C723" s="89"/>
      <c r="D723" s="89"/>
      <c r="E723" s="89"/>
      <c r="F723" s="96"/>
      <c r="G723" s="89"/>
      <c r="H723" s="89"/>
    </row>
    <row r="724" spans="1:8" ht="15" hidden="1">
      <c r="A724" s="90"/>
      <c r="B724" s="89"/>
      <c r="C724" s="89"/>
      <c r="D724" s="89"/>
      <c r="E724" s="89"/>
      <c r="F724" s="96"/>
      <c r="G724" s="89"/>
      <c r="H724" s="89"/>
    </row>
    <row r="725" spans="1:8" ht="15" hidden="1">
      <c r="A725" s="90"/>
      <c r="B725" s="89"/>
      <c r="C725" s="89"/>
      <c r="D725" s="89"/>
      <c r="E725" s="89"/>
      <c r="F725" s="96"/>
      <c r="G725" s="89"/>
      <c r="H725" s="89"/>
    </row>
    <row r="726" spans="1:8" ht="15" hidden="1">
      <c r="A726" s="90"/>
      <c r="B726" s="89"/>
      <c r="C726" s="89"/>
      <c r="D726" s="89"/>
      <c r="E726" s="89"/>
      <c r="F726" s="89"/>
      <c r="G726" s="89"/>
      <c r="H726" s="89"/>
    </row>
    <row r="727" spans="1:8" ht="15" hidden="1">
      <c r="A727" s="90"/>
      <c r="B727" s="89"/>
      <c r="C727" s="89"/>
      <c r="D727" s="89"/>
      <c r="E727" s="96"/>
      <c r="F727" s="89"/>
      <c r="G727" s="89"/>
      <c r="H727" s="89"/>
    </row>
    <row r="728" spans="1:8" ht="15" hidden="1">
      <c r="A728" s="90"/>
      <c r="B728" s="89"/>
      <c r="C728" s="89"/>
      <c r="D728" s="89"/>
      <c r="E728" s="89"/>
      <c r="F728" s="89"/>
      <c r="G728" s="89"/>
      <c r="H728" s="89"/>
    </row>
    <row r="729" spans="1:8" ht="15" hidden="1">
      <c r="A729" s="90"/>
      <c r="B729" s="89"/>
      <c r="C729" s="89"/>
      <c r="D729" s="89"/>
      <c r="E729" s="89"/>
      <c r="F729" s="89"/>
      <c r="G729" s="89"/>
      <c r="H729" s="89"/>
    </row>
    <row r="730" spans="1:8" ht="15" hidden="1">
      <c r="A730" s="90"/>
      <c r="B730" s="89"/>
      <c r="C730" s="89"/>
      <c r="D730" s="89"/>
      <c r="E730" s="89"/>
      <c r="F730" s="89"/>
      <c r="G730" s="89"/>
      <c r="H730" s="89"/>
    </row>
    <row r="731" spans="1:8" ht="15" hidden="1">
      <c r="A731" s="90"/>
      <c r="B731" s="89"/>
      <c r="C731" s="89"/>
      <c r="D731" s="89"/>
      <c r="E731" s="89"/>
      <c r="F731" s="108"/>
      <c r="G731" s="89"/>
      <c r="H731" s="89"/>
    </row>
    <row r="732" spans="1:8" ht="15" hidden="1">
      <c r="A732" s="90"/>
      <c r="B732" s="89"/>
      <c r="C732" s="89"/>
      <c r="D732" s="89"/>
      <c r="E732" s="89"/>
      <c r="F732" s="89"/>
      <c r="G732" s="89"/>
      <c r="H732" s="89"/>
    </row>
    <row r="733" spans="1:8" ht="15" hidden="1">
      <c r="A733" s="90"/>
      <c r="B733" s="89"/>
      <c r="C733" s="89"/>
      <c r="D733" s="89"/>
      <c r="E733" s="89"/>
      <c r="F733" s="89"/>
      <c r="G733" s="89"/>
      <c r="H733" s="89"/>
    </row>
    <row r="734" spans="1:8" ht="15" hidden="1">
      <c r="A734" s="90"/>
      <c r="B734" s="89"/>
      <c r="C734" s="89"/>
      <c r="D734" s="89"/>
      <c r="E734" s="89"/>
      <c r="F734" s="89"/>
      <c r="G734" s="89"/>
      <c r="H734" s="89"/>
    </row>
    <row r="735" spans="1:8" ht="15" hidden="1">
      <c r="A735" s="90"/>
      <c r="B735" s="89"/>
      <c r="C735" s="89"/>
      <c r="D735" s="89"/>
      <c r="E735" s="89"/>
      <c r="F735" s="89"/>
      <c r="G735" s="89"/>
      <c r="H735" s="89"/>
    </row>
    <row r="736" spans="1:8" ht="15" hidden="1">
      <c r="A736" s="90"/>
      <c r="B736" s="89"/>
      <c r="C736" s="89"/>
      <c r="D736" s="89"/>
      <c r="E736" s="89"/>
      <c r="F736" s="89"/>
      <c r="G736" s="89"/>
      <c r="H736" s="89"/>
    </row>
    <row r="737" spans="1:8" ht="15" hidden="1">
      <c r="A737" s="90"/>
      <c r="B737" s="89"/>
      <c r="C737" s="89"/>
      <c r="D737" s="89"/>
      <c r="E737" s="89"/>
      <c r="F737" s="89"/>
      <c r="G737" s="89"/>
      <c r="H737" s="89"/>
    </row>
    <row r="739" ht="24">
      <c r="S739" s="74"/>
    </row>
    <row r="740" ht="24">
      <c r="S740" s="74" t="s">
        <v>585</v>
      </c>
    </row>
    <row r="741" ht="24">
      <c r="S741" s="74" t="s">
        <v>586</v>
      </c>
    </row>
    <row r="742" ht="24">
      <c r="S742" s="74" t="s">
        <v>587</v>
      </c>
    </row>
    <row r="743" ht="24">
      <c r="S743" s="74" t="s">
        <v>588</v>
      </c>
    </row>
    <row r="744" ht="24">
      <c r="S744" s="74" t="s">
        <v>589</v>
      </c>
    </row>
    <row r="745" ht="24">
      <c r="S745" s="74" t="s">
        <v>590</v>
      </c>
    </row>
    <row r="746" ht="24">
      <c r="S746" s="74" t="s">
        <v>590</v>
      </c>
    </row>
    <row r="747" ht="24">
      <c r="S747" s="74" t="s">
        <v>591</v>
      </c>
    </row>
    <row r="748" ht="24">
      <c r="S748" s="74" t="s">
        <v>592</v>
      </c>
    </row>
    <row r="750" ht="24">
      <c r="S750" s="75" t="s">
        <v>593</v>
      </c>
    </row>
    <row r="751" ht="22.5">
      <c r="S751" s="76" t="s">
        <v>594</v>
      </c>
    </row>
    <row r="752" ht="22.5">
      <c r="S752" s="77"/>
    </row>
    <row r="753" ht="22.5">
      <c r="S753" s="77"/>
    </row>
    <row r="754" ht="22.5">
      <c r="S754" s="77"/>
    </row>
    <row r="755" ht="22.5">
      <c r="S755" s="77"/>
    </row>
    <row r="756" ht="22.5">
      <c r="S756" s="77"/>
    </row>
    <row r="757" ht="22.5">
      <c r="S757" s="77"/>
    </row>
    <row r="758" ht="22.5">
      <c r="S758" s="77"/>
    </row>
    <row r="759" ht="22.5">
      <c r="S759" s="77"/>
    </row>
    <row r="760" ht="22.5">
      <c r="S760" s="77"/>
    </row>
    <row r="761" ht="22.5">
      <c r="S761" s="77"/>
    </row>
    <row r="762" ht="22.5">
      <c r="S762" s="77"/>
    </row>
    <row r="763" ht="22.5">
      <c r="S763" s="77"/>
    </row>
    <row r="764" ht="22.5">
      <c r="S764" s="77"/>
    </row>
    <row r="765" ht="22.5">
      <c r="S765" s="77"/>
    </row>
    <row r="766" ht="22.5">
      <c r="S766" s="77"/>
    </row>
    <row r="767" ht="22.5">
      <c r="S767" s="77"/>
    </row>
    <row r="768" ht="22.5">
      <c r="M768" s="78"/>
    </row>
  </sheetData>
  <sheetProtection password="EE60" sheet="1"/>
  <mergeCells count="57">
    <mergeCell ref="I383:I384"/>
    <mergeCell ref="H54:I54"/>
    <mergeCell ref="H55:I55"/>
    <mergeCell ref="H57:I57"/>
    <mergeCell ref="A405:I405"/>
    <mergeCell ref="G255:H255"/>
    <mergeCell ref="A403:I403"/>
    <mergeCell ref="A404:I404"/>
    <mergeCell ref="B113:E113"/>
    <mergeCell ref="B111:E111"/>
    <mergeCell ref="F17:G17"/>
    <mergeCell ref="C13:G13"/>
    <mergeCell ref="C15:G15"/>
    <mergeCell ref="C100:F100"/>
    <mergeCell ref="G617:H617"/>
    <mergeCell ref="G528:H528"/>
    <mergeCell ref="G544:H544"/>
    <mergeCell ref="G577:H577"/>
    <mergeCell ref="G601:H601"/>
    <mergeCell ref="B112:E112"/>
    <mergeCell ref="H51:I51"/>
    <mergeCell ref="H52:I52"/>
    <mergeCell ref="H53:I53"/>
    <mergeCell ref="B106:E106"/>
    <mergeCell ref="B107:E107"/>
    <mergeCell ref="B108:E108"/>
    <mergeCell ref="G102:H102"/>
    <mergeCell ref="G10:H10"/>
    <mergeCell ref="G8:H8"/>
    <mergeCell ref="B18:D18"/>
    <mergeCell ref="A2:J2"/>
    <mergeCell ref="A3:J3"/>
    <mergeCell ref="B110:E110"/>
    <mergeCell ref="I12:J12"/>
    <mergeCell ref="F18:G18"/>
    <mergeCell ref="A4:H4"/>
    <mergeCell ref="B109:E109"/>
    <mergeCell ref="B186:E186"/>
    <mergeCell ref="B187:E187"/>
    <mergeCell ref="C140:F140"/>
    <mergeCell ref="I17:J17"/>
    <mergeCell ref="I18:J18"/>
    <mergeCell ref="G7:H7"/>
    <mergeCell ref="C12:G12"/>
    <mergeCell ref="C14:G14"/>
    <mergeCell ref="B17:D17"/>
    <mergeCell ref="G9:H9"/>
    <mergeCell ref="I14:J14"/>
    <mergeCell ref="H35:I35"/>
    <mergeCell ref="H38:I38"/>
    <mergeCell ref="E137:G138"/>
    <mergeCell ref="B188:E188"/>
    <mergeCell ref="B189:E189"/>
    <mergeCell ref="B182:E182"/>
    <mergeCell ref="B183:E183"/>
    <mergeCell ref="B184:E184"/>
    <mergeCell ref="B185:E185"/>
  </mergeCells>
  <printOptions horizontalCentered="1"/>
  <pageMargins left="0.25" right="0.25" top="0.55" bottom="0.5041666666666667" header="0.25" footer="0.25"/>
  <pageSetup horizontalDpi="600" verticalDpi="600" orientation="portrait" paperSize="5" scale="55" r:id="rId2"/>
  <headerFooter alignWithMargins="0">
    <oddHeader>&amp;C&amp;"Arial,Bold"&amp;16DRAFT - for discussion purposes only and subject to change&amp;R
&amp;T</oddHeader>
    <oddFooter>&amp;L&amp;8&amp;F&amp;A &amp;D&amp;C&amp;"Arial,Bold"&amp;11This memorandum contains advisory, consultative and deliberative materials and is intended for the person(s) named as recipient(s).
&amp;RREV.  3/27/19</oddFooter>
  </headerFooter>
  <rowBreaks count="4" manualBreakCount="4">
    <brk id="90" max="9" man="1"/>
    <brk id="177" max="255" man="1"/>
    <brk id="247" max="255" man="1"/>
    <brk id="328" max="9" man="1"/>
  </rowBreaks>
  <drawing r:id="rId1"/>
</worksheet>
</file>

<file path=xl/worksheets/sheet4.xml><?xml version="1.0" encoding="utf-8"?>
<worksheet xmlns="http://schemas.openxmlformats.org/spreadsheetml/2006/main" xmlns:r="http://schemas.openxmlformats.org/officeDocument/2006/relationships">
  <sheetPr codeName="Sheet2"/>
  <dimension ref="A1:J85"/>
  <sheetViews>
    <sheetView zoomScalePageLayoutView="0" workbookViewId="0" topLeftCell="A10">
      <selection activeCell="D20" sqref="D20"/>
    </sheetView>
  </sheetViews>
  <sheetFormatPr defaultColWidth="8.88671875" defaultRowHeight="15"/>
  <cols>
    <col min="1" max="1" width="8.88671875" style="488" customWidth="1"/>
    <col min="2" max="2" width="8.3359375" style="488" customWidth="1"/>
    <col min="3" max="3" width="14.10546875" style="488" customWidth="1"/>
    <col min="4" max="4" width="11.77734375" style="488" customWidth="1"/>
    <col min="5" max="5" width="2.21484375" style="488" customWidth="1"/>
    <col min="6" max="6" width="12.77734375" style="488" customWidth="1"/>
    <col min="7" max="7" width="5.10546875" style="488" customWidth="1"/>
    <col min="8" max="8" width="10.99609375" style="488" customWidth="1"/>
    <col min="9" max="9" width="4.3359375" style="0" customWidth="1"/>
    <col min="10" max="10" width="10.10546875" style="0" customWidth="1"/>
  </cols>
  <sheetData>
    <row r="1" spans="1:8" ht="15">
      <c r="A1" s="571"/>
      <c r="B1" s="571"/>
      <c r="D1" s="572" t="s">
        <v>713</v>
      </c>
      <c r="E1" s="573"/>
      <c r="F1" s="574"/>
      <c r="G1" s="571"/>
      <c r="H1" s="571"/>
    </row>
    <row r="2" spans="1:8" ht="15">
      <c r="A2" s="571"/>
      <c r="B2" s="571"/>
      <c r="C2" s="571"/>
      <c r="D2" s="571"/>
      <c r="E2" s="571"/>
      <c r="F2" s="571"/>
      <c r="G2" s="571"/>
      <c r="H2" s="571"/>
    </row>
    <row r="3" spans="1:8" ht="15.75" thickBot="1">
      <c r="A3" s="571"/>
      <c r="B3" s="571"/>
      <c r="C3" s="571"/>
      <c r="D3" s="571"/>
      <c r="E3" s="571"/>
      <c r="F3" s="571"/>
      <c r="G3" s="686" t="s">
        <v>843</v>
      </c>
      <c r="H3" s="687">
        <f>'FORM-10 (A-F)'!HMFA</f>
        <v>0</v>
      </c>
    </row>
    <row r="4" spans="1:8" ht="15.75" thickBot="1">
      <c r="A4" s="575" t="s">
        <v>1002</v>
      </c>
      <c r="B4" s="571"/>
      <c r="C4" s="576">
        <f>'FORM-10 (A-F)'!DEV_NAME</f>
        <v>0</v>
      </c>
      <c r="D4" s="577"/>
      <c r="E4" s="577"/>
      <c r="F4" s="578" t="s">
        <v>714</v>
      </c>
      <c r="G4" s="571"/>
      <c r="H4" s="579">
        <f>'FORM-10 (A-F)'!J224</f>
        <v>0</v>
      </c>
    </row>
    <row r="5" spans="1:8" ht="15.75" thickTop="1">
      <c r="A5" s="571"/>
      <c r="B5" s="571"/>
      <c r="C5" s="571"/>
      <c r="D5" s="571"/>
      <c r="E5" s="571"/>
      <c r="F5" s="571"/>
      <c r="G5" s="571"/>
      <c r="H5" s="571"/>
    </row>
    <row r="6" spans="1:8" ht="15.75" thickBot="1">
      <c r="A6" s="575" t="s">
        <v>715</v>
      </c>
      <c r="B6" s="571"/>
      <c r="C6" s="580">
        <f>'FORM-10 (A-F)'!C29</f>
        <v>0</v>
      </c>
      <c r="D6" s="571"/>
      <c r="E6" s="571"/>
      <c r="F6" s="575" t="s">
        <v>716</v>
      </c>
      <c r="G6" s="571"/>
      <c r="H6" s="581">
        <f>'FORM-10 (A-F)'!NETRNTAR</f>
        <v>0</v>
      </c>
    </row>
    <row r="7" spans="1:8" ht="15.75" thickTop="1">
      <c r="A7" s="582"/>
      <c r="B7" s="571"/>
      <c r="C7" s="583"/>
      <c r="D7" s="571"/>
      <c r="E7" s="571"/>
      <c r="F7" s="571"/>
      <c r="G7" s="571"/>
      <c r="H7" s="571"/>
    </row>
    <row r="8" spans="1:8" ht="15.75" thickBot="1">
      <c r="A8" s="571" t="s">
        <v>717</v>
      </c>
      <c r="B8" s="571"/>
      <c r="C8" s="571"/>
      <c r="D8" s="584">
        <f>'FORM-10 (A-F)'!J122</f>
        <v>0</v>
      </c>
      <c r="E8" s="571"/>
      <c r="F8" s="571"/>
      <c r="G8" s="571"/>
      <c r="H8" s="571"/>
    </row>
    <row r="9" spans="1:8" ht="16.5" thickBot="1" thickTop="1">
      <c r="A9" s="571" t="s">
        <v>718</v>
      </c>
      <c r="B9" s="571"/>
      <c r="C9" s="571"/>
      <c r="D9" s="584">
        <f>CONSTR</f>
        <v>0</v>
      </c>
      <c r="E9" s="571"/>
      <c r="F9" s="571"/>
      <c r="G9" s="571"/>
      <c r="H9" s="571"/>
    </row>
    <row r="10" spans="1:8" ht="16.5" thickBot="1" thickTop="1">
      <c r="A10" s="571" t="s">
        <v>719</v>
      </c>
      <c r="B10" s="571"/>
      <c r="C10" s="571"/>
      <c r="D10" s="584">
        <f>'FORM-10 (A-F)'!J155</f>
        <v>0</v>
      </c>
      <c r="E10" s="571"/>
      <c r="F10" s="571"/>
      <c r="G10" s="571"/>
      <c r="H10" s="571"/>
    </row>
    <row r="11" spans="1:8" ht="16.5" thickBot="1" thickTop="1">
      <c r="A11" s="571" t="s">
        <v>720</v>
      </c>
      <c r="B11" s="571"/>
      <c r="C11" s="571"/>
      <c r="D11" s="584">
        <f>'FORM-10 (A-F)'!J138</f>
        <v>0</v>
      </c>
      <c r="E11" s="571"/>
      <c r="F11" s="571"/>
      <c r="G11" s="571"/>
      <c r="H11" s="571"/>
    </row>
    <row r="12" spans="1:8" ht="15.75" thickTop="1">
      <c r="A12" s="571"/>
      <c r="B12" s="571"/>
      <c r="C12" s="571"/>
      <c r="D12" s="571"/>
      <c r="E12" s="571"/>
      <c r="F12" s="571"/>
      <c r="G12" s="688" t="s">
        <v>711</v>
      </c>
      <c r="H12" s="585">
        <f>'FORM-10 (A-F)'!G8</f>
        <v>0</v>
      </c>
    </row>
    <row r="13" spans="1:10" ht="15">
      <c r="A13" s="572" t="s">
        <v>721</v>
      </c>
      <c r="B13" s="571"/>
      <c r="C13" s="571"/>
      <c r="D13" s="571"/>
      <c r="E13" s="571"/>
      <c r="F13" s="571"/>
      <c r="G13" s="571"/>
      <c r="H13" s="571"/>
      <c r="J13" s="1110" t="s">
        <v>1528</v>
      </c>
    </row>
    <row r="14" spans="1:10" ht="15">
      <c r="A14" s="571"/>
      <c r="B14" s="571"/>
      <c r="C14" s="571"/>
      <c r="D14" s="571"/>
      <c r="E14" s="571"/>
      <c r="F14" s="571"/>
      <c r="G14" s="571"/>
      <c r="H14" s="571"/>
      <c r="J14" s="1110" t="s">
        <v>1529</v>
      </c>
    </row>
    <row r="15" spans="1:10" ht="15">
      <c r="A15" s="571" t="s">
        <v>722</v>
      </c>
      <c r="B15" s="571"/>
      <c r="C15" s="571"/>
      <c r="D15" s="586">
        <f>D8</f>
        <v>0</v>
      </c>
      <c r="E15" s="587"/>
      <c r="F15" s="588">
        <f aca="true" t="shared" si="0" ref="F15:F21">IF($D15&lt;&gt;0,(D15/$C$6),0)</f>
        <v>0</v>
      </c>
      <c r="G15" s="589" t="s">
        <v>723</v>
      </c>
      <c r="H15" s="588">
        <f aca="true" t="shared" si="1" ref="H15:H21">IF($D15&lt;&gt;0,($D15/$H$6),0)</f>
        <v>0</v>
      </c>
      <c r="I15" s="589" t="s">
        <v>724</v>
      </c>
      <c r="J15" s="1111">
        <f>IF($H$4&lt;&gt;0,D15/$H$4,0)</f>
        <v>0</v>
      </c>
    </row>
    <row r="16" spans="1:10" ht="15">
      <c r="A16" s="1101" t="s">
        <v>1516</v>
      </c>
      <c r="B16" s="571"/>
      <c r="C16" s="571"/>
      <c r="D16" s="586">
        <f>D9</f>
        <v>0</v>
      </c>
      <c r="E16" s="587"/>
      <c r="F16" s="588">
        <f t="shared" si="0"/>
        <v>0</v>
      </c>
      <c r="G16" s="589" t="s">
        <v>723</v>
      </c>
      <c r="H16" s="588">
        <f t="shared" si="1"/>
        <v>0</v>
      </c>
      <c r="I16" s="589" t="s">
        <v>724</v>
      </c>
      <c r="J16" s="1111">
        <f aca="true" t="shared" si="2" ref="J16:J21">IF($H$4&lt;&gt;0,D16/$H$4,0)</f>
        <v>0</v>
      </c>
    </row>
    <row r="17" spans="1:10" ht="15">
      <c r="A17" s="1101" t="s">
        <v>1517</v>
      </c>
      <c r="B17" s="571"/>
      <c r="C17" s="571"/>
      <c r="D17" s="586">
        <f>'FORM-10 (A-F)'!J142</f>
        <v>0</v>
      </c>
      <c r="E17" s="587"/>
      <c r="F17" s="588">
        <f t="shared" si="0"/>
        <v>0</v>
      </c>
      <c r="G17" s="589" t="s">
        <v>723</v>
      </c>
      <c r="H17" s="588">
        <f t="shared" si="1"/>
        <v>0</v>
      </c>
      <c r="I17" s="589" t="s">
        <v>724</v>
      </c>
      <c r="J17" s="1111">
        <f t="shared" si="2"/>
        <v>0</v>
      </c>
    </row>
    <row r="18" spans="1:10" ht="15">
      <c r="A18" s="571" t="s">
        <v>725</v>
      </c>
      <c r="B18" s="571"/>
      <c r="C18" s="571"/>
      <c r="D18" s="590">
        <f>D11</f>
        <v>0</v>
      </c>
      <c r="E18" s="587"/>
      <c r="F18" s="588">
        <f t="shared" si="0"/>
        <v>0</v>
      </c>
      <c r="G18" s="589" t="s">
        <v>723</v>
      </c>
      <c r="H18" s="588">
        <f t="shared" si="1"/>
        <v>0</v>
      </c>
      <c r="I18" s="589" t="s">
        <v>724</v>
      </c>
      <c r="J18" s="1111">
        <f t="shared" si="2"/>
        <v>0</v>
      </c>
    </row>
    <row r="19" spans="1:10" ht="15">
      <c r="A19" s="571" t="s">
        <v>719</v>
      </c>
      <c r="B19" s="571"/>
      <c r="C19" s="571"/>
      <c r="D19" s="586">
        <f>D10</f>
        <v>0</v>
      </c>
      <c r="E19" s="587"/>
      <c r="F19" s="588">
        <f t="shared" si="0"/>
        <v>0</v>
      </c>
      <c r="G19" s="589" t="s">
        <v>723</v>
      </c>
      <c r="H19" s="588">
        <f t="shared" si="1"/>
        <v>0</v>
      </c>
      <c r="I19" s="589" t="s">
        <v>724</v>
      </c>
      <c r="J19" s="1111">
        <f t="shared" si="2"/>
        <v>0</v>
      </c>
    </row>
    <row r="20" spans="1:10" ht="15">
      <c r="A20" s="1101" t="s">
        <v>1519</v>
      </c>
      <c r="B20" s="571"/>
      <c r="C20" s="571"/>
      <c r="D20" s="586">
        <f>DEVFEE</f>
        <v>0</v>
      </c>
      <c r="E20" s="587"/>
      <c r="F20" s="588">
        <f t="shared" si="0"/>
        <v>0</v>
      </c>
      <c r="G20" s="589" t="s">
        <v>723</v>
      </c>
      <c r="H20" s="588">
        <f t="shared" si="1"/>
        <v>0</v>
      </c>
      <c r="I20" s="589" t="s">
        <v>724</v>
      </c>
      <c r="J20" s="1111">
        <f t="shared" si="2"/>
        <v>0</v>
      </c>
    </row>
    <row r="21" spans="1:10" ht="15">
      <c r="A21" s="1102" t="s">
        <v>1518</v>
      </c>
      <c r="B21" s="591"/>
      <c r="C21" s="571"/>
      <c r="D21" s="592">
        <f>H4-SUM(D15:D20)</f>
        <v>0</v>
      </c>
      <c r="E21" s="587"/>
      <c r="F21" s="588">
        <f t="shared" si="0"/>
        <v>0</v>
      </c>
      <c r="G21" s="589" t="s">
        <v>723</v>
      </c>
      <c r="H21" s="588">
        <f t="shared" si="1"/>
        <v>0</v>
      </c>
      <c r="I21" s="589" t="s">
        <v>724</v>
      </c>
      <c r="J21" s="1111">
        <f t="shared" si="2"/>
        <v>0</v>
      </c>
    </row>
    <row r="23" spans="1:10" ht="15">
      <c r="A23" s="575" t="s">
        <v>726</v>
      </c>
      <c r="B23" s="571"/>
      <c r="C23" s="571"/>
      <c r="D23" s="593">
        <f>SUM(D15:D21)</f>
        <v>0</v>
      </c>
      <c r="E23" s="587"/>
      <c r="F23" s="588">
        <f>IF($D23&lt;&gt;0,(D23/$C$6),0)</f>
        <v>0</v>
      </c>
      <c r="G23" s="589" t="s">
        <v>723</v>
      </c>
      <c r="H23" s="588">
        <f>IF($D23&lt;&gt;0,($D23/$H$6),0)</f>
        <v>0</v>
      </c>
      <c r="I23" s="589" t="s">
        <v>724</v>
      </c>
      <c r="J23" s="1111">
        <f>SUM(J15:J21)</f>
        <v>0</v>
      </c>
    </row>
    <row r="24" spans="1:8" ht="15">
      <c r="A24" s="571"/>
      <c r="B24" s="571"/>
      <c r="C24" s="571"/>
      <c r="D24" s="571"/>
      <c r="E24" s="571"/>
      <c r="F24" s="571"/>
      <c r="G24" s="571"/>
      <c r="H24" s="571"/>
    </row>
    <row r="25" spans="1:8" ht="15">
      <c r="A25" s="594" t="s">
        <v>727</v>
      </c>
      <c r="B25" s="594"/>
      <c r="C25" s="594"/>
      <c r="D25" s="571"/>
      <c r="E25" s="571"/>
      <c r="F25" s="595"/>
      <c r="G25" s="571"/>
      <c r="H25" s="571"/>
    </row>
    <row r="26" spans="1:8" ht="15">
      <c r="A26" s="596" t="s">
        <v>728</v>
      </c>
      <c r="B26" s="594"/>
      <c r="C26" s="594"/>
      <c r="D26" s="571"/>
      <c r="E26" s="571"/>
      <c r="F26" s="595"/>
      <c r="G26" s="571"/>
      <c r="H26" s="571"/>
    </row>
    <row r="27" spans="1:8" ht="15">
      <c r="A27" s="689" t="s">
        <v>844</v>
      </c>
      <c r="B27" s="597"/>
      <c r="C27" s="571"/>
      <c r="D27" s="598"/>
      <c r="E27" s="571"/>
      <c r="F27" s="588">
        <f>IF(D27&lt;&gt;0,(D27/$C$6),0)</f>
        <v>0</v>
      </c>
      <c r="G27" s="589" t="s">
        <v>723</v>
      </c>
      <c r="H27" s="571"/>
    </row>
    <row r="28" spans="1:8" ht="15">
      <c r="A28" s="689" t="s">
        <v>845</v>
      </c>
      <c r="B28" s="597"/>
      <c r="C28" s="571"/>
      <c r="D28" s="598"/>
      <c r="E28" s="571"/>
      <c r="F28" s="588">
        <f aca="true" t="shared" si="3" ref="F28:F37">IF(D28&lt;&gt;0,(D28/$C$6),0)</f>
        <v>0</v>
      </c>
      <c r="G28" s="589" t="s">
        <v>723</v>
      </c>
      <c r="H28" s="571"/>
    </row>
    <row r="29" spans="1:8" ht="15">
      <c r="A29" s="689" t="s">
        <v>846</v>
      </c>
      <c r="B29" s="597"/>
      <c r="C29" s="571"/>
      <c r="D29" s="598"/>
      <c r="E29" s="571"/>
      <c r="F29" s="588">
        <f t="shared" si="3"/>
        <v>0</v>
      </c>
      <c r="G29" s="589" t="s">
        <v>723</v>
      </c>
      <c r="H29" s="571"/>
    </row>
    <row r="30" spans="1:8" ht="15">
      <c r="A30" s="690" t="s">
        <v>847</v>
      </c>
      <c r="B30" s="597"/>
      <c r="C30" s="571"/>
      <c r="D30" s="598"/>
      <c r="E30" s="571"/>
      <c r="F30" s="588">
        <f t="shared" si="3"/>
        <v>0</v>
      </c>
      <c r="G30" s="589" t="s">
        <v>723</v>
      </c>
      <c r="H30" s="571"/>
    </row>
    <row r="31" spans="1:8" ht="15">
      <c r="A31" s="690" t="s">
        <v>848</v>
      </c>
      <c r="B31" s="597"/>
      <c r="C31" s="571"/>
      <c r="D31" s="598"/>
      <c r="E31" s="571"/>
      <c r="F31" s="588">
        <f t="shared" si="3"/>
        <v>0</v>
      </c>
      <c r="G31" s="589" t="s">
        <v>723</v>
      </c>
      <c r="H31" s="571"/>
    </row>
    <row r="32" spans="1:8" ht="15">
      <c r="A32" s="689" t="s">
        <v>849</v>
      </c>
      <c r="B32" s="597"/>
      <c r="C32" s="571"/>
      <c r="D32" s="598"/>
      <c r="E32" s="571"/>
      <c r="F32" s="588">
        <f t="shared" si="3"/>
        <v>0</v>
      </c>
      <c r="G32" s="589" t="s">
        <v>723</v>
      </c>
      <c r="H32" s="571"/>
    </row>
    <row r="33" spans="1:8" ht="15">
      <c r="A33" s="689" t="s">
        <v>729</v>
      </c>
      <c r="B33" s="597"/>
      <c r="C33" s="571"/>
      <c r="D33" s="598"/>
      <c r="E33" s="571"/>
      <c r="F33" s="588">
        <f t="shared" si="3"/>
        <v>0</v>
      </c>
      <c r="G33" s="589" t="s">
        <v>723</v>
      </c>
      <c r="H33" s="571"/>
    </row>
    <row r="34" spans="1:8" ht="15">
      <c r="A34" s="689" t="s">
        <v>850</v>
      </c>
      <c r="B34" s="597"/>
      <c r="C34" s="571"/>
      <c r="D34" s="598"/>
      <c r="E34" s="571"/>
      <c r="F34" s="588">
        <f t="shared" si="3"/>
        <v>0</v>
      </c>
      <c r="G34" s="589" t="s">
        <v>723</v>
      </c>
      <c r="H34" s="571"/>
    </row>
    <row r="35" spans="1:8" ht="15">
      <c r="A35" s="689" t="s">
        <v>530</v>
      </c>
      <c r="B35" s="597"/>
      <c r="C35" s="571"/>
      <c r="D35" s="598"/>
      <c r="E35" s="571"/>
      <c r="F35" s="588">
        <f t="shared" si="3"/>
        <v>0</v>
      </c>
      <c r="G35" s="589" t="s">
        <v>723</v>
      </c>
      <c r="H35" s="571"/>
    </row>
    <row r="36" spans="1:8" ht="15">
      <c r="A36" s="689" t="s">
        <v>851</v>
      </c>
      <c r="B36" s="597"/>
      <c r="C36" s="571"/>
      <c r="D36" s="598"/>
      <c r="E36" s="571"/>
      <c r="F36" s="588">
        <f t="shared" si="3"/>
        <v>0</v>
      </c>
      <c r="G36" s="589" t="s">
        <v>723</v>
      </c>
      <c r="H36" s="571"/>
    </row>
    <row r="37" spans="1:8" ht="15">
      <c r="A37" s="598"/>
      <c r="B37" s="598"/>
      <c r="C37" s="571"/>
      <c r="D37" s="598"/>
      <c r="E37" s="571"/>
      <c r="F37" s="588">
        <f t="shared" si="3"/>
        <v>0</v>
      </c>
      <c r="G37" s="589" t="s">
        <v>723</v>
      </c>
      <c r="H37" s="571"/>
    </row>
    <row r="38" spans="1:8" ht="15">
      <c r="A38" s="571" t="s">
        <v>852</v>
      </c>
      <c r="B38" s="571"/>
      <c r="C38" s="571"/>
      <c r="D38" s="599">
        <f>SUM(D27:D37)</f>
        <v>0</v>
      </c>
      <c r="E38" s="571"/>
      <c r="F38" s="590">
        <f>SUM(F27:F37)</f>
        <v>0</v>
      </c>
      <c r="G38" s="571"/>
      <c r="H38" s="571"/>
    </row>
    <row r="39" spans="1:8" ht="15">
      <c r="A39" s="571"/>
      <c r="B39" s="571"/>
      <c r="C39" s="571"/>
      <c r="D39" s="600"/>
      <c r="E39" s="571"/>
      <c r="F39" s="601"/>
      <c r="G39" s="571"/>
      <c r="H39" s="571"/>
    </row>
    <row r="40" spans="2:8" ht="15">
      <c r="B40" s="571"/>
      <c r="C40" s="571" t="s">
        <v>1127</v>
      </c>
      <c r="D40" s="602">
        <f>D23-D38</f>
        <v>0</v>
      </c>
      <c r="E40" s="571"/>
      <c r="F40" s="588">
        <f aca="true" t="shared" si="4" ref="F40:F48">IF(D40&lt;&gt;0,(D40/$C$6),0)</f>
        <v>0</v>
      </c>
      <c r="G40" s="589" t="s">
        <v>723</v>
      </c>
      <c r="H40" s="571"/>
    </row>
    <row r="41" spans="1:8" ht="15">
      <c r="A41" s="571"/>
      <c r="B41" s="571"/>
      <c r="C41" s="571"/>
      <c r="D41" s="602"/>
      <c r="E41" s="571"/>
      <c r="F41" s="588"/>
      <c r="G41" s="589"/>
      <c r="H41" s="571"/>
    </row>
    <row r="42" spans="2:8" ht="15">
      <c r="B42" s="571"/>
      <c r="C42" s="571"/>
      <c r="D42" s="602"/>
      <c r="E42" s="571"/>
      <c r="F42" s="588"/>
      <c r="G42" s="589"/>
      <c r="H42" s="571"/>
    </row>
    <row r="43" spans="1:8" ht="15">
      <c r="A43" s="603" t="s">
        <v>730</v>
      </c>
      <c r="B43" s="571"/>
      <c r="C43" s="571"/>
      <c r="D43" s="602"/>
      <c r="E43" s="571"/>
      <c r="F43" s="588"/>
      <c r="G43" s="589"/>
      <c r="H43" s="571"/>
    </row>
    <row r="44" spans="1:8" ht="15">
      <c r="A44" s="572" t="s">
        <v>731</v>
      </c>
      <c r="B44" s="571"/>
      <c r="C44" s="571"/>
      <c r="D44" s="600"/>
      <c r="E44" s="571"/>
      <c r="F44" s="588"/>
      <c r="G44" s="589"/>
      <c r="H44" s="571"/>
    </row>
    <row r="45" spans="1:8" ht="15">
      <c r="A45" s="689" t="s">
        <v>853</v>
      </c>
      <c r="B45" s="604"/>
      <c r="C45" s="604"/>
      <c r="D45" s="598"/>
      <c r="E45" s="571"/>
      <c r="F45" s="588">
        <f t="shared" si="4"/>
        <v>0</v>
      </c>
      <c r="G45" s="589" t="s">
        <v>723</v>
      </c>
      <c r="H45" s="571"/>
    </row>
    <row r="46" spans="1:8" ht="15">
      <c r="A46" s="689" t="s">
        <v>854</v>
      </c>
      <c r="B46" s="604"/>
      <c r="C46" s="604"/>
      <c r="D46" s="598"/>
      <c r="E46" s="571"/>
      <c r="F46" s="588">
        <f t="shared" si="4"/>
        <v>0</v>
      </c>
      <c r="G46" s="589" t="s">
        <v>723</v>
      </c>
      <c r="H46" s="571"/>
    </row>
    <row r="47" spans="1:8" ht="15">
      <c r="A47" s="691"/>
      <c r="B47" s="604"/>
      <c r="C47" s="604"/>
      <c r="D47" s="598"/>
      <c r="E47" s="571"/>
      <c r="F47" s="588">
        <f t="shared" si="4"/>
        <v>0</v>
      </c>
      <c r="G47" s="589" t="s">
        <v>723</v>
      </c>
      <c r="H47" s="571"/>
    </row>
    <row r="48" spans="1:8" ht="15">
      <c r="A48" s="689" t="s">
        <v>855</v>
      </c>
      <c r="B48" s="604"/>
      <c r="C48" s="604"/>
      <c r="D48" s="714">
        <f>SUM(D45:D46)</f>
        <v>0</v>
      </c>
      <c r="E48" s="571"/>
      <c r="F48" s="588">
        <f t="shared" si="4"/>
        <v>0</v>
      </c>
      <c r="G48" s="589" t="s">
        <v>723</v>
      </c>
      <c r="H48" s="571"/>
    </row>
    <row r="49" spans="1:8" ht="15">
      <c r="A49" s="691"/>
      <c r="B49" s="692"/>
      <c r="C49" s="692"/>
      <c r="D49" s="692"/>
      <c r="E49" s="693"/>
      <c r="F49" s="694"/>
      <c r="G49" s="695"/>
      <c r="H49" s="571"/>
    </row>
    <row r="50" spans="1:8" ht="15" hidden="1">
      <c r="A50" s="689" t="s">
        <v>861</v>
      </c>
      <c r="B50" s="571"/>
      <c r="C50" s="571"/>
      <c r="D50" s="606">
        <f>SUM(D38:D49)</f>
        <v>0</v>
      </c>
      <c r="E50" s="571"/>
      <c r="F50" s="571"/>
      <c r="G50" s="571"/>
      <c r="H50" s="571"/>
    </row>
    <row r="51" spans="1:9" ht="15">
      <c r="A51" s="689" t="s">
        <v>861</v>
      </c>
      <c r="B51" s="692"/>
      <c r="C51" s="696"/>
      <c r="D51" s="692"/>
      <c r="F51" s="697"/>
      <c r="G51" s="571"/>
      <c r="H51" s="571"/>
      <c r="I51" s="607"/>
    </row>
    <row r="52" spans="1:9" ht="15">
      <c r="A52" s="605" t="s">
        <v>311</v>
      </c>
      <c r="B52" s="605"/>
      <c r="C52" s="696"/>
      <c r="D52" s="715"/>
      <c r="F52" s="588">
        <f>IF(D52&lt;&gt;0,(D52/$C$6),0)</f>
        <v>0</v>
      </c>
      <c r="G52" s="608"/>
      <c r="H52" s="608"/>
      <c r="I52" s="609"/>
    </row>
    <row r="53" spans="1:9" ht="15">
      <c r="A53" s="605"/>
      <c r="B53" s="605"/>
      <c r="C53" s="696"/>
      <c r="D53" s="715"/>
      <c r="F53" s="588">
        <f>IF(D53&lt;&gt;0,(D53/$C$6),0)</f>
        <v>0</v>
      </c>
      <c r="G53" s="608"/>
      <c r="H53" s="608"/>
      <c r="I53" s="609"/>
    </row>
    <row r="54" spans="1:9" ht="15">
      <c r="A54" s="605"/>
      <c r="B54" s="605"/>
      <c r="C54" s="696"/>
      <c r="D54" s="715"/>
      <c r="F54" s="588">
        <f>IF(D54&lt;&gt;0,(D54/$C$6),0)</f>
        <v>0</v>
      </c>
      <c r="G54" s="571"/>
      <c r="H54" s="610"/>
      <c r="I54" s="607"/>
    </row>
    <row r="55" spans="1:9" ht="15">
      <c r="A55" s="698"/>
      <c r="D55" s="716"/>
      <c r="G55" s="571"/>
      <c r="H55" s="611"/>
      <c r="I55" s="607"/>
    </row>
    <row r="56" spans="1:9" ht="15">
      <c r="A56" s="699" t="s">
        <v>862</v>
      </c>
      <c r="D56" s="717">
        <f>SUM(D52:D54)</f>
        <v>0</v>
      </c>
      <c r="F56" s="588">
        <f>IF(D56&lt;&gt;0,(D56/$C$6),0)</f>
        <v>0</v>
      </c>
      <c r="G56" s="571"/>
      <c r="H56" s="612"/>
      <c r="I56" s="607"/>
    </row>
    <row r="57" spans="1:9" ht="15">
      <c r="A57" s="571"/>
      <c r="B57" s="612"/>
      <c r="C57" s="612"/>
      <c r="D57" s="613"/>
      <c r="E57" s="571"/>
      <c r="F57" s="614"/>
      <c r="G57" s="571"/>
      <c r="H57" s="612"/>
      <c r="I57" s="607"/>
    </row>
    <row r="58" spans="1:9" ht="15">
      <c r="A58" s="571"/>
      <c r="B58" s="612"/>
      <c r="C58" s="612"/>
      <c r="D58" s="613"/>
      <c r="E58" s="571"/>
      <c r="F58" s="614"/>
      <c r="G58" s="571"/>
      <c r="H58" s="612"/>
      <c r="I58" s="607"/>
    </row>
    <row r="59" spans="1:9" ht="15">
      <c r="A59" s="571"/>
      <c r="B59" s="612"/>
      <c r="C59" s="612"/>
      <c r="D59" s="613"/>
      <c r="E59" s="571"/>
      <c r="F59" s="614"/>
      <c r="G59" s="571"/>
      <c r="H59" s="612"/>
      <c r="I59" s="607"/>
    </row>
    <row r="60" spans="1:9" ht="15">
      <c r="A60" s="571"/>
      <c r="B60" s="612"/>
      <c r="C60" s="612"/>
      <c r="D60" s="613"/>
      <c r="E60" s="571"/>
      <c r="F60" s="614"/>
      <c r="G60" s="571"/>
      <c r="H60" s="612"/>
      <c r="I60" s="607"/>
    </row>
    <row r="61" spans="1:9" ht="15">
      <c r="A61" s="571"/>
      <c r="B61" s="612"/>
      <c r="C61" s="612"/>
      <c r="D61" s="613"/>
      <c r="E61" s="571"/>
      <c r="F61" s="614"/>
      <c r="G61" s="571"/>
      <c r="H61" s="612"/>
      <c r="I61" s="607"/>
    </row>
    <row r="62" spans="1:9" ht="15">
      <c r="A62" s="571"/>
      <c r="B62" s="612"/>
      <c r="C62" s="612"/>
      <c r="D62" s="613"/>
      <c r="E62" s="571"/>
      <c r="F62" s="614"/>
      <c r="G62" s="571"/>
      <c r="H62" s="612"/>
      <c r="I62" s="607"/>
    </row>
    <row r="63" spans="2:8" ht="15">
      <c r="B63" s="612"/>
      <c r="C63" s="612"/>
      <c r="D63" s="613"/>
      <c r="E63" s="571"/>
      <c r="F63" s="614"/>
      <c r="G63" s="571"/>
      <c r="H63" s="612"/>
    </row>
    <row r="64" spans="2:8" ht="15">
      <c r="B64" s="612"/>
      <c r="C64" s="612"/>
      <c r="D64" s="613"/>
      <c r="E64" s="571"/>
      <c r="F64" s="614"/>
      <c r="G64" s="571"/>
      <c r="H64" s="612"/>
    </row>
    <row r="65" spans="2:8" ht="15">
      <c r="B65" s="612"/>
      <c r="C65" s="612"/>
      <c r="D65" s="613"/>
      <c r="E65" s="571"/>
      <c r="F65" s="614"/>
      <c r="G65" s="571"/>
      <c r="H65" s="612"/>
    </row>
    <row r="66" spans="2:8" ht="15">
      <c r="B66" s="612"/>
      <c r="C66" s="612"/>
      <c r="D66" s="613"/>
      <c r="E66" s="571"/>
      <c r="F66" s="614"/>
      <c r="G66" s="571"/>
      <c r="H66" s="612"/>
    </row>
    <row r="67" spans="2:8" ht="15">
      <c r="B67" s="612"/>
      <c r="C67" s="612"/>
      <c r="D67" s="613"/>
      <c r="E67" s="571"/>
      <c r="F67" s="614"/>
      <c r="G67" s="571"/>
      <c r="H67" s="612"/>
    </row>
    <row r="68" spans="2:8" ht="15">
      <c r="B68" s="612"/>
      <c r="C68" s="612"/>
      <c r="D68" s="613"/>
      <c r="E68" s="571"/>
      <c r="F68" s="614"/>
      <c r="G68" s="571"/>
      <c r="H68" s="612"/>
    </row>
    <row r="69" spans="2:8" ht="15">
      <c r="B69" s="612"/>
      <c r="C69" s="612"/>
      <c r="D69" s="613"/>
      <c r="E69" s="571"/>
      <c r="F69" s="614"/>
      <c r="G69" s="571"/>
      <c r="H69" s="612"/>
    </row>
    <row r="70" spans="2:8" ht="15">
      <c r="B70" s="612"/>
      <c r="C70" s="612"/>
      <c r="D70" s="613"/>
      <c r="E70" s="571"/>
      <c r="F70" s="614"/>
      <c r="G70" s="571"/>
      <c r="H70" s="612"/>
    </row>
    <row r="71" spans="2:8" ht="15">
      <c r="B71" s="612"/>
      <c r="C71" s="612"/>
      <c r="D71" s="613"/>
      <c r="E71" s="571"/>
      <c r="F71" s="614"/>
      <c r="G71" s="571"/>
      <c r="H71" s="612"/>
    </row>
    <row r="72" spans="2:8" ht="15">
      <c r="B72" s="612"/>
      <c r="C72" s="612"/>
      <c r="D72" s="613"/>
      <c r="E72" s="571"/>
      <c r="F72" s="614"/>
      <c r="G72" s="571"/>
      <c r="H72" s="612"/>
    </row>
    <row r="73" spans="2:8" ht="15">
      <c r="B73" s="612"/>
      <c r="C73" s="612"/>
      <c r="D73" s="613"/>
      <c r="E73" s="571"/>
      <c r="F73" s="614"/>
      <c r="G73" s="571"/>
      <c r="H73" s="612"/>
    </row>
    <row r="74" spans="2:8" ht="15">
      <c r="B74" s="612"/>
      <c r="C74" s="612"/>
      <c r="D74" s="613"/>
      <c r="E74" s="571"/>
      <c r="F74" s="614"/>
      <c r="G74" s="571"/>
      <c r="H74" s="612"/>
    </row>
    <row r="75" spans="2:8" ht="15">
      <c r="B75" s="612"/>
      <c r="C75" s="612"/>
      <c r="D75" s="613"/>
      <c r="E75" s="571"/>
      <c r="F75" s="614"/>
      <c r="G75" s="571"/>
      <c r="H75" s="612"/>
    </row>
    <row r="76" spans="2:8" ht="15">
      <c r="B76" s="612"/>
      <c r="C76" s="612"/>
      <c r="D76" s="613"/>
      <c r="E76" s="571"/>
      <c r="F76" s="614"/>
      <c r="G76" s="571"/>
      <c r="H76" s="612"/>
    </row>
    <row r="77" spans="1:2" ht="15">
      <c r="A77" s="571"/>
      <c r="B77" s="612"/>
    </row>
    <row r="78" spans="1:9" ht="15">
      <c r="A78" s="571"/>
      <c r="B78" s="571"/>
      <c r="C78" s="571"/>
      <c r="D78" s="571"/>
      <c r="E78" s="571"/>
      <c r="F78" s="571"/>
      <c r="G78" s="571"/>
      <c r="H78" s="571"/>
      <c r="I78" s="607"/>
    </row>
    <row r="79" spans="1:9" ht="15">
      <c r="A79" s="571"/>
      <c r="B79" s="571"/>
      <c r="C79" s="571"/>
      <c r="D79" s="571"/>
      <c r="E79" s="571"/>
      <c r="F79" s="571"/>
      <c r="G79" s="571"/>
      <c r="H79" s="571"/>
      <c r="I79" s="607"/>
    </row>
    <row r="80" spans="1:9" ht="15">
      <c r="A80" s="572"/>
      <c r="B80" s="571"/>
      <c r="C80" s="571"/>
      <c r="D80" s="571"/>
      <c r="E80" s="571"/>
      <c r="F80" s="571"/>
      <c r="G80" s="571"/>
      <c r="H80" s="571"/>
      <c r="I80" s="607"/>
    </row>
    <row r="81" spans="1:9" ht="15">
      <c r="A81" s="571"/>
      <c r="B81" s="571"/>
      <c r="C81" s="571"/>
      <c r="D81" s="571"/>
      <c r="E81" s="571"/>
      <c r="F81" s="571"/>
      <c r="G81" s="571"/>
      <c r="H81" s="571"/>
      <c r="I81" s="607"/>
    </row>
    <row r="82" spans="1:9" ht="15">
      <c r="A82" s="571"/>
      <c r="B82" s="571"/>
      <c r="C82" s="571"/>
      <c r="D82" s="571"/>
      <c r="E82" s="571"/>
      <c r="F82" s="571"/>
      <c r="G82" s="571"/>
      <c r="H82" s="571"/>
      <c r="I82" s="607"/>
    </row>
    <row r="83" spans="1:9" ht="15">
      <c r="A83" s="571"/>
      <c r="B83" s="571"/>
      <c r="C83" s="571"/>
      <c r="D83" s="571"/>
      <c r="E83" s="571"/>
      <c r="F83" s="571"/>
      <c r="G83" s="571"/>
      <c r="H83" s="571"/>
      <c r="I83" s="607"/>
    </row>
    <row r="84" spans="1:9" ht="15">
      <c r="A84" s="571"/>
      <c r="B84" s="571"/>
      <c r="C84" s="571"/>
      <c r="D84" s="571"/>
      <c r="E84" s="571"/>
      <c r="F84" s="571"/>
      <c r="G84" s="571"/>
      <c r="H84" s="571"/>
      <c r="I84" s="607"/>
    </row>
    <row r="85" spans="1:9" ht="15">
      <c r="A85" s="571"/>
      <c r="B85" s="571"/>
      <c r="C85" s="571"/>
      <c r="D85" s="571"/>
      <c r="E85" s="571"/>
      <c r="F85" s="571"/>
      <c r="G85" s="571"/>
      <c r="H85" s="571"/>
      <c r="I85" s="607"/>
    </row>
  </sheetData>
  <sheetProtection/>
  <printOptions/>
  <pageMargins left="0.75" right="0.75" top="1" bottom="1" header="0.5" footer="0.5"/>
  <pageSetup horizontalDpi="600" verticalDpi="600" orientation="portrait" scale="79" r:id="rId1"/>
  <ignoredErrors>
    <ignoredError sqref="D17" formula="1"/>
  </ignoredErrors>
</worksheet>
</file>

<file path=xl/worksheets/sheet5.xml><?xml version="1.0" encoding="utf-8"?>
<worksheet xmlns="http://schemas.openxmlformats.org/spreadsheetml/2006/main" xmlns:r="http://schemas.openxmlformats.org/officeDocument/2006/relationships">
  <sheetPr>
    <tabColor rgb="FFFFFF00"/>
  </sheetPr>
  <dimension ref="A2:M107"/>
  <sheetViews>
    <sheetView zoomScalePageLayoutView="0" workbookViewId="0" topLeftCell="A79">
      <selection activeCell="D104" sqref="D104"/>
    </sheetView>
  </sheetViews>
  <sheetFormatPr defaultColWidth="8.88671875" defaultRowHeight="15"/>
  <cols>
    <col min="10" max="10" width="4.99609375" style="0" customWidth="1"/>
  </cols>
  <sheetData>
    <row r="2" spans="1:12" ht="15">
      <c r="A2" s="1153"/>
      <c r="B2" s="1153"/>
      <c r="C2" s="1153"/>
      <c r="D2" s="1153"/>
      <c r="E2" s="1163" t="s">
        <v>1596</v>
      </c>
      <c r="F2" s="1153"/>
      <c r="G2" s="1153"/>
      <c r="H2" s="1153"/>
      <c r="I2" s="1153"/>
      <c r="J2" s="1153"/>
      <c r="K2" s="1153"/>
      <c r="L2" s="1153"/>
    </row>
    <row r="3" spans="1:12" ht="15">
      <c r="A3" s="1153"/>
      <c r="B3" s="1153"/>
      <c r="C3" s="1153"/>
      <c r="D3" s="1153"/>
      <c r="E3" s="1163"/>
      <c r="F3" s="1153"/>
      <c r="G3" s="1153"/>
      <c r="H3" s="1153"/>
      <c r="I3" s="1153"/>
      <c r="J3" s="1153"/>
      <c r="K3" s="1153"/>
      <c r="L3" s="1153"/>
    </row>
    <row r="4" spans="1:13" ht="15">
      <c r="A4" s="1153"/>
      <c r="B4" s="1153"/>
      <c r="C4" s="1153"/>
      <c r="D4" s="1153"/>
      <c r="E4" s="1163" t="s">
        <v>1597</v>
      </c>
      <c r="F4" s="1153"/>
      <c r="G4" s="1153"/>
      <c r="H4" s="1153"/>
      <c r="I4" s="1153"/>
      <c r="J4" s="1153"/>
      <c r="K4" s="1153"/>
      <c r="L4" s="1153"/>
      <c r="M4" s="1151"/>
    </row>
    <row r="5" spans="1:13" ht="15">
      <c r="A5" s="1153"/>
      <c r="B5" s="1153"/>
      <c r="C5" s="1153"/>
      <c r="D5" s="1153"/>
      <c r="E5" s="1153"/>
      <c r="F5" s="1153"/>
      <c r="G5" s="1153"/>
      <c r="H5" s="1153"/>
      <c r="I5" s="1153"/>
      <c r="J5" s="1153"/>
      <c r="K5" s="1153"/>
      <c r="L5" s="1153"/>
      <c r="M5" s="1153"/>
    </row>
    <row r="6" spans="1:13" ht="15">
      <c r="A6" s="1151" t="s">
        <v>1598</v>
      </c>
      <c r="B6" s="1151"/>
      <c r="C6" s="1170">
        <f>'FORM-10 (A-F)'!PREPARER</f>
        <v>0</v>
      </c>
      <c r="D6" s="1170"/>
      <c r="E6" s="1170"/>
      <c r="F6" s="1170"/>
      <c r="G6" s="1151"/>
      <c r="H6" s="1151"/>
      <c r="I6" s="1151"/>
      <c r="J6" s="1151"/>
      <c r="K6" s="1151"/>
      <c r="L6" s="1151"/>
      <c r="M6" s="1153"/>
    </row>
    <row r="7" spans="1:13" ht="15">
      <c r="A7" s="1151"/>
      <c r="B7" s="1151"/>
      <c r="C7" s="1151"/>
      <c r="D7" s="1151"/>
      <c r="E7" s="1151"/>
      <c r="F7" s="1151"/>
      <c r="G7" s="1151"/>
      <c r="H7" s="1151"/>
      <c r="I7" s="1151"/>
      <c r="J7" s="1151"/>
      <c r="K7" s="1151"/>
      <c r="L7" s="1151"/>
      <c r="M7" s="1153"/>
    </row>
    <row r="8" spans="1:13" ht="15">
      <c r="A8" s="1151" t="s">
        <v>669</v>
      </c>
      <c r="B8" s="1151"/>
      <c r="C8" s="1170">
        <f>'FORM-10 (A-F)'!DEV_NAME</f>
        <v>0</v>
      </c>
      <c r="D8" s="1170"/>
      <c r="E8" s="1170"/>
      <c r="F8" s="1170"/>
      <c r="G8" s="1151"/>
      <c r="H8" s="1151"/>
      <c r="I8" s="1151"/>
      <c r="J8" s="1151"/>
      <c r="K8" s="1151"/>
      <c r="L8" s="1151"/>
      <c r="M8" s="1153"/>
    </row>
    <row r="9" spans="1:13" ht="15">
      <c r="A9" s="1151"/>
      <c r="B9" s="1151"/>
      <c r="C9" s="1151"/>
      <c r="D9" s="1151"/>
      <c r="E9" s="1151"/>
      <c r="F9" s="1151"/>
      <c r="G9" s="1151"/>
      <c r="H9" s="1151"/>
      <c r="I9" s="1151"/>
      <c r="J9" s="1151"/>
      <c r="K9" s="1151"/>
      <c r="L9" s="1151"/>
      <c r="M9" s="1153"/>
    </row>
    <row r="10" spans="1:13" ht="15">
      <c r="A10" s="1151" t="s">
        <v>374</v>
      </c>
      <c r="B10" s="1151"/>
      <c r="C10" s="1171">
        <f>'FORM-10 (A-F)'!HMFA</f>
        <v>0</v>
      </c>
      <c r="D10" s="1171"/>
      <c r="E10" s="1151"/>
      <c r="F10" s="1151"/>
      <c r="G10" s="1151"/>
      <c r="H10" s="1151"/>
      <c r="I10" s="1151"/>
      <c r="J10" s="1151"/>
      <c r="K10" s="1151"/>
      <c r="L10" s="1151"/>
      <c r="M10" s="1153"/>
    </row>
    <row r="11" spans="1:13" ht="15">
      <c r="A11" s="1169"/>
      <c r="B11" s="1169"/>
      <c r="C11" s="1174"/>
      <c r="D11" s="1174"/>
      <c r="E11" s="1169"/>
      <c r="F11" s="1169"/>
      <c r="G11" s="1169"/>
      <c r="H11" s="1169"/>
      <c r="I11" s="1169"/>
      <c r="J11" s="1169"/>
      <c r="K11" s="1169"/>
      <c r="L11" s="1169"/>
      <c r="M11" s="1153"/>
    </row>
    <row r="12" spans="1:13" ht="15">
      <c r="A12" s="1169" t="s">
        <v>1624</v>
      </c>
      <c r="B12" s="1169"/>
      <c r="C12" s="1173"/>
      <c r="D12" s="1173"/>
      <c r="E12" s="1169"/>
      <c r="F12" s="1169"/>
      <c r="G12" s="1169"/>
      <c r="H12" s="1169"/>
      <c r="I12" s="1169"/>
      <c r="J12" s="1169"/>
      <c r="K12" s="1169"/>
      <c r="L12" s="1169"/>
      <c r="M12" s="1153"/>
    </row>
    <row r="13" spans="1:13" ht="15">
      <c r="A13" s="1151"/>
      <c r="B13" s="1151"/>
      <c r="C13" s="1151"/>
      <c r="D13" s="1151"/>
      <c r="E13" s="1151"/>
      <c r="F13" s="1151"/>
      <c r="G13" s="1151"/>
      <c r="H13" s="1151"/>
      <c r="I13" s="1151"/>
      <c r="J13" s="1151"/>
      <c r="K13" s="1151"/>
      <c r="L13" s="1151"/>
      <c r="M13" s="1153"/>
    </row>
    <row r="14" spans="1:13" ht="15">
      <c r="A14" s="1150" t="s">
        <v>1599</v>
      </c>
      <c r="B14" s="1151"/>
      <c r="C14" s="1151"/>
      <c r="D14" s="1151"/>
      <c r="E14" s="1151"/>
      <c r="F14" s="1151"/>
      <c r="G14" s="1151"/>
      <c r="H14" s="1151"/>
      <c r="I14" s="1151"/>
      <c r="J14" s="1151"/>
      <c r="K14" s="1151"/>
      <c r="L14" s="1151"/>
      <c r="M14" s="1153"/>
    </row>
    <row r="15" spans="1:13" ht="15">
      <c r="A15" s="1151"/>
      <c r="B15" s="1151"/>
      <c r="C15" s="1151"/>
      <c r="D15" s="1151"/>
      <c r="E15" s="1151"/>
      <c r="F15" s="1151"/>
      <c r="G15" s="1151"/>
      <c r="H15" s="1151"/>
      <c r="I15" s="1151"/>
      <c r="J15" s="1151"/>
      <c r="K15" s="1151"/>
      <c r="L15" s="1151"/>
      <c r="M15" s="1153"/>
    </row>
    <row r="16" spans="1:13" ht="15">
      <c r="A16" s="1151" t="s">
        <v>1600</v>
      </c>
      <c r="B16" s="1151"/>
      <c r="C16" s="1151"/>
      <c r="D16" s="1754"/>
      <c r="E16" s="1754"/>
      <c r="F16" s="1754"/>
      <c r="G16" s="1754"/>
      <c r="H16" s="1754"/>
      <c r="I16" s="1754"/>
      <c r="J16" s="1151"/>
      <c r="K16" s="1151"/>
      <c r="L16" s="1151"/>
      <c r="M16" s="1153"/>
    </row>
    <row r="17" spans="1:13" ht="15">
      <c r="A17" s="1151"/>
      <c r="B17" s="1151"/>
      <c r="C17" s="1151"/>
      <c r="D17" s="1151"/>
      <c r="E17" s="1151"/>
      <c r="F17" s="1151"/>
      <c r="G17" s="1151"/>
      <c r="H17" s="1151"/>
      <c r="I17" s="1151"/>
      <c r="J17" s="1151"/>
      <c r="K17" s="1151"/>
      <c r="L17" s="1151"/>
      <c r="M17" s="1153"/>
    </row>
    <row r="18" spans="1:13" ht="15">
      <c r="A18" s="1151" t="s">
        <v>1601</v>
      </c>
      <c r="B18" s="1151"/>
      <c r="C18" s="1754"/>
      <c r="D18" s="1754"/>
      <c r="E18" s="1754"/>
      <c r="F18" s="1754"/>
      <c r="G18" s="1754"/>
      <c r="H18" s="1754"/>
      <c r="I18" s="1164"/>
      <c r="J18" s="1151"/>
      <c r="K18" s="1151"/>
      <c r="L18" s="1151"/>
      <c r="M18" s="1153"/>
    </row>
    <row r="19" spans="1:13" ht="15">
      <c r="A19" s="1151"/>
      <c r="B19" s="1151"/>
      <c r="C19" s="1151"/>
      <c r="D19" s="1151"/>
      <c r="E19" s="1151"/>
      <c r="F19" s="1151"/>
      <c r="G19" s="1151"/>
      <c r="H19" s="1151"/>
      <c r="I19" s="1151"/>
      <c r="J19" s="1151"/>
      <c r="K19" s="1151"/>
      <c r="L19" s="1151"/>
      <c r="M19" s="1153"/>
    </row>
    <row r="20" spans="1:13" ht="15">
      <c r="A20" s="1151" t="s">
        <v>1602</v>
      </c>
      <c r="B20" s="1752">
        <v>0</v>
      </c>
      <c r="C20" s="1752"/>
      <c r="D20" s="1151"/>
      <c r="E20" s="1151"/>
      <c r="F20" s="1151"/>
      <c r="G20" s="1151"/>
      <c r="H20" s="1151"/>
      <c r="I20" s="1151"/>
      <c r="J20" s="1151"/>
      <c r="K20" s="1151"/>
      <c r="L20" s="1151"/>
      <c r="M20" s="1153"/>
    </row>
    <row r="21" spans="1:13" ht="15">
      <c r="A21" s="1151"/>
      <c r="B21" s="1151"/>
      <c r="C21" s="1151"/>
      <c r="D21" s="1151"/>
      <c r="E21" s="1151"/>
      <c r="F21" s="1151"/>
      <c r="G21" s="1151"/>
      <c r="H21" s="1151"/>
      <c r="I21" s="1151"/>
      <c r="J21" s="1151"/>
      <c r="K21" s="1151"/>
      <c r="L21" s="1151"/>
      <c r="M21" s="1153"/>
    </row>
    <row r="22" spans="1:13" ht="15">
      <c r="A22" s="1151" t="s">
        <v>1603</v>
      </c>
      <c r="B22" s="1151"/>
      <c r="C22" s="1151"/>
      <c r="D22" s="1754"/>
      <c r="E22" s="1754"/>
      <c r="F22" s="1754"/>
      <c r="G22" s="1151"/>
      <c r="H22" s="1151"/>
      <c r="I22" s="1151"/>
      <c r="J22" s="1151"/>
      <c r="K22" s="1151"/>
      <c r="L22" s="1151"/>
      <c r="M22" s="1153"/>
    </row>
    <row r="23" spans="1:13" ht="15">
      <c r="A23" s="1151"/>
      <c r="B23" s="1151"/>
      <c r="C23" s="1151"/>
      <c r="D23" s="1151"/>
      <c r="E23" s="1151"/>
      <c r="F23" s="1151"/>
      <c r="G23" s="1151"/>
      <c r="H23" s="1151"/>
      <c r="I23" s="1151"/>
      <c r="J23" s="1151"/>
      <c r="K23" s="1151"/>
      <c r="L23" s="1151"/>
      <c r="M23" s="1153"/>
    </row>
    <row r="24" spans="1:13" ht="15">
      <c r="A24" s="1151" t="s">
        <v>1604</v>
      </c>
      <c r="B24" s="1151"/>
      <c r="C24" s="1151"/>
      <c r="D24" s="1151"/>
      <c r="E24" s="1151"/>
      <c r="F24" s="1151"/>
      <c r="G24" s="1151"/>
      <c r="H24" s="1752"/>
      <c r="I24" s="1752"/>
      <c r="J24" s="1165"/>
      <c r="K24" s="1165"/>
      <c r="L24" s="1165"/>
      <c r="M24" s="1153"/>
    </row>
    <row r="25" spans="1:13" ht="15">
      <c r="A25" s="1752"/>
      <c r="B25" s="1752"/>
      <c r="C25" s="1752"/>
      <c r="D25" s="1752"/>
      <c r="E25" s="1752"/>
      <c r="F25" s="1752"/>
      <c r="G25" s="1752"/>
      <c r="H25" s="1752"/>
      <c r="I25" s="1166"/>
      <c r="J25" s="1151"/>
      <c r="K25" s="1151"/>
      <c r="L25" s="1151"/>
      <c r="M25" s="1153"/>
    </row>
    <row r="26" spans="1:13" ht="15">
      <c r="A26" s="1167"/>
      <c r="B26" s="1167"/>
      <c r="C26" s="1167"/>
      <c r="D26" s="1167"/>
      <c r="E26" s="1167"/>
      <c r="F26" s="1167"/>
      <c r="G26" s="1167"/>
      <c r="H26" s="1167"/>
      <c r="I26" s="1167"/>
      <c r="J26" s="1151"/>
      <c r="K26" s="1151"/>
      <c r="L26" s="1151"/>
      <c r="M26" s="1153"/>
    </row>
    <row r="27" spans="1:13" ht="15">
      <c r="A27" s="1151" t="s">
        <v>1605</v>
      </c>
      <c r="B27" s="1151"/>
      <c r="C27" s="1754"/>
      <c r="D27" s="1754"/>
      <c r="E27" s="1754"/>
      <c r="F27" s="1151"/>
      <c r="G27" s="1151"/>
      <c r="H27" s="1151"/>
      <c r="I27" s="1151"/>
      <c r="J27" s="1151"/>
      <c r="K27" s="1151"/>
      <c r="L27" s="1151"/>
      <c r="M27" s="1153"/>
    </row>
    <row r="28" spans="1:13" ht="15">
      <c r="A28" s="1151"/>
      <c r="B28" s="1151"/>
      <c r="C28" s="1151"/>
      <c r="D28" s="1151"/>
      <c r="E28" s="1151"/>
      <c r="F28" s="1151"/>
      <c r="G28" s="1151"/>
      <c r="H28" s="1151"/>
      <c r="I28" s="1151"/>
      <c r="J28" s="1151"/>
      <c r="K28" s="1151"/>
      <c r="L28" s="1151"/>
      <c r="M28" s="1153"/>
    </row>
    <row r="29" spans="1:13" ht="15">
      <c r="A29" s="1151" t="s">
        <v>1606</v>
      </c>
      <c r="B29" s="1151"/>
      <c r="C29" s="1171">
        <f>'FORM-10 (A-F)'!MUNICIP</f>
        <v>0</v>
      </c>
      <c r="D29" s="1171"/>
      <c r="E29" s="1171"/>
      <c r="F29" s="1165"/>
      <c r="G29" s="1165"/>
      <c r="H29" s="1151"/>
      <c r="I29" s="1151"/>
      <c r="J29" s="1151"/>
      <c r="K29" s="1151"/>
      <c r="L29" s="1151"/>
      <c r="M29" s="1153"/>
    </row>
    <row r="30" spans="1:13" ht="15">
      <c r="A30" s="1151"/>
      <c r="B30" s="1151"/>
      <c r="C30" s="1151"/>
      <c r="D30" s="1151"/>
      <c r="E30" s="1151"/>
      <c r="F30" s="1151"/>
      <c r="G30" s="1151"/>
      <c r="H30" s="1151"/>
      <c r="I30" s="1151"/>
      <c r="J30" s="1151"/>
      <c r="K30" s="1151"/>
      <c r="L30" s="1151"/>
      <c r="M30" s="1153"/>
    </row>
    <row r="31" spans="1:13" ht="15">
      <c r="A31" s="1151" t="s">
        <v>1607</v>
      </c>
      <c r="B31" s="1170">
        <f>'FORM-10 (A-F)'!B18:D18</f>
        <v>0</v>
      </c>
      <c r="C31" s="1170"/>
      <c r="D31" s="1170"/>
      <c r="E31" s="1151"/>
      <c r="F31" s="1151"/>
      <c r="G31" s="1151"/>
      <c r="H31" s="1151"/>
      <c r="I31" s="1151"/>
      <c r="J31" s="1151"/>
      <c r="K31" s="1151"/>
      <c r="L31" s="1151"/>
      <c r="M31" s="1153"/>
    </row>
    <row r="32" spans="1:13" ht="15">
      <c r="A32" s="1151"/>
      <c r="B32" s="1151"/>
      <c r="C32" s="1151"/>
      <c r="D32" s="1151"/>
      <c r="E32" s="1151"/>
      <c r="F32" s="1151"/>
      <c r="G32" s="1151"/>
      <c r="H32" s="1151"/>
      <c r="I32" s="1151"/>
      <c r="J32" s="1151"/>
      <c r="K32" s="1151"/>
      <c r="L32" s="1151"/>
      <c r="M32" s="1153"/>
    </row>
    <row r="33" spans="1:13" ht="15">
      <c r="A33" s="1151" t="s">
        <v>1608</v>
      </c>
      <c r="B33" s="1151"/>
      <c r="C33" s="1164"/>
      <c r="D33" s="1164"/>
      <c r="E33" s="1164"/>
      <c r="F33" s="1164"/>
      <c r="G33" s="1164"/>
      <c r="H33" s="1164"/>
      <c r="I33" s="1164"/>
      <c r="J33" s="1151"/>
      <c r="K33" s="1151"/>
      <c r="L33" s="1151"/>
      <c r="M33" s="1153"/>
    </row>
    <row r="34" spans="1:13" ht="15">
      <c r="A34" s="1151"/>
      <c r="B34" s="1151"/>
      <c r="C34" s="1151"/>
      <c r="D34" s="1151"/>
      <c r="E34" s="1151"/>
      <c r="F34" s="1151"/>
      <c r="G34" s="1151"/>
      <c r="H34" s="1151"/>
      <c r="I34" s="1151"/>
      <c r="J34" s="1151"/>
      <c r="K34" s="1151"/>
      <c r="L34" s="1151"/>
      <c r="M34" s="1153"/>
    </row>
    <row r="35" spans="1:13" ht="15">
      <c r="A35" s="1150" t="s">
        <v>1609</v>
      </c>
      <c r="B35" s="1151"/>
      <c r="C35" s="1151"/>
      <c r="D35" s="1151"/>
      <c r="E35" s="1151"/>
      <c r="F35" s="1151"/>
      <c r="G35" s="1151"/>
      <c r="H35" s="1151"/>
      <c r="I35" s="1151"/>
      <c r="J35" s="1151"/>
      <c r="K35" s="1151"/>
      <c r="L35" s="1151"/>
      <c r="M35" s="1153"/>
    </row>
    <row r="36" spans="1:13" ht="15">
      <c r="A36" s="1168" t="s">
        <v>1622</v>
      </c>
      <c r="B36" s="1168"/>
      <c r="C36" s="1168"/>
      <c r="D36" s="1168"/>
      <c r="E36" s="1168"/>
      <c r="F36" s="1168"/>
      <c r="G36" s="1168"/>
      <c r="H36" s="1168"/>
      <c r="I36" s="1168"/>
      <c r="J36" s="1151"/>
      <c r="K36" s="1151"/>
      <c r="L36" s="1151"/>
      <c r="M36" s="1153"/>
    </row>
    <row r="37" spans="1:13" ht="15">
      <c r="A37" s="1168" t="s">
        <v>1623</v>
      </c>
      <c r="B37" s="1168"/>
      <c r="C37" s="1168"/>
      <c r="D37" s="1168"/>
      <c r="E37" s="1168"/>
      <c r="F37" s="1168"/>
      <c r="G37" s="1168"/>
      <c r="H37" s="1168"/>
      <c r="I37" s="1168"/>
      <c r="J37" s="1151"/>
      <c r="K37" s="1151"/>
      <c r="L37" s="1151"/>
      <c r="M37" s="1153"/>
    </row>
    <row r="38" spans="1:13" ht="15">
      <c r="A38" s="1168"/>
      <c r="B38" s="1168"/>
      <c r="C38" s="1168"/>
      <c r="D38" s="1168"/>
      <c r="E38" s="1168"/>
      <c r="F38" s="1168"/>
      <c r="G38" s="1168"/>
      <c r="H38" s="1168"/>
      <c r="I38" s="1168"/>
      <c r="J38" s="1151"/>
      <c r="K38" s="1151"/>
      <c r="L38" s="1151"/>
      <c r="M38" s="1153"/>
    </row>
    <row r="39" spans="1:13" ht="15">
      <c r="A39" s="1168"/>
      <c r="B39" s="1168"/>
      <c r="C39" s="1168"/>
      <c r="D39" s="1168"/>
      <c r="E39" s="1168"/>
      <c r="F39" s="1168"/>
      <c r="G39" s="1168"/>
      <c r="H39" s="1168"/>
      <c r="I39" s="1168"/>
      <c r="J39" s="1151"/>
      <c r="K39" s="1151"/>
      <c r="L39" s="1151"/>
      <c r="M39" s="1153"/>
    </row>
    <row r="40" spans="1:13" ht="15">
      <c r="A40" s="1150" t="s">
        <v>1610</v>
      </c>
      <c r="B40" s="1151"/>
      <c r="C40" s="1151"/>
      <c r="D40" s="1151"/>
      <c r="E40" s="1151"/>
      <c r="F40" s="1151"/>
      <c r="G40" s="1151"/>
      <c r="H40" s="1151"/>
      <c r="I40" s="1151"/>
      <c r="J40" s="1151"/>
      <c r="K40" s="1151"/>
      <c r="L40" s="1151"/>
      <c r="M40" s="1153"/>
    </row>
    <row r="41" spans="1:13" ht="15">
      <c r="A41" s="1168"/>
      <c r="B41" s="1168"/>
      <c r="C41" s="1168"/>
      <c r="D41" s="1168"/>
      <c r="E41" s="1168"/>
      <c r="F41" s="1168"/>
      <c r="G41" s="1168"/>
      <c r="H41" s="1168"/>
      <c r="I41" s="1168"/>
      <c r="J41" s="1151"/>
      <c r="K41" s="1151"/>
      <c r="L41" s="1151"/>
      <c r="M41" s="1153"/>
    </row>
    <row r="42" spans="1:13" ht="15">
      <c r="A42" s="1755"/>
      <c r="B42" s="1755"/>
      <c r="C42" s="1755"/>
      <c r="D42" s="1755"/>
      <c r="E42" s="1755"/>
      <c r="F42" s="1755"/>
      <c r="G42" s="1755"/>
      <c r="H42" s="1755"/>
      <c r="I42" s="1755"/>
      <c r="J42" s="1755"/>
      <c r="K42" s="1755"/>
      <c r="L42" s="1755"/>
      <c r="M42" s="1153"/>
    </row>
    <row r="43" spans="1:13" ht="15">
      <c r="A43" s="1150" t="s">
        <v>1616</v>
      </c>
      <c r="B43" s="1151"/>
      <c r="C43" s="1151"/>
      <c r="D43" s="1151"/>
      <c r="E43" s="1151"/>
      <c r="F43" s="1151"/>
      <c r="G43" s="1151"/>
      <c r="H43" s="1151"/>
      <c r="I43" s="1151"/>
      <c r="J43" s="1151"/>
      <c r="K43" s="1151"/>
      <c r="L43" s="1151"/>
      <c r="M43" s="1153"/>
    </row>
    <row r="44" spans="1:13" ht="15">
      <c r="A44" s="1150"/>
      <c r="B44" s="1151"/>
      <c r="C44" s="1151"/>
      <c r="D44" s="1151"/>
      <c r="E44" s="1151"/>
      <c r="F44" s="1151"/>
      <c r="G44" s="1151"/>
      <c r="H44" s="1151"/>
      <c r="I44" s="1151"/>
      <c r="J44" s="1151"/>
      <c r="K44" s="1151"/>
      <c r="L44" s="1151"/>
      <c r="M44" s="1153"/>
    </row>
    <row r="45" spans="1:13" ht="15">
      <c r="A45" s="1151" t="s">
        <v>533</v>
      </c>
      <c r="B45" s="1151"/>
      <c r="C45" s="1168"/>
      <c r="D45" s="1151"/>
      <c r="E45" s="1151"/>
      <c r="F45" s="1151"/>
      <c r="G45" s="1151"/>
      <c r="H45" s="1151"/>
      <c r="I45" s="1151"/>
      <c r="J45" s="1151"/>
      <c r="K45" s="1151"/>
      <c r="L45" s="1151"/>
      <c r="M45" s="1153"/>
    </row>
    <row r="46" spans="1:12" ht="15">
      <c r="A46" s="1151" t="s">
        <v>1611</v>
      </c>
      <c r="B46" s="1151"/>
      <c r="C46" s="1168"/>
      <c r="D46" s="1151"/>
      <c r="E46" s="1151"/>
      <c r="F46" s="1151"/>
      <c r="G46" s="1151"/>
      <c r="H46" s="1151"/>
      <c r="I46" s="1151"/>
      <c r="J46" s="1151"/>
      <c r="K46" s="1151"/>
      <c r="L46" s="1151"/>
    </row>
    <row r="47" spans="1:12" ht="15">
      <c r="A47" s="1151" t="s">
        <v>1612</v>
      </c>
      <c r="B47" s="1151"/>
      <c r="C47" s="1168"/>
      <c r="D47" s="1151"/>
      <c r="E47" s="1151"/>
      <c r="F47" s="1151"/>
      <c r="G47" s="1151"/>
      <c r="H47" s="1151"/>
      <c r="I47" s="1151"/>
      <c r="J47" s="1151"/>
      <c r="K47" s="1151"/>
      <c r="L47" s="1151"/>
    </row>
    <row r="48" spans="1:12" ht="15">
      <c r="A48" s="1151"/>
      <c r="B48" s="1151"/>
      <c r="C48" s="1151"/>
      <c r="D48" s="1151"/>
      <c r="E48" s="1151"/>
      <c r="F48" s="1151"/>
      <c r="G48" s="1151"/>
      <c r="H48" s="1151"/>
      <c r="I48" s="1151"/>
      <c r="J48" s="1151"/>
      <c r="K48" s="1151"/>
      <c r="L48" s="1151"/>
    </row>
    <row r="49" spans="1:12" ht="15">
      <c r="A49" s="1150" t="s">
        <v>1617</v>
      </c>
      <c r="B49" s="1151"/>
      <c r="C49" s="1151"/>
      <c r="D49" s="1151"/>
      <c r="E49" s="1151"/>
      <c r="F49" s="1151"/>
      <c r="G49" s="1151"/>
      <c r="H49" s="1151"/>
      <c r="I49" s="1151"/>
      <c r="J49" s="1151"/>
      <c r="K49" s="1151"/>
      <c r="L49" s="1151"/>
    </row>
    <row r="50" spans="1:12" ht="15">
      <c r="A50" s="1151"/>
      <c r="B50" s="1151"/>
      <c r="C50" s="1151"/>
      <c r="D50" s="1151"/>
      <c r="E50" s="1151"/>
      <c r="F50" s="1151"/>
      <c r="G50" s="1151"/>
      <c r="H50" s="1151"/>
      <c r="I50" s="1151"/>
      <c r="J50" s="1151"/>
      <c r="K50" s="1151"/>
      <c r="L50" s="1151"/>
    </row>
    <row r="51" spans="1:12" ht="15">
      <c r="A51" s="1151" t="s">
        <v>1613</v>
      </c>
      <c r="B51" s="1151"/>
      <c r="C51" s="1151"/>
      <c r="D51" s="1151"/>
      <c r="E51" s="1168"/>
      <c r="F51" s="1151"/>
      <c r="G51" s="1151"/>
      <c r="H51" s="1151"/>
      <c r="I51" s="1151"/>
      <c r="J51" s="1151"/>
      <c r="K51" s="1151"/>
      <c r="L51" s="1151"/>
    </row>
    <row r="52" spans="1:12" ht="15">
      <c r="A52" s="1151" t="s">
        <v>1614</v>
      </c>
      <c r="B52" s="1151"/>
      <c r="C52" s="1151"/>
      <c r="D52" s="1151"/>
      <c r="E52" s="1168"/>
      <c r="F52" s="1151"/>
      <c r="G52" s="1151"/>
      <c r="H52" s="1151"/>
      <c r="I52" s="1151"/>
      <c r="J52" s="1151"/>
      <c r="K52" s="1151"/>
      <c r="L52" s="1151"/>
    </row>
    <row r="53" spans="1:12" ht="15">
      <c r="A53" s="1151" t="s">
        <v>1615</v>
      </c>
      <c r="B53" s="1151"/>
      <c r="C53" s="1151"/>
      <c r="D53" s="1151"/>
      <c r="E53" s="1168"/>
      <c r="F53" s="1151"/>
      <c r="G53" s="1151"/>
      <c r="H53" s="1151"/>
      <c r="I53" s="1151"/>
      <c r="J53" s="1151"/>
      <c r="K53" s="1151"/>
      <c r="L53" s="1151"/>
    </row>
    <row r="57" spans="1:12" ht="15">
      <c r="A57" s="1150" t="s">
        <v>1563</v>
      </c>
      <c r="B57" s="1151"/>
      <c r="C57" s="1151"/>
      <c r="D57" s="1753">
        <f>'RFA Sheet'!H4</f>
        <v>0</v>
      </c>
      <c r="E57" s="1753"/>
      <c r="F57" s="1152"/>
      <c r="G57" s="1151"/>
      <c r="H57" s="1151"/>
      <c r="I57" s="1151"/>
      <c r="J57" s="1151"/>
      <c r="K57" s="1151"/>
      <c r="L57" s="1151"/>
    </row>
    <row r="58" spans="1:12" ht="15">
      <c r="A58" s="1153"/>
      <c r="B58" s="1153"/>
      <c r="C58" s="1153"/>
      <c r="D58" s="1153"/>
      <c r="E58" s="1153"/>
      <c r="F58" s="1153"/>
      <c r="G58" s="1153"/>
      <c r="H58" s="1153"/>
      <c r="I58" s="1153"/>
      <c r="J58" s="1153"/>
      <c r="K58" s="1153"/>
      <c r="L58" s="1153"/>
    </row>
    <row r="59" spans="1:12" ht="15">
      <c r="A59" s="1153" t="s">
        <v>1564</v>
      </c>
      <c r="B59" s="1153"/>
      <c r="C59" s="1753">
        <f>'RFA Sheet'!D8</f>
        <v>0</v>
      </c>
      <c r="D59" s="1753"/>
      <c r="E59" s="1153"/>
      <c r="F59" s="1153"/>
      <c r="G59" s="1153"/>
      <c r="H59" s="1153"/>
      <c r="I59" s="1756"/>
      <c r="J59" s="1756"/>
      <c r="K59" s="1153"/>
      <c r="L59" s="1153"/>
    </row>
    <row r="60" spans="1:12" ht="15">
      <c r="A60" s="1153" t="s">
        <v>1565</v>
      </c>
      <c r="B60" s="1153"/>
      <c r="C60" s="1153"/>
      <c r="D60" s="1153"/>
      <c r="E60" s="1751">
        <f>IF(C59&gt;0,C59/D57,0)</f>
        <v>0</v>
      </c>
      <c r="F60" s="1751"/>
      <c r="G60" s="1153"/>
      <c r="H60" s="1153"/>
      <c r="I60" s="1153"/>
      <c r="J60" s="1153"/>
      <c r="K60" s="1153"/>
      <c r="L60" s="1153"/>
    </row>
    <row r="61" spans="1:12" ht="15">
      <c r="A61" s="1153"/>
      <c r="B61" s="1153"/>
      <c r="C61" s="1153"/>
      <c r="D61" s="1153"/>
      <c r="E61" s="1154"/>
      <c r="F61" s="1154"/>
      <c r="G61" s="1153"/>
      <c r="H61" s="1153"/>
      <c r="I61" s="1153"/>
      <c r="J61" s="1153"/>
      <c r="K61" s="1153"/>
      <c r="L61" s="1153"/>
    </row>
    <row r="62" spans="1:12" ht="15">
      <c r="A62" s="1153" t="s">
        <v>1566</v>
      </c>
      <c r="B62" s="1153"/>
      <c r="C62" s="1153"/>
      <c r="D62" s="1153"/>
      <c r="E62" s="1153"/>
      <c r="F62" s="1153"/>
      <c r="G62" s="1153"/>
      <c r="H62" s="1748">
        <v>0</v>
      </c>
      <c r="I62" s="1748"/>
      <c r="J62" s="1153"/>
      <c r="K62" s="1153"/>
      <c r="L62" s="1153"/>
    </row>
    <row r="63" spans="1:12" ht="15">
      <c r="A63" s="1153" t="s">
        <v>1565</v>
      </c>
      <c r="B63" s="1153"/>
      <c r="C63" s="1153"/>
      <c r="D63" s="1153"/>
      <c r="E63" s="1751">
        <f>IF(H62&gt;0,H62/D57,0)</f>
        <v>0</v>
      </c>
      <c r="F63" s="1751"/>
      <c r="G63" s="1153"/>
      <c r="H63" s="1153"/>
      <c r="I63" s="1153"/>
      <c r="J63" s="1153"/>
      <c r="K63" s="1153"/>
      <c r="L63" s="1153"/>
    </row>
    <row r="64" spans="1:12" ht="15">
      <c r="A64" s="1153"/>
      <c r="B64" s="1153"/>
      <c r="C64" s="1153"/>
      <c r="D64" s="1153"/>
      <c r="E64" s="1153"/>
      <c r="F64" s="1153"/>
      <c r="G64" s="1153"/>
      <c r="H64" s="1153"/>
      <c r="I64" s="1153"/>
      <c r="J64" s="1153"/>
      <c r="K64" s="1153"/>
      <c r="L64" s="1153"/>
    </row>
    <row r="65" spans="1:12" ht="15">
      <c r="A65" s="1153" t="s">
        <v>1567</v>
      </c>
      <c r="B65" s="1153"/>
      <c r="C65" s="1153"/>
      <c r="D65" s="1749">
        <f>D57-SUM(C59+H62)</f>
        <v>0</v>
      </c>
      <c r="E65" s="1749"/>
      <c r="F65" s="1153"/>
      <c r="G65" s="1153"/>
      <c r="H65" s="1153"/>
      <c r="I65" s="1153"/>
      <c r="J65" s="1155"/>
      <c r="K65" s="1155"/>
      <c r="L65" s="1153"/>
    </row>
    <row r="66" spans="1:12" ht="15">
      <c r="A66" s="1153" t="s">
        <v>1565</v>
      </c>
      <c r="B66" s="1153"/>
      <c r="C66" s="1153"/>
      <c r="D66" s="1153"/>
      <c r="E66" s="1751">
        <f>IF(D57&gt;0,D65/D57,0)</f>
        <v>0</v>
      </c>
      <c r="F66" s="1751"/>
      <c r="G66" s="1153"/>
      <c r="H66" s="1153"/>
      <c r="I66" s="1153"/>
      <c r="J66" s="1155"/>
      <c r="K66" s="1155"/>
      <c r="L66" s="1153"/>
    </row>
    <row r="67" spans="1:12" ht="15">
      <c r="A67" s="1153" t="s">
        <v>1568</v>
      </c>
      <c r="B67" s="1153"/>
      <c r="C67" s="1153"/>
      <c r="D67" s="1153"/>
      <c r="E67" s="1751">
        <f>IF(H62&gt;0,D65/H62,0)</f>
        <v>0</v>
      </c>
      <c r="F67" s="1751"/>
      <c r="G67" s="1153"/>
      <c r="H67" s="1153"/>
      <c r="I67" s="1153"/>
      <c r="J67" s="1153"/>
      <c r="K67" s="1153"/>
      <c r="L67" s="1153"/>
    </row>
    <row r="68" spans="1:12" ht="15">
      <c r="A68" s="1153"/>
      <c r="B68" s="1153"/>
      <c r="C68" s="1153"/>
      <c r="D68" s="1153"/>
      <c r="E68" s="1156"/>
      <c r="F68" s="1153"/>
      <c r="G68" s="1153"/>
      <c r="H68" s="1153"/>
      <c r="I68" s="1153"/>
      <c r="J68" s="1153"/>
      <c r="K68" s="1153"/>
      <c r="L68" s="1153"/>
    </row>
    <row r="69" spans="1:12" ht="15.75" customHeight="1">
      <c r="A69" s="1750" t="s">
        <v>1569</v>
      </c>
      <c r="B69" s="1750"/>
      <c r="C69" s="1750"/>
      <c r="D69" s="1750"/>
      <c r="E69" s="1750"/>
      <c r="F69" s="1750"/>
      <c r="G69" s="1750"/>
      <c r="H69" s="1750"/>
      <c r="I69" s="1750"/>
      <c r="J69" s="1162"/>
      <c r="K69" s="1162"/>
      <c r="L69" s="1162"/>
    </row>
    <row r="70" spans="1:12" ht="15.75" customHeight="1">
      <c r="A70" s="1750"/>
      <c r="B70" s="1750"/>
      <c r="C70" s="1750"/>
      <c r="D70" s="1750"/>
      <c r="E70" s="1750"/>
      <c r="F70" s="1750"/>
      <c r="G70" s="1750"/>
      <c r="H70" s="1750"/>
      <c r="I70" s="1750"/>
      <c r="J70" s="1162"/>
      <c r="K70" s="1162"/>
      <c r="L70" s="1162"/>
    </row>
    <row r="71" spans="1:12" ht="15">
      <c r="A71" s="1153"/>
      <c r="B71" s="1153"/>
      <c r="C71" s="1153"/>
      <c r="D71" s="1153"/>
      <c r="E71" s="1153"/>
      <c r="F71" s="1153"/>
      <c r="G71" s="1153"/>
      <c r="H71" s="1153"/>
      <c r="I71" s="1153"/>
      <c r="J71" s="1153"/>
      <c r="K71" s="1153"/>
      <c r="L71" s="1153"/>
    </row>
    <row r="72" spans="1:12" ht="15">
      <c r="A72" s="1153" t="s">
        <v>1570</v>
      </c>
      <c r="B72" s="1153"/>
      <c r="C72" s="1153"/>
      <c r="D72" s="1749">
        <f>D65</f>
        <v>0</v>
      </c>
      <c r="E72" s="1749"/>
      <c r="F72" s="1153"/>
      <c r="G72" s="1153"/>
      <c r="H72" s="1153"/>
      <c r="I72" s="1153"/>
      <c r="J72" s="1153"/>
      <c r="K72" s="1153"/>
      <c r="L72" s="1153"/>
    </row>
    <row r="73" spans="1:12" ht="15">
      <c r="A73" s="1153" t="s">
        <v>1571</v>
      </c>
      <c r="B73" s="1153"/>
      <c r="C73" s="1153"/>
      <c r="D73" s="1153"/>
      <c r="E73" s="1153"/>
      <c r="F73" s="1153"/>
      <c r="G73" s="1153"/>
      <c r="H73" s="1153"/>
      <c r="I73" s="1153"/>
      <c r="J73" s="1153"/>
      <c r="K73" s="1153"/>
      <c r="L73" s="1153"/>
    </row>
    <row r="74" spans="1:12" ht="15">
      <c r="A74" s="1153" t="s">
        <v>1572</v>
      </c>
      <c r="B74" s="1153"/>
      <c r="C74" s="1153"/>
      <c r="D74" s="1748">
        <v>0</v>
      </c>
      <c r="E74" s="1748"/>
      <c r="F74" s="1153"/>
      <c r="G74" s="1153"/>
      <c r="H74" s="1153"/>
      <c r="I74" s="1153"/>
      <c r="J74" s="1153"/>
      <c r="K74" s="1153"/>
      <c r="L74" s="1153"/>
    </row>
    <row r="75" spans="1:12" ht="15">
      <c r="A75" s="1153" t="s">
        <v>1573</v>
      </c>
      <c r="B75" s="1153"/>
      <c r="C75" s="1153"/>
      <c r="D75" s="1157"/>
      <c r="E75" s="1157"/>
      <c r="F75" s="1153"/>
      <c r="G75" s="1153"/>
      <c r="H75" s="1153"/>
      <c r="I75" s="1153"/>
      <c r="J75" s="1153"/>
      <c r="K75" s="1153"/>
      <c r="L75" s="1153"/>
    </row>
    <row r="76" spans="1:12" ht="15">
      <c r="A76" s="1153" t="s">
        <v>1574</v>
      </c>
      <c r="B76" s="1153"/>
      <c r="C76" s="1153"/>
      <c r="D76" s="1748"/>
      <c r="E76" s="1748"/>
      <c r="F76" s="1153"/>
      <c r="G76" s="1153"/>
      <c r="H76" s="1153"/>
      <c r="I76" s="1153"/>
      <c r="J76" s="1153"/>
      <c r="K76" s="1153"/>
      <c r="L76" s="1153"/>
    </row>
    <row r="77" spans="1:12" ht="15">
      <c r="A77" s="1153" t="s">
        <v>1575</v>
      </c>
      <c r="B77" s="1153"/>
      <c r="C77" s="1153"/>
      <c r="D77" s="1748"/>
      <c r="E77" s="1748"/>
      <c r="F77" s="1153"/>
      <c r="G77" s="1153"/>
      <c r="H77" s="1153"/>
      <c r="I77" s="1153"/>
      <c r="J77" s="1153"/>
      <c r="K77" s="1153"/>
      <c r="L77" s="1153"/>
    </row>
    <row r="78" spans="1:12" ht="15">
      <c r="A78" s="1153" t="s">
        <v>1576</v>
      </c>
      <c r="B78" s="1153"/>
      <c r="C78" s="1153"/>
      <c r="D78" s="1153"/>
      <c r="E78" s="1153"/>
      <c r="F78" s="1153"/>
      <c r="G78" s="1153"/>
      <c r="H78" s="1153"/>
      <c r="I78" s="1153"/>
      <c r="J78" s="1153"/>
      <c r="K78" s="1153"/>
      <c r="L78" s="1153"/>
    </row>
    <row r="79" spans="1:12" ht="15">
      <c r="A79" s="1153" t="s">
        <v>1577</v>
      </c>
      <c r="B79" s="1153"/>
      <c r="C79" s="1153"/>
      <c r="D79" s="1748"/>
      <c r="E79" s="1748"/>
      <c r="F79" s="1153"/>
      <c r="G79" s="1153"/>
      <c r="H79" s="1153"/>
      <c r="I79" s="1153"/>
      <c r="J79" s="1153"/>
      <c r="K79" s="1153"/>
      <c r="L79" s="1153"/>
    </row>
    <row r="80" spans="1:12" ht="15">
      <c r="A80" s="1153" t="s">
        <v>1061</v>
      </c>
      <c r="B80" s="1153"/>
      <c r="C80" s="1153"/>
      <c r="D80" s="1749">
        <f>SUM(D74:D79)</f>
        <v>0</v>
      </c>
      <c r="E80" s="1749"/>
      <c r="F80" s="1153"/>
      <c r="G80" s="1153"/>
      <c r="H80" s="1153"/>
      <c r="I80" s="1153"/>
      <c r="J80" s="1153"/>
      <c r="K80" s="1153"/>
      <c r="L80" s="1153"/>
    </row>
    <row r="81" spans="1:12" ht="15">
      <c r="A81" s="1153"/>
      <c r="B81" s="1153"/>
      <c r="C81" s="1153"/>
      <c r="D81" s="1155"/>
      <c r="E81" s="1155"/>
      <c r="F81" s="1153"/>
      <c r="G81" s="1153"/>
      <c r="H81" s="1153"/>
      <c r="I81" s="1153"/>
      <c r="J81" s="1153"/>
      <c r="K81" s="1153"/>
      <c r="L81" s="1153"/>
    </row>
    <row r="82" spans="1:12" ht="15">
      <c r="A82" s="1153" t="s">
        <v>1578</v>
      </c>
      <c r="B82" s="1153"/>
      <c r="C82" s="1153"/>
      <c r="D82" s="1749">
        <f>D72-D80</f>
        <v>0</v>
      </c>
      <c r="E82" s="1749"/>
      <c r="F82" s="1153"/>
      <c r="G82" s="1153"/>
      <c r="H82" s="1153"/>
      <c r="I82" s="1153"/>
      <c r="J82" s="1153"/>
      <c r="K82" s="1153"/>
      <c r="L82" s="1153"/>
    </row>
    <row r="83" spans="1:12" ht="15">
      <c r="A83" s="1153"/>
      <c r="B83" s="1153"/>
      <c r="C83" s="1153"/>
      <c r="D83" s="1153"/>
      <c r="E83" s="1155"/>
      <c r="F83" s="1155"/>
      <c r="G83" s="1153"/>
      <c r="H83" s="1153"/>
      <c r="I83" s="1153"/>
      <c r="J83" s="1153"/>
      <c r="K83" s="1153"/>
      <c r="L83" s="1153"/>
    </row>
    <row r="84" spans="1:12" ht="15">
      <c r="A84" s="1153" t="s">
        <v>1565</v>
      </c>
      <c r="B84" s="1153"/>
      <c r="C84" s="1153"/>
      <c r="D84" s="1153"/>
      <c r="E84" s="1751">
        <f>IF(D57&gt;0,D82/D57,0)</f>
        <v>0</v>
      </c>
      <c r="F84" s="1751"/>
      <c r="G84" s="1153"/>
      <c r="H84" s="1153"/>
      <c r="I84" s="1153"/>
      <c r="J84" s="1153"/>
      <c r="K84" s="1153"/>
      <c r="L84" s="1153"/>
    </row>
    <row r="85" spans="1:12" ht="15">
      <c r="A85" s="1153" t="s">
        <v>1568</v>
      </c>
      <c r="B85" s="1153"/>
      <c r="C85" s="1153"/>
      <c r="D85" s="1153"/>
      <c r="E85" s="1751">
        <f>IF(H62&gt;0,D82/H62,0)</f>
        <v>0</v>
      </c>
      <c r="F85" s="1751"/>
      <c r="G85" s="1153"/>
      <c r="H85" s="1153"/>
      <c r="I85" s="1153"/>
      <c r="J85" s="1153"/>
      <c r="K85" s="1153"/>
      <c r="L85" s="1153"/>
    </row>
    <row r="86" spans="1:12" ht="15">
      <c r="A86" s="1153"/>
      <c r="B86" s="1153"/>
      <c r="C86" s="1153"/>
      <c r="D86" s="1153"/>
      <c r="E86" s="1153"/>
      <c r="F86" s="1153"/>
      <c r="G86" s="1153"/>
      <c r="H86" s="1153"/>
      <c r="I86" s="1153"/>
      <c r="J86" s="1153"/>
      <c r="K86" s="1153"/>
      <c r="L86" s="1153"/>
    </row>
    <row r="87" spans="1:12" ht="15">
      <c r="A87" s="1158" t="s">
        <v>1579</v>
      </c>
      <c r="B87" s="1158"/>
      <c r="C87" s="1158"/>
      <c r="D87" s="1158"/>
      <c r="E87" s="1153"/>
      <c r="F87" s="1153"/>
      <c r="G87" s="1153"/>
      <c r="H87" s="1153"/>
      <c r="I87" s="1153"/>
      <c r="J87" s="1153"/>
      <c r="K87" s="1153"/>
      <c r="L87" s="1153"/>
    </row>
    <row r="88" spans="1:12" ht="15">
      <c r="A88" s="1153" t="s">
        <v>1555</v>
      </c>
      <c r="B88" s="1153"/>
      <c r="C88" s="1153"/>
      <c r="D88" s="1153"/>
      <c r="E88" s="1749">
        <f>'RFA Sheet'!F23</f>
        <v>0</v>
      </c>
      <c r="F88" s="1749"/>
      <c r="G88" s="1153"/>
      <c r="H88" s="1749">
        <f>'RFA Sheet'!F23</f>
        <v>0</v>
      </c>
      <c r="I88" s="1749"/>
      <c r="J88" s="1153" t="s">
        <v>1580</v>
      </c>
      <c r="K88" s="1153"/>
      <c r="L88" s="1153"/>
    </row>
    <row r="89" spans="1:12" ht="15">
      <c r="A89" s="1153" t="s">
        <v>1571</v>
      </c>
      <c r="B89" s="1153"/>
      <c r="C89" s="1153"/>
      <c r="D89" s="1153"/>
      <c r="E89" s="1153"/>
      <c r="F89" s="1153"/>
      <c r="G89" s="1153"/>
      <c r="H89" s="1153"/>
      <c r="I89" s="1153"/>
      <c r="J89" s="1153"/>
      <c r="K89" s="1153"/>
      <c r="L89" s="1153"/>
    </row>
    <row r="90" spans="1:12" ht="15">
      <c r="A90" s="1153" t="s">
        <v>1581</v>
      </c>
      <c r="B90" s="1153"/>
      <c r="C90" s="1153"/>
      <c r="D90" s="1153"/>
      <c r="E90" s="1153"/>
      <c r="F90" s="1153"/>
      <c r="G90" s="1153"/>
      <c r="H90" s="1153"/>
      <c r="I90" s="1153"/>
      <c r="J90" s="1153"/>
      <c r="K90" s="1153"/>
      <c r="L90" s="1153"/>
    </row>
    <row r="91" spans="1:12" ht="15">
      <c r="A91" s="1153" t="s">
        <v>1582</v>
      </c>
      <c r="B91" s="1153"/>
      <c r="C91" s="1153"/>
      <c r="D91" s="1153"/>
      <c r="E91" s="1749">
        <f>D80</f>
        <v>0</v>
      </c>
      <c r="F91" s="1749"/>
      <c r="G91" s="1153"/>
      <c r="H91" s="1749">
        <f>IF(E91&gt;0,E91/'RFA Sheet'!C6,0)</f>
        <v>0</v>
      </c>
      <c r="I91" s="1749"/>
      <c r="J91" s="1153" t="s">
        <v>1580</v>
      </c>
      <c r="K91" s="1153"/>
      <c r="L91" s="1153"/>
    </row>
    <row r="92" spans="1:12" ht="15">
      <c r="A92" s="1153" t="s">
        <v>1583</v>
      </c>
      <c r="B92" s="1153"/>
      <c r="C92" s="1153"/>
      <c r="D92" s="1153"/>
      <c r="E92" s="1153"/>
      <c r="F92" s="1153"/>
      <c r="G92" s="1153"/>
      <c r="H92" s="1153"/>
      <c r="I92" s="1153"/>
      <c r="J92" s="1153"/>
      <c r="K92" s="1153"/>
      <c r="L92" s="1153"/>
    </row>
    <row r="93" spans="1:12" ht="15">
      <c r="A93" s="1153"/>
      <c r="B93" s="1153" t="s">
        <v>1584</v>
      </c>
      <c r="C93" s="1153"/>
      <c r="D93" s="1153"/>
      <c r="E93" s="1748"/>
      <c r="F93" s="1748"/>
      <c r="G93" s="1153"/>
      <c r="H93" s="1749">
        <f>IF(E93&gt;0,E93/'RFA Sheet'!C8,0)</f>
        <v>0</v>
      </c>
      <c r="I93" s="1749"/>
      <c r="J93" s="1153" t="s">
        <v>1580</v>
      </c>
      <c r="K93" s="1153"/>
      <c r="L93" s="1153"/>
    </row>
    <row r="94" spans="1:12" ht="15">
      <c r="A94" s="1153"/>
      <c r="B94" s="1153"/>
      <c r="C94" s="1153"/>
      <c r="D94" s="1153"/>
      <c r="E94" s="1153"/>
      <c r="F94" s="1153"/>
      <c r="G94" s="1153"/>
      <c r="H94" s="1153"/>
      <c r="I94" s="1153"/>
      <c r="J94" s="1153"/>
      <c r="K94" s="1153"/>
      <c r="L94" s="1153"/>
    </row>
    <row r="95" spans="1:12" ht="15">
      <c r="A95" s="1158" t="s">
        <v>1585</v>
      </c>
      <c r="B95" s="1158"/>
      <c r="C95" s="1158"/>
      <c r="D95" s="1158"/>
      <c r="E95" s="1749">
        <f>E88-SUM(E91+E93)</f>
        <v>0</v>
      </c>
      <c r="F95" s="1749"/>
      <c r="G95" s="1153"/>
      <c r="H95" s="1749">
        <f>IF(E95&gt;0,E95/'RFA Sheet'!C10,0)</f>
        <v>0</v>
      </c>
      <c r="I95" s="1749"/>
      <c r="J95" s="1153" t="s">
        <v>1580</v>
      </c>
      <c r="K95" s="1153"/>
      <c r="L95" s="1153"/>
    </row>
    <row r="96" spans="1:12" ht="15">
      <c r="A96" s="1153"/>
      <c r="B96" s="1153"/>
      <c r="C96" s="1153"/>
      <c r="D96" s="1153"/>
      <c r="E96" s="1153"/>
      <c r="F96" s="1153"/>
      <c r="G96" s="1153"/>
      <c r="H96" s="1153"/>
      <c r="I96" s="1153"/>
      <c r="J96" s="1153"/>
      <c r="K96" s="1153"/>
      <c r="L96" s="1153"/>
    </row>
    <row r="97" spans="1:12" ht="15">
      <c r="A97" s="1172" t="s">
        <v>1618</v>
      </c>
      <c r="B97" s="1153"/>
      <c r="C97" s="1153"/>
      <c r="D97" s="1153"/>
      <c r="E97" s="1153"/>
      <c r="F97" s="1153"/>
      <c r="G97" s="1153"/>
      <c r="H97" s="1153"/>
      <c r="I97" s="1153"/>
      <c r="J97" s="1153"/>
      <c r="K97" s="1153"/>
      <c r="L97" s="1153"/>
    </row>
    <row r="98" ht="15">
      <c r="A98" s="1110" t="s">
        <v>1619</v>
      </c>
    </row>
    <row r="99" ht="15">
      <c r="A99" s="1110" t="s">
        <v>1620</v>
      </c>
    </row>
    <row r="100" ht="15">
      <c r="A100" s="1110" t="s">
        <v>1621</v>
      </c>
    </row>
    <row r="101" spans="1:8" ht="15">
      <c r="A101" s="1150" t="s">
        <v>1625</v>
      </c>
      <c r="B101" s="1175"/>
      <c r="C101" s="1175"/>
      <c r="D101" s="1175"/>
      <c r="E101" s="1175"/>
      <c r="F101" s="1175"/>
      <c r="G101" s="1175"/>
      <c r="H101" s="1175"/>
    </row>
    <row r="102" spans="1:8" ht="15">
      <c r="A102" s="1153" t="s">
        <v>1626</v>
      </c>
      <c r="B102" s="1153"/>
      <c r="C102" s="1153"/>
      <c r="D102" s="1153"/>
      <c r="E102" s="1175"/>
      <c r="F102" s="1153" t="s">
        <v>1627</v>
      </c>
      <c r="G102" s="1153"/>
      <c r="H102" s="1175"/>
    </row>
    <row r="103" spans="1:8" ht="15">
      <c r="A103" s="1153" t="s">
        <v>1628</v>
      </c>
      <c r="B103" s="1153"/>
      <c r="C103" s="1153"/>
      <c r="D103" s="1153"/>
      <c r="E103" s="1175"/>
      <c r="F103" s="1153" t="s">
        <v>1629</v>
      </c>
      <c r="G103" s="1153"/>
      <c r="H103" s="1175"/>
    </row>
    <row r="104" spans="1:8" ht="15">
      <c r="A104" s="1153" t="s">
        <v>1630</v>
      </c>
      <c r="B104" s="1153"/>
      <c r="C104" s="1153"/>
      <c r="D104" s="1153"/>
      <c r="E104" s="1175"/>
      <c r="F104" s="1153" t="s">
        <v>1631</v>
      </c>
      <c r="G104" s="1153"/>
      <c r="H104" s="1175"/>
    </row>
    <row r="105" spans="1:8" ht="15">
      <c r="A105" s="1153" t="s">
        <v>1632</v>
      </c>
      <c r="B105" s="1175"/>
      <c r="C105" s="1153"/>
      <c r="D105" s="1153"/>
      <c r="E105" s="1175"/>
      <c r="F105" s="1175"/>
      <c r="G105" s="1175"/>
      <c r="H105" s="1175"/>
    </row>
    <row r="106" spans="1:8" ht="15">
      <c r="A106" s="1153" t="s">
        <v>1633</v>
      </c>
      <c r="B106" s="1175"/>
      <c r="C106" s="1153"/>
      <c r="D106" s="1153"/>
      <c r="E106" s="1175"/>
      <c r="F106" s="1175"/>
      <c r="G106" s="1175"/>
      <c r="H106" s="1175"/>
    </row>
    <row r="107" spans="1:8" ht="15">
      <c r="A107" s="1153" t="s">
        <v>1634</v>
      </c>
      <c r="B107" s="1153"/>
      <c r="C107" s="1153"/>
      <c r="D107" s="1153"/>
      <c r="E107" s="1175"/>
      <c r="F107" s="1175"/>
      <c r="G107" s="1175"/>
      <c r="H107" s="1175"/>
    </row>
  </sheetData>
  <sheetProtection/>
  <mergeCells count="38">
    <mergeCell ref="D16:I16"/>
    <mergeCell ref="C18:H18"/>
    <mergeCell ref="B20:C20"/>
    <mergeCell ref="C27:E27"/>
    <mergeCell ref="A42:L42"/>
    <mergeCell ref="C59:D59"/>
    <mergeCell ref="I59:J59"/>
    <mergeCell ref="A25:B25"/>
    <mergeCell ref="C25:D25"/>
    <mergeCell ref="D22:F22"/>
    <mergeCell ref="H62:I62"/>
    <mergeCell ref="E63:F63"/>
    <mergeCell ref="H95:I95"/>
    <mergeCell ref="E85:F85"/>
    <mergeCell ref="E88:F88"/>
    <mergeCell ref="H88:I88"/>
    <mergeCell ref="E91:F91"/>
    <mergeCell ref="E95:F95"/>
    <mergeCell ref="D76:E76"/>
    <mergeCell ref="H91:I91"/>
    <mergeCell ref="H24:I24"/>
    <mergeCell ref="D57:E57"/>
    <mergeCell ref="E25:F25"/>
    <mergeCell ref="G25:H25"/>
    <mergeCell ref="D74:E74"/>
    <mergeCell ref="E60:F60"/>
    <mergeCell ref="E66:F66"/>
    <mergeCell ref="E67:F67"/>
    <mergeCell ref="D72:E72"/>
    <mergeCell ref="D65:E65"/>
    <mergeCell ref="E93:F93"/>
    <mergeCell ref="H93:I93"/>
    <mergeCell ref="A69:I70"/>
    <mergeCell ref="D77:E77"/>
    <mergeCell ref="D79:E79"/>
    <mergeCell ref="D80:E80"/>
    <mergeCell ref="D82:E82"/>
    <mergeCell ref="E84:F84"/>
  </mergeCells>
  <printOptions/>
  <pageMargins left="0.7" right="0.7" top="0.75" bottom="0.75" header="0.3" footer="0.3"/>
  <pageSetup horizontalDpi="600" verticalDpi="600" orientation="portrait" scale="82"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codeName="Sheet14">
    <pageSetUpPr fitToPage="1"/>
  </sheetPr>
  <dimension ref="A1:S53"/>
  <sheetViews>
    <sheetView zoomScale="75" zoomScaleNormal="75" zoomScalePageLayoutView="0" workbookViewId="0" topLeftCell="A1">
      <selection activeCell="A1" sqref="A1"/>
    </sheetView>
  </sheetViews>
  <sheetFormatPr defaultColWidth="8.88671875" defaultRowHeight="15"/>
  <cols>
    <col min="1" max="1" width="28.77734375" style="488" customWidth="1"/>
    <col min="2" max="2" width="13.5546875" style="488" customWidth="1"/>
    <col min="3" max="3" width="12.3359375" style="488" customWidth="1"/>
    <col min="4" max="4" width="11.21484375" style="488" customWidth="1"/>
    <col min="5" max="5" width="11.4453125" style="488" customWidth="1"/>
    <col min="6" max="6" width="10.6640625" style="488" customWidth="1"/>
    <col min="7" max="7" width="10.3359375" style="488" customWidth="1"/>
    <col min="8" max="8" width="10.88671875" style="488" customWidth="1"/>
    <col min="9" max="10" width="12.5546875" style="488" customWidth="1"/>
    <col min="11" max="11" width="14.3359375" style="488" customWidth="1"/>
    <col min="12" max="12" width="6.77734375" style="488" customWidth="1"/>
    <col min="13" max="13" width="15.21484375" style="488" customWidth="1"/>
    <col min="14" max="14" width="10.4453125" style="488" customWidth="1"/>
    <col min="15" max="15" width="14.6640625" style="488" customWidth="1"/>
    <col min="16" max="17" width="11.77734375" style="488" customWidth="1"/>
    <col min="18" max="18" width="15.21484375" style="488" customWidth="1"/>
    <col min="19" max="19" width="12.10546875" style="488" customWidth="1"/>
    <col min="20" max="16384" width="8.88671875" style="488" customWidth="1"/>
  </cols>
  <sheetData>
    <row r="1" spans="1:19" ht="15.75" customHeight="1">
      <c r="A1" s="543" t="s">
        <v>1297</v>
      </c>
      <c r="B1" s="1003">
        <f>'FORM-10 (A-F)'!DEV_NAME</f>
        <v>0</v>
      </c>
      <c r="C1" s="544"/>
      <c r="D1" s="545"/>
      <c r="E1" s="546" t="s">
        <v>374</v>
      </c>
      <c r="F1" s="547">
        <f>'FORM-10 (A-F)'!HMFA</f>
        <v>0</v>
      </c>
      <c r="G1" s="548"/>
      <c r="H1" s="548"/>
      <c r="I1" s="548"/>
      <c r="J1" s="548"/>
      <c r="K1" s="548"/>
      <c r="L1" s="548"/>
      <c r="M1" s="548"/>
      <c r="N1" s="548"/>
      <c r="O1" s="570" t="s">
        <v>711</v>
      </c>
      <c r="P1" s="563"/>
      <c r="Q1" s="941"/>
      <c r="R1" s="549"/>
      <c r="S1" s="212"/>
    </row>
    <row r="2" spans="1:19" ht="15">
      <c r="A2" s="540" t="s">
        <v>1299</v>
      </c>
      <c r="B2" s="1004">
        <f>'FORM-10 (A-F)'!DEV_STREET</f>
        <v>0</v>
      </c>
      <c r="C2" s="517"/>
      <c r="D2" s="517"/>
      <c r="E2" s="539" t="s">
        <v>1300</v>
      </c>
      <c r="F2" s="1005">
        <f>'FORM-10 (A-F)'!MUNICIP</f>
        <v>0</v>
      </c>
      <c r="G2" s="517"/>
      <c r="H2" s="517"/>
      <c r="I2" s="517"/>
      <c r="J2" s="519"/>
      <c r="K2" s="519"/>
      <c r="L2" s="519"/>
      <c r="M2" s="539" t="s">
        <v>1301</v>
      </c>
      <c r="N2" s="539"/>
      <c r="O2" s="1006">
        <f>'FORM-10 (A-F)'!I14</f>
        <v>0</v>
      </c>
      <c r="P2" s="519"/>
      <c r="Q2" s="519"/>
      <c r="R2" s="524"/>
      <c r="S2" s="212"/>
    </row>
    <row r="3" spans="1:19" ht="15">
      <c r="A3" s="540"/>
      <c r="B3" s="518"/>
      <c r="C3" s="519"/>
      <c r="D3" s="519"/>
      <c r="E3" s="539"/>
      <c r="F3" s="519"/>
      <c r="G3" s="519"/>
      <c r="H3" s="519"/>
      <c r="I3" s="519"/>
      <c r="J3" s="519"/>
      <c r="K3" s="519"/>
      <c r="L3" s="519"/>
      <c r="M3" s="539"/>
      <c r="N3" s="539"/>
      <c r="O3" s="519"/>
      <c r="P3" s="519"/>
      <c r="Q3" s="519"/>
      <c r="R3" s="524"/>
      <c r="S3" s="212"/>
    </row>
    <row r="4" spans="1:19" ht="15">
      <c r="A4" s="541" t="s">
        <v>1276</v>
      </c>
      <c r="B4" s="569"/>
      <c r="C4" s="550" t="s">
        <v>788</v>
      </c>
      <c r="D4" s="551"/>
      <c r="E4" s="551"/>
      <c r="F4" s="551"/>
      <c r="G4" s="519"/>
      <c r="H4" s="519"/>
      <c r="I4" s="519"/>
      <c r="J4" s="519"/>
      <c r="K4" s="519"/>
      <c r="L4" s="519"/>
      <c r="M4" s="519"/>
      <c r="N4" s="519"/>
      <c r="O4" s="706" t="s">
        <v>760</v>
      </c>
      <c r="P4" s="707"/>
      <c r="Q4" s="707"/>
      <c r="R4" s="708"/>
      <c r="S4" s="212"/>
    </row>
    <row r="5" spans="1:19" ht="9.75" customHeight="1">
      <c r="A5" s="542"/>
      <c r="B5" s="568"/>
      <c r="C5" s="552"/>
      <c r="D5" s="519"/>
      <c r="E5" s="519"/>
      <c r="F5" s="519"/>
      <c r="G5" s="519"/>
      <c r="H5" s="519"/>
      <c r="I5" s="519"/>
      <c r="J5" s="519"/>
      <c r="K5" s="519"/>
      <c r="L5" s="519"/>
      <c r="M5" s="519"/>
      <c r="N5" s="519"/>
      <c r="O5" s="519"/>
      <c r="P5" s="519"/>
      <c r="Q5" s="519"/>
      <c r="R5" s="524"/>
      <c r="S5" s="212"/>
    </row>
    <row r="6" spans="1:19" ht="15">
      <c r="A6" s="527"/>
      <c r="B6" s="519"/>
      <c r="C6" s="519"/>
      <c r="D6" s="519"/>
      <c r="E6" s="520"/>
      <c r="F6" s="519"/>
      <c r="G6" s="615" t="s">
        <v>1152</v>
      </c>
      <c r="H6" s="632">
        <f>'FORM-10 (A-F)'!SPONSOR</f>
        <v>0</v>
      </c>
      <c r="I6" s="633"/>
      <c r="J6" s="633"/>
      <c r="K6" s="633"/>
      <c r="L6" s="633"/>
      <c r="M6" s="519" t="s">
        <v>712</v>
      </c>
      <c r="N6" s="519"/>
      <c r="P6" s="551"/>
      <c r="Q6" s="551"/>
      <c r="R6" s="524"/>
      <c r="S6" s="212"/>
    </row>
    <row r="7" spans="1:19" ht="15">
      <c r="A7" s="553" t="s">
        <v>1246</v>
      </c>
      <c r="B7" s="519"/>
      <c r="C7" s="519"/>
      <c r="D7" s="519"/>
      <c r="E7" s="519"/>
      <c r="F7" s="519"/>
      <c r="G7" s="519"/>
      <c r="H7" s="519"/>
      <c r="I7" s="519"/>
      <c r="J7" s="519"/>
      <c r="K7" s="519"/>
      <c r="L7" s="519"/>
      <c r="M7" s="519"/>
      <c r="N7" s="519"/>
      <c r="O7" s="519"/>
      <c r="P7" s="519"/>
      <c r="Q7" s="519"/>
      <c r="R7" s="524"/>
      <c r="S7" s="212"/>
    </row>
    <row r="8" spans="1:19" ht="15" customHeight="1">
      <c r="A8" s="630"/>
      <c r="B8" s="639"/>
      <c r="C8" s="519"/>
      <c r="D8" s="635"/>
      <c r="E8" s="519"/>
      <c r="F8" s="519"/>
      <c r="G8" s="519"/>
      <c r="H8" s="519"/>
      <c r="I8" s="519"/>
      <c r="J8" s="519"/>
      <c r="K8" s="519"/>
      <c r="L8" s="519"/>
      <c r="M8" s="1008"/>
      <c r="N8" s="1008"/>
      <c r="O8" s="1008"/>
      <c r="P8" s="1008"/>
      <c r="Q8" s="1008"/>
      <c r="R8" s="524"/>
      <c r="S8" s="212"/>
    </row>
    <row r="9" spans="1:19" ht="18" customHeight="1" thickBot="1">
      <c r="A9" s="527"/>
      <c r="B9" s="531"/>
      <c r="C9" s="520"/>
      <c r="D9" s="1013"/>
      <c r="E9" s="1014"/>
      <c r="F9" s="1015"/>
      <c r="G9" s="1015"/>
      <c r="H9" s="1015"/>
      <c r="I9" s="1015"/>
      <c r="J9" s="1011"/>
      <c r="K9" s="1011"/>
      <c r="L9" s="942"/>
      <c r="M9" s="1016"/>
      <c r="N9" s="1017"/>
      <c r="O9" s="531"/>
      <c r="P9" s="1015"/>
      <c r="Q9" s="1015"/>
      <c r="R9" s="1018"/>
      <c r="S9" s="532"/>
    </row>
    <row r="10" spans="1:19" ht="16.5" thickBot="1" thickTop="1">
      <c r="A10" s="630" t="s">
        <v>714</v>
      </c>
      <c r="B10" s="943">
        <f>'FORM-10 (A-F)'!J224</f>
        <v>0</v>
      </c>
      <c r="C10" s="616"/>
      <c r="D10" s="1016"/>
      <c r="E10" s="1016"/>
      <c r="F10" s="1016"/>
      <c r="G10" s="1016"/>
      <c r="H10" s="1016"/>
      <c r="I10" s="1016"/>
      <c r="J10" s="1012"/>
      <c r="K10" s="1012"/>
      <c r="L10" s="944"/>
      <c r="M10" s="1019"/>
      <c r="N10" s="1019"/>
      <c r="O10" s="1016"/>
      <c r="P10" s="1016"/>
      <c r="Q10" s="1016"/>
      <c r="R10" s="1020"/>
      <c r="S10" s="533"/>
    </row>
    <row r="11" spans="1:19" ht="13.5" customHeight="1" thickTop="1">
      <c r="A11" s="647"/>
      <c r="B11" s="648"/>
      <c r="C11" s="648"/>
      <c r="D11" s="945"/>
      <c r="E11" s="945"/>
      <c r="F11" s="945"/>
      <c r="G11" s="945"/>
      <c r="H11" s="945"/>
      <c r="I11" s="945"/>
      <c r="J11" s="649"/>
      <c r="K11" s="649"/>
      <c r="L11" s="945"/>
      <c r="M11" s="650" t="s">
        <v>1083</v>
      </c>
      <c r="N11" s="650"/>
      <c r="O11" s="650"/>
      <c r="P11" s="650"/>
      <c r="Q11" s="650"/>
      <c r="R11" s="651"/>
      <c r="S11" s="533"/>
    </row>
    <row r="12" spans="1:19" ht="15">
      <c r="A12" s="1021" t="s">
        <v>1219</v>
      </c>
      <c r="B12" s="1022">
        <f>'FORM-10 (A-F)'!H137</f>
        <v>0</v>
      </c>
      <c r="C12" s="519"/>
      <c r="D12" s="946" t="s">
        <v>1081</v>
      </c>
      <c r="E12" s="946" t="s">
        <v>1081</v>
      </c>
      <c r="F12" s="645" t="s">
        <v>1303</v>
      </c>
      <c r="G12" s="947" t="s">
        <v>1482</v>
      </c>
      <c r="H12" s="645"/>
      <c r="I12" s="947"/>
      <c r="J12" s="948"/>
      <c r="K12" s="646" t="s">
        <v>1061</v>
      </c>
      <c r="L12" s="567"/>
      <c r="M12" s="643" t="s">
        <v>1302</v>
      </c>
      <c r="N12" s="643" t="s">
        <v>1302</v>
      </c>
      <c r="O12" s="644" t="s">
        <v>1302</v>
      </c>
      <c r="P12" s="947" t="s">
        <v>475</v>
      </c>
      <c r="Q12" s="948" t="s">
        <v>476</v>
      </c>
      <c r="R12" s="641" t="s">
        <v>1061</v>
      </c>
      <c r="S12" s="533"/>
    </row>
    <row r="13" spans="1:19" ht="15">
      <c r="A13" s="559"/>
      <c r="B13" s="631"/>
      <c r="C13" s="520" t="s">
        <v>477</v>
      </c>
      <c r="D13" s="949" t="s">
        <v>1274</v>
      </c>
      <c r="E13" s="950" t="s">
        <v>1275</v>
      </c>
      <c r="F13" s="951" t="s">
        <v>1304</v>
      </c>
      <c r="G13" s="951" t="s">
        <v>1483</v>
      </c>
      <c r="H13" s="951" t="s">
        <v>1481</v>
      </c>
      <c r="I13" s="952" t="s">
        <v>1302</v>
      </c>
      <c r="J13" s="953"/>
      <c r="K13" s="638"/>
      <c r="L13" s="566"/>
      <c r="M13" s="636" t="s">
        <v>478</v>
      </c>
      <c r="N13" s="636" t="s">
        <v>479</v>
      </c>
      <c r="O13" s="637" t="s">
        <v>480</v>
      </c>
      <c r="P13" s="954" t="s">
        <v>481</v>
      </c>
      <c r="Q13" s="955" t="s">
        <v>482</v>
      </c>
      <c r="R13" s="642"/>
      <c r="S13" s="525"/>
    </row>
    <row r="14" spans="1:19" ht="17.25">
      <c r="A14" s="521" t="s">
        <v>483</v>
      </c>
      <c r="B14" s="522" t="s">
        <v>1305</v>
      </c>
      <c r="C14" s="640"/>
      <c r="D14" s="618"/>
      <c r="E14" s="619"/>
      <c r="F14" s="619"/>
      <c r="G14" s="619"/>
      <c r="H14" s="619"/>
      <c r="I14" s="619"/>
      <c r="J14" s="620"/>
      <c r="K14" s="621">
        <f>SUM(D14:J14)</f>
        <v>0</v>
      </c>
      <c r="L14" s="617"/>
      <c r="M14" s="618"/>
      <c r="N14" s="618"/>
      <c r="O14" s="619"/>
      <c r="P14" s="619"/>
      <c r="Q14" s="620"/>
      <c r="R14" s="622">
        <f>SUM(M14:Q14)</f>
        <v>0</v>
      </c>
      <c r="S14" s="534"/>
    </row>
    <row r="15" spans="1:19" ht="18" customHeight="1">
      <c r="A15" s="700"/>
      <c r="B15" s="1010" t="s">
        <v>1218</v>
      </c>
      <c r="D15" s="1024"/>
      <c r="E15" s="1025"/>
      <c r="F15" s="1025"/>
      <c r="G15" s="1025"/>
      <c r="H15" s="1026"/>
      <c r="I15" s="1025"/>
      <c r="J15" s="1027"/>
      <c r="K15" s="701"/>
      <c r="L15" s="617"/>
      <c r="M15" s="1024"/>
      <c r="N15" s="1029"/>
      <c r="O15" s="1025"/>
      <c r="P15" s="1025"/>
      <c r="Q15" s="1027"/>
      <c r="R15" s="702" t="s">
        <v>863</v>
      </c>
      <c r="S15" s="534"/>
    </row>
    <row r="16" spans="1:19" ht="15">
      <c r="A16" s="564" t="s">
        <v>207</v>
      </c>
      <c r="B16" s="956">
        <f>'FORM-10 (A-F)'!J192</f>
        <v>0</v>
      </c>
      <c r="C16" s="1023"/>
      <c r="D16" s="957"/>
      <c r="E16" s="958"/>
      <c r="F16" s="958"/>
      <c r="G16" s="958"/>
      <c r="H16" s="958"/>
      <c r="I16" s="958"/>
      <c r="J16" s="959"/>
      <c r="K16" s="960">
        <f>-C16+SUM(F16:J16)</f>
        <v>0</v>
      </c>
      <c r="L16" s="623" t="s">
        <v>219</v>
      </c>
      <c r="M16" s="961"/>
      <c r="N16" s="962"/>
      <c r="O16" s="963"/>
      <c r="P16" s="963"/>
      <c r="Q16" s="1028"/>
      <c r="R16" s="964">
        <f aca="true" t="shared" si="0" ref="R16:R23">K16+SUM(M16:P16)</f>
        <v>0</v>
      </c>
      <c r="S16" s="535"/>
    </row>
    <row r="17" spans="1:19" ht="15.75" customHeight="1">
      <c r="A17" s="564" t="s">
        <v>208</v>
      </c>
      <c r="B17" s="956">
        <f>'FORM-10 (A-F)'!J193</f>
        <v>0</v>
      </c>
      <c r="C17" s="523"/>
      <c r="D17" s="965"/>
      <c r="E17" s="966"/>
      <c r="F17" s="966"/>
      <c r="G17" s="966"/>
      <c r="H17" s="966"/>
      <c r="I17" s="966"/>
      <c r="J17" s="967"/>
      <c r="K17" s="960">
        <f aca="true" t="shared" si="1" ref="K17:K23">-B17+SUM(D17:I17)</f>
        <v>0</v>
      </c>
      <c r="L17" s="624" t="s">
        <v>220</v>
      </c>
      <c r="M17" s="965"/>
      <c r="N17" s="968"/>
      <c r="O17" s="966"/>
      <c r="P17" s="969"/>
      <c r="Q17" s="970"/>
      <c r="R17" s="964">
        <f t="shared" si="0"/>
        <v>0</v>
      </c>
      <c r="S17" s="536"/>
    </row>
    <row r="18" spans="1:19" ht="15">
      <c r="A18" s="564" t="s">
        <v>209</v>
      </c>
      <c r="B18" s="956">
        <f>'FORM-10 (A-F)'!J194</f>
        <v>0</v>
      </c>
      <c r="C18" s="523"/>
      <c r="D18" s="965"/>
      <c r="E18" s="966"/>
      <c r="F18" s="966"/>
      <c r="G18" s="966"/>
      <c r="H18" s="966"/>
      <c r="I18" s="966"/>
      <c r="J18" s="967"/>
      <c r="K18" s="960">
        <f t="shared" si="1"/>
        <v>0</v>
      </c>
      <c r="L18" s="624" t="s">
        <v>221</v>
      </c>
      <c r="M18" s="965"/>
      <c r="N18" s="968"/>
      <c r="O18" s="966"/>
      <c r="P18" s="969"/>
      <c r="Q18" s="970"/>
      <c r="R18" s="964">
        <f t="shared" si="0"/>
        <v>0</v>
      </c>
      <c r="S18" s="536"/>
    </row>
    <row r="19" spans="1:19" ht="15">
      <c r="A19" s="971" t="s">
        <v>210</v>
      </c>
      <c r="B19" s="956">
        <f>'FORM-10 (A-F)'!J196</f>
        <v>0</v>
      </c>
      <c r="C19" s="523"/>
      <c r="D19" s="965"/>
      <c r="E19" s="966"/>
      <c r="F19" s="966"/>
      <c r="G19" s="966"/>
      <c r="H19" s="966"/>
      <c r="I19" s="966"/>
      <c r="J19" s="967"/>
      <c r="K19" s="960">
        <f t="shared" si="1"/>
        <v>0</v>
      </c>
      <c r="L19" s="625" t="s">
        <v>222</v>
      </c>
      <c r="M19" s="965"/>
      <c r="N19" s="968"/>
      <c r="O19" s="966"/>
      <c r="P19" s="969"/>
      <c r="Q19" s="970"/>
      <c r="R19" s="964">
        <f t="shared" si="0"/>
        <v>0</v>
      </c>
      <c r="S19" s="536"/>
    </row>
    <row r="20" spans="1:19" ht="15">
      <c r="A20" s="564" t="s">
        <v>1419</v>
      </c>
      <c r="B20" s="956">
        <f>'FORM-10 (A-F)'!J197</f>
        <v>0</v>
      </c>
      <c r="C20" s="523"/>
      <c r="D20" s="965"/>
      <c r="E20" s="966"/>
      <c r="F20" s="966"/>
      <c r="G20" s="966"/>
      <c r="H20" s="966"/>
      <c r="I20" s="966"/>
      <c r="J20" s="967"/>
      <c r="K20" s="960">
        <f t="shared" si="1"/>
        <v>0</v>
      </c>
      <c r="L20" s="626" t="s">
        <v>223</v>
      </c>
      <c r="M20" s="965"/>
      <c r="N20" s="968"/>
      <c r="O20" s="966"/>
      <c r="P20" s="969"/>
      <c r="Q20" s="970"/>
      <c r="R20" s="964">
        <f t="shared" si="0"/>
        <v>0</v>
      </c>
      <c r="S20" s="536"/>
    </row>
    <row r="21" spans="1:19" ht="15">
      <c r="A21" s="564" t="s">
        <v>1420</v>
      </c>
      <c r="B21" s="956">
        <f>'FORM-10 (A-F)'!J198</f>
        <v>0</v>
      </c>
      <c r="C21" s="523"/>
      <c r="D21" s="965"/>
      <c r="E21" s="966"/>
      <c r="F21" s="966"/>
      <c r="G21" s="966"/>
      <c r="H21" s="966"/>
      <c r="I21" s="966"/>
      <c r="J21" s="967"/>
      <c r="K21" s="960">
        <f t="shared" si="1"/>
        <v>0</v>
      </c>
      <c r="L21" s="626" t="s">
        <v>224</v>
      </c>
      <c r="M21" s="965"/>
      <c r="N21" s="968"/>
      <c r="O21" s="966"/>
      <c r="P21" s="969"/>
      <c r="Q21" s="970"/>
      <c r="R21" s="964">
        <f t="shared" si="0"/>
        <v>0</v>
      </c>
      <c r="S21" s="536"/>
    </row>
    <row r="22" spans="1:19" ht="15">
      <c r="A22" s="565" t="s">
        <v>492</v>
      </c>
      <c r="B22" s="956">
        <f>'FORM-10 (A-F)'!J199</f>
        <v>0</v>
      </c>
      <c r="C22" s="523"/>
      <c r="D22" s="965"/>
      <c r="E22" s="966"/>
      <c r="F22" s="966"/>
      <c r="G22" s="966"/>
      <c r="H22" s="966"/>
      <c r="I22" s="966"/>
      <c r="J22" s="967"/>
      <c r="K22" s="960">
        <f t="shared" si="1"/>
        <v>0</v>
      </c>
      <c r="L22" s="626" t="s">
        <v>1423</v>
      </c>
      <c r="M22" s="965"/>
      <c r="N22" s="968"/>
      <c r="O22" s="966"/>
      <c r="P22" s="969"/>
      <c r="Q22" s="970"/>
      <c r="R22" s="964">
        <f t="shared" si="0"/>
        <v>0</v>
      </c>
      <c r="S22" s="536"/>
    </row>
    <row r="23" spans="1:19" ht="15">
      <c r="A23" s="972"/>
      <c r="B23" s="973"/>
      <c r="C23" s="523"/>
      <c r="D23" s="965"/>
      <c r="E23" s="966"/>
      <c r="F23" s="966"/>
      <c r="G23" s="966"/>
      <c r="H23" s="966"/>
      <c r="I23" s="966"/>
      <c r="J23" s="967"/>
      <c r="K23" s="960">
        <f t="shared" si="1"/>
        <v>0</v>
      </c>
      <c r="L23" s="625" t="s">
        <v>1424</v>
      </c>
      <c r="M23" s="965"/>
      <c r="N23" s="968"/>
      <c r="O23" s="966"/>
      <c r="P23" s="969"/>
      <c r="Q23" s="970"/>
      <c r="R23" s="964">
        <f t="shared" si="0"/>
        <v>0</v>
      </c>
      <c r="S23" s="536"/>
    </row>
    <row r="24" spans="1:19" ht="15">
      <c r="A24" s="974" t="s">
        <v>1421</v>
      </c>
      <c r="B24" s="956"/>
      <c r="C24" s="523"/>
      <c r="D24" s="965"/>
      <c r="E24" s="966"/>
      <c r="F24" s="966"/>
      <c r="G24" s="966"/>
      <c r="H24" s="966"/>
      <c r="I24" s="966"/>
      <c r="J24" s="967"/>
      <c r="K24" s="960">
        <f>-B25+SUM(D24:I24)</f>
        <v>0</v>
      </c>
      <c r="L24" s="626" t="s">
        <v>225</v>
      </c>
      <c r="M24" s="965"/>
      <c r="N24" s="968"/>
      <c r="O24" s="966"/>
      <c r="P24" s="969"/>
      <c r="Q24" s="970"/>
      <c r="R24" s="964">
        <f aca="true" t="shared" si="2" ref="R24:R33">K24+SUM(M24:P24)</f>
        <v>0</v>
      </c>
      <c r="S24" s="536"/>
    </row>
    <row r="25" spans="1:19" ht="15">
      <c r="A25" s="710" t="s">
        <v>211</v>
      </c>
      <c r="B25" s="956">
        <f>'FORM-10 (A-F)'!J210</f>
        <v>0</v>
      </c>
      <c r="C25" s="523"/>
      <c r="D25" s="965"/>
      <c r="E25" s="966"/>
      <c r="F25" s="966"/>
      <c r="G25" s="966"/>
      <c r="H25" s="966"/>
      <c r="I25" s="966"/>
      <c r="J25" s="967"/>
      <c r="K25" s="960">
        <f>-B26+SUM(D25:I25)</f>
        <v>0</v>
      </c>
      <c r="L25" s="626" t="s">
        <v>226</v>
      </c>
      <c r="M25" s="965"/>
      <c r="N25" s="968"/>
      <c r="O25" s="966"/>
      <c r="P25" s="969"/>
      <c r="Q25" s="970"/>
      <c r="R25" s="964">
        <f t="shared" si="2"/>
        <v>0</v>
      </c>
      <c r="S25" s="536"/>
    </row>
    <row r="26" spans="1:19" ht="15">
      <c r="A26" s="711" t="s">
        <v>212</v>
      </c>
      <c r="B26" s="956">
        <f>'FORM-10 (A-F)'!J211</f>
        <v>0</v>
      </c>
      <c r="C26" s="523"/>
      <c r="D26" s="965"/>
      <c r="E26" s="966"/>
      <c r="F26" s="966"/>
      <c r="G26" s="966"/>
      <c r="H26" s="966"/>
      <c r="I26" s="966"/>
      <c r="J26" s="967"/>
      <c r="K26" s="960">
        <f>-B27+SUM(D26:I26)</f>
        <v>0</v>
      </c>
      <c r="L26" s="626" t="s">
        <v>227</v>
      </c>
      <c r="M26" s="965"/>
      <c r="N26" s="968"/>
      <c r="O26" s="966"/>
      <c r="P26" s="969"/>
      <c r="Q26" s="970"/>
      <c r="R26" s="964">
        <f t="shared" si="2"/>
        <v>0</v>
      </c>
      <c r="S26" s="536"/>
    </row>
    <row r="27" spans="1:19" ht="15">
      <c r="A27" s="710" t="s">
        <v>213</v>
      </c>
      <c r="B27" s="956">
        <f>'FORM-10 (A-F)'!J212</f>
        <v>0</v>
      </c>
      <c r="C27" s="523"/>
      <c r="D27" s="965"/>
      <c r="E27" s="966"/>
      <c r="F27" s="966"/>
      <c r="G27" s="966"/>
      <c r="H27" s="966"/>
      <c r="I27" s="966"/>
      <c r="J27" s="967"/>
      <c r="K27" s="960"/>
      <c r="L27" s="625" t="s">
        <v>1425</v>
      </c>
      <c r="M27" s="965"/>
      <c r="N27" s="968"/>
      <c r="O27" s="966"/>
      <c r="P27" s="969"/>
      <c r="Q27" s="970"/>
      <c r="R27" s="964">
        <f t="shared" si="2"/>
        <v>0</v>
      </c>
      <c r="S27" s="536"/>
    </row>
    <row r="28" spans="1:19" ht="15">
      <c r="A28" s="526" t="s">
        <v>1422</v>
      </c>
      <c r="B28" s="975"/>
      <c r="C28" s="523"/>
      <c r="D28" s="965"/>
      <c r="E28" s="966"/>
      <c r="F28" s="966"/>
      <c r="G28" s="966"/>
      <c r="H28" s="966"/>
      <c r="I28" s="966"/>
      <c r="J28" s="967"/>
      <c r="K28" s="960">
        <f>-B29+SUM(D28:I28)</f>
        <v>0</v>
      </c>
      <c r="L28" s="626" t="s">
        <v>225</v>
      </c>
      <c r="M28" s="965"/>
      <c r="N28" s="968"/>
      <c r="O28" s="966"/>
      <c r="P28" s="969"/>
      <c r="Q28" s="970"/>
      <c r="R28" s="964">
        <f t="shared" si="2"/>
        <v>0</v>
      </c>
      <c r="S28" s="536"/>
    </row>
    <row r="29" spans="1:19" ht="15">
      <c r="A29" s="711" t="s">
        <v>214</v>
      </c>
      <c r="B29" s="956">
        <f>'FORM-10 (A-F)'!J214</f>
        <v>0</v>
      </c>
      <c r="C29" s="523"/>
      <c r="D29" s="965"/>
      <c r="E29" s="966"/>
      <c r="F29" s="966"/>
      <c r="G29" s="966"/>
      <c r="H29" s="966"/>
      <c r="I29" s="966"/>
      <c r="J29" s="967"/>
      <c r="K29" s="960">
        <f>-B30+SUM(D29:I29)</f>
        <v>0</v>
      </c>
      <c r="L29" s="624" t="s">
        <v>226</v>
      </c>
      <c r="M29" s="965"/>
      <c r="N29" s="968"/>
      <c r="O29" s="966"/>
      <c r="P29" s="969"/>
      <c r="Q29" s="970"/>
      <c r="R29" s="964">
        <f t="shared" si="2"/>
        <v>0</v>
      </c>
      <c r="S29" s="536"/>
    </row>
    <row r="30" spans="1:19" ht="15">
      <c r="A30" s="710" t="s">
        <v>216</v>
      </c>
      <c r="B30" s="956">
        <f>'FORM-10 (A-F)'!J215</f>
        <v>0</v>
      </c>
      <c r="C30" s="523"/>
      <c r="D30" s="965"/>
      <c r="E30" s="966"/>
      <c r="F30" s="966"/>
      <c r="G30" s="966"/>
      <c r="H30" s="966"/>
      <c r="I30" s="966"/>
      <c r="J30" s="967"/>
      <c r="K30" s="960">
        <f>-B31+SUM(D30:I30)</f>
        <v>0</v>
      </c>
      <c r="L30" s="624" t="s">
        <v>227</v>
      </c>
      <c r="M30" s="965"/>
      <c r="N30" s="968"/>
      <c r="O30" s="966"/>
      <c r="P30" s="969"/>
      <c r="Q30" s="970"/>
      <c r="R30" s="964">
        <f t="shared" si="2"/>
        <v>0</v>
      </c>
      <c r="S30" s="536"/>
    </row>
    <row r="31" spans="1:19" ht="15">
      <c r="A31" s="711" t="s">
        <v>215</v>
      </c>
      <c r="B31" s="956">
        <f>'FORM-10 (A-F)'!J216</f>
        <v>0</v>
      </c>
      <c r="C31" s="523"/>
      <c r="D31" s="965"/>
      <c r="E31" s="966"/>
      <c r="F31" s="966"/>
      <c r="G31" s="966"/>
      <c r="H31" s="966"/>
      <c r="I31" s="966"/>
      <c r="J31" s="967"/>
      <c r="K31" s="960">
        <f>-B32+SUM(D31:I31)</f>
        <v>0</v>
      </c>
      <c r="L31" s="624" t="s">
        <v>228</v>
      </c>
      <c r="M31" s="965"/>
      <c r="N31" s="968"/>
      <c r="O31" s="966"/>
      <c r="P31" s="969"/>
      <c r="Q31" s="970"/>
      <c r="R31" s="964">
        <f t="shared" si="2"/>
        <v>0</v>
      </c>
      <c r="S31" s="536"/>
    </row>
    <row r="32" spans="1:19" ht="15">
      <c r="A32" s="710" t="s">
        <v>217</v>
      </c>
      <c r="B32" s="956">
        <f>'FORM-10 (A-F)'!J217</f>
        <v>0</v>
      </c>
      <c r="C32" s="523"/>
      <c r="D32" s="965"/>
      <c r="E32" s="966"/>
      <c r="F32" s="966"/>
      <c r="G32" s="966"/>
      <c r="H32" s="966"/>
      <c r="I32" s="966"/>
      <c r="J32" s="967"/>
      <c r="K32" s="960">
        <f>-SUM(D32:I32)</f>
        <v>0</v>
      </c>
      <c r="L32" s="624" t="s">
        <v>229</v>
      </c>
      <c r="M32" s="965"/>
      <c r="N32" s="968"/>
      <c r="O32" s="966"/>
      <c r="P32" s="969"/>
      <c r="Q32" s="970"/>
      <c r="R32" s="964">
        <f t="shared" si="2"/>
        <v>0</v>
      </c>
      <c r="S32" s="536"/>
    </row>
    <row r="33" spans="1:19" ht="15">
      <c r="A33" s="711" t="s">
        <v>493</v>
      </c>
      <c r="B33" s="956">
        <f>'FORM-10 (A-F)'!J218</f>
        <v>0</v>
      </c>
      <c r="C33" s="523"/>
      <c r="D33" s="965"/>
      <c r="E33" s="966"/>
      <c r="F33" s="966"/>
      <c r="G33" s="966"/>
      <c r="H33" s="966"/>
      <c r="I33" s="966"/>
      <c r="J33" s="967"/>
      <c r="K33" s="960">
        <f>-B33+SUM(D33:I33)</f>
        <v>0</v>
      </c>
      <c r="L33" s="624" t="s">
        <v>230</v>
      </c>
      <c r="M33" s="965"/>
      <c r="N33" s="968"/>
      <c r="O33" s="966"/>
      <c r="P33" s="969"/>
      <c r="Q33" s="970"/>
      <c r="R33" s="964">
        <f t="shared" si="2"/>
        <v>0</v>
      </c>
      <c r="S33" s="536"/>
    </row>
    <row r="34" spans="1:19" ht="15">
      <c r="A34" s="710" t="s">
        <v>218</v>
      </c>
      <c r="B34" s="976">
        <f>'FORM-10 (A-F)'!J219</f>
        <v>0</v>
      </c>
      <c r="C34" s="523"/>
      <c r="D34" s="965"/>
      <c r="E34" s="966"/>
      <c r="F34" s="966"/>
      <c r="G34" s="966"/>
      <c r="H34" s="966"/>
      <c r="I34" s="966"/>
      <c r="J34" s="967"/>
      <c r="K34" s="960">
        <f>-B34+SUM(D34:I34)</f>
        <v>0</v>
      </c>
      <c r="L34" s="624" t="s">
        <v>484</v>
      </c>
      <c r="M34" s="965"/>
      <c r="N34" s="968"/>
      <c r="O34" s="966"/>
      <c r="P34" s="969"/>
      <c r="Q34" s="970"/>
      <c r="R34" s="964">
        <f>K35+SUM(M35:P35)</f>
        <v>0</v>
      </c>
      <c r="S34" s="536"/>
    </row>
    <row r="35" spans="1:19" ht="15">
      <c r="A35" s="712" t="s">
        <v>494</v>
      </c>
      <c r="B35" s="977"/>
      <c r="C35" s="523"/>
      <c r="D35" s="965"/>
      <c r="E35" s="966"/>
      <c r="F35" s="966"/>
      <c r="G35" s="966"/>
      <c r="H35" s="966"/>
      <c r="I35" s="966"/>
      <c r="J35" s="967"/>
      <c r="K35" s="960">
        <f>-B35+SUM(D35:J35)</f>
        <v>0</v>
      </c>
      <c r="L35" s="623" t="s">
        <v>485</v>
      </c>
      <c r="M35" s="965"/>
      <c r="N35" s="965"/>
      <c r="O35" s="966"/>
      <c r="P35" s="969"/>
      <c r="Q35" s="970"/>
      <c r="R35" s="964">
        <f>K35+SUM(M35:P35)</f>
        <v>0</v>
      </c>
      <c r="S35" s="536"/>
    </row>
    <row r="36" spans="1:19" ht="15.75" thickBot="1">
      <c r="A36" s="978" t="s">
        <v>486</v>
      </c>
      <c r="B36" s="1007">
        <f>'FORM-10 (A-F)'!J221</f>
        <v>0</v>
      </c>
      <c r="C36" s="523"/>
      <c r="D36" s="965"/>
      <c r="E36" s="966"/>
      <c r="F36" s="966"/>
      <c r="G36" s="966"/>
      <c r="H36" s="966"/>
      <c r="I36" s="966"/>
      <c r="J36" s="967"/>
      <c r="K36" s="960">
        <f>-B36+SUM(D36:I36)</f>
        <v>0</v>
      </c>
      <c r="L36" s="979" t="s">
        <v>487</v>
      </c>
      <c r="M36" s="965"/>
      <c r="N36" s="968"/>
      <c r="O36" s="966"/>
      <c r="P36" s="980"/>
      <c r="Q36" s="981"/>
      <c r="R36" s="964">
        <f>K36+SUM(M36:P36)</f>
        <v>0</v>
      </c>
      <c r="S36" s="536"/>
    </row>
    <row r="37" spans="1:19" ht="16.5" thickBot="1" thickTop="1">
      <c r="A37" s="982" t="s">
        <v>1306</v>
      </c>
      <c r="B37" s="983">
        <f>SUM(B16:B36)</f>
        <v>0</v>
      </c>
      <c r="C37" s="696"/>
      <c r="D37" s="984">
        <f aca="true" t="shared" si="3" ref="D37:J37">SUM(D16:D36)</f>
        <v>0</v>
      </c>
      <c r="E37" s="984">
        <f t="shared" si="3"/>
        <v>0</v>
      </c>
      <c r="F37" s="984">
        <f t="shared" si="3"/>
        <v>0</v>
      </c>
      <c r="G37" s="984">
        <f t="shared" si="3"/>
        <v>0</v>
      </c>
      <c r="H37" s="984">
        <f t="shared" si="3"/>
        <v>0</v>
      </c>
      <c r="I37" s="984">
        <f t="shared" si="3"/>
        <v>0</v>
      </c>
      <c r="J37" s="984">
        <f t="shared" si="3"/>
        <v>0</v>
      </c>
      <c r="K37" s="985">
        <f>SUM(D37:J37)</f>
        <v>0</v>
      </c>
      <c r="L37" s="523"/>
      <c r="M37" s="984">
        <f>SUM(M15:M36)</f>
        <v>0</v>
      </c>
      <c r="N37" s="984">
        <f>SUM(N15:N36)</f>
        <v>0</v>
      </c>
      <c r="O37" s="984">
        <f>SUM(O16:O36)</f>
        <v>0</v>
      </c>
      <c r="P37" s="984">
        <f>SUM(P16:P36)</f>
        <v>0</v>
      </c>
      <c r="Q37" s="984">
        <f>SUM(Q16:Q36)</f>
        <v>0</v>
      </c>
      <c r="R37" s="986">
        <f>SUM(M37:P37)</f>
        <v>0</v>
      </c>
      <c r="S37" s="536"/>
    </row>
    <row r="38" spans="1:19" s="696" customFormat="1" ht="15">
      <c r="A38" s="987"/>
      <c r="C38" s="520" t="s">
        <v>1082</v>
      </c>
      <c r="D38" s="529">
        <f aca="true" t="shared" si="4" ref="D38:J38">D14-SUM(D16:D36)</f>
        <v>0</v>
      </c>
      <c r="E38" s="529">
        <f t="shared" si="4"/>
        <v>0</v>
      </c>
      <c r="F38" s="529">
        <f t="shared" si="4"/>
        <v>0</v>
      </c>
      <c r="G38" s="529">
        <f t="shared" si="4"/>
        <v>0</v>
      </c>
      <c r="H38" s="529">
        <f t="shared" si="4"/>
        <v>0</v>
      </c>
      <c r="I38" s="529">
        <f t="shared" si="4"/>
        <v>0</v>
      </c>
      <c r="J38" s="529">
        <f t="shared" si="4"/>
        <v>0</v>
      </c>
      <c r="K38" s="529">
        <f>SUM(K16:K36)</f>
        <v>0</v>
      </c>
      <c r="L38" s="988"/>
      <c r="M38" s="529">
        <f>M14-SUM(M16:M36)</f>
        <v>0</v>
      </c>
      <c r="N38" s="529">
        <f>N14-SUM(N16:N36)</f>
        <v>0</v>
      </c>
      <c r="O38" s="529">
        <f>O14-SUM(O16:O36)</f>
        <v>0</v>
      </c>
      <c r="P38" s="529">
        <f>P14-SUM(P16:P36)</f>
        <v>0</v>
      </c>
      <c r="Q38" s="529">
        <f>Q14-SUM(Q16:Q36)</f>
        <v>0</v>
      </c>
      <c r="R38" s="989"/>
      <c r="S38" s="536"/>
    </row>
    <row r="39" spans="1:19" s="696" customFormat="1" ht="15">
      <c r="A39" s="987"/>
      <c r="C39" s="520"/>
      <c r="D39" s="529"/>
      <c r="E39" s="529"/>
      <c r="F39" s="529"/>
      <c r="G39" s="529"/>
      <c r="H39" s="529"/>
      <c r="I39" s="529"/>
      <c r="J39" s="529"/>
      <c r="K39" s="529"/>
      <c r="L39" s="988"/>
      <c r="M39" s="529"/>
      <c r="N39" s="529"/>
      <c r="O39" s="529"/>
      <c r="P39" s="529"/>
      <c r="Q39" s="529"/>
      <c r="R39" s="627"/>
      <c r="S39" s="536"/>
    </row>
    <row r="40" spans="1:19" ht="15">
      <c r="A40" s="1009" t="str">
        <f>'FORM-10 (A-F)'!A232</f>
        <v>12. REPAYMENT OF SECOND NOTE (IFAPPLICABLE)</v>
      </c>
      <c r="B40" s="990"/>
      <c r="L40" s="696"/>
      <c r="R40" s="557"/>
      <c r="S40" s="536"/>
    </row>
    <row r="41" spans="1:19" ht="15">
      <c r="A41" s="991" t="s">
        <v>488</v>
      </c>
      <c r="B41" s="992">
        <f>'FORM-10 (A-F)'!F234</f>
        <v>0</v>
      </c>
      <c r="C41" s="520"/>
      <c r="D41" s="965"/>
      <c r="E41" s="966"/>
      <c r="F41" s="966"/>
      <c r="G41" s="966"/>
      <c r="H41" s="966"/>
      <c r="I41" s="966"/>
      <c r="J41" s="967"/>
      <c r="K41" s="993">
        <f>-B41+SUM(D41:J41)</f>
        <v>0</v>
      </c>
      <c r="L41" s="988"/>
      <c r="M41" s="965"/>
      <c r="N41" s="968"/>
      <c r="O41" s="966"/>
      <c r="P41" s="969"/>
      <c r="Q41" s="970"/>
      <c r="R41" s="994">
        <f>K41+SUM(M41:Q41)</f>
        <v>0</v>
      </c>
      <c r="S41" s="536"/>
    </row>
    <row r="42" spans="1:19" ht="15.75" thickBot="1">
      <c r="A42" s="995" t="s">
        <v>489</v>
      </c>
      <c r="B42" s="996">
        <f>'FORM-10 (A-F)'!F235</f>
        <v>0</v>
      </c>
      <c r="C42" s="528"/>
      <c r="D42" s="965"/>
      <c r="E42" s="966"/>
      <c r="F42" s="966"/>
      <c r="G42" s="966"/>
      <c r="H42" s="966"/>
      <c r="I42" s="966"/>
      <c r="J42" s="967"/>
      <c r="K42" s="993">
        <f>-B42+SUM(D42:J42)</f>
        <v>0</v>
      </c>
      <c r="L42" s="988"/>
      <c r="M42" s="965"/>
      <c r="N42" s="968"/>
      <c r="O42" s="966"/>
      <c r="P42" s="969"/>
      <c r="Q42" s="997"/>
      <c r="R42" s="994">
        <f>K42+SUM(M42:Q42)</f>
        <v>0</v>
      </c>
      <c r="S42" s="537"/>
    </row>
    <row r="43" spans="1:19" ht="16.5" thickBot="1" thickTop="1">
      <c r="A43" s="982" t="s">
        <v>1306</v>
      </c>
      <c r="B43" s="983">
        <f>SUM(B41:B42)</f>
        <v>0</v>
      </c>
      <c r="D43" s="984">
        <f aca="true" t="shared" si="5" ref="D43:J43">D42</f>
        <v>0</v>
      </c>
      <c r="E43" s="984">
        <f t="shared" si="5"/>
        <v>0</v>
      </c>
      <c r="F43" s="984">
        <f t="shared" si="5"/>
        <v>0</v>
      </c>
      <c r="G43" s="984">
        <f t="shared" si="5"/>
        <v>0</v>
      </c>
      <c r="H43" s="984">
        <f t="shared" si="5"/>
        <v>0</v>
      </c>
      <c r="I43" s="984">
        <f t="shared" si="5"/>
        <v>0</v>
      </c>
      <c r="J43" s="984">
        <f t="shared" si="5"/>
        <v>0</v>
      </c>
      <c r="K43" s="985">
        <f>SUM(D43:J43)</f>
        <v>0</v>
      </c>
      <c r="L43" s="523"/>
      <c r="M43" s="984">
        <f>SUM(M42)</f>
        <v>0</v>
      </c>
      <c r="N43" s="984">
        <f>SUM(N42)</f>
        <v>0</v>
      </c>
      <c r="O43" s="984">
        <f>SUM(O42)</f>
        <v>0</v>
      </c>
      <c r="P43" s="984">
        <f>SUM(P42)</f>
        <v>0</v>
      </c>
      <c r="Q43" s="998"/>
      <c r="R43" s="999"/>
      <c r="S43" s="537"/>
    </row>
    <row r="44" spans="1:19" ht="15">
      <c r="A44" s="527"/>
      <c r="B44" s="523"/>
      <c r="C44" s="520"/>
      <c r="D44" s="529"/>
      <c r="E44" s="529"/>
      <c r="F44" s="529"/>
      <c r="G44" s="529"/>
      <c r="H44" s="529"/>
      <c r="I44" s="529"/>
      <c r="J44" s="529"/>
      <c r="K44" s="529">
        <f>K41+K42</f>
        <v>0</v>
      </c>
      <c r="L44" s="988"/>
      <c r="M44" s="529">
        <f>M14-SUM(M41:M42)</f>
        <v>0</v>
      </c>
      <c r="N44" s="529">
        <f>N14-SUM(N41:N42)</f>
        <v>0</v>
      </c>
      <c r="O44" s="529">
        <f>O14-SUM(O41:O42)</f>
        <v>0</v>
      </c>
      <c r="P44" s="529">
        <f>P14-SUM(P41:P42)</f>
        <v>0</v>
      </c>
      <c r="Q44" s="529">
        <f>Q14-SUM(Q41:Q42)</f>
        <v>0</v>
      </c>
      <c r="R44" s="989"/>
      <c r="S44" s="537"/>
    </row>
    <row r="45" spans="1:19" ht="15">
      <c r="A45" s="561" t="s">
        <v>955</v>
      </c>
      <c r="B45" s="523"/>
      <c r="C45" s="528"/>
      <c r="D45" s="523"/>
      <c r="E45" s="523"/>
      <c r="G45" s="523"/>
      <c r="H45" s="523"/>
      <c r="I45" s="523"/>
      <c r="J45" s="523"/>
      <c r="L45" s="528"/>
      <c r="M45" s="523"/>
      <c r="N45" s="523"/>
      <c r="O45" s="523"/>
      <c r="P45" s="523"/>
      <c r="Q45" s="523"/>
      <c r="R45" s="555"/>
      <c r="S45" s="538"/>
    </row>
    <row r="46" spans="1:19" ht="15">
      <c r="A46" s="542"/>
      <c r="B46" s="523"/>
      <c r="C46" s="528"/>
      <c r="D46" s="523"/>
      <c r="E46" s="523"/>
      <c r="F46" s="523"/>
      <c r="G46" s="523"/>
      <c r="I46" s="523"/>
      <c r="J46" s="523"/>
      <c r="K46" s="528" t="s">
        <v>978</v>
      </c>
      <c r="L46" s="523"/>
      <c r="M46" s="523"/>
      <c r="N46" s="523"/>
      <c r="O46" s="523"/>
      <c r="P46" s="523"/>
      <c r="Q46" s="523"/>
      <c r="R46" s="555"/>
      <c r="S46" s="538"/>
    </row>
    <row r="47" spans="1:18" ht="15" customHeight="1">
      <c r="A47" s="527"/>
      <c r="B47" s="533"/>
      <c r="C47" s="533"/>
      <c r="D47" s="652" t="s">
        <v>1295</v>
      </c>
      <c r="E47" s="562"/>
      <c r="F47" s="653" t="s">
        <v>1294</v>
      </c>
      <c r="G47" s="556"/>
      <c r="H47" s="556"/>
      <c r="I47" s="556"/>
      <c r="J47" s="556"/>
      <c r="K47" s="556"/>
      <c r="L47" s="556"/>
      <c r="M47" s="556"/>
      <c r="N47" s="556"/>
      <c r="O47" s="556"/>
      <c r="P47" s="556"/>
      <c r="Q47" s="556"/>
      <c r="R47" s="557"/>
    </row>
    <row r="48" spans="1:18" ht="15">
      <c r="A48" s="554"/>
      <c r="B48" s="533"/>
      <c r="C48" s="533"/>
      <c r="D48" s="556"/>
      <c r="E48" s="556"/>
      <c r="F48" s="556"/>
      <c r="G48" s="556"/>
      <c r="H48" s="556"/>
      <c r="I48" s="556"/>
      <c r="J48" s="556"/>
      <c r="K48" s="556"/>
      <c r="L48" s="556"/>
      <c r="M48" s="556"/>
      <c r="N48" s="556"/>
      <c r="O48" s="556"/>
      <c r="P48" s="556"/>
      <c r="Q48" s="556"/>
      <c r="R48" s="557"/>
    </row>
    <row r="49" spans="1:19" ht="15">
      <c r="A49" s="554" t="s">
        <v>1310</v>
      </c>
      <c r="B49" s="533"/>
      <c r="C49" s="533"/>
      <c r="D49" s="556"/>
      <c r="E49" s="556"/>
      <c r="F49" s="556"/>
      <c r="G49" s="556"/>
      <c r="H49" s="556"/>
      <c r="I49" s="556"/>
      <c r="J49" s="556"/>
      <c r="K49" s="556"/>
      <c r="L49" s="556"/>
      <c r="M49" s="556"/>
      <c r="N49" s="556"/>
      <c r="O49" s="556"/>
      <c r="P49" s="556"/>
      <c r="Q49" s="556"/>
      <c r="R49" s="555"/>
      <c r="S49" s="538"/>
    </row>
    <row r="50" spans="1:19" ht="15">
      <c r="A50" s="554" t="s">
        <v>1487</v>
      </c>
      <c r="B50" s="533"/>
      <c r="C50" s="533"/>
      <c r="D50" s="556"/>
      <c r="E50" s="556"/>
      <c r="F50" s="556"/>
      <c r="G50" s="556"/>
      <c r="H50" s="556"/>
      <c r="I50" s="556"/>
      <c r="J50" s="556"/>
      <c r="K50" s="556"/>
      <c r="L50" s="556"/>
      <c r="M50" s="556"/>
      <c r="N50" s="556"/>
      <c r="O50" s="556"/>
      <c r="P50" s="556"/>
      <c r="Q50" s="556"/>
      <c r="R50" s="555"/>
      <c r="S50" s="538"/>
    </row>
    <row r="51" spans="1:19" ht="15">
      <c r="A51" s="709"/>
      <c r="B51" s="533"/>
      <c r="C51" s="533"/>
      <c r="D51" s="556"/>
      <c r="E51" s="556"/>
      <c r="F51" s="556"/>
      <c r="G51" s="556"/>
      <c r="H51" s="556"/>
      <c r="I51" s="556"/>
      <c r="J51" s="556"/>
      <c r="K51" s="556"/>
      <c r="L51" s="556"/>
      <c r="M51" s="556"/>
      <c r="N51" s="556"/>
      <c r="O51" s="556"/>
      <c r="P51" s="556"/>
      <c r="Q51" s="556"/>
      <c r="R51" s="558"/>
      <c r="S51" s="212"/>
    </row>
    <row r="52" spans="1:19" ht="15">
      <c r="A52" s="1000"/>
      <c r="B52" s="516"/>
      <c r="C52" s="516"/>
      <c r="D52" s="533"/>
      <c r="E52" s="516"/>
      <c r="F52" s="516"/>
      <c r="G52" s="533"/>
      <c r="H52" s="516"/>
      <c r="I52" s="516"/>
      <c r="J52" s="516"/>
      <c r="K52" s="516"/>
      <c r="L52" s="516"/>
      <c r="M52" s="516"/>
      <c r="N52" s="533"/>
      <c r="O52" s="533"/>
      <c r="P52" s="516"/>
      <c r="Q52" s="533"/>
      <c r="R52" s="558"/>
      <c r="S52" s="533"/>
    </row>
    <row r="53" spans="1:19" ht="15">
      <c r="A53" s="1001" t="s">
        <v>490</v>
      </c>
      <c r="B53" s="560"/>
      <c r="C53" s="560"/>
      <c r="D53" s="516"/>
      <c r="E53" s="560" t="s">
        <v>1307</v>
      </c>
      <c r="F53" s="560"/>
      <c r="G53" s="516"/>
      <c r="H53" s="1002" t="s">
        <v>491</v>
      </c>
      <c r="I53" s="560"/>
      <c r="J53" s="560"/>
      <c r="K53" s="560"/>
      <c r="L53" s="560"/>
      <c r="M53" s="560"/>
      <c r="N53" s="560"/>
      <c r="O53" s="560"/>
      <c r="P53" s="634" t="s">
        <v>1488</v>
      </c>
      <c r="Q53" s="634"/>
      <c r="R53" s="628"/>
      <c r="S53" s="530"/>
    </row>
  </sheetData>
  <sheetProtection/>
  <printOptions horizontalCentered="1"/>
  <pageMargins left="0.25" right="0.25" top="0.55" bottom="0.25" header="0.25" footer="0.25"/>
  <pageSetup fitToHeight="1" fitToWidth="1" horizontalDpi="600" verticalDpi="600" orientation="landscape" paperSize="5" scale="73" r:id="rId2"/>
  <headerFooter alignWithMargins="0">
    <oddHeader>&amp;C&amp;"Arial,Bold"&amp;14FINAL SOURCES AND USES ACKNOWLEDGEMENT
&amp;12In Anticipation of the Permanent Mortgage Closing</oddHeader>
    <oddFooter>&amp;C&amp;10This memorandum contains advisory, consultative and deliberative material and is intended only for the person(s) named as resipient(s).</oddFooter>
  </headerFooter>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AR84"/>
  <sheetViews>
    <sheetView zoomScale="75" zoomScaleNormal="75" zoomScaleSheetLayoutView="50" zoomScalePageLayoutView="0" workbookViewId="0" topLeftCell="C5">
      <selection activeCell="P15" sqref="P15"/>
    </sheetView>
  </sheetViews>
  <sheetFormatPr defaultColWidth="8.88671875" defaultRowHeight="15"/>
  <cols>
    <col min="1" max="1" width="18.10546875" style="0" customWidth="1"/>
    <col min="2" max="2" width="13.6640625" style="0" customWidth="1"/>
    <col min="3" max="3" width="12.5546875" style="0" customWidth="1"/>
    <col min="4" max="4" width="13.5546875" style="0" customWidth="1"/>
    <col min="5" max="5" width="14.21484375" style="0" customWidth="1"/>
    <col min="6" max="6" width="15.4453125" style="0" customWidth="1"/>
    <col min="7" max="7" width="16.88671875" style="0" customWidth="1"/>
    <col min="8" max="8" width="15.4453125" style="0" customWidth="1"/>
    <col min="9" max="9" width="15.21484375" style="0" customWidth="1"/>
    <col min="10" max="10" width="15.3359375" style="0" customWidth="1"/>
    <col min="11" max="11" width="13.6640625" style="0" customWidth="1"/>
    <col min="12" max="12" width="15.3359375" style="0" customWidth="1"/>
    <col min="13" max="13" width="14.4453125" style="0" customWidth="1"/>
    <col min="14" max="14" width="16.99609375" style="0" customWidth="1"/>
    <col min="15" max="15" width="14.88671875" style="0" customWidth="1"/>
    <col min="16" max="16" width="17.88671875" style="0" customWidth="1"/>
    <col min="17" max="17" width="14.6640625" style="0" customWidth="1"/>
    <col min="18" max="18" width="15.77734375" style="0" customWidth="1"/>
    <col min="19" max="19" width="15.5546875" style="0" customWidth="1"/>
    <col min="20" max="20" width="16.10546875" style="0" customWidth="1"/>
    <col min="21" max="21" width="15.88671875" style="0" customWidth="1"/>
    <col min="22" max="22" width="15.5546875" style="0" customWidth="1"/>
    <col min="23" max="23" width="15.88671875" style="0" customWidth="1"/>
    <col min="24" max="24" width="16.10546875" style="0" customWidth="1"/>
    <col min="25" max="26" width="15.99609375" style="0" customWidth="1"/>
    <col min="27" max="27" width="15.5546875" style="0" customWidth="1"/>
    <col min="28" max="28" width="16.10546875" style="0" customWidth="1"/>
    <col min="29" max="29" width="15.88671875" style="0" customWidth="1"/>
    <col min="30" max="30" width="15.99609375" style="0" customWidth="1"/>
    <col min="31" max="31" width="16.4453125" style="0" customWidth="1"/>
    <col min="32" max="32" width="16.3359375" style="0" customWidth="1"/>
    <col min="33" max="33" width="15.6640625" style="0" customWidth="1"/>
    <col min="34" max="34" width="12.77734375" style="0" customWidth="1"/>
    <col min="35" max="35" width="14.3359375" style="0" customWidth="1"/>
    <col min="36" max="36" width="13.88671875" style="0" customWidth="1"/>
    <col min="37" max="37" width="13.4453125" style="0" customWidth="1"/>
    <col min="38" max="38" width="14.6640625" style="0" customWidth="1"/>
    <col min="39" max="39" width="14.77734375" style="0" customWidth="1"/>
    <col min="40" max="40" width="16.3359375" style="0" customWidth="1"/>
    <col min="41" max="42" width="12.5546875" style="0" customWidth="1"/>
    <col min="43" max="43" width="14.6640625" style="0" customWidth="1"/>
  </cols>
  <sheetData>
    <row r="1" spans="1:25" ht="17.25">
      <c r="A1" s="141" t="s">
        <v>792</v>
      </c>
      <c r="B1" s="241">
        <f>'FORM-10 (A-F)'!C12</f>
        <v>0</v>
      </c>
      <c r="C1" s="142"/>
      <c r="D1" s="142"/>
      <c r="E1" s="142"/>
      <c r="F1" s="143"/>
      <c r="G1" s="144" t="s">
        <v>793</v>
      </c>
      <c r="H1" s="144"/>
      <c r="I1" s="359">
        <v>0.03</v>
      </c>
      <c r="J1" s="143"/>
      <c r="K1" s="145" t="s">
        <v>794</v>
      </c>
      <c r="L1" s="146"/>
      <c r="M1" s="147"/>
      <c r="N1" s="245">
        <f>'FORM-10 (A-F)'!J225</f>
        <v>0</v>
      </c>
      <c r="O1" s="143"/>
      <c r="P1" s="191" t="s">
        <v>1151</v>
      </c>
      <c r="Q1" s="147"/>
      <c r="R1" s="329"/>
      <c r="S1" s="143"/>
      <c r="T1" s="143"/>
      <c r="V1" s="141" t="s">
        <v>792</v>
      </c>
      <c r="W1" s="241">
        <f>B1</f>
        <v>0</v>
      </c>
      <c r="X1" s="142"/>
      <c r="Y1" s="142"/>
    </row>
    <row r="2" spans="1:25" ht="17.25">
      <c r="A2" s="141" t="s">
        <v>795</v>
      </c>
      <c r="B2" s="241">
        <f>'FORM-10 (A-F)'!G7</f>
        <v>0</v>
      </c>
      <c r="C2" s="148"/>
      <c r="D2" s="148"/>
      <c r="E2" s="149"/>
      <c r="F2" s="143"/>
      <c r="G2" s="144" t="s">
        <v>796</v>
      </c>
      <c r="H2" s="144"/>
      <c r="I2" s="358">
        <v>0.04</v>
      </c>
      <c r="J2" s="150"/>
      <c r="K2" s="151" t="s">
        <v>797</v>
      </c>
      <c r="L2" s="143"/>
      <c r="M2" s="143"/>
      <c r="N2" s="287">
        <f>'FORM-10 (A-F)'!C334</f>
        <v>0</v>
      </c>
      <c r="O2" s="143"/>
      <c r="P2" s="152" t="s">
        <v>797</v>
      </c>
      <c r="Q2" s="1062"/>
      <c r="R2" s="826">
        <f>(Q2/12)/100</f>
        <v>0</v>
      </c>
      <c r="S2" s="143"/>
      <c r="T2" s="143"/>
      <c r="V2" s="141" t="s">
        <v>795</v>
      </c>
      <c r="W2" s="241">
        <f>B2</f>
        <v>0</v>
      </c>
      <c r="X2" s="148"/>
      <c r="Y2" s="148"/>
    </row>
    <row r="3" spans="1:25" ht="17.25">
      <c r="A3" s="141" t="s">
        <v>798</v>
      </c>
      <c r="B3" s="241">
        <f>'FORM-10 (A-F)'!G9</f>
        <v>0</v>
      </c>
      <c r="C3" s="153"/>
      <c r="D3" s="153"/>
      <c r="E3" s="153"/>
      <c r="F3" s="143"/>
      <c r="G3" s="144" t="s">
        <v>799</v>
      </c>
      <c r="H3" s="154"/>
      <c r="I3" s="285">
        <f>'FORM-10 (A-F)'!D429</f>
        <v>0</v>
      </c>
      <c r="J3" s="244">
        <f>'FORM-10 (A-F)'!F429</f>
        <v>0</v>
      </c>
      <c r="K3" s="151" t="s">
        <v>800</v>
      </c>
      <c r="L3" s="143"/>
      <c r="M3" s="143"/>
      <c r="N3" s="246">
        <f>'FORM-10 (A-F)'!C335</f>
        <v>0</v>
      </c>
      <c r="O3" s="143"/>
      <c r="P3" s="152" t="s">
        <v>10</v>
      </c>
      <c r="Q3" s="825"/>
      <c r="R3" s="827">
        <f>Q3*12</f>
        <v>0</v>
      </c>
      <c r="S3" s="143"/>
      <c r="T3" s="143"/>
      <c r="V3" s="141" t="s">
        <v>798</v>
      </c>
      <c r="W3" s="241">
        <f>B3</f>
        <v>0</v>
      </c>
      <c r="X3" s="153"/>
      <c r="Y3" s="153"/>
    </row>
    <row r="4" spans="1:25" ht="17.25">
      <c r="A4" s="141" t="s">
        <v>801</v>
      </c>
      <c r="B4" s="242">
        <f>'FORM-10 (A-F)'!G8</f>
        <v>0</v>
      </c>
      <c r="C4" s="155"/>
      <c r="D4" s="155"/>
      <c r="E4" s="155"/>
      <c r="F4" s="156"/>
      <c r="G4" s="144" t="s">
        <v>802</v>
      </c>
      <c r="H4" s="144"/>
      <c r="I4" s="327"/>
      <c r="J4" s="143"/>
      <c r="K4" s="151" t="s">
        <v>803</v>
      </c>
      <c r="L4" s="143"/>
      <c r="M4" s="150"/>
      <c r="N4" s="247">
        <f>'FORM-10 (A-F)'!F463</f>
        <v>0</v>
      </c>
      <c r="O4" s="143"/>
      <c r="P4" s="152" t="s">
        <v>803</v>
      </c>
      <c r="Q4" s="143"/>
      <c r="R4" s="828">
        <f>IF(R1&lt;&gt;0,PMT(R2,R3,-R1)*12,0)</f>
        <v>0</v>
      </c>
      <c r="S4" s="143"/>
      <c r="T4" s="143"/>
      <c r="V4" s="141" t="s">
        <v>801</v>
      </c>
      <c r="W4" s="242">
        <f>B4</f>
        <v>0</v>
      </c>
      <c r="X4" s="340"/>
      <c r="Y4" s="340"/>
    </row>
    <row r="5" spans="1:20" ht="17.25">
      <c r="A5" s="158" t="s">
        <v>804</v>
      </c>
      <c r="B5" s="159" t="s">
        <v>804</v>
      </c>
      <c r="C5" s="159" t="s">
        <v>805</v>
      </c>
      <c r="D5" s="332" t="s">
        <v>902</v>
      </c>
      <c r="E5" s="159" t="s">
        <v>806</v>
      </c>
      <c r="F5" s="160"/>
      <c r="G5" s="161" t="s">
        <v>807</v>
      </c>
      <c r="H5" s="162"/>
      <c r="I5" s="286">
        <f>'FORM-10 (A-F)'!D434</f>
        <v>0</v>
      </c>
      <c r="J5" s="234" t="s">
        <v>370</v>
      </c>
      <c r="K5" s="151" t="s">
        <v>808</v>
      </c>
      <c r="L5" s="143"/>
      <c r="M5" s="249">
        <f>'FORM-10 (A-F)'!D464</f>
        <v>0</v>
      </c>
      <c r="N5" s="248">
        <f>'FORM-10 (A-F)'!F464</f>
        <v>0</v>
      </c>
      <c r="O5" s="163"/>
      <c r="P5" s="151" t="s">
        <v>808</v>
      </c>
      <c r="Q5" s="328"/>
      <c r="R5" s="829">
        <f>R1*Q5</f>
        <v>0</v>
      </c>
      <c r="S5" s="164"/>
      <c r="T5" s="165"/>
    </row>
    <row r="6" spans="1:20" ht="17.25">
      <c r="A6" s="166" t="s">
        <v>809</v>
      </c>
      <c r="B6" s="167" t="s">
        <v>810</v>
      </c>
      <c r="C6" s="167" t="s">
        <v>811</v>
      </c>
      <c r="D6" s="170" t="s">
        <v>812</v>
      </c>
      <c r="E6" s="169" t="s">
        <v>380</v>
      </c>
      <c r="F6" s="170" t="s">
        <v>900</v>
      </c>
      <c r="G6" s="167" t="s">
        <v>903</v>
      </c>
      <c r="H6" s="168" t="s">
        <v>702</v>
      </c>
      <c r="I6" s="169" t="s">
        <v>703</v>
      </c>
      <c r="J6" s="171"/>
      <c r="K6" s="151" t="s">
        <v>813</v>
      </c>
      <c r="L6" s="143"/>
      <c r="M6" s="249">
        <f>'FORM-10 (A-F)'!D465</f>
        <v>0</v>
      </c>
      <c r="N6" s="247">
        <f>'FORM-10 (A-F)'!F465</f>
        <v>0</v>
      </c>
      <c r="O6" s="172"/>
      <c r="P6" s="172"/>
      <c r="Q6" s="172"/>
      <c r="R6" s="830">
        <f>SUM(R4:R5)</f>
        <v>0</v>
      </c>
      <c r="S6" s="164"/>
      <c r="T6" s="164"/>
    </row>
    <row r="7" spans="1:20" ht="17.25">
      <c r="A7" s="173"/>
      <c r="B7" s="174"/>
      <c r="C7" s="175"/>
      <c r="D7" s="333"/>
      <c r="E7" s="175"/>
      <c r="F7" s="177" t="s">
        <v>897</v>
      </c>
      <c r="G7" s="176" t="s">
        <v>812</v>
      </c>
      <c r="H7" s="177" t="s">
        <v>812</v>
      </c>
      <c r="I7" s="178" t="s">
        <v>812</v>
      </c>
      <c r="J7" s="179"/>
      <c r="K7" s="180"/>
      <c r="L7" s="180"/>
      <c r="M7" s="181"/>
      <c r="R7" s="165"/>
      <c r="S7" s="164"/>
      <c r="T7" s="164"/>
    </row>
    <row r="8" spans="1:20" ht="17.25">
      <c r="A8" s="241">
        <f>'FORM-10 (A-F)'!B344</f>
        <v>0</v>
      </c>
      <c r="B8" s="241">
        <f>'FORM-10 (A-F)'!C344</f>
        <v>0</v>
      </c>
      <c r="C8" s="241">
        <f>'FORM-10 (A-F)'!E51</f>
        <v>0</v>
      </c>
      <c r="D8" s="241">
        <f>'FORM-10 (A-F)'!E344</f>
        <v>0</v>
      </c>
      <c r="E8" s="241">
        <f>'FORM-10 (A-F)'!D344</f>
        <v>0</v>
      </c>
      <c r="F8" s="241">
        <f>'FORM-10 (A-F)'!F344</f>
        <v>0</v>
      </c>
      <c r="G8" s="241">
        <f>'FORM-10 (A-F)'!G344</f>
        <v>0</v>
      </c>
      <c r="H8" s="241">
        <f>'FORM-10 (A-F)'!H344</f>
        <v>0</v>
      </c>
      <c r="I8" s="241">
        <f>'FORM-10 (A-F)'!I344</f>
        <v>0</v>
      </c>
      <c r="J8" s="182"/>
      <c r="K8" s="183"/>
      <c r="L8" s="183"/>
      <c r="M8" s="184"/>
      <c r="P8" s="185"/>
      <c r="Q8" s="186"/>
      <c r="R8" s="187"/>
      <c r="S8" s="188"/>
      <c r="T8" s="189"/>
    </row>
    <row r="9" spans="1:20" ht="17.25">
      <c r="A9" s="241">
        <f>'FORM-10 (A-F)'!B345</f>
        <v>0</v>
      </c>
      <c r="B9" s="241">
        <f>'FORM-10 (A-F)'!C345</f>
        <v>0</v>
      </c>
      <c r="C9" s="241">
        <f>'FORM-10 (A-F)'!E52</f>
        <v>0</v>
      </c>
      <c r="D9" s="241">
        <f>'FORM-10 (A-F)'!E345</f>
        <v>0</v>
      </c>
      <c r="E9" s="241">
        <f>'FORM-10 (A-F)'!D345</f>
        <v>0</v>
      </c>
      <c r="F9" s="241">
        <f>'FORM-10 (A-F)'!F345</f>
        <v>0</v>
      </c>
      <c r="G9" s="241">
        <f>'FORM-10 (A-F)'!G345</f>
        <v>0</v>
      </c>
      <c r="H9" s="241">
        <f>'FORM-10 (A-F)'!H345</f>
        <v>0</v>
      </c>
      <c r="I9" s="241">
        <f>'FORM-10 (A-F)'!I345</f>
        <v>0</v>
      </c>
      <c r="J9" s="182"/>
      <c r="K9" s="183"/>
      <c r="L9" s="183"/>
      <c r="M9" s="184"/>
      <c r="P9" s="473" t="s">
        <v>1586</v>
      </c>
      <c r="Q9" s="472"/>
      <c r="R9" s="474">
        <f>'FORM-10 (A-F)'!J36</f>
        <v>0</v>
      </c>
      <c r="S9" s="190"/>
      <c r="T9" s="189"/>
    </row>
    <row r="10" spans="1:20" ht="17.25">
      <c r="A10" s="241">
        <f>'FORM-10 (A-F)'!B346</f>
        <v>0</v>
      </c>
      <c r="B10" s="241">
        <f>'FORM-10 (A-F)'!C346</f>
        <v>0</v>
      </c>
      <c r="C10" s="241">
        <f>'FORM-10 (A-F)'!E53</f>
        <v>0</v>
      </c>
      <c r="D10" s="241">
        <f>'FORM-10 (A-F)'!E346</f>
        <v>0</v>
      </c>
      <c r="E10" s="241">
        <f>'FORM-10 (A-F)'!D346</f>
        <v>0</v>
      </c>
      <c r="F10" s="241">
        <f>'FORM-10 (A-F)'!F346</f>
        <v>0</v>
      </c>
      <c r="G10" s="241">
        <f>'FORM-10 (A-F)'!G346</f>
        <v>0</v>
      </c>
      <c r="H10" s="241">
        <f>'FORM-10 (A-F)'!H346</f>
        <v>0</v>
      </c>
      <c r="I10" s="241">
        <f>'FORM-10 (A-F)'!I346</f>
        <v>0</v>
      </c>
      <c r="J10" s="182"/>
      <c r="K10" s="183"/>
      <c r="L10" s="191" t="s">
        <v>815</v>
      </c>
      <c r="M10" s="192"/>
      <c r="N10" s="193" t="s">
        <v>816</v>
      </c>
      <c r="O10" s="172"/>
      <c r="P10" s="152" t="s">
        <v>1242</v>
      </c>
      <c r="Q10" s="143"/>
      <c r="R10" s="330"/>
      <c r="S10" s="194"/>
      <c r="T10" s="189"/>
    </row>
    <row r="11" spans="1:20" ht="17.25">
      <c r="A11" s="241">
        <f>'FORM-10 (A-F)'!B347</f>
        <v>0</v>
      </c>
      <c r="B11" s="241">
        <f>'FORM-10 (A-F)'!C347</f>
        <v>0</v>
      </c>
      <c r="C11" s="241">
        <f>'FORM-10 (A-F)'!E54</f>
        <v>0</v>
      </c>
      <c r="D11" s="241">
        <f>'FORM-10 (A-F)'!E347</f>
        <v>0</v>
      </c>
      <c r="E11" s="241">
        <f>'FORM-10 (A-F)'!D347</f>
        <v>0</v>
      </c>
      <c r="F11" s="241">
        <f>'FORM-10 (A-F)'!F347</f>
        <v>0</v>
      </c>
      <c r="G11" s="241">
        <f>'FORM-10 (A-F)'!G347</f>
        <v>0</v>
      </c>
      <c r="H11" s="241">
        <f>'FORM-10 (A-F)'!H347</f>
        <v>0</v>
      </c>
      <c r="I11" s="241">
        <f>'FORM-10 (A-F)'!I347</f>
        <v>0</v>
      </c>
      <c r="J11" s="182"/>
      <c r="K11" s="183"/>
      <c r="L11" s="195" t="s">
        <v>817</v>
      </c>
      <c r="M11" s="143"/>
      <c r="N11" s="143"/>
      <c r="O11" s="143"/>
      <c r="P11" s="151" t="s">
        <v>1241</v>
      </c>
      <c r="Q11" s="143"/>
      <c r="R11" s="143">
        <f>R9*1+(R9*R10)</f>
        <v>0</v>
      </c>
      <c r="S11" s="196"/>
      <c r="T11" s="189"/>
    </row>
    <row r="12" spans="1:20" ht="17.25">
      <c r="A12" s="241">
        <f>'FORM-10 (A-F)'!B348</f>
        <v>0</v>
      </c>
      <c r="B12" s="241">
        <f>'FORM-10 (A-F)'!C348</f>
        <v>0</v>
      </c>
      <c r="C12" s="241">
        <f>'FORM-10 (A-F)'!E55</f>
        <v>0</v>
      </c>
      <c r="D12" s="241">
        <f>'FORM-10 (A-F)'!E348</f>
        <v>0</v>
      </c>
      <c r="E12" s="241">
        <f>'FORM-10 (A-F)'!D348</f>
        <v>0</v>
      </c>
      <c r="F12" s="241">
        <f>'FORM-10 (A-F)'!F348</f>
        <v>0</v>
      </c>
      <c r="G12" s="241">
        <f>'FORM-10 (A-F)'!G348</f>
        <v>0</v>
      </c>
      <c r="H12" s="241">
        <f>'FORM-10 (A-F)'!H348</f>
        <v>0</v>
      </c>
      <c r="I12" s="241">
        <f>'FORM-10 (A-F)'!I348</f>
        <v>0</v>
      </c>
      <c r="J12" s="182"/>
      <c r="K12" s="183"/>
      <c r="L12" s="143" t="s">
        <v>818</v>
      </c>
      <c r="M12" s="143"/>
      <c r="N12" s="143">
        <f>+I28</f>
        <v>0</v>
      </c>
      <c r="O12" s="143"/>
      <c r="P12" s="151"/>
      <c r="Q12" s="143"/>
      <c r="R12" s="190"/>
      <c r="S12" s="143"/>
      <c r="T12" s="189"/>
    </row>
    <row r="13" spans="1:20" ht="18" thickBot="1">
      <c r="A13" s="241">
        <f>'FORM-10 (A-F)'!B349</f>
        <v>0</v>
      </c>
      <c r="B13" s="241">
        <f>'FORM-10 (A-F)'!C349</f>
        <v>0</v>
      </c>
      <c r="C13" s="241">
        <f>'FORM-10 (A-F)'!E56</f>
        <v>0</v>
      </c>
      <c r="D13" s="241">
        <f>'FORM-10 (A-F)'!E349</f>
        <v>0</v>
      </c>
      <c r="E13" s="241">
        <f>'FORM-10 (A-F)'!D349</f>
        <v>0</v>
      </c>
      <c r="F13" s="241">
        <f>'FORM-10 (A-F)'!F349</f>
        <v>0</v>
      </c>
      <c r="G13" s="241">
        <f>'FORM-10 (A-F)'!G349</f>
        <v>0</v>
      </c>
      <c r="H13" s="241">
        <f>'FORM-10 (A-F)'!H349</f>
        <v>0</v>
      </c>
      <c r="I13" s="241">
        <f>'FORM-10 (A-F)'!I349</f>
        <v>0</v>
      </c>
      <c r="J13" s="182"/>
      <c r="K13" s="183"/>
      <c r="L13" s="143" t="s">
        <v>819</v>
      </c>
      <c r="M13" s="143"/>
      <c r="N13" s="197">
        <f>-I28*(I3/100)</f>
        <v>0</v>
      </c>
      <c r="O13" s="143"/>
      <c r="P13" s="151"/>
      <c r="Q13" s="198"/>
      <c r="R13" s="199"/>
      <c r="S13" s="200"/>
      <c r="T13" s="189"/>
    </row>
    <row r="14" spans="1:20" ht="18" thickTop="1">
      <c r="A14" s="241">
        <f>'FORM-10 (A-F)'!B350</f>
        <v>0</v>
      </c>
      <c r="B14" s="241">
        <f>'FORM-10 (A-F)'!C350</f>
        <v>0</v>
      </c>
      <c r="C14" s="241">
        <f>'FORM-10 (A-F)'!E57</f>
        <v>0</v>
      </c>
      <c r="D14" s="241">
        <f>'FORM-10 (A-F)'!E350</f>
        <v>0</v>
      </c>
      <c r="E14" s="241">
        <f>'FORM-10 (A-F)'!D350</f>
        <v>0</v>
      </c>
      <c r="F14" s="241">
        <f>'FORM-10 (A-F)'!F350</f>
        <v>0</v>
      </c>
      <c r="G14" s="241">
        <f>'FORM-10 (A-F)'!G350</f>
        <v>0</v>
      </c>
      <c r="H14" s="241">
        <f>'FORM-10 (A-F)'!H350</f>
        <v>0</v>
      </c>
      <c r="I14" s="241">
        <f>'FORM-10 (A-F)'!I350</f>
        <v>0</v>
      </c>
      <c r="J14" s="182"/>
      <c r="K14" s="183"/>
      <c r="L14" s="143" t="s">
        <v>820</v>
      </c>
      <c r="M14" s="143"/>
      <c r="N14" s="143">
        <f>+N12+N13</f>
        <v>0</v>
      </c>
      <c r="O14" s="143"/>
      <c r="P14" s="163"/>
      <c r="R14" s="157"/>
      <c r="S14" s="157"/>
      <c r="T14" s="189"/>
    </row>
    <row r="15" spans="1:20" ht="18" thickBot="1">
      <c r="A15" s="241">
        <f>'FORM-10 (A-F)'!B351</f>
        <v>0</v>
      </c>
      <c r="B15" s="241">
        <f>'FORM-10 (A-F)'!C351</f>
        <v>0</v>
      </c>
      <c r="C15" s="241">
        <f>'FORM-10 (A-F)'!E58</f>
        <v>0</v>
      </c>
      <c r="D15" s="241">
        <f>'FORM-10 (A-F)'!E351</f>
        <v>0</v>
      </c>
      <c r="E15" s="241">
        <f>'FORM-10 (A-F)'!D351</f>
        <v>0</v>
      </c>
      <c r="F15" s="241">
        <f>'FORM-10 (A-F)'!F351</f>
        <v>0</v>
      </c>
      <c r="G15" s="241">
        <f>'FORM-10 (A-F)'!G351</f>
        <v>0</v>
      </c>
      <c r="H15" s="241">
        <f>'FORM-10 (A-F)'!H351</f>
        <v>0</v>
      </c>
      <c r="I15" s="241">
        <f>'FORM-10 (A-F)'!I351</f>
        <v>0</v>
      </c>
      <c r="J15" s="182"/>
      <c r="K15" s="183"/>
      <c r="L15" s="143" t="s">
        <v>821</v>
      </c>
      <c r="M15" s="143"/>
      <c r="N15" s="197">
        <f>-D55</f>
        <v>0</v>
      </c>
      <c r="O15" s="143"/>
      <c r="P15" s="163"/>
      <c r="R15" s="157"/>
      <c r="S15" s="157"/>
      <c r="T15" s="189"/>
    </row>
    <row r="16" spans="1:20" ht="18" thickTop="1">
      <c r="A16" s="241">
        <f>'FORM-10 (A-F)'!B352</f>
        <v>0</v>
      </c>
      <c r="B16" s="241">
        <f>'FORM-10 (A-F)'!C352</f>
        <v>0</v>
      </c>
      <c r="C16" s="241">
        <f>'FORM-10 (A-F)'!E59</f>
        <v>0</v>
      </c>
      <c r="D16" s="241">
        <f>'FORM-10 (A-F)'!E352</f>
        <v>0</v>
      </c>
      <c r="E16" s="241">
        <f>'FORM-10 (A-F)'!D352</f>
        <v>0</v>
      </c>
      <c r="F16" s="241">
        <f>'FORM-10 (A-F)'!F352</f>
        <v>0</v>
      </c>
      <c r="G16" s="241">
        <f>'FORM-10 (A-F)'!G352</f>
        <v>0</v>
      </c>
      <c r="H16" s="241">
        <f>'FORM-10 (A-F)'!H352</f>
        <v>0</v>
      </c>
      <c r="I16" s="241">
        <f>'FORM-10 (A-F)'!I352</f>
        <v>0</v>
      </c>
      <c r="J16" s="182"/>
      <c r="K16" s="183"/>
      <c r="L16" s="143" t="s">
        <v>822</v>
      </c>
      <c r="M16" s="143"/>
      <c r="N16" s="248">
        <f>+N14+N15</f>
        <v>0</v>
      </c>
      <c r="O16" s="143"/>
      <c r="P16" s="163"/>
      <c r="S16" s="157"/>
      <c r="T16" s="189"/>
    </row>
    <row r="17" spans="1:20" ht="17.25">
      <c r="A17" s="241">
        <f>'FORM-10 (A-F)'!B353</f>
        <v>0</v>
      </c>
      <c r="B17" s="241">
        <f>'FORM-10 (A-F)'!C353</f>
        <v>0</v>
      </c>
      <c r="C17" s="241">
        <f>'FORM-10 (A-F)'!E60</f>
        <v>0</v>
      </c>
      <c r="D17" s="241">
        <f>'FORM-10 (A-F)'!E353</f>
        <v>0</v>
      </c>
      <c r="E17" s="241">
        <f>'FORM-10 (A-F)'!D353</f>
        <v>0</v>
      </c>
      <c r="F17" s="241">
        <f>'FORM-10 (A-F)'!F353</f>
        <v>0</v>
      </c>
      <c r="G17" s="241">
        <f>'FORM-10 (A-F)'!G353</f>
        <v>0</v>
      </c>
      <c r="H17" s="241">
        <f>'FORM-10 (A-F)'!H353</f>
        <v>0</v>
      </c>
      <c r="I17" s="241">
        <f>'FORM-10 (A-F)'!I353</f>
        <v>0</v>
      </c>
      <c r="J17" s="182"/>
      <c r="K17" s="183"/>
      <c r="L17" s="143" t="s">
        <v>823</v>
      </c>
      <c r="M17" s="143"/>
      <c r="N17" s="250">
        <f>'FORM-10 (A-F)'!E309</f>
        <v>0</v>
      </c>
      <c r="O17" s="143"/>
      <c r="P17" s="163"/>
      <c r="S17" s="157"/>
      <c r="T17" s="189"/>
    </row>
    <row r="18" spans="1:20" ht="17.25">
      <c r="A18" s="241">
        <f>'FORM-10 (A-F)'!B354</f>
        <v>0</v>
      </c>
      <c r="B18" s="241">
        <f>'FORM-10 (A-F)'!C354</f>
        <v>0</v>
      </c>
      <c r="C18" s="241">
        <f>'FORM-10 (A-F)'!E61</f>
        <v>0</v>
      </c>
      <c r="D18" s="241">
        <f>'FORM-10 (A-F)'!E354</f>
        <v>0</v>
      </c>
      <c r="E18" s="241">
        <f>'FORM-10 (A-F)'!D354</f>
        <v>0</v>
      </c>
      <c r="F18" s="241">
        <f>'FORM-10 (A-F)'!F354</f>
        <v>0</v>
      </c>
      <c r="G18" s="241">
        <f>'FORM-10 (A-F)'!G354</f>
        <v>0</v>
      </c>
      <c r="H18" s="241">
        <f>'FORM-10 (A-F)'!H354</f>
        <v>0</v>
      </c>
      <c r="I18" s="241">
        <f>'FORM-10 (A-F)'!I354</f>
        <v>0</v>
      </c>
      <c r="J18" s="182"/>
      <c r="K18" s="183"/>
      <c r="L18" s="143" t="s">
        <v>824</v>
      </c>
      <c r="M18" s="143"/>
      <c r="N18" s="681">
        <f>IF(N17=0,'FORM-10 (A-F)'!G310,(N16*N17/100))</f>
        <v>0</v>
      </c>
      <c r="O18" s="143"/>
      <c r="P18" s="163"/>
      <c r="R18" s="157"/>
      <c r="S18" s="157"/>
      <c r="T18" s="189"/>
    </row>
    <row r="19" spans="1:20" ht="17.25">
      <c r="A19" s="241">
        <f>'FORM-10 (A-F)'!B355</f>
        <v>0</v>
      </c>
      <c r="B19" s="241">
        <f>'FORM-10 (A-F)'!C355</f>
        <v>0</v>
      </c>
      <c r="C19" s="241">
        <f>'FORM-10 (A-F)'!E62</f>
        <v>0</v>
      </c>
      <c r="D19" s="241">
        <f>'FORM-10 (A-F)'!E355</f>
        <v>0</v>
      </c>
      <c r="E19" s="241">
        <f>'FORM-10 (A-F)'!D355</f>
        <v>0</v>
      </c>
      <c r="F19" s="241">
        <f>'FORM-10 (A-F)'!F355</f>
        <v>0</v>
      </c>
      <c r="G19" s="241">
        <f>'FORM-10 (A-F)'!G355</f>
        <v>0</v>
      </c>
      <c r="H19" s="241">
        <f>'FORM-10 (A-F)'!H355</f>
        <v>0</v>
      </c>
      <c r="I19" s="241">
        <f>'FORM-10 (A-F)'!I355</f>
        <v>0</v>
      </c>
      <c r="J19" s="182"/>
      <c r="K19" s="183"/>
      <c r="L19" s="195" t="s">
        <v>825</v>
      </c>
      <c r="M19" s="143"/>
      <c r="N19" s="143"/>
      <c r="O19" s="195" t="s">
        <v>826</v>
      </c>
      <c r="P19" s="163"/>
      <c r="R19" s="157"/>
      <c r="S19" s="157"/>
      <c r="T19" s="189"/>
    </row>
    <row r="20" spans="1:20" ht="17.25">
      <c r="A20" s="241">
        <f>'FORM-10 (A-F)'!B356</f>
        <v>0</v>
      </c>
      <c r="B20" s="241">
        <f>'FORM-10 (A-F)'!C356</f>
        <v>0</v>
      </c>
      <c r="C20" s="241">
        <f>'FORM-10 (A-F)'!E63</f>
        <v>0</v>
      </c>
      <c r="D20" s="241">
        <f>'FORM-10 (A-F)'!E356</f>
        <v>0</v>
      </c>
      <c r="E20" s="241">
        <f>'FORM-10 (A-F)'!D356</f>
        <v>0</v>
      </c>
      <c r="F20" s="241">
        <f>'FORM-10 (A-F)'!F356</f>
        <v>0</v>
      </c>
      <c r="G20" s="241">
        <f>'FORM-10 (A-F)'!G356</f>
        <v>0</v>
      </c>
      <c r="H20" s="241">
        <f>'FORM-10 (A-F)'!H356</f>
        <v>0</v>
      </c>
      <c r="I20" s="241">
        <f>'FORM-10 (A-F)'!I356</f>
        <v>0</v>
      </c>
      <c r="J20" s="182"/>
      <c r="K20" s="183"/>
      <c r="L20" s="201" t="s">
        <v>827</v>
      </c>
      <c r="M20" s="150"/>
      <c r="N20" s="251">
        <f>+C38</f>
        <v>0</v>
      </c>
      <c r="O20" s="149">
        <f>'FORM-10 (A-F)'!G70</f>
        <v>0</v>
      </c>
      <c r="P20" s="163"/>
      <c r="R20" s="157"/>
      <c r="S20" s="157"/>
      <c r="T20" s="189"/>
    </row>
    <row r="21" spans="1:20" ht="18" thickBot="1">
      <c r="A21" s="241">
        <f>'FORM-10 (A-F)'!B357</f>
        <v>0</v>
      </c>
      <c r="B21" s="241">
        <f>'FORM-10 (A-F)'!C357</f>
        <v>0</v>
      </c>
      <c r="C21" s="241">
        <f>'FORM-10 (A-F)'!E64</f>
        <v>0</v>
      </c>
      <c r="D21" s="241">
        <f>'FORM-10 (A-F)'!E357</f>
        <v>0</v>
      </c>
      <c r="E21" s="241">
        <f>'FORM-10 (A-F)'!D357</f>
        <v>0</v>
      </c>
      <c r="F21" s="241">
        <f>'FORM-10 (A-F)'!F357</f>
        <v>0</v>
      </c>
      <c r="G21" s="241">
        <f>'FORM-10 (A-F)'!G357</f>
        <v>0</v>
      </c>
      <c r="H21" s="241">
        <f>'FORM-10 (A-F)'!H357</f>
        <v>0</v>
      </c>
      <c r="I21" s="241">
        <f>'FORM-10 (A-F)'!I357</f>
        <v>0</v>
      </c>
      <c r="J21" s="182"/>
      <c r="K21" s="183"/>
      <c r="L21" s="143" t="s">
        <v>819</v>
      </c>
      <c r="M21" s="202" t="s">
        <v>694</v>
      </c>
      <c r="N21" s="288">
        <f>-D40</f>
        <v>0</v>
      </c>
      <c r="O21" s="143" t="s">
        <v>828</v>
      </c>
      <c r="P21" s="203" t="s">
        <v>829</v>
      </c>
      <c r="R21" s="157"/>
      <c r="S21" s="157"/>
      <c r="T21" s="157"/>
    </row>
    <row r="22" spans="1:20" ht="18" thickTop="1">
      <c r="A22" s="241">
        <f>'FORM-10 (A-F)'!B358</f>
        <v>0</v>
      </c>
      <c r="B22" s="241">
        <f>'FORM-10 (A-F)'!C358</f>
        <v>0</v>
      </c>
      <c r="C22" s="241">
        <f>'FORM-10 (A-F)'!E65</f>
        <v>0</v>
      </c>
      <c r="D22" s="241">
        <f>'FORM-10 (A-F)'!E358</f>
        <v>0</v>
      </c>
      <c r="E22" s="241">
        <f>'FORM-10 (A-F)'!D358</f>
        <v>0</v>
      </c>
      <c r="F22" s="241">
        <f>'FORM-10 (A-F)'!F358</f>
        <v>0</v>
      </c>
      <c r="G22" s="241">
        <f>'FORM-10 (A-F)'!G358</f>
        <v>0</v>
      </c>
      <c r="H22" s="241">
        <f>'FORM-10 (A-F)'!H358</f>
        <v>0</v>
      </c>
      <c r="I22" s="241">
        <f>'FORM-10 (A-F)'!I358</f>
        <v>0</v>
      </c>
      <c r="J22" s="182"/>
      <c r="K22" s="183"/>
      <c r="L22" s="143" t="s">
        <v>830</v>
      </c>
      <c r="M22" s="143"/>
      <c r="N22" s="248">
        <f>+N20-N21</f>
        <v>0</v>
      </c>
      <c r="O22" s="143"/>
      <c r="P22" s="204" t="s">
        <v>831</v>
      </c>
      <c r="S22" s="157"/>
      <c r="T22" s="157"/>
    </row>
    <row r="23" spans="1:20" ht="18" thickBot="1">
      <c r="A23" s="241">
        <f>'FORM-10 (A-F)'!B359</f>
        <v>0</v>
      </c>
      <c r="B23" s="241">
        <f>'FORM-10 (A-F)'!C359</f>
        <v>0</v>
      </c>
      <c r="C23" s="241">
        <f>'FORM-10 (A-F)'!E66</f>
        <v>0</v>
      </c>
      <c r="D23" s="241">
        <f>'FORM-10 (A-F)'!E359</f>
        <v>0</v>
      </c>
      <c r="E23" s="241">
        <f>'FORM-10 (A-F)'!D359</f>
        <v>0</v>
      </c>
      <c r="F23" s="241">
        <f>'FORM-10 (A-F)'!F359</f>
        <v>0</v>
      </c>
      <c r="G23" s="241">
        <f>'FORM-10 (A-F)'!G359</f>
        <v>0</v>
      </c>
      <c r="H23" s="241">
        <f>'FORM-10 (A-F)'!H359</f>
        <v>0</v>
      </c>
      <c r="I23" s="241">
        <f>'FORM-10 (A-F)'!I359</f>
        <v>0</v>
      </c>
      <c r="J23" s="182"/>
      <c r="K23" s="183"/>
      <c r="L23" s="143" t="s">
        <v>823</v>
      </c>
      <c r="M23" s="143"/>
      <c r="N23" s="252">
        <f>+B60</f>
        <v>0</v>
      </c>
      <c r="O23" s="143"/>
      <c r="P23" s="205">
        <f>IF(O20&lt;&gt;0,(+N20/O20),0)</f>
        <v>0</v>
      </c>
      <c r="S23" s="157"/>
      <c r="T23" s="206"/>
    </row>
    <row r="24" spans="1:20" ht="18" thickTop="1">
      <c r="A24" s="241">
        <f>'FORM-10 (A-F)'!B360</f>
        <v>0</v>
      </c>
      <c r="B24" s="241">
        <f>'FORM-10 (A-F)'!C360</f>
        <v>0</v>
      </c>
      <c r="C24" s="241">
        <f>'FORM-10 (A-F)'!E67</f>
        <v>0</v>
      </c>
      <c r="D24" s="241">
        <f>'FORM-10 (A-F)'!E360</f>
        <v>0</v>
      </c>
      <c r="E24" s="241">
        <f>'FORM-10 (A-F)'!D360</f>
        <v>0</v>
      </c>
      <c r="F24" s="241">
        <f>'FORM-10 (A-F)'!F360</f>
        <v>0</v>
      </c>
      <c r="G24" s="241">
        <f>'FORM-10 (A-F)'!G360</f>
        <v>0</v>
      </c>
      <c r="H24" s="241">
        <f>'FORM-10 (A-F)'!H360</f>
        <v>0</v>
      </c>
      <c r="I24" s="241">
        <f>'FORM-10 (A-F)'!I360</f>
        <v>0</v>
      </c>
      <c r="J24" s="182"/>
      <c r="K24" s="183"/>
      <c r="L24" s="143" t="s">
        <v>824</v>
      </c>
      <c r="M24" s="143"/>
      <c r="N24" s="248">
        <f>+N22*N23</f>
        <v>0</v>
      </c>
      <c r="O24" s="143"/>
      <c r="P24" s="163"/>
      <c r="S24" s="157"/>
      <c r="T24" s="157"/>
    </row>
    <row r="25" spans="1:20" ht="17.25">
      <c r="A25" s="241">
        <f>'FORM-10 (A-F)'!B361</f>
        <v>0</v>
      </c>
      <c r="B25" s="241">
        <f>'FORM-10 (A-F)'!C361</f>
        <v>0</v>
      </c>
      <c r="C25" s="241">
        <f>'FORM-10 (A-F)'!E68</f>
        <v>0</v>
      </c>
      <c r="D25" s="241">
        <f>'FORM-10 (A-F)'!E361</f>
        <v>0</v>
      </c>
      <c r="E25" s="241">
        <f>'FORM-10 (A-F)'!D361</f>
        <v>0</v>
      </c>
      <c r="F25" s="241">
        <f>'FORM-10 (A-F)'!F361</f>
        <v>0</v>
      </c>
      <c r="G25" s="241">
        <f>'FORM-10 (A-F)'!G361</f>
        <v>0</v>
      </c>
      <c r="H25" s="241">
        <f>'FORM-10 (A-F)'!H361</f>
        <v>0</v>
      </c>
      <c r="I25" s="241">
        <f>'FORM-10 (A-F)'!I361</f>
        <v>0</v>
      </c>
      <c r="J25" s="182"/>
      <c r="K25" s="183"/>
      <c r="L25" s="183"/>
      <c r="M25" s="184"/>
      <c r="S25" s="157"/>
      <c r="T25" s="206"/>
    </row>
    <row r="26" spans="1:20" ht="17.25">
      <c r="A26" s="241">
        <f>'FORM-10 (A-F)'!B362</f>
        <v>0</v>
      </c>
      <c r="B26" s="241">
        <f>'FORM-10 (A-F)'!C362</f>
        <v>0</v>
      </c>
      <c r="C26" s="325"/>
      <c r="D26" s="241">
        <f>'FORM-10 (A-F)'!E362</f>
        <v>0</v>
      </c>
      <c r="E26" s="241">
        <f>'FORM-10 (A-F)'!D362</f>
        <v>0</v>
      </c>
      <c r="F26" s="241">
        <f>'FORM-10 (A-F)'!F362</f>
        <v>0</v>
      </c>
      <c r="G26" s="241">
        <f>'FORM-10 (A-F)'!G362</f>
        <v>0</v>
      </c>
      <c r="H26" s="241">
        <f>'FORM-10 (A-F)'!H362</f>
        <v>0</v>
      </c>
      <c r="I26" s="241">
        <f>'FORM-10 (A-F)'!I362</f>
        <v>0</v>
      </c>
      <c r="J26" s="182"/>
      <c r="K26" s="183"/>
      <c r="L26" s="183"/>
      <c r="M26" s="184"/>
      <c r="S26" s="157"/>
      <c r="T26" s="157"/>
    </row>
    <row r="27" spans="1:20" ht="18" thickBot="1">
      <c r="A27" s="241">
        <f>'FORM-10 (A-F)'!B363</f>
        <v>0</v>
      </c>
      <c r="B27" s="241">
        <f>'FORM-10 (A-F)'!C363</f>
        <v>0</v>
      </c>
      <c r="C27" s="326"/>
      <c r="D27" s="241">
        <f>'FORM-10 (A-F)'!E363</f>
        <v>0</v>
      </c>
      <c r="E27" s="241">
        <f>'FORM-10 (A-F)'!D363</f>
        <v>0</v>
      </c>
      <c r="F27" s="241">
        <f>'FORM-10 (A-F)'!F363</f>
        <v>0</v>
      </c>
      <c r="G27" s="241">
        <f>'FORM-10 (A-F)'!G363</f>
        <v>0</v>
      </c>
      <c r="H27" s="241">
        <f>'FORM-10 (A-F)'!H363</f>
        <v>0</v>
      </c>
      <c r="I27" s="241">
        <f>'FORM-10 (A-F)'!I363</f>
        <v>0</v>
      </c>
      <c r="J27" s="182"/>
      <c r="K27" s="183"/>
      <c r="L27" s="183"/>
      <c r="M27" s="184"/>
      <c r="S27" s="157"/>
      <c r="T27" s="207"/>
    </row>
    <row r="28" spans="1:20" ht="18" thickTop="1">
      <c r="A28" s="253" t="s">
        <v>832</v>
      </c>
      <c r="B28" s="254">
        <f>SUM(B8:B27)</f>
        <v>0</v>
      </c>
      <c r="C28" s="208"/>
      <c r="D28" s="277"/>
      <c r="E28" s="256"/>
      <c r="F28" s="255"/>
      <c r="G28" s="257"/>
      <c r="H28" s="255"/>
      <c r="I28" s="258">
        <f>SUM(I8:I27)</f>
        <v>0</v>
      </c>
      <c r="J28" s="209"/>
      <c r="K28" s="210"/>
      <c r="L28" s="211"/>
      <c r="M28" s="184"/>
      <c r="S28" s="184"/>
      <c r="T28" s="157"/>
    </row>
    <row r="29" spans="1:20" ht="15">
      <c r="A29" s="212"/>
      <c r="B29" s="212"/>
      <c r="C29" s="212"/>
      <c r="D29" s="157"/>
      <c r="E29" s="157"/>
      <c r="F29" s="184"/>
      <c r="G29" s="157"/>
      <c r="H29" s="157"/>
      <c r="I29" s="157"/>
      <c r="J29" s="157"/>
      <c r="K29" s="157"/>
      <c r="L29" s="157"/>
      <c r="M29" s="184"/>
      <c r="S29" s="184"/>
      <c r="T29" s="157"/>
    </row>
    <row r="30" spans="1:20" ht="15">
      <c r="A30" s="212"/>
      <c r="B30" s="212"/>
      <c r="C30" s="213" t="s">
        <v>370</v>
      </c>
      <c r="D30" s="212"/>
      <c r="E30" s="214"/>
      <c r="F30" s="157"/>
      <c r="G30" s="215"/>
      <c r="H30" s="157"/>
      <c r="I30" s="164"/>
      <c r="J30" s="164"/>
      <c r="K30" s="164"/>
      <c r="L30" s="164"/>
      <c r="M30" s="212"/>
      <c r="N30" s="212"/>
      <c r="O30" s="212"/>
      <c r="P30" s="212"/>
      <c r="Q30" s="157"/>
      <c r="R30" s="157"/>
      <c r="S30" s="216"/>
      <c r="T30" s="216"/>
    </row>
    <row r="31" spans="1:43" ht="17.25">
      <c r="A31" s="259" t="s">
        <v>833</v>
      </c>
      <c r="B31" s="259"/>
      <c r="C31" s="260"/>
      <c r="D31" s="261" t="s">
        <v>816</v>
      </c>
      <c r="E31" s="261" t="s">
        <v>834</v>
      </c>
      <c r="F31" s="261" t="s">
        <v>835</v>
      </c>
      <c r="G31" s="261" t="s">
        <v>836</v>
      </c>
      <c r="H31" s="261" t="s">
        <v>837</v>
      </c>
      <c r="I31" s="261" t="s">
        <v>838</v>
      </c>
      <c r="J31" s="261" t="s">
        <v>839</v>
      </c>
      <c r="K31" s="261" t="s">
        <v>840</v>
      </c>
      <c r="L31" s="261" t="s">
        <v>841</v>
      </c>
      <c r="M31" s="261" t="s">
        <v>842</v>
      </c>
      <c r="N31" s="261" t="s">
        <v>864</v>
      </c>
      <c r="O31" s="261" t="s">
        <v>865</v>
      </c>
      <c r="P31" s="261" t="s">
        <v>866</v>
      </c>
      <c r="Q31" s="261" t="s">
        <v>867</v>
      </c>
      <c r="R31" s="261" t="s">
        <v>868</v>
      </c>
      <c r="S31" s="261" t="s">
        <v>869</v>
      </c>
      <c r="T31" s="261" t="s">
        <v>870</v>
      </c>
      <c r="U31" s="261" t="s">
        <v>910</v>
      </c>
      <c r="V31" s="261" t="s">
        <v>911</v>
      </c>
      <c r="W31" s="261" t="s">
        <v>912</v>
      </c>
      <c r="X31" s="261" t="s">
        <v>913</v>
      </c>
      <c r="Y31" s="261" t="s">
        <v>914</v>
      </c>
      <c r="Z31" s="261" t="s">
        <v>915</v>
      </c>
      <c r="AA31" s="261" t="s">
        <v>919</v>
      </c>
      <c r="AB31" s="261" t="s">
        <v>920</v>
      </c>
      <c r="AC31" s="261" t="s">
        <v>921</v>
      </c>
      <c r="AD31" s="261" t="s">
        <v>922</v>
      </c>
      <c r="AE31" s="261" t="s">
        <v>923</v>
      </c>
      <c r="AF31" s="261" t="s">
        <v>924</v>
      </c>
      <c r="AG31" s="261" t="s">
        <v>925</v>
      </c>
      <c r="AH31" s="261" t="s">
        <v>772</v>
      </c>
      <c r="AI31" s="261" t="s">
        <v>773</v>
      </c>
      <c r="AJ31" s="261" t="s">
        <v>774</v>
      </c>
      <c r="AK31" s="261" t="s">
        <v>775</v>
      </c>
      <c r="AL31" s="261" t="s">
        <v>776</v>
      </c>
      <c r="AM31" s="261" t="s">
        <v>777</v>
      </c>
      <c r="AN31" s="261" t="s">
        <v>778</v>
      </c>
      <c r="AO31" s="261" t="s">
        <v>779</v>
      </c>
      <c r="AP31" s="261" t="s">
        <v>780</v>
      </c>
      <c r="AQ31" s="261" t="s">
        <v>781</v>
      </c>
    </row>
    <row r="32" spans="1:43" ht="17.25">
      <c r="A32" s="260" t="s">
        <v>524</v>
      </c>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row>
    <row r="33" spans="1:43" ht="17.25">
      <c r="A33" s="217" t="s">
        <v>525</v>
      </c>
      <c r="B33" s="217"/>
      <c r="C33" s="260"/>
      <c r="D33" s="218">
        <f>+I28</f>
        <v>0</v>
      </c>
      <c r="E33" s="218">
        <f>+D33+D33*($I1)</f>
        <v>0</v>
      </c>
      <c r="F33" s="218">
        <f>+E33+E33*($I1)</f>
        <v>0</v>
      </c>
      <c r="G33" s="218">
        <f aca="true" t="shared" si="0" ref="G33:T33">+F33+F33*($I1)</f>
        <v>0</v>
      </c>
      <c r="H33" s="218">
        <f t="shared" si="0"/>
        <v>0</v>
      </c>
      <c r="I33" s="218">
        <f t="shared" si="0"/>
        <v>0</v>
      </c>
      <c r="J33" s="218">
        <f t="shared" si="0"/>
        <v>0</v>
      </c>
      <c r="K33" s="218">
        <f t="shared" si="0"/>
        <v>0</v>
      </c>
      <c r="L33" s="218">
        <f t="shared" si="0"/>
        <v>0</v>
      </c>
      <c r="M33" s="218">
        <f t="shared" si="0"/>
        <v>0</v>
      </c>
      <c r="N33" s="218">
        <f t="shared" si="0"/>
        <v>0</v>
      </c>
      <c r="O33" s="218">
        <f t="shared" si="0"/>
        <v>0</v>
      </c>
      <c r="P33" s="218">
        <f t="shared" si="0"/>
        <v>0</v>
      </c>
      <c r="Q33" s="218">
        <f t="shared" si="0"/>
        <v>0</v>
      </c>
      <c r="R33" s="218">
        <f t="shared" si="0"/>
        <v>0</v>
      </c>
      <c r="S33" s="218">
        <f t="shared" si="0"/>
        <v>0</v>
      </c>
      <c r="T33" s="218">
        <f t="shared" si="0"/>
        <v>0</v>
      </c>
      <c r="U33" s="218">
        <f aca="true" t="shared" si="1" ref="U33:AG33">+T33+T33*($I1)</f>
        <v>0</v>
      </c>
      <c r="V33" s="218">
        <f t="shared" si="1"/>
        <v>0</v>
      </c>
      <c r="W33" s="218">
        <f t="shared" si="1"/>
        <v>0</v>
      </c>
      <c r="X33" s="218">
        <f t="shared" si="1"/>
        <v>0</v>
      </c>
      <c r="Y33" s="218">
        <f t="shared" si="1"/>
        <v>0</v>
      </c>
      <c r="Z33" s="218">
        <f t="shared" si="1"/>
        <v>0</v>
      </c>
      <c r="AA33" s="218">
        <f t="shared" si="1"/>
        <v>0</v>
      </c>
      <c r="AB33" s="218">
        <f t="shared" si="1"/>
        <v>0</v>
      </c>
      <c r="AC33" s="218">
        <f t="shared" si="1"/>
        <v>0</v>
      </c>
      <c r="AD33" s="218">
        <f t="shared" si="1"/>
        <v>0</v>
      </c>
      <c r="AE33" s="218">
        <f t="shared" si="1"/>
        <v>0</v>
      </c>
      <c r="AF33" s="218">
        <f t="shared" si="1"/>
        <v>0</v>
      </c>
      <c r="AG33" s="218">
        <f t="shared" si="1"/>
        <v>0</v>
      </c>
      <c r="AH33" s="218">
        <f aca="true" t="shared" si="2" ref="AH33:AQ33">+AG33+AG33*($I1)</f>
        <v>0</v>
      </c>
      <c r="AI33" s="218">
        <f t="shared" si="2"/>
        <v>0</v>
      </c>
      <c r="AJ33" s="218">
        <f t="shared" si="2"/>
        <v>0</v>
      </c>
      <c r="AK33" s="218">
        <f t="shared" si="2"/>
        <v>0</v>
      </c>
      <c r="AL33" s="218">
        <f t="shared" si="2"/>
        <v>0</v>
      </c>
      <c r="AM33" s="218">
        <f t="shared" si="2"/>
        <v>0</v>
      </c>
      <c r="AN33" s="218">
        <f t="shared" si="2"/>
        <v>0</v>
      </c>
      <c r="AO33" s="218">
        <f t="shared" si="2"/>
        <v>0</v>
      </c>
      <c r="AP33" s="218">
        <f t="shared" si="2"/>
        <v>0</v>
      </c>
      <c r="AQ33" s="218">
        <f t="shared" si="2"/>
        <v>0</v>
      </c>
    </row>
    <row r="34" spans="1:43" ht="17.25">
      <c r="A34" s="262" t="s">
        <v>871</v>
      </c>
      <c r="B34" s="243">
        <f>'FORM-10 (A-F)'!D429</f>
        <v>0</v>
      </c>
      <c r="C34" s="263" t="s">
        <v>370</v>
      </c>
      <c r="D34" s="219">
        <f>-$I28*(B34/100)</f>
        <v>0</v>
      </c>
      <c r="E34" s="219">
        <f>-E$33*($B34/100)</f>
        <v>0</v>
      </c>
      <c r="F34" s="219">
        <f aca="true" t="shared" si="3" ref="F34:AQ34">-F$33*($B34/100)</f>
        <v>0</v>
      </c>
      <c r="G34" s="219">
        <f t="shared" si="3"/>
        <v>0</v>
      </c>
      <c r="H34" s="219">
        <f t="shared" si="3"/>
        <v>0</v>
      </c>
      <c r="I34" s="219">
        <f t="shared" si="3"/>
        <v>0</v>
      </c>
      <c r="J34" s="219">
        <f t="shared" si="3"/>
        <v>0</v>
      </c>
      <c r="K34" s="219">
        <f t="shared" si="3"/>
        <v>0</v>
      </c>
      <c r="L34" s="219">
        <f t="shared" si="3"/>
        <v>0</v>
      </c>
      <c r="M34" s="219">
        <f t="shared" si="3"/>
        <v>0</v>
      </c>
      <c r="N34" s="219">
        <f t="shared" si="3"/>
        <v>0</v>
      </c>
      <c r="O34" s="219">
        <f t="shared" si="3"/>
        <v>0</v>
      </c>
      <c r="P34" s="219">
        <f t="shared" si="3"/>
        <v>0</v>
      </c>
      <c r="Q34" s="219">
        <f t="shared" si="3"/>
        <v>0</v>
      </c>
      <c r="R34" s="219">
        <f t="shared" si="3"/>
        <v>0</v>
      </c>
      <c r="S34" s="219">
        <f t="shared" si="3"/>
        <v>0</v>
      </c>
      <c r="T34" s="219">
        <f t="shared" si="3"/>
        <v>0</v>
      </c>
      <c r="U34" s="219">
        <f t="shared" si="3"/>
        <v>0</v>
      </c>
      <c r="V34" s="219">
        <f t="shared" si="3"/>
        <v>0</v>
      </c>
      <c r="W34" s="219">
        <f t="shared" si="3"/>
        <v>0</v>
      </c>
      <c r="X34" s="219">
        <f t="shared" si="3"/>
        <v>0</v>
      </c>
      <c r="Y34" s="219">
        <f t="shared" si="3"/>
        <v>0</v>
      </c>
      <c r="Z34" s="219">
        <f t="shared" si="3"/>
        <v>0</v>
      </c>
      <c r="AA34" s="219">
        <f t="shared" si="3"/>
        <v>0</v>
      </c>
      <c r="AB34" s="219">
        <f t="shared" si="3"/>
        <v>0</v>
      </c>
      <c r="AC34" s="219">
        <f t="shared" si="3"/>
        <v>0</v>
      </c>
      <c r="AD34" s="219">
        <f t="shared" si="3"/>
        <v>0</v>
      </c>
      <c r="AE34" s="219">
        <f t="shared" si="3"/>
        <v>0</v>
      </c>
      <c r="AF34" s="219">
        <f t="shared" si="3"/>
        <v>0</v>
      </c>
      <c r="AG34" s="219">
        <f t="shared" si="3"/>
        <v>0</v>
      </c>
      <c r="AH34" s="219">
        <f t="shared" si="3"/>
        <v>0</v>
      </c>
      <c r="AI34" s="219">
        <f t="shared" si="3"/>
        <v>0</v>
      </c>
      <c r="AJ34" s="219">
        <f t="shared" si="3"/>
        <v>0</v>
      </c>
      <c r="AK34" s="219">
        <f t="shared" si="3"/>
        <v>0</v>
      </c>
      <c r="AL34" s="219">
        <f t="shared" si="3"/>
        <v>0</v>
      </c>
      <c r="AM34" s="219">
        <f t="shared" si="3"/>
        <v>0</v>
      </c>
      <c r="AN34" s="219">
        <f t="shared" si="3"/>
        <v>0</v>
      </c>
      <c r="AO34" s="219">
        <f t="shared" si="3"/>
        <v>0</v>
      </c>
      <c r="AP34" s="219">
        <f t="shared" si="3"/>
        <v>0</v>
      </c>
      <c r="AQ34" s="219">
        <f t="shared" si="3"/>
        <v>0</v>
      </c>
    </row>
    <row r="35" spans="1:43" ht="17.25">
      <c r="A35" s="217" t="s">
        <v>872</v>
      </c>
      <c r="B35" s="217"/>
      <c r="C35" s="248"/>
      <c r="D35" s="218">
        <f>SUM(D33:D34)</f>
        <v>0</v>
      </c>
      <c r="E35" s="218">
        <f aca="true" t="shared" si="4" ref="E35:S35">SUM(E33:E34)</f>
        <v>0</v>
      </c>
      <c r="F35" s="218">
        <f t="shared" si="4"/>
        <v>0</v>
      </c>
      <c r="G35" s="218">
        <f t="shared" si="4"/>
        <v>0</v>
      </c>
      <c r="H35" s="218">
        <f t="shared" si="4"/>
        <v>0</v>
      </c>
      <c r="I35" s="218">
        <f t="shared" si="4"/>
        <v>0</v>
      </c>
      <c r="J35" s="218">
        <f t="shared" si="4"/>
        <v>0</v>
      </c>
      <c r="K35" s="218">
        <f t="shared" si="4"/>
        <v>0</v>
      </c>
      <c r="L35" s="218">
        <f t="shared" si="4"/>
        <v>0</v>
      </c>
      <c r="M35" s="218">
        <f t="shared" si="4"/>
        <v>0</v>
      </c>
      <c r="N35" s="218">
        <f t="shared" si="4"/>
        <v>0</v>
      </c>
      <c r="O35" s="218">
        <f t="shared" si="4"/>
        <v>0</v>
      </c>
      <c r="P35" s="218">
        <f t="shared" si="4"/>
        <v>0</v>
      </c>
      <c r="Q35" s="218">
        <f t="shared" si="4"/>
        <v>0</v>
      </c>
      <c r="R35" s="218">
        <f t="shared" si="4"/>
        <v>0</v>
      </c>
      <c r="S35" s="218">
        <f t="shared" si="4"/>
        <v>0</v>
      </c>
      <c r="T35" s="218">
        <f aca="true" t="shared" si="5" ref="T35:AQ35">SUM(T33:T34)</f>
        <v>0</v>
      </c>
      <c r="U35" s="218">
        <f t="shared" si="5"/>
        <v>0</v>
      </c>
      <c r="V35" s="218">
        <f t="shared" si="5"/>
        <v>0</v>
      </c>
      <c r="W35" s="218">
        <f t="shared" si="5"/>
        <v>0</v>
      </c>
      <c r="X35" s="218">
        <f t="shared" si="5"/>
        <v>0</v>
      </c>
      <c r="Y35" s="218">
        <f t="shared" si="5"/>
        <v>0</v>
      </c>
      <c r="Z35" s="218">
        <f t="shared" si="5"/>
        <v>0</v>
      </c>
      <c r="AA35" s="218">
        <f t="shared" si="5"/>
        <v>0</v>
      </c>
      <c r="AB35" s="218">
        <f t="shared" si="5"/>
        <v>0</v>
      </c>
      <c r="AC35" s="218">
        <f t="shared" si="5"/>
        <v>0</v>
      </c>
      <c r="AD35" s="218">
        <f t="shared" si="5"/>
        <v>0</v>
      </c>
      <c r="AE35" s="218">
        <f t="shared" si="5"/>
        <v>0</v>
      </c>
      <c r="AF35" s="218">
        <f t="shared" si="5"/>
        <v>0</v>
      </c>
      <c r="AG35" s="218">
        <f t="shared" si="5"/>
        <v>0</v>
      </c>
      <c r="AH35" s="218">
        <f t="shared" si="5"/>
        <v>0</v>
      </c>
      <c r="AI35" s="218">
        <f t="shared" si="5"/>
        <v>0</v>
      </c>
      <c r="AJ35" s="218">
        <f t="shared" si="5"/>
        <v>0</v>
      </c>
      <c r="AK35" s="218">
        <f t="shared" si="5"/>
        <v>0</v>
      </c>
      <c r="AL35" s="218">
        <f t="shared" si="5"/>
        <v>0</v>
      </c>
      <c r="AM35" s="218">
        <f t="shared" si="5"/>
        <v>0</v>
      </c>
      <c r="AN35" s="218">
        <f t="shared" si="5"/>
        <v>0</v>
      </c>
      <c r="AO35" s="218">
        <f t="shared" si="5"/>
        <v>0</v>
      </c>
      <c r="AP35" s="218">
        <f t="shared" si="5"/>
        <v>0</v>
      </c>
      <c r="AQ35" s="218">
        <f t="shared" si="5"/>
        <v>0</v>
      </c>
    </row>
    <row r="36" spans="1:43" ht="17.25">
      <c r="A36" s="217"/>
      <c r="B36" s="217"/>
      <c r="C36" s="24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row>
    <row r="37" spans="1:43" ht="17.25">
      <c r="A37" s="217"/>
      <c r="B37" s="217"/>
      <c r="C37" s="24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row>
    <row r="38" spans="1:43" ht="17.25">
      <c r="A38" s="217" t="s">
        <v>529</v>
      </c>
      <c r="B38" s="217"/>
      <c r="C38" s="264">
        <f>'FORM-10 (A-F)'!F432</f>
        <v>0</v>
      </c>
      <c r="D38" s="218">
        <f>+C38</f>
        <v>0</v>
      </c>
      <c r="E38" s="218">
        <f>+D38+D38*$I4</f>
        <v>0</v>
      </c>
      <c r="F38" s="218">
        <f>+E38+E38*$I4</f>
        <v>0</v>
      </c>
      <c r="G38" s="218">
        <f aca="true" t="shared" si="6" ref="G38:T38">+F38+F38*$I4</f>
        <v>0</v>
      </c>
      <c r="H38" s="218">
        <f t="shared" si="6"/>
        <v>0</v>
      </c>
      <c r="I38" s="218">
        <f t="shared" si="6"/>
        <v>0</v>
      </c>
      <c r="J38" s="218">
        <f t="shared" si="6"/>
        <v>0</v>
      </c>
      <c r="K38" s="218">
        <f t="shared" si="6"/>
        <v>0</v>
      </c>
      <c r="L38" s="218">
        <f t="shared" si="6"/>
        <v>0</v>
      </c>
      <c r="M38" s="218">
        <f t="shared" si="6"/>
        <v>0</v>
      </c>
      <c r="N38" s="218">
        <f t="shared" si="6"/>
        <v>0</v>
      </c>
      <c r="O38" s="218">
        <f t="shared" si="6"/>
        <v>0</v>
      </c>
      <c r="P38" s="218">
        <f t="shared" si="6"/>
        <v>0</v>
      </c>
      <c r="Q38" s="218">
        <f t="shared" si="6"/>
        <v>0</v>
      </c>
      <c r="R38" s="218">
        <f t="shared" si="6"/>
        <v>0</v>
      </c>
      <c r="S38" s="218">
        <f t="shared" si="6"/>
        <v>0</v>
      </c>
      <c r="T38" s="218">
        <f t="shared" si="6"/>
        <v>0</v>
      </c>
      <c r="U38" s="218">
        <f aca="true" t="shared" si="7" ref="U38:AG38">+T38+T38*$I4</f>
        <v>0</v>
      </c>
      <c r="V38" s="218">
        <f t="shared" si="7"/>
        <v>0</v>
      </c>
      <c r="W38" s="218">
        <f t="shared" si="7"/>
        <v>0</v>
      </c>
      <c r="X38" s="218">
        <f t="shared" si="7"/>
        <v>0</v>
      </c>
      <c r="Y38" s="218">
        <f t="shared" si="7"/>
        <v>0</v>
      </c>
      <c r="Z38" s="218">
        <f t="shared" si="7"/>
        <v>0</v>
      </c>
      <c r="AA38" s="218">
        <f t="shared" si="7"/>
        <v>0</v>
      </c>
      <c r="AB38" s="218">
        <f t="shared" si="7"/>
        <v>0</v>
      </c>
      <c r="AC38" s="218">
        <f t="shared" si="7"/>
        <v>0</v>
      </c>
      <c r="AD38" s="218">
        <f t="shared" si="7"/>
        <v>0</v>
      </c>
      <c r="AE38" s="218">
        <f t="shared" si="7"/>
        <v>0</v>
      </c>
      <c r="AF38" s="218">
        <f t="shared" si="7"/>
        <v>0</v>
      </c>
      <c r="AG38" s="218">
        <f t="shared" si="7"/>
        <v>0</v>
      </c>
      <c r="AH38" s="218">
        <f aca="true" t="shared" si="8" ref="AH38:AQ38">+AG38+AG38*$I4</f>
        <v>0</v>
      </c>
      <c r="AI38" s="218">
        <f t="shared" si="8"/>
        <v>0</v>
      </c>
      <c r="AJ38" s="218">
        <f t="shared" si="8"/>
        <v>0</v>
      </c>
      <c r="AK38" s="218">
        <f t="shared" si="8"/>
        <v>0</v>
      </c>
      <c r="AL38" s="218">
        <f t="shared" si="8"/>
        <v>0</v>
      </c>
      <c r="AM38" s="218">
        <f t="shared" si="8"/>
        <v>0</v>
      </c>
      <c r="AN38" s="218">
        <f t="shared" si="8"/>
        <v>0</v>
      </c>
      <c r="AO38" s="218">
        <f t="shared" si="8"/>
        <v>0</v>
      </c>
      <c r="AP38" s="218">
        <f t="shared" si="8"/>
        <v>0</v>
      </c>
      <c r="AQ38" s="218">
        <f t="shared" si="8"/>
        <v>0</v>
      </c>
    </row>
    <row r="39" spans="1:43" ht="17.25">
      <c r="A39" s="217" t="s">
        <v>531</v>
      </c>
      <c r="B39" s="217"/>
      <c r="C39" s="265">
        <f>'FORM-10 (A-F)'!F433</f>
        <v>0</v>
      </c>
      <c r="D39" s="218">
        <f>+C39</f>
        <v>0</v>
      </c>
      <c r="E39" s="218">
        <f>+D39+D39*$I4</f>
        <v>0</v>
      </c>
      <c r="F39" s="218">
        <f aca="true" t="shared" si="9" ref="F39:T39">+E39+E39*$I4</f>
        <v>0</v>
      </c>
      <c r="G39" s="218">
        <f t="shared" si="9"/>
        <v>0</v>
      </c>
      <c r="H39" s="218">
        <f t="shared" si="9"/>
        <v>0</v>
      </c>
      <c r="I39" s="218">
        <f t="shared" si="9"/>
        <v>0</v>
      </c>
      <c r="J39" s="218">
        <f t="shared" si="9"/>
        <v>0</v>
      </c>
      <c r="K39" s="218">
        <f t="shared" si="9"/>
        <v>0</v>
      </c>
      <c r="L39" s="218">
        <f t="shared" si="9"/>
        <v>0</v>
      </c>
      <c r="M39" s="218">
        <f t="shared" si="9"/>
        <v>0</v>
      </c>
      <c r="N39" s="218">
        <f t="shared" si="9"/>
        <v>0</v>
      </c>
      <c r="O39" s="218">
        <f t="shared" si="9"/>
        <v>0</v>
      </c>
      <c r="P39" s="218">
        <f t="shared" si="9"/>
        <v>0</v>
      </c>
      <c r="Q39" s="218">
        <f t="shared" si="9"/>
        <v>0</v>
      </c>
      <c r="R39" s="218">
        <f t="shared" si="9"/>
        <v>0</v>
      </c>
      <c r="S39" s="218">
        <f t="shared" si="9"/>
        <v>0</v>
      </c>
      <c r="T39" s="218">
        <f t="shared" si="9"/>
        <v>0</v>
      </c>
      <c r="U39" s="218">
        <f aca="true" t="shared" si="10" ref="U39:AG39">+T39+T39*$I4</f>
        <v>0</v>
      </c>
      <c r="V39" s="218">
        <f t="shared" si="10"/>
        <v>0</v>
      </c>
      <c r="W39" s="218">
        <f t="shared" si="10"/>
        <v>0</v>
      </c>
      <c r="X39" s="218">
        <f t="shared" si="10"/>
        <v>0</v>
      </c>
      <c r="Y39" s="218">
        <f t="shared" si="10"/>
        <v>0</v>
      </c>
      <c r="Z39" s="218">
        <f t="shared" si="10"/>
        <v>0</v>
      </c>
      <c r="AA39" s="218">
        <f t="shared" si="10"/>
        <v>0</v>
      </c>
      <c r="AB39" s="218">
        <f t="shared" si="10"/>
        <v>0</v>
      </c>
      <c r="AC39" s="218">
        <f t="shared" si="10"/>
        <v>0</v>
      </c>
      <c r="AD39" s="218">
        <f t="shared" si="10"/>
        <v>0</v>
      </c>
      <c r="AE39" s="218">
        <f t="shared" si="10"/>
        <v>0</v>
      </c>
      <c r="AF39" s="218">
        <f t="shared" si="10"/>
        <v>0</v>
      </c>
      <c r="AG39" s="218">
        <f t="shared" si="10"/>
        <v>0</v>
      </c>
      <c r="AH39" s="218">
        <f aca="true" t="shared" si="11" ref="AH39:AQ39">+AG39+AG39*$I4</f>
        <v>0</v>
      </c>
      <c r="AI39" s="218">
        <f t="shared" si="11"/>
        <v>0</v>
      </c>
      <c r="AJ39" s="218">
        <f t="shared" si="11"/>
        <v>0</v>
      </c>
      <c r="AK39" s="218">
        <f t="shared" si="11"/>
        <v>0</v>
      </c>
      <c r="AL39" s="218">
        <f t="shared" si="11"/>
        <v>0</v>
      </c>
      <c r="AM39" s="218">
        <f t="shared" si="11"/>
        <v>0</v>
      </c>
      <c r="AN39" s="218">
        <f t="shared" si="11"/>
        <v>0</v>
      </c>
      <c r="AO39" s="218">
        <f t="shared" si="11"/>
        <v>0</v>
      </c>
      <c r="AP39" s="218">
        <f t="shared" si="11"/>
        <v>0</v>
      </c>
      <c r="AQ39" s="218">
        <f t="shared" si="11"/>
        <v>0</v>
      </c>
    </row>
    <row r="40" spans="1:43" ht="17.25">
      <c r="A40" s="217" t="s">
        <v>873</v>
      </c>
      <c r="B40" s="217"/>
      <c r="C40" s="266">
        <f>+I5/100</f>
        <v>0</v>
      </c>
      <c r="D40" s="220">
        <f>-$C40*SUM(D38:D39)</f>
        <v>0</v>
      </c>
      <c r="E40" s="220">
        <f aca="true" t="shared" si="12" ref="E40:AQ40">-$C40*SUM(E38:E39)</f>
        <v>0</v>
      </c>
      <c r="F40" s="220">
        <f t="shared" si="12"/>
        <v>0</v>
      </c>
      <c r="G40" s="220">
        <f t="shared" si="12"/>
        <v>0</v>
      </c>
      <c r="H40" s="220">
        <f t="shared" si="12"/>
        <v>0</v>
      </c>
      <c r="I40" s="220">
        <f t="shared" si="12"/>
        <v>0</v>
      </c>
      <c r="J40" s="220">
        <f t="shared" si="12"/>
        <v>0</v>
      </c>
      <c r="K40" s="220">
        <f t="shared" si="12"/>
        <v>0</v>
      </c>
      <c r="L40" s="220">
        <f t="shared" si="12"/>
        <v>0</v>
      </c>
      <c r="M40" s="220">
        <f t="shared" si="12"/>
        <v>0</v>
      </c>
      <c r="N40" s="220">
        <f t="shared" si="12"/>
        <v>0</v>
      </c>
      <c r="O40" s="220">
        <f t="shared" si="12"/>
        <v>0</v>
      </c>
      <c r="P40" s="220">
        <f t="shared" si="12"/>
        <v>0</v>
      </c>
      <c r="Q40" s="220">
        <f t="shared" si="12"/>
        <v>0</v>
      </c>
      <c r="R40" s="220">
        <f t="shared" si="12"/>
        <v>0</v>
      </c>
      <c r="S40" s="220">
        <f t="shared" si="12"/>
        <v>0</v>
      </c>
      <c r="T40" s="220">
        <f t="shared" si="12"/>
        <v>0</v>
      </c>
      <c r="U40" s="220">
        <f t="shared" si="12"/>
        <v>0</v>
      </c>
      <c r="V40" s="220">
        <f t="shared" si="12"/>
        <v>0</v>
      </c>
      <c r="W40" s="220">
        <f t="shared" si="12"/>
        <v>0</v>
      </c>
      <c r="X40" s="220">
        <f t="shared" si="12"/>
        <v>0</v>
      </c>
      <c r="Y40" s="220">
        <f t="shared" si="12"/>
        <v>0</v>
      </c>
      <c r="Z40" s="220">
        <f t="shared" si="12"/>
        <v>0</v>
      </c>
      <c r="AA40" s="220">
        <f t="shared" si="12"/>
        <v>0</v>
      </c>
      <c r="AB40" s="220">
        <f t="shared" si="12"/>
        <v>0</v>
      </c>
      <c r="AC40" s="220">
        <f t="shared" si="12"/>
        <v>0</v>
      </c>
      <c r="AD40" s="220">
        <f t="shared" si="12"/>
        <v>0</v>
      </c>
      <c r="AE40" s="220">
        <f t="shared" si="12"/>
        <v>0</v>
      </c>
      <c r="AF40" s="220">
        <f t="shared" si="12"/>
        <v>0</v>
      </c>
      <c r="AG40" s="220">
        <f t="shared" si="12"/>
        <v>0</v>
      </c>
      <c r="AH40" s="220">
        <f t="shared" si="12"/>
        <v>0</v>
      </c>
      <c r="AI40" s="220">
        <f t="shared" si="12"/>
        <v>0</v>
      </c>
      <c r="AJ40" s="220">
        <f t="shared" si="12"/>
        <v>0</v>
      </c>
      <c r="AK40" s="220">
        <f t="shared" si="12"/>
        <v>0</v>
      </c>
      <c r="AL40" s="220">
        <f t="shared" si="12"/>
        <v>0</v>
      </c>
      <c r="AM40" s="220">
        <f t="shared" si="12"/>
        <v>0</v>
      </c>
      <c r="AN40" s="220">
        <f t="shared" si="12"/>
        <v>0</v>
      </c>
      <c r="AO40" s="220">
        <f t="shared" si="12"/>
        <v>0</v>
      </c>
      <c r="AP40" s="220">
        <f t="shared" si="12"/>
        <v>0</v>
      </c>
      <c r="AQ40" s="220">
        <f t="shared" si="12"/>
        <v>0</v>
      </c>
    </row>
    <row r="41" spans="1:43" ht="17.25">
      <c r="A41" s="267" t="s">
        <v>874</v>
      </c>
      <c r="B41" s="248"/>
      <c r="C41" s="248"/>
      <c r="D41" s="268">
        <f>SUM(D38:D40)</f>
        <v>0</v>
      </c>
      <c r="E41" s="248">
        <f>SUM(E38:E40)</f>
        <v>0</v>
      </c>
      <c r="F41" s="248">
        <f aca="true" t="shared" si="13" ref="F41:T41">SUM(F38:F40)</f>
        <v>0</v>
      </c>
      <c r="G41" s="248">
        <f t="shared" si="13"/>
        <v>0</v>
      </c>
      <c r="H41" s="248">
        <f t="shared" si="13"/>
        <v>0</v>
      </c>
      <c r="I41" s="248">
        <f t="shared" si="13"/>
        <v>0</v>
      </c>
      <c r="J41" s="248">
        <f t="shared" si="13"/>
        <v>0</v>
      </c>
      <c r="K41" s="248">
        <f t="shared" si="13"/>
        <v>0</v>
      </c>
      <c r="L41" s="248">
        <f t="shared" si="13"/>
        <v>0</v>
      </c>
      <c r="M41" s="248">
        <f t="shared" si="13"/>
        <v>0</v>
      </c>
      <c r="N41" s="248">
        <f t="shared" si="13"/>
        <v>0</v>
      </c>
      <c r="O41" s="248">
        <f t="shared" si="13"/>
        <v>0</v>
      </c>
      <c r="P41" s="248">
        <f t="shared" si="13"/>
        <v>0</v>
      </c>
      <c r="Q41" s="248">
        <f t="shared" si="13"/>
        <v>0</v>
      </c>
      <c r="R41" s="248">
        <f t="shared" si="13"/>
        <v>0</v>
      </c>
      <c r="S41" s="248">
        <f t="shared" si="13"/>
        <v>0</v>
      </c>
      <c r="T41" s="248">
        <f t="shared" si="13"/>
        <v>0</v>
      </c>
      <c r="U41" s="248">
        <f aca="true" t="shared" si="14" ref="U41:AQ41">SUM(U38:U40)</f>
        <v>0</v>
      </c>
      <c r="V41" s="248">
        <f t="shared" si="14"/>
        <v>0</v>
      </c>
      <c r="W41" s="248">
        <f t="shared" si="14"/>
        <v>0</v>
      </c>
      <c r="X41" s="248">
        <f t="shared" si="14"/>
        <v>0</v>
      </c>
      <c r="Y41" s="248">
        <f t="shared" si="14"/>
        <v>0</v>
      </c>
      <c r="Z41" s="248">
        <f t="shared" si="14"/>
        <v>0</v>
      </c>
      <c r="AA41" s="248">
        <f t="shared" si="14"/>
        <v>0</v>
      </c>
      <c r="AB41" s="248">
        <f t="shared" si="14"/>
        <v>0</v>
      </c>
      <c r="AC41" s="248">
        <f t="shared" si="14"/>
        <v>0</v>
      </c>
      <c r="AD41" s="248">
        <f t="shared" si="14"/>
        <v>0</v>
      </c>
      <c r="AE41" s="248">
        <f t="shared" si="14"/>
        <v>0</v>
      </c>
      <c r="AF41" s="248">
        <f t="shared" si="14"/>
        <v>0</v>
      </c>
      <c r="AG41" s="248">
        <f t="shared" si="14"/>
        <v>0</v>
      </c>
      <c r="AH41" s="248">
        <f t="shared" si="14"/>
        <v>0</v>
      </c>
      <c r="AI41" s="248">
        <f t="shared" si="14"/>
        <v>0</v>
      </c>
      <c r="AJ41" s="248">
        <f t="shared" si="14"/>
        <v>0</v>
      </c>
      <c r="AK41" s="248">
        <f t="shared" si="14"/>
        <v>0</v>
      </c>
      <c r="AL41" s="248">
        <f t="shared" si="14"/>
        <v>0</v>
      </c>
      <c r="AM41" s="248">
        <f t="shared" si="14"/>
        <v>0</v>
      </c>
      <c r="AN41" s="248">
        <f t="shared" si="14"/>
        <v>0</v>
      </c>
      <c r="AO41" s="248">
        <f t="shared" si="14"/>
        <v>0</v>
      </c>
      <c r="AP41" s="248">
        <f t="shared" si="14"/>
        <v>0</v>
      </c>
      <c r="AQ41" s="248">
        <f t="shared" si="14"/>
        <v>0</v>
      </c>
    </row>
    <row r="42" spans="1:43" ht="17.25">
      <c r="A42" s="151" t="s">
        <v>901</v>
      </c>
      <c r="B42" s="143"/>
      <c r="C42" s="143"/>
      <c r="D42" s="331">
        <f>D35+D41</f>
        <v>0</v>
      </c>
      <c r="E42" s="331">
        <f>E35+E41</f>
        <v>0</v>
      </c>
      <c r="F42" s="331">
        <f aca="true" t="shared" si="15" ref="F42:T42">F35+F41</f>
        <v>0</v>
      </c>
      <c r="G42" s="331">
        <f t="shared" si="15"/>
        <v>0</v>
      </c>
      <c r="H42" s="331">
        <f t="shared" si="15"/>
        <v>0</v>
      </c>
      <c r="I42" s="331">
        <f t="shared" si="15"/>
        <v>0</v>
      </c>
      <c r="J42" s="331">
        <f t="shared" si="15"/>
        <v>0</v>
      </c>
      <c r="K42" s="331">
        <f t="shared" si="15"/>
        <v>0</v>
      </c>
      <c r="L42" s="331">
        <f t="shared" si="15"/>
        <v>0</v>
      </c>
      <c r="M42" s="331">
        <f t="shared" si="15"/>
        <v>0</v>
      </c>
      <c r="N42" s="331">
        <f t="shared" si="15"/>
        <v>0</v>
      </c>
      <c r="O42" s="331">
        <f t="shared" si="15"/>
        <v>0</v>
      </c>
      <c r="P42" s="331">
        <f t="shared" si="15"/>
        <v>0</v>
      </c>
      <c r="Q42" s="331">
        <f t="shared" si="15"/>
        <v>0</v>
      </c>
      <c r="R42" s="331">
        <f t="shared" si="15"/>
        <v>0</v>
      </c>
      <c r="S42" s="331">
        <f t="shared" si="15"/>
        <v>0</v>
      </c>
      <c r="T42" s="331">
        <f t="shared" si="15"/>
        <v>0</v>
      </c>
      <c r="U42" s="331">
        <f aca="true" t="shared" si="16" ref="U42:AQ42">U35+U41</f>
        <v>0</v>
      </c>
      <c r="V42" s="331">
        <f t="shared" si="16"/>
        <v>0</v>
      </c>
      <c r="W42" s="331">
        <f t="shared" si="16"/>
        <v>0</v>
      </c>
      <c r="X42" s="331">
        <f t="shared" si="16"/>
        <v>0</v>
      </c>
      <c r="Y42" s="331">
        <f t="shared" si="16"/>
        <v>0</v>
      </c>
      <c r="Z42" s="331">
        <f t="shared" si="16"/>
        <v>0</v>
      </c>
      <c r="AA42" s="331">
        <f t="shared" si="16"/>
        <v>0</v>
      </c>
      <c r="AB42" s="331">
        <f t="shared" si="16"/>
        <v>0</v>
      </c>
      <c r="AC42" s="331">
        <f t="shared" si="16"/>
        <v>0</v>
      </c>
      <c r="AD42" s="331">
        <f t="shared" si="16"/>
        <v>0</v>
      </c>
      <c r="AE42" s="331">
        <f t="shared" si="16"/>
        <v>0</v>
      </c>
      <c r="AF42" s="331">
        <f t="shared" si="16"/>
        <v>0</v>
      </c>
      <c r="AG42" s="331">
        <f t="shared" si="16"/>
        <v>0</v>
      </c>
      <c r="AH42" s="331">
        <f t="shared" si="16"/>
        <v>0</v>
      </c>
      <c r="AI42" s="331">
        <f t="shared" si="16"/>
        <v>0</v>
      </c>
      <c r="AJ42" s="331">
        <f t="shared" si="16"/>
        <v>0</v>
      </c>
      <c r="AK42" s="331">
        <f t="shared" si="16"/>
        <v>0</v>
      </c>
      <c r="AL42" s="331">
        <f t="shared" si="16"/>
        <v>0</v>
      </c>
      <c r="AM42" s="331">
        <f t="shared" si="16"/>
        <v>0</v>
      </c>
      <c r="AN42" s="331">
        <f t="shared" si="16"/>
        <v>0</v>
      </c>
      <c r="AO42" s="331">
        <f t="shared" si="16"/>
        <v>0</v>
      </c>
      <c r="AP42" s="331">
        <f t="shared" si="16"/>
        <v>0</v>
      </c>
      <c r="AQ42" s="331">
        <f t="shared" si="16"/>
        <v>0</v>
      </c>
    </row>
    <row r="43" spans="1:43" ht="17.25">
      <c r="A43" s="248" t="s">
        <v>543</v>
      </c>
      <c r="B43" s="248"/>
      <c r="C43" s="248"/>
      <c r="D43" s="26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row>
    <row r="44" spans="1:43" ht="17.25">
      <c r="A44" s="217" t="s">
        <v>544</v>
      </c>
      <c r="B44" s="217"/>
      <c r="C44" s="264">
        <f>'FORM-10 (A-F)'!F440</f>
        <v>0</v>
      </c>
      <c r="D44" s="218">
        <f>+C44</f>
        <v>0</v>
      </c>
      <c r="E44" s="218">
        <f>+D44+D44*$I4</f>
        <v>0</v>
      </c>
      <c r="F44" s="218">
        <f aca="true" t="shared" si="17" ref="F44:T44">+E44+E44*$I4</f>
        <v>0</v>
      </c>
      <c r="G44" s="218">
        <f t="shared" si="17"/>
        <v>0</v>
      </c>
      <c r="H44" s="218">
        <f t="shared" si="17"/>
        <v>0</v>
      </c>
      <c r="I44" s="218">
        <f t="shared" si="17"/>
        <v>0</v>
      </c>
      <c r="J44" s="218">
        <f t="shared" si="17"/>
        <v>0</v>
      </c>
      <c r="K44" s="218">
        <f t="shared" si="17"/>
        <v>0</v>
      </c>
      <c r="L44" s="218">
        <f t="shared" si="17"/>
        <v>0</v>
      </c>
      <c r="M44" s="218">
        <f t="shared" si="17"/>
        <v>0</v>
      </c>
      <c r="N44" s="218">
        <f t="shared" si="17"/>
        <v>0</v>
      </c>
      <c r="O44" s="218">
        <f t="shared" si="17"/>
        <v>0</v>
      </c>
      <c r="P44" s="218">
        <f t="shared" si="17"/>
        <v>0</v>
      </c>
      <c r="Q44" s="218">
        <f t="shared" si="17"/>
        <v>0</v>
      </c>
      <c r="R44" s="218">
        <f t="shared" si="17"/>
        <v>0</v>
      </c>
      <c r="S44" s="218">
        <f t="shared" si="17"/>
        <v>0</v>
      </c>
      <c r="T44" s="218">
        <f t="shared" si="17"/>
        <v>0</v>
      </c>
      <c r="U44" s="218">
        <f aca="true" t="shared" si="18" ref="U44:AG44">+T44+T44*$I4</f>
        <v>0</v>
      </c>
      <c r="V44" s="218">
        <f t="shared" si="18"/>
        <v>0</v>
      </c>
      <c r="W44" s="218">
        <f t="shared" si="18"/>
        <v>0</v>
      </c>
      <c r="X44" s="218">
        <f t="shared" si="18"/>
        <v>0</v>
      </c>
      <c r="Y44" s="218">
        <f t="shared" si="18"/>
        <v>0</v>
      </c>
      <c r="Z44" s="218">
        <f t="shared" si="18"/>
        <v>0</v>
      </c>
      <c r="AA44" s="218">
        <f t="shared" si="18"/>
        <v>0</v>
      </c>
      <c r="AB44" s="218">
        <f t="shared" si="18"/>
        <v>0</v>
      </c>
      <c r="AC44" s="218">
        <f t="shared" si="18"/>
        <v>0</v>
      </c>
      <c r="AD44" s="218">
        <f t="shared" si="18"/>
        <v>0</v>
      </c>
      <c r="AE44" s="218">
        <f t="shared" si="18"/>
        <v>0</v>
      </c>
      <c r="AF44" s="218">
        <f t="shared" si="18"/>
        <v>0</v>
      </c>
      <c r="AG44" s="218">
        <f t="shared" si="18"/>
        <v>0</v>
      </c>
      <c r="AH44" s="218">
        <f aca="true" t="shared" si="19" ref="AH44:AQ44">+AG44+AG44*$I4</f>
        <v>0</v>
      </c>
      <c r="AI44" s="218">
        <f t="shared" si="19"/>
        <v>0</v>
      </c>
      <c r="AJ44" s="218">
        <f t="shared" si="19"/>
        <v>0</v>
      </c>
      <c r="AK44" s="218">
        <f t="shared" si="19"/>
        <v>0</v>
      </c>
      <c r="AL44" s="218">
        <f t="shared" si="19"/>
        <v>0</v>
      </c>
      <c r="AM44" s="218">
        <f t="shared" si="19"/>
        <v>0</v>
      </c>
      <c r="AN44" s="218">
        <f t="shared" si="19"/>
        <v>0</v>
      </c>
      <c r="AO44" s="218">
        <f t="shared" si="19"/>
        <v>0</v>
      </c>
      <c r="AP44" s="218">
        <f t="shared" si="19"/>
        <v>0</v>
      </c>
      <c r="AQ44" s="218">
        <f t="shared" si="19"/>
        <v>0</v>
      </c>
    </row>
    <row r="45" spans="1:43" ht="17.25">
      <c r="A45" s="269" t="str">
        <f>'FORM-10 (A-F)'!B441</f>
        <v>Other:</v>
      </c>
      <c r="B45" s="270"/>
      <c r="C45" s="265">
        <f>'FORM-10 (A-F)'!F441</f>
        <v>0</v>
      </c>
      <c r="D45" s="221">
        <f>+C45</f>
        <v>0</v>
      </c>
      <c r="E45" s="221">
        <f>+D45+D45*$I4</f>
        <v>0</v>
      </c>
      <c r="F45" s="221">
        <f aca="true" t="shared" si="20" ref="F45:T45">+E45+E45*$I4</f>
        <v>0</v>
      </c>
      <c r="G45" s="221">
        <f t="shared" si="20"/>
        <v>0</v>
      </c>
      <c r="H45" s="221">
        <f t="shared" si="20"/>
        <v>0</v>
      </c>
      <c r="I45" s="221">
        <f t="shared" si="20"/>
        <v>0</v>
      </c>
      <c r="J45" s="221">
        <f t="shared" si="20"/>
        <v>0</v>
      </c>
      <c r="K45" s="221">
        <f t="shared" si="20"/>
        <v>0</v>
      </c>
      <c r="L45" s="221">
        <f t="shared" si="20"/>
        <v>0</v>
      </c>
      <c r="M45" s="221">
        <f t="shared" si="20"/>
        <v>0</v>
      </c>
      <c r="N45" s="221">
        <f t="shared" si="20"/>
        <v>0</v>
      </c>
      <c r="O45" s="221">
        <f t="shared" si="20"/>
        <v>0</v>
      </c>
      <c r="P45" s="221">
        <f t="shared" si="20"/>
        <v>0</v>
      </c>
      <c r="Q45" s="221">
        <f t="shared" si="20"/>
        <v>0</v>
      </c>
      <c r="R45" s="221">
        <f t="shared" si="20"/>
        <v>0</v>
      </c>
      <c r="S45" s="221">
        <f t="shared" si="20"/>
        <v>0</v>
      </c>
      <c r="T45" s="221">
        <f t="shared" si="20"/>
        <v>0</v>
      </c>
      <c r="U45" s="221">
        <f aca="true" t="shared" si="21" ref="U45:AG45">+T45+T45*$I4</f>
        <v>0</v>
      </c>
      <c r="V45" s="221">
        <f t="shared" si="21"/>
        <v>0</v>
      </c>
      <c r="W45" s="221">
        <f t="shared" si="21"/>
        <v>0</v>
      </c>
      <c r="X45" s="221">
        <f t="shared" si="21"/>
        <v>0</v>
      </c>
      <c r="Y45" s="221">
        <f t="shared" si="21"/>
        <v>0</v>
      </c>
      <c r="Z45" s="221">
        <f t="shared" si="21"/>
        <v>0</v>
      </c>
      <c r="AA45" s="221">
        <f t="shared" si="21"/>
        <v>0</v>
      </c>
      <c r="AB45" s="221">
        <f t="shared" si="21"/>
        <v>0</v>
      </c>
      <c r="AC45" s="221">
        <f t="shared" si="21"/>
        <v>0</v>
      </c>
      <c r="AD45" s="221">
        <f t="shared" si="21"/>
        <v>0</v>
      </c>
      <c r="AE45" s="221">
        <f t="shared" si="21"/>
        <v>0</v>
      </c>
      <c r="AF45" s="221">
        <f t="shared" si="21"/>
        <v>0</v>
      </c>
      <c r="AG45" s="221">
        <f t="shared" si="21"/>
        <v>0</v>
      </c>
      <c r="AH45" s="221">
        <f aca="true" t="shared" si="22" ref="AH45:AQ45">+AG45+AG45*$I4</f>
        <v>0</v>
      </c>
      <c r="AI45" s="221">
        <f t="shared" si="22"/>
        <v>0</v>
      </c>
      <c r="AJ45" s="221">
        <f t="shared" si="22"/>
        <v>0</v>
      </c>
      <c r="AK45" s="221">
        <f t="shared" si="22"/>
        <v>0</v>
      </c>
      <c r="AL45" s="221">
        <f t="shared" si="22"/>
        <v>0</v>
      </c>
      <c r="AM45" s="221">
        <f t="shared" si="22"/>
        <v>0</v>
      </c>
      <c r="AN45" s="221">
        <f t="shared" si="22"/>
        <v>0</v>
      </c>
      <c r="AO45" s="221">
        <f t="shared" si="22"/>
        <v>0</v>
      </c>
      <c r="AP45" s="221">
        <f t="shared" si="22"/>
        <v>0</v>
      </c>
      <c r="AQ45" s="221">
        <f t="shared" si="22"/>
        <v>0</v>
      </c>
    </row>
    <row r="46" spans="1:43" ht="17.25">
      <c r="A46" s="248" t="s">
        <v>545</v>
      </c>
      <c r="B46" s="248"/>
      <c r="C46" s="248"/>
      <c r="D46" s="248">
        <f>SUM(D44:D45)</f>
        <v>0</v>
      </c>
      <c r="E46" s="248">
        <f aca="true" t="shared" si="23" ref="E46:T46">SUM(E44:E45)</f>
        <v>0</v>
      </c>
      <c r="F46" s="248">
        <f t="shared" si="23"/>
        <v>0</v>
      </c>
      <c r="G46" s="248">
        <f t="shared" si="23"/>
        <v>0</v>
      </c>
      <c r="H46" s="248">
        <f t="shared" si="23"/>
        <v>0</v>
      </c>
      <c r="I46" s="248">
        <f t="shared" si="23"/>
        <v>0</v>
      </c>
      <c r="J46" s="248">
        <f t="shared" si="23"/>
        <v>0</v>
      </c>
      <c r="K46" s="248">
        <f t="shared" si="23"/>
        <v>0</v>
      </c>
      <c r="L46" s="248">
        <f t="shared" si="23"/>
        <v>0</v>
      </c>
      <c r="M46" s="248">
        <f t="shared" si="23"/>
        <v>0</v>
      </c>
      <c r="N46" s="248">
        <f t="shared" si="23"/>
        <v>0</v>
      </c>
      <c r="O46" s="248">
        <f t="shared" si="23"/>
        <v>0</v>
      </c>
      <c r="P46" s="248">
        <f t="shared" si="23"/>
        <v>0</v>
      </c>
      <c r="Q46" s="248">
        <f t="shared" si="23"/>
        <v>0</v>
      </c>
      <c r="R46" s="248">
        <f t="shared" si="23"/>
        <v>0</v>
      </c>
      <c r="S46" s="248">
        <f t="shared" si="23"/>
        <v>0</v>
      </c>
      <c r="T46" s="248">
        <f t="shared" si="23"/>
        <v>0</v>
      </c>
      <c r="U46" s="248">
        <f aca="true" t="shared" si="24" ref="U46:AQ46">SUM(U44:U45)</f>
        <v>0</v>
      </c>
      <c r="V46" s="248">
        <f t="shared" si="24"/>
        <v>0</v>
      </c>
      <c r="W46" s="248">
        <f t="shared" si="24"/>
        <v>0</v>
      </c>
      <c r="X46" s="248">
        <f t="shared" si="24"/>
        <v>0</v>
      </c>
      <c r="Y46" s="248">
        <f t="shared" si="24"/>
        <v>0</v>
      </c>
      <c r="Z46" s="248">
        <f t="shared" si="24"/>
        <v>0</v>
      </c>
      <c r="AA46" s="248">
        <f t="shared" si="24"/>
        <v>0</v>
      </c>
      <c r="AB46" s="248">
        <f t="shared" si="24"/>
        <v>0</v>
      </c>
      <c r="AC46" s="248">
        <f t="shared" si="24"/>
        <v>0</v>
      </c>
      <c r="AD46" s="248">
        <f t="shared" si="24"/>
        <v>0</v>
      </c>
      <c r="AE46" s="248">
        <f t="shared" si="24"/>
        <v>0</v>
      </c>
      <c r="AF46" s="248">
        <f t="shared" si="24"/>
        <v>0</v>
      </c>
      <c r="AG46" s="248">
        <f t="shared" si="24"/>
        <v>0</v>
      </c>
      <c r="AH46" s="248">
        <f t="shared" si="24"/>
        <v>0</v>
      </c>
      <c r="AI46" s="248">
        <f t="shared" si="24"/>
        <v>0</v>
      </c>
      <c r="AJ46" s="248">
        <f t="shared" si="24"/>
        <v>0</v>
      </c>
      <c r="AK46" s="248">
        <f t="shared" si="24"/>
        <v>0</v>
      </c>
      <c r="AL46" s="248">
        <f t="shared" si="24"/>
        <v>0</v>
      </c>
      <c r="AM46" s="248">
        <f t="shared" si="24"/>
        <v>0</v>
      </c>
      <c r="AN46" s="248">
        <f t="shared" si="24"/>
        <v>0</v>
      </c>
      <c r="AO46" s="248">
        <f t="shared" si="24"/>
        <v>0</v>
      </c>
      <c r="AP46" s="248">
        <f t="shared" si="24"/>
        <v>0</v>
      </c>
      <c r="AQ46" s="248">
        <f t="shared" si="24"/>
        <v>0</v>
      </c>
    </row>
    <row r="47" spans="1:43" ht="17.25">
      <c r="A47" s="248"/>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row>
    <row r="48" spans="1:43" ht="17.25">
      <c r="A48" s="222" t="s">
        <v>546</v>
      </c>
      <c r="B48" s="222"/>
      <c r="C48" s="260"/>
      <c r="D48" s="218">
        <f>+D35+D41+D46</f>
        <v>0</v>
      </c>
      <c r="E48" s="218">
        <f aca="true" t="shared" si="25" ref="E48:T48">+E35+E41+E46</f>
        <v>0</v>
      </c>
      <c r="F48" s="218">
        <f t="shared" si="25"/>
        <v>0</v>
      </c>
      <c r="G48" s="218">
        <f t="shared" si="25"/>
        <v>0</v>
      </c>
      <c r="H48" s="218">
        <f t="shared" si="25"/>
        <v>0</v>
      </c>
      <c r="I48" s="218">
        <f t="shared" si="25"/>
        <v>0</v>
      </c>
      <c r="J48" s="218">
        <f t="shared" si="25"/>
        <v>0</v>
      </c>
      <c r="K48" s="218">
        <f t="shared" si="25"/>
        <v>0</v>
      </c>
      <c r="L48" s="218">
        <f t="shared" si="25"/>
        <v>0</v>
      </c>
      <c r="M48" s="218">
        <f t="shared" si="25"/>
        <v>0</v>
      </c>
      <c r="N48" s="218">
        <f t="shared" si="25"/>
        <v>0</v>
      </c>
      <c r="O48" s="218">
        <f t="shared" si="25"/>
        <v>0</v>
      </c>
      <c r="P48" s="218">
        <f t="shared" si="25"/>
        <v>0</v>
      </c>
      <c r="Q48" s="218">
        <f t="shared" si="25"/>
        <v>0</v>
      </c>
      <c r="R48" s="218">
        <f t="shared" si="25"/>
        <v>0</v>
      </c>
      <c r="S48" s="218">
        <f t="shared" si="25"/>
        <v>0</v>
      </c>
      <c r="T48" s="218">
        <f t="shared" si="25"/>
        <v>0</v>
      </c>
      <c r="U48" s="218">
        <f aca="true" t="shared" si="26" ref="U48:AG48">+U35+U41+U46</f>
        <v>0</v>
      </c>
      <c r="V48" s="218">
        <f t="shared" si="26"/>
        <v>0</v>
      </c>
      <c r="W48" s="218">
        <f t="shared" si="26"/>
        <v>0</v>
      </c>
      <c r="X48" s="218">
        <f t="shared" si="26"/>
        <v>0</v>
      </c>
      <c r="Y48" s="218">
        <f t="shared" si="26"/>
        <v>0</v>
      </c>
      <c r="Z48" s="218">
        <f t="shared" si="26"/>
        <v>0</v>
      </c>
      <c r="AA48" s="218">
        <f t="shared" si="26"/>
        <v>0</v>
      </c>
      <c r="AB48" s="218">
        <f t="shared" si="26"/>
        <v>0</v>
      </c>
      <c r="AC48" s="218">
        <f t="shared" si="26"/>
        <v>0</v>
      </c>
      <c r="AD48" s="218">
        <f t="shared" si="26"/>
        <v>0</v>
      </c>
      <c r="AE48" s="218">
        <f t="shared" si="26"/>
        <v>0</v>
      </c>
      <c r="AF48" s="218">
        <f t="shared" si="26"/>
        <v>0</v>
      </c>
      <c r="AG48" s="218">
        <f t="shared" si="26"/>
        <v>0</v>
      </c>
      <c r="AH48" s="218">
        <f aca="true" t="shared" si="27" ref="AH48:AQ48">+AH35+AH41+AH46</f>
        <v>0</v>
      </c>
      <c r="AI48" s="218">
        <f t="shared" si="27"/>
        <v>0</v>
      </c>
      <c r="AJ48" s="218">
        <f t="shared" si="27"/>
        <v>0</v>
      </c>
      <c r="AK48" s="218">
        <f t="shared" si="27"/>
        <v>0</v>
      </c>
      <c r="AL48" s="218">
        <f t="shared" si="27"/>
        <v>0</v>
      </c>
      <c r="AM48" s="218">
        <f t="shared" si="27"/>
        <v>0</v>
      </c>
      <c r="AN48" s="218">
        <f t="shared" si="27"/>
        <v>0</v>
      </c>
      <c r="AO48" s="218">
        <f t="shared" si="27"/>
        <v>0</v>
      </c>
      <c r="AP48" s="218">
        <f t="shared" si="27"/>
        <v>0</v>
      </c>
      <c r="AQ48" s="218">
        <f t="shared" si="27"/>
        <v>0</v>
      </c>
    </row>
    <row r="49" spans="1:43" ht="17.25">
      <c r="A49" s="156"/>
      <c r="B49" s="156"/>
      <c r="C49" s="469" t="s">
        <v>1240</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row>
    <row r="50" spans="1:43" ht="17.25">
      <c r="A50" s="223" t="s">
        <v>875</v>
      </c>
      <c r="B50" s="223"/>
      <c r="C50" s="271" t="s">
        <v>876</v>
      </c>
      <c r="D50" s="218" t="s">
        <v>1414</v>
      </c>
      <c r="E50" s="218" t="s">
        <v>1414</v>
      </c>
      <c r="F50" s="224" t="s">
        <v>1414</v>
      </c>
      <c r="G50" s="218"/>
      <c r="H50" s="218"/>
      <c r="I50" s="218"/>
      <c r="J50" s="218"/>
      <c r="K50" s="218"/>
      <c r="L50" s="218"/>
      <c r="M50" s="218"/>
      <c r="N50" s="218"/>
      <c r="O50" s="218"/>
      <c r="P50" s="218"/>
      <c r="Q50" s="224"/>
      <c r="R50" s="224"/>
      <c r="S50" s="224"/>
      <c r="T50" s="224"/>
      <c r="U50" s="218"/>
      <c r="V50" s="218"/>
      <c r="W50" s="218"/>
      <c r="X50" s="218"/>
      <c r="Y50" s="218"/>
      <c r="Z50" s="218"/>
      <c r="AA50" s="218"/>
      <c r="AB50" s="218"/>
      <c r="AC50" s="218"/>
      <c r="AD50" s="224"/>
      <c r="AE50" s="224"/>
      <c r="AF50" s="224"/>
      <c r="AG50" s="224"/>
      <c r="AH50" s="224"/>
      <c r="AI50" s="224"/>
      <c r="AJ50" s="224"/>
      <c r="AK50" s="224"/>
      <c r="AL50" s="224"/>
      <c r="AM50" s="224"/>
      <c r="AN50" s="224"/>
      <c r="AO50" s="224"/>
      <c r="AP50" s="224"/>
      <c r="AQ50" s="224"/>
    </row>
    <row r="51" spans="1:43" ht="17.25">
      <c r="A51" s="217" t="s">
        <v>877</v>
      </c>
      <c r="B51" s="217"/>
      <c r="C51" s="225">
        <f>IF(B28&lt;&gt;0,(+D51/B28),0)</f>
        <v>0</v>
      </c>
      <c r="D51" s="272">
        <f>'FORM-10 (A-F)'!F447</f>
        <v>0</v>
      </c>
      <c r="E51" s="218">
        <f aca="true" t="shared" si="28" ref="E51:T55">D51*(1+$I$2)</f>
        <v>0</v>
      </c>
      <c r="F51" s="218">
        <f t="shared" si="28"/>
        <v>0</v>
      </c>
      <c r="G51" s="218">
        <f t="shared" si="28"/>
        <v>0</v>
      </c>
      <c r="H51" s="218">
        <f t="shared" si="28"/>
        <v>0</v>
      </c>
      <c r="I51" s="218">
        <f t="shared" si="28"/>
        <v>0</v>
      </c>
      <c r="J51" s="218">
        <f t="shared" si="28"/>
        <v>0</v>
      </c>
      <c r="K51" s="218">
        <f t="shared" si="28"/>
        <v>0</v>
      </c>
      <c r="L51" s="218">
        <f t="shared" si="28"/>
        <v>0</v>
      </c>
      <c r="M51" s="218">
        <f t="shared" si="28"/>
        <v>0</v>
      </c>
      <c r="N51" s="218">
        <f t="shared" si="28"/>
        <v>0</v>
      </c>
      <c r="O51" s="218">
        <f t="shared" si="28"/>
        <v>0</v>
      </c>
      <c r="P51" s="218">
        <f t="shared" si="28"/>
        <v>0</v>
      </c>
      <c r="Q51" s="218">
        <f t="shared" si="28"/>
        <v>0</v>
      </c>
      <c r="R51" s="218">
        <f t="shared" si="28"/>
        <v>0</v>
      </c>
      <c r="S51" s="218">
        <f t="shared" si="28"/>
        <v>0</v>
      </c>
      <c r="T51" s="218">
        <f t="shared" si="28"/>
        <v>0</v>
      </c>
      <c r="U51" s="218">
        <f aca="true" t="shared" si="29" ref="U51:AG51">T51*(1+$I$2)</f>
        <v>0</v>
      </c>
      <c r="V51" s="218">
        <f t="shared" si="29"/>
        <v>0</v>
      </c>
      <c r="W51" s="218">
        <f t="shared" si="29"/>
        <v>0</v>
      </c>
      <c r="X51" s="218">
        <f t="shared" si="29"/>
        <v>0</v>
      </c>
      <c r="Y51" s="218">
        <f t="shared" si="29"/>
        <v>0</v>
      </c>
      <c r="Z51" s="218">
        <f t="shared" si="29"/>
        <v>0</v>
      </c>
      <c r="AA51" s="218">
        <f t="shared" si="29"/>
        <v>0</v>
      </c>
      <c r="AB51" s="218">
        <f t="shared" si="29"/>
        <v>0</v>
      </c>
      <c r="AC51" s="218">
        <f t="shared" si="29"/>
        <v>0</v>
      </c>
      <c r="AD51" s="218">
        <f t="shared" si="29"/>
        <v>0</v>
      </c>
      <c r="AE51" s="218">
        <f t="shared" si="29"/>
        <v>0</v>
      </c>
      <c r="AF51" s="218">
        <f t="shared" si="29"/>
        <v>0</v>
      </c>
      <c r="AG51" s="218">
        <f t="shared" si="29"/>
        <v>0</v>
      </c>
      <c r="AH51" s="218">
        <f aca="true" t="shared" si="30" ref="AH51:AQ51">AG51*(1+$I$2)</f>
        <v>0</v>
      </c>
      <c r="AI51" s="218">
        <f t="shared" si="30"/>
        <v>0</v>
      </c>
      <c r="AJ51" s="218">
        <f t="shared" si="30"/>
        <v>0</v>
      </c>
      <c r="AK51" s="218">
        <f t="shared" si="30"/>
        <v>0</v>
      </c>
      <c r="AL51" s="218">
        <f t="shared" si="30"/>
        <v>0</v>
      </c>
      <c r="AM51" s="218">
        <f t="shared" si="30"/>
        <v>0</v>
      </c>
      <c r="AN51" s="218">
        <f t="shared" si="30"/>
        <v>0</v>
      </c>
      <c r="AO51" s="218">
        <f t="shared" si="30"/>
        <v>0</v>
      </c>
      <c r="AP51" s="218">
        <f t="shared" si="30"/>
        <v>0</v>
      </c>
      <c r="AQ51" s="218">
        <f t="shared" si="30"/>
        <v>0</v>
      </c>
    </row>
    <row r="52" spans="1:43" ht="17.25">
      <c r="A52" s="217" t="s">
        <v>878</v>
      </c>
      <c r="B52" s="217"/>
      <c r="C52" s="225">
        <f>IF(B28&lt;&gt;0,(+D52/B28),0)</f>
        <v>0</v>
      </c>
      <c r="D52" s="272">
        <f>'FORM-10 (A-F)'!F448</f>
        <v>0</v>
      </c>
      <c r="E52" s="218">
        <f t="shared" si="28"/>
        <v>0</v>
      </c>
      <c r="F52" s="218">
        <f t="shared" si="28"/>
        <v>0</v>
      </c>
      <c r="G52" s="218">
        <f t="shared" si="28"/>
        <v>0</v>
      </c>
      <c r="H52" s="218">
        <f t="shared" si="28"/>
        <v>0</v>
      </c>
      <c r="I52" s="218">
        <f t="shared" si="28"/>
        <v>0</v>
      </c>
      <c r="J52" s="218">
        <f t="shared" si="28"/>
        <v>0</v>
      </c>
      <c r="K52" s="218">
        <f t="shared" si="28"/>
        <v>0</v>
      </c>
      <c r="L52" s="218">
        <f t="shared" si="28"/>
        <v>0</v>
      </c>
      <c r="M52" s="218">
        <f t="shared" si="28"/>
        <v>0</v>
      </c>
      <c r="N52" s="218">
        <f t="shared" si="28"/>
        <v>0</v>
      </c>
      <c r="O52" s="218">
        <f t="shared" si="28"/>
        <v>0</v>
      </c>
      <c r="P52" s="218">
        <f t="shared" si="28"/>
        <v>0</v>
      </c>
      <c r="Q52" s="218">
        <f t="shared" si="28"/>
        <v>0</v>
      </c>
      <c r="R52" s="218">
        <f t="shared" si="28"/>
        <v>0</v>
      </c>
      <c r="S52" s="218">
        <f t="shared" si="28"/>
        <v>0</v>
      </c>
      <c r="T52" s="218">
        <f t="shared" si="28"/>
        <v>0</v>
      </c>
      <c r="U52" s="218">
        <f aca="true" t="shared" si="31" ref="U52:AG52">T52*(1+$I$2)</f>
        <v>0</v>
      </c>
      <c r="V52" s="218">
        <f t="shared" si="31"/>
        <v>0</v>
      </c>
      <c r="W52" s="218">
        <f t="shared" si="31"/>
        <v>0</v>
      </c>
      <c r="X52" s="218">
        <f t="shared" si="31"/>
        <v>0</v>
      </c>
      <c r="Y52" s="218">
        <f t="shared" si="31"/>
        <v>0</v>
      </c>
      <c r="Z52" s="218">
        <f t="shared" si="31"/>
        <v>0</v>
      </c>
      <c r="AA52" s="218">
        <f t="shared" si="31"/>
        <v>0</v>
      </c>
      <c r="AB52" s="218">
        <f t="shared" si="31"/>
        <v>0</v>
      </c>
      <c r="AC52" s="218">
        <f t="shared" si="31"/>
        <v>0</v>
      </c>
      <c r="AD52" s="218">
        <f t="shared" si="31"/>
        <v>0</v>
      </c>
      <c r="AE52" s="218">
        <f t="shared" si="31"/>
        <v>0</v>
      </c>
      <c r="AF52" s="218">
        <f t="shared" si="31"/>
        <v>0</v>
      </c>
      <c r="AG52" s="218">
        <f t="shared" si="31"/>
        <v>0</v>
      </c>
      <c r="AH52" s="218">
        <f aca="true" t="shared" si="32" ref="AH52:AQ52">AG52*(1+$I$2)</f>
        <v>0</v>
      </c>
      <c r="AI52" s="218">
        <f t="shared" si="32"/>
        <v>0</v>
      </c>
      <c r="AJ52" s="218">
        <f t="shared" si="32"/>
        <v>0</v>
      </c>
      <c r="AK52" s="218">
        <f t="shared" si="32"/>
        <v>0</v>
      </c>
      <c r="AL52" s="218">
        <f t="shared" si="32"/>
        <v>0</v>
      </c>
      <c r="AM52" s="218">
        <f t="shared" si="32"/>
        <v>0</v>
      </c>
      <c r="AN52" s="218">
        <f t="shared" si="32"/>
        <v>0</v>
      </c>
      <c r="AO52" s="218">
        <f t="shared" si="32"/>
        <v>0</v>
      </c>
      <c r="AP52" s="218">
        <f t="shared" si="32"/>
        <v>0</v>
      </c>
      <c r="AQ52" s="218">
        <f t="shared" si="32"/>
        <v>0</v>
      </c>
    </row>
    <row r="53" spans="1:43" ht="17.25">
      <c r="A53" s="217" t="s">
        <v>879</v>
      </c>
      <c r="B53" s="217"/>
      <c r="C53" s="225">
        <f>IF(B28&lt;&gt;0,(+D53/B28),0)</f>
        <v>0</v>
      </c>
      <c r="D53" s="272">
        <f>'FORM-10 (A-F)'!F449</f>
        <v>0</v>
      </c>
      <c r="E53" s="218">
        <f t="shared" si="28"/>
        <v>0</v>
      </c>
      <c r="F53" s="218">
        <f t="shared" si="28"/>
        <v>0</v>
      </c>
      <c r="G53" s="218">
        <f t="shared" si="28"/>
        <v>0</v>
      </c>
      <c r="H53" s="218">
        <f t="shared" si="28"/>
        <v>0</v>
      </c>
      <c r="I53" s="218">
        <f t="shared" si="28"/>
        <v>0</v>
      </c>
      <c r="J53" s="218">
        <f t="shared" si="28"/>
        <v>0</v>
      </c>
      <c r="K53" s="218">
        <f t="shared" si="28"/>
        <v>0</v>
      </c>
      <c r="L53" s="218">
        <f t="shared" si="28"/>
        <v>0</v>
      </c>
      <c r="M53" s="218">
        <f t="shared" si="28"/>
        <v>0</v>
      </c>
      <c r="N53" s="218">
        <f t="shared" si="28"/>
        <v>0</v>
      </c>
      <c r="O53" s="218">
        <f t="shared" si="28"/>
        <v>0</v>
      </c>
      <c r="P53" s="218">
        <f t="shared" si="28"/>
        <v>0</v>
      </c>
      <c r="Q53" s="218">
        <f t="shared" si="28"/>
        <v>0</v>
      </c>
      <c r="R53" s="218">
        <f t="shared" si="28"/>
        <v>0</v>
      </c>
      <c r="S53" s="218">
        <f t="shared" si="28"/>
        <v>0</v>
      </c>
      <c r="T53" s="218">
        <f t="shared" si="28"/>
        <v>0</v>
      </c>
      <c r="U53" s="218">
        <f aca="true" t="shared" si="33" ref="U53:AG53">T53*(1+$I$2)</f>
        <v>0</v>
      </c>
      <c r="V53" s="218">
        <f t="shared" si="33"/>
        <v>0</v>
      </c>
      <c r="W53" s="218">
        <f t="shared" si="33"/>
        <v>0</v>
      </c>
      <c r="X53" s="218">
        <f t="shared" si="33"/>
        <v>0</v>
      </c>
      <c r="Y53" s="218">
        <f t="shared" si="33"/>
        <v>0</v>
      </c>
      <c r="Z53" s="218">
        <f t="shared" si="33"/>
        <v>0</v>
      </c>
      <c r="AA53" s="218">
        <f t="shared" si="33"/>
        <v>0</v>
      </c>
      <c r="AB53" s="218">
        <f t="shared" si="33"/>
        <v>0</v>
      </c>
      <c r="AC53" s="218">
        <f t="shared" si="33"/>
        <v>0</v>
      </c>
      <c r="AD53" s="218">
        <f t="shared" si="33"/>
        <v>0</v>
      </c>
      <c r="AE53" s="218">
        <f t="shared" si="33"/>
        <v>0</v>
      </c>
      <c r="AF53" s="218">
        <f t="shared" si="33"/>
        <v>0</v>
      </c>
      <c r="AG53" s="218">
        <f t="shared" si="33"/>
        <v>0</v>
      </c>
      <c r="AH53" s="218">
        <f aca="true" t="shared" si="34" ref="AH53:AQ53">AG53*(1+$I$2)</f>
        <v>0</v>
      </c>
      <c r="AI53" s="218">
        <f t="shared" si="34"/>
        <v>0</v>
      </c>
      <c r="AJ53" s="218">
        <f t="shared" si="34"/>
        <v>0</v>
      </c>
      <c r="AK53" s="218">
        <f t="shared" si="34"/>
        <v>0</v>
      </c>
      <c r="AL53" s="218">
        <f t="shared" si="34"/>
        <v>0</v>
      </c>
      <c r="AM53" s="218">
        <f t="shared" si="34"/>
        <v>0</v>
      </c>
      <c r="AN53" s="218">
        <f t="shared" si="34"/>
        <v>0</v>
      </c>
      <c r="AO53" s="218">
        <f t="shared" si="34"/>
        <v>0</v>
      </c>
      <c r="AP53" s="218">
        <f t="shared" si="34"/>
        <v>0</v>
      </c>
      <c r="AQ53" s="218">
        <f t="shared" si="34"/>
        <v>0</v>
      </c>
    </row>
    <row r="54" spans="1:43" ht="17.25">
      <c r="A54" s="217" t="s">
        <v>880</v>
      </c>
      <c r="B54" s="217"/>
      <c r="C54" s="225">
        <f>IF(B28&lt;&gt;0,(+D54/B28),0)</f>
        <v>0</v>
      </c>
      <c r="D54" s="272">
        <f>'FORM-10 (A-F)'!F450</f>
        <v>0</v>
      </c>
      <c r="E54" s="218">
        <f t="shared" si="28"/>
        <v>0</v>
      </c>
      <c r="F54" s="218">
        <f t="shared" si="28"/>
        <v>0</v>
      </c>
      <c r="G54" s="218">
        <f t="shared" si="28"/>
        <v>0</v>
      </c>
      <c r="H54" s="218">
        <f t="shared" si="28"/>
        <v>0</v>
      </c>
      <c r="I54" s="218">
        <f t="shared" si="28"/>
        <v>0</v>
      </c>
      <c r="J54" s="218">
        <f t="shared" si="28"/>
        <v>0</v>
      </c>
      <c r="K54" s="218">
        <f t="shared" si="28"/>
        <v>0</v>
      </c>
      <c r="L54" s="218">
        <f t="shared" si="28"/>
        <v>0</v>
      </c>
      <c r="M54" s="218">
        <f t="shared" si="28"/>
        <v>0</v>
      </c>
      <c r="N54" s="218">
        <f t="shared" si="28"/>
        <v>0</v>
      </c>
      <c r="O54" s="218">
        <f t="shared" si="28"/>
        <v>0</v>
      </c>
      <c r="P54" s="218">
        <f t="shared" si="28"/>
        <v>0</v>
      </c>
      <c r="Q54" s="218">
        <f t="shared" si="28"/>
        <v>0</v>
      </c>
      <c r="R54" s="218">
        <f t="shared" si="28"/>
        <v>0</v>
      </c>
      <c r="S54" s="218">
        <f t="shared" si="28"/>
        <v>0</v>
      </c>
      <c r="T54" s="218">
        <f t="shared" si="28"/>
        <v>0</v>
      </c>
      <c r="U54" s="218">
        <f aca="true" t="shared" si="35" ref="U54:AG54">T54*(1+$I$2)</f>
        <v>0</v>
      </c>
      <c r="V54" s="218">
        <f t="shared" si="35"/>
        <v>0</v>
      </c>
      <c r="W54" s="218">
        <f t="shared" si="35"/>
        <v>0</v>
      </c>
      <c r="X54" s="218">
        <f t="shared" si="35"/>
        <v>0</v>
      </c>
      <c r="Y54" s="218">
        <f t="shared" si="35"/>
        <v>0</v>
      </c>
      <c r="Z54" s="218">
        <f t="shared" si="35"/>
        <v>0</v>
      </c>
      <c r="AA54" s="218">
        <f t="shared" si="35"/>
        <v>0</v>
      </c>
      <c r="AB54" s="218">
        <f t="shared" si="35"/>
        <v>0</v>
      </c>
      <c r="AC54" s="218">
        <f t="shared" si="35"/>
        <v>0</v>
      </c>
      <c r="AD54" s="218">
        <f t="shared" si="35"/>
        <v>0</v>
      </c>
      <c r="AE54" s="218">
        <f t="shared" si="35"/>
        <v>0</v>
      </c>
      <c r="AF54" s="218">
        <f t="shared" si="35"/>
        <v>0</v>
      </c>
      <c r="AG54" s="218">
        <f t="shared" si="35"/>
        <v>0</v>
      </c>
      <c r="AH54" s="218">
        <f aca="true" t="shared" si="36" ref="AH54:AQ54">AG54*(1+$I$2)</f>
        <v>0</v>
      </c>
      <c r="AI54" s="218">
        <f t="shared" si="36"/>
        <v>0</v>
      </c>
      <c r="AJ54" s="218">
        <f t="shared" si="36"/>
        <v>0</v>
      </c>
      <c r="AK54" s="218">
        <f t="shared" si="36"/>
        <v>0</v>
      </c>
      <c r="AL54" s="218">
        <f t="shared" si="36"/>
        <v>0</v>
      </c>
      <c r="AM54" s="218">
        <f t="shared" si="36"/>
        <v>0</v>
      </c>
      <c r="AN54" s="218">
        <f t="shared" si="36"/>
        <v>0</v>
      </c>
      <c r="AO54" s="218">
        <f t="shared" si="36"/>
        <v>0</v>
      </c>
      <c r="AP54" s="218">
        <f t="shared" si="36"/>
        <v>0</v>
      </c>
      <c r="AQ54" s="218">
        <f t="shared" si="36"/>
        <v>0</v>
      </c>
    </row>
    <row r="55" spans="1:43" ht="17.25">
      <c r="A55" s="217" t="s">
        <v>814</v>
      </c>
      <c r="B55" s="226"/>
      <c r="C55" s="225">
        <f>IF(B28&lt;&gt;0,(+D55/B28),0)</f>
        <v>0</v>
      </c>
      <c r="D55" s="272">
        <f>'FORM-10 (A-F)'!F451</f>
        <v>0</v>
      </c>
      <c r="E55" s="218">
        <f t="shared" si="28"/>
        <v>0</v>
      </c>
      <c r="F55" s="218">
        <f t="shared" si="28"/>
        <v>0</v>
      </c>
      <c r="G55" s="218">
        <f t="shared" si="28"/>
        <v>0</v>
      </c>
      <c r="H55" s="218">
        <f t="shared" si="28"/>
        <v>0</v>
      </c>
      <c r="I55" s="218">
        <f t="shared" si="28"/>
        <v>0</v>
      </c>
      <c r="J55" s="218">
        <f t="shared" si="28"/>
        <v>0</v>
      </c>
      <c r="K55" s="218">
        <f t="shared" si="28"/>
        <v>0</v>
      </c>
      <c r="L55" s="218">
        <f t="shared" si="28"/>
        <v>0</v>
      </c>
      <c r="M55" s="218">
        <f t="shared" si="28"/>
        <v>0</v>
      </c>
      <c r="N55" s="218">
        <f t="shared" si="28"/>
        <v>0</v>
      </c>
      <c r="O55" s="218">
        <f t="shared" si="28"/>
        <v>0</v>
      </c>
      <c r="P55" s="218">
        <f t="shared" si="28"/>
        <v>0</v>
      </c>
      <c r="Q55" s="218">
        <f t="shared" si="28"/>
        <v>0</v>
      </c>
      <c r="R55" s="218">
        <f t="shared" si="28"/>
        <v>0</v>
      </c>
      <c r="S55" s="218">
        <f t="shared" si="28"/>
        <v>0</v>
      </c>
      <c r="T55" s="218">
        <f t="shared" si="28"/>
        <v>0</v>
      </c>
      <c r="U55" s="218">
        <f aca="true" t="shared" si="37" ref="U55:AG55">T55*(1+$I$2)</f>
        <v>0</v>
      </c>
      <c r="V55" s="218">
        <f t="shared" si="37"/>
        <v>0</v>
      </c>
      <c r="W55" s="218">
        <f t="shared" si="37"/>
        <v>0</v>
      </c>
      <c r="X55" s="218">
        <f t="shared" si="37"/>
        <v>0</v>
      </c>
      <c r="Y55" s="218">
        <f t="shared" si="37"/>
        <v>0</v>
      </c>
      <c r="Z55" s="218">
        <f t="shared" si="37"/>
        <v>0</v>
      </c>
      <c r="AA55" s="218">
        <f t="shared" si="37"/>
        <v>0</v>
      </c>
      <c r="AB55" s="218">
        <f t="shared" si="37"/>
        <v>0</v>
      </c>
      <c r="AC55" s="218">
        <f t="shared" si="37"/>
        <v>0</v>
      </c>
      <c r="AD55" s="218">
        <f t="shared" si="37"/>
        <v>0</v>
      </c>
      <c r="AE55" s="218">
        <f t="shared" si="37"/>
        <v>0</v>
      </c>
      <c r="AF55" s="218">
        <f t="shared" si="37"/>
        <v>0</v>
      </c>
      <c r="AG55" s="218">
        <f t="shared" si="37"/>
        <v>0</v>
      </c>
      <c r="AH55" s="218">
        <f aca="true" t="shared" si="38" ref="AH55:AQ55">AG55*(1+$I$2)</f>
        <v>0</v>
      </c>
      <c r="AI55" s="218">
        <f t="shared" si="38"/>
        <v>0</v>
      </c>
      <c r="AJ55" s="218">
        <f t="shared" si="38"/>
        <v>0</v>
      </c>
      <c r="AK55" s="218">
        <f t="shared" si="38"/>
        <v>0</v>
      </c>
      <c r="AL55" s="218">
        <f t="shared" si="38"/>
        <v>0</v>
      </c>
      <c r="AM55" s="218">
        <f t="shared" si="38"/>
        <v>0</v>
      </c>
      <c r="AN55" s="218">
        <f t="shared" si="38"/>
        <v>0</v>
      </c>
      <c r="AO55" s="218">
        <f t="shared" si="38"/>
        <v>0</v>
      </c>
      <c r="AP55" s="218">
        <f t="shared" si="38"/>
        <v>0</v>
      </c>
      <c r="AQ55" s="218">
        <f t="shared" si="38"/>
        <v>0</v>
      </c>
    </row>
    <row r="56" spans="1:44" ht="17.25">
      <c r="A56" s="217" t="s">
        <v>881</v>
      </c>
      <c r="B56" s="1092">
        <f>'FORM-10 (A-F)'!C452</f>
        <v>0</v>
      </c>
      <c r="C56" s="273">
        <f>'FORM-10 (A-F)'!F452</f>
        <v>0</v>
      </c>
      <c r="D56" s="218">
        <f>C56</f>
        <v>0</v>
      </c>
      <c r="E56" s="218">
        <f>D56*(1+$I$1)</f>
        <v>0</v>
      </c>
      <c r="F56" s="218">
        <f aca="true" t="shared" si="39" ref="F56:AP56">E56*(1+$I$1)</f>
        <v>0</v>
      </c>
      <c r="G56" s="218">
        <f t="shared" si="39"/>
        <v>0</v>
      </c>
      <c r="H56" s="218">
        <f t="shared" si="39"/>
        <v>0</v>
      </c>
      <c r="I56" s="218">
        <f t="shared" si="39"/>
        <v>0</v>
      </c>
      <c r="J56" s="218">
        <f t="shared" si="39"/>
        <v>0</v>
      </c>
      <c r="K56" s="218">
        <f t="shared" si="39"/>
        <v>0</v>
      </c>
      <c r="L56" s="218">
        <f t="shared" si="39"/>
        <v>0</v>
      </c>
      <c r="M56" s="218">
        <f t="shared" si="39"/>
        <v>0</v>
      </c>
      <c r="N56" s="218">
        <f t="shared" si="39"/>
        <v>0</v>
      </c>
      <c r="O56" s="218">
        <f t="shared" si="39"/>
        <v>0</v>
      </c>
      <c r="P56" s="218">
        <f t="shared" si="39"/>
        <v>0</v>
      </c>
      <c r="Q56" s="218">
        <f t="shared" si="39"/>
        <v>0</v>
      </c>
      <c r="R56" s="218">
        <f t="shared" si="39"/>
        <v>0</v>
      </c>
      <c r="S56" s="218">
        <f t="shared" si="39"/>
        <v>0</v>
      </c>
      <c r="T56" s="218">
        <f t="shared" si="39"/>
        <v>0</v>
      </c>
      <c r="U56" s="218">
        <f t="shared" si="39"/>
        <v>0</v>
      </c>
      <c r="V56" s="218">
        <f t="shared" si="39"/>
        <v>0</v>
      </c>
      <c r="W56" s="218">
        <f t="shared" si="39"/>
        <v>0</v>
      </c>
      <c r="X56" s="218">
        <f t="shared" si="39"/>
        <v>0</v>
      </c>
      <c r="Y56" s="218">
        <f t="shared" si="39"/>
        <v>0</v>
      </c>
      <c r="Z56" s="218">
        <f t="shared" si="39"/>
        <v>0</v>
      </c>
      <c r="AA56" s="218">
        <f t="shared" si="39"/>
        <v>0</v>
      </c>
      <c r="AB56" s="218">
        <f t="shared" si="39"/>
        <v>0</v>
      </c>
      <c r="AC56" s="218">
        <f t="shared" si="39"/>
        <v>0</v>
      </c>
      <c r="AD56" s="218">
        <f t="shared" si="39"/>
        <v>0</v>
      </c>
      <c r="AE56" s="218">
        <f t="shared" si="39"/>
        <v>0</v>
      </c>
      <c r="AF56" s="218">
        <f t="shared" si="39"/>
        <v>0</v>
      </c>
      <c r="AG56" s="218">
        <f t="shared" si="39"/>
        <v>0</v>
      </c>
      <c r="AH56" s="218">
        <f t="shared" si="39"/>
        <v>0</v>
      </c>
      <c r="AI56" s="218">
        <f t="shared" si="39"/>
        <v>0</v>
      </c>
      <c r="AJ56" s="218">
        <f t="shared" si="39"/>
        <v>0</v>
      </c>
      <c r="AK56" s="218">
        <f t="shared" si="39"/>
        <v>0</v>
      </c>
      <c r="AL56" s="218">
        <f t="shared" si="39"/>
        <v>0</v>
      </c>
      <c r="AM56" s="218">
        <f t="shared" si="39"/>
        <v>0</v>
      </c>
      <c r="AN56" s="218">
        <f t="shared" si="39"/>
        <v>0</v>
      </c>
      <c r="AO56" s="218">
        <f t="shared" si="39"/>
        <v>0</v>
      </c>
      <c r="AP56" s="218">
        <f t="shared" si="39"/>
        <v>0</v>
      </c>
      <c r="AQ56" s="218">
        <f>AP56*(1+$I$1)</f>
        <v>0</v>
      </c>
      <c r="AR56" s="218"/>
    </row>
    <row r="57" spans="1:43" ht="17.25">
      <c r="A57" s="217" t="s">
        <v>882</v>
      </c>
      <c r="B57" s="274">
        <f>+N17</f>
        <v>0</v>
      </c>
      <c r="C57" s="225">
        <f>IF(B28&lt;&gt;0,(+D57/B28),0)</f>
        <v>0</v>
      </c>
      <c r="D57" s="218">
        <f>IF(B57=0,'FORM-10 (A-F)'!G310,N18)</f>
        <v>0</v>
      </c>
      <c r="E57" s="218">
        <f>IF($B57=0,D57+D57*$I2,(E48-E55)*$B$57/100)</f>
        <v>0</v>
      </c>
      <c r="F57" s="218">
        <f>IF($B57=0,E57+E57*$I2,(F48-F55)*$B$57/100)</f>
        <v>0</v>
      </c>
      <c r="G57" s="218">
        <f aca="true" t="shared" si="40" ref="G57:AG57">IF($B57=0,F57+F57*$I2,(G48-G55)*$B$57/100)</f>
        <v>0</v>
      </c>
      <c r="H57" s="218">
        <f t="shared" si="40"/>
        <v>0</v>
      </c>
      <c r="I57" s="218">
        <f t="shared" si="40"/>
        <v>0</v>
      </c>
      <c r="J57" s="218">
        <f t="shared" si="40"/>
        <v>0</v>
      </c>
      <c r="K57" s="218">
        <f t="shared" si="40"/>
        <v>0</v>
      </c>
      <c r="L57" s="218">
        <f t="shared" si="40"/>
        <v>0</v>
      </c>
      <c r="M57" s="218">
        <f t="shared" si="40"/>
        <v>0</v>
      </c>
      <c r="N57" s="218">
        <f t="shared" si="40"/>
        <v>0</v>
      </c>
      <c r="O57" s="218">
        <f t="shared" si="40"/>
        <v>0</v>
      </c>
      <c r="P57" s="218">
        <f t="shared" si="40"/>
        <v>0</v>
      </c>
      <c r="Q57" s="218">
        <f t="shared" si="40"/>
        <v>0</v>
      </c>
      <c r="R57" s="218">
        <f t="shared" si="40"/>
        <v>0</v>
      </c>
      <c r="S57" s="218">
        <f t="shared" si="40"/>
        <v>0</v>
      </c>
      <c r="T57" s="218">
        <f t="shared" si="40"/>
        <v>0</v>
      </c>
      <c r="U57" s="218">
        <f t="shared" si="40"/>
        <v>0</v>
      </c>
      <c r="V57" s="218">
        <f t="shared" si="40"/>
        <v>0</v>
      </c>
      <c r="W57" s="218">
        <f t="shared" si="40"/>
        <v>0</v>
      </c>
      <c r="X57" s="218">
        <f t="shared" si="40"/>
        <v>0</v>
      </c>
      <c r="Y57" s="218">
        <f t="shared" si="40"/>
        <v>0</v>
      </c>
      <c r="Z57" s="218">
        <f t="shared" si="40"/>
        <v>0</v>
      </c>
      <c r="AA57" s="218">
        <f t="shared" si="40"/>
        <v>0</v>
      </c>
      <c r="AB57" s="218">
        <f t="shared" si="40"/>
        <v>0</v>
      </c>
      <c r="AC57" s="218">
        <f t="shared" si="40"/>
        <v>0</v>
      </c>
      <c r="AD57" s="218">
        <f t="shared" si="40"/>
        <v>0</v>
      </c>
      <c r="AE57" s="218">
        <f t="shared" si="40"/>
        <v>0</v>
      </c>
      <c r="AF57" s="218">
        <f t="shared" si="40"/>
        <v>0</v>
      </c>
      <c r="AG57" s="218">
        <f t="shared" si="40"/>
        <v>0</v>
      </c>
      <c r="AH57" s="218">
        <f aca="true" t="shared" si="41" ref="AH57:AQ57">IF($B57=0,AG57+AG57*$I2,(AH48-AH55)*$B$57/100)</f>
        <v>0</v>
      </c>
      <c r="AI57" s="218">
        <f t="shared" si="41"/>
        <v>0</v>
      </c>
      <c r="AJ57" s="218">
        <f t="shared" si="41"/>
        <v>0</v>
      </c>
      <c r="AK57" s="218">
        <f t="shared" si="41"/>
        <v>0</v>
      </c>
      <c r="AL57" s="218">
        <f t="shared" si="41"/>
        <v>0</v>
      </c>
      <c r="AM57" s="218">
        <f t="shared" si="41"/>
        <v>0</v>
      </c>
      <c r="AN57" s="218">
        <f t="shared" si="41"/>
        <v>0</v>
      </c>
      <c r="AO57" s="218">
        <f t="shared" si="41"/>
        <v>0</v>
      </c>
      <c r="AP57" s="218">
        <f t="shared" si="41"/>
        <v>0</v>
      </c>
      <c r="AQ57" s="218">
        <f t="shared" si="41"/>
        <v>0</v>
      </c>
    </row>
    <row r="58" spans="1:43" ht="17.25">
      <c r="A58" s="217" t="s">
        <v>548</v>
      </c>
      <c r="B58" s="217"/>
      <c r="C58" s="225">
        <f>IF(B28&lt;&gt;0,(+D58/B28),0)</f>
        <v>0</v>
      </c>
      <c r="D58" s="272">
        <f>'FORM-10 (A-F)'!F455</f>
        <v>0</v>
      </c>
      <c r="E58" s="218">
        <f aca="true" t="shared" si="42" ref="E58:T58">D58*(1+$I$2)</f>
        <v>0</v>
      </c>
      <c r="F58" s="218">
        <f t="shared" si="42"/>
        <v>0</v>
      </c>
      <c r="G58" s="218">
        <f t="shared" si="42"/>
        <v>0</v>
      </c>
      <c r="H58" s="218">
        <f t="shared" si="42"/>
        <v>0</v>
      </c>
      <c r="I58" s="218">
        <f t="shared" si="42"/>
        <v>0</v>
      </c>
      <c r="J58" s="218">
        <f t="shared" si="42"/>
        <v>0</v>
      </c>
      <c r="K58" s="218">
        <f t="shared" si="42"/>
        <v>0</v>
      </c>
      <c r="L58" s="218">
        <f t="shared" si="42"/>
        <v>0</v>
      </c>
      <c r="M58" s="218">
        <f t="shared" si="42"/>
        <v>0</v>
      </c>
      <c r="N58" s="218">
        <f t="shared" si="42"/>
        <v>0</v>
      </c>
      <c r="O58" s="218">
        <f t="shared" si="42"/>
        <v>0</v>
      </c>
      <c r="P58" s="218">
        <f t="shared" si="42"/>
        <v>0</v>
      </c>
      <c r="Q58" s="218">
        <f t="shared" si="42"/>
        <v>0</v>
      </c>
      <c r="R58" s="218">
        <f t="shared" si="42"/>
        <v>0</v>
      </c>
      <c r="S58" s="218">
        <f t="shared" si="42"/>
        <v>0</v>
      </c>
      <c r="T58" s="218">
        <f t="shared" si="42"/>
        <v>0</v>
      </c>
      <c r="U58" s="218">
        <f aca="true" t="shared" si="43" ref="U58:AG58">T58*(1+$I$2)</f>
        <v>0</v>
      </c>
      <c r="V58" s="218">
        <f t="shared" si="43"/>
        <v>0</v>
      </c>
      <c r="W58" s="218">
        <f t="shared" si="43"/>
        <v>0</v>
      </c>
      <c r="X58" s="218">
        <f t="shared" si="43"/>
        <v>0</v>
      </c>
      <c r="Y58" s="218">
        <f t="shared" si="43"/>
        <v>0</v>
      </c>
      <c r="Z58" s="218">
        <f t="shared" si="43"/>
        <v>0</v>
      </c>
      <c r="AA58" s="218">
        <f t="shared" si="43"/>
        <v>0</v>
      </c>
      <c r="AB58" s="218">
        <f t="shared" si="43"/>
        <v>0</v>
      </c>
      <c r="AC58" s="218">
        <f t="shared" si="43"/>
        <v>0</v>
      </c>
      <c r="AD58" s="218">
        <f t="shared" si="43"/>
        <v>0</v>
      </c>
      <c r="AE58" s="218">
        <f t="shared" si="43"/>
        <v>0</v>
      </c>
      <c r="AF58" s="218">
        <f t="shared" si="43"/>
        <v>0</v>
      </c>
      <c r="AG58" s="218">
        <f t="shared" si="43"/>
        <v>0</v>
      </c>
      <c r="AH58" s="218">
        <f aca="true" t="shared" si="44" ref="AH58:AQ58">AG58*(1+$I$2)</f>
        <v>0</v>
      </c>
      <c r="AI58" s="218">
        <f t="shared" si="44"/>
        <v>0</v>
      </c>
      <c r="AJ58" s="218">
        <f t="shared" si="44"/>
        <v>0</v>
      </c>
      <c r="AK58" s="218">
        <f t="shared" si="44"/>
        <v>0</v>
      </c>
      <c r="AL58" s="218">
        <f t="shared" si="44"/>
        <v>0</v>
      </c>
      <c r="AM58" s="218">
        <f t="shared" si="44"/>
        <v>0</v>
      </c>
      <c r="AN58" s="218">
        <f t="shared" si="44"/>
        <v>0</v>
      </c>
      <c r="AO58" s="218">
        <f t="shared" si="44"/>
        <v>0</v>
      </c>
      <c r="AP58" s="218">
        <f t="shared" si="44"/>
        <v>0</v>
      </c>
      <c r="AQ58" s="218">
        <f t="shared" si="44"/>
        <v>0</v>
      </c>
    </row>
    <row r="59" spans="1:43" ht="17.25">
      <c r="A59" s="217" t="s">
        <v>883</v>
      </c>
      <c r="B59" s="227"/>
      <c r="C59" s="273">
        <f>'FORM-10 (A-F)'!C457</f>
        <v>0</v>
      </c>
      <c r="D59" s="273">
        <f>'FORM-10 (A-F)'!F457</f>
        <v>0</v>
      </c>
      <c r="E59" s="218">
        <f>+$C59*$B28</f>
        <v>0</v>
      </c>
      <c r="F59" s="218">
        <f>+$C59*$B28</f>
        <v>0</v>
      </c>
      <c r="G59" s="218">
        <f aca="true" t="shared" si="45" ref="G59:T59">+$C59*$B28</f>
        <v>0</v>
      </c>
      <c r="H59" s="218">
        <f t="shared" si="45"/>
        <v>0</v>
      </c>
      <c r="I59" s="218">
        <f t="shared" si="45"/>
        <v>0</v>
      </c>
      <c r="J59" s="218">
        <f t="shared" si="45"/>
        <v>0</v>
      </c>
      <c r="K59" s="218">
        <f t="shared" si="45"/>
        <v>0</v>
      </c>
      <c r="L59" s="218">
        <f t="shared" si="45"/>
        <v>0</v>
      </c>
      <c r="M59" s="218">
        <f t="shared" si="45"/>
        <v>0</v>
      </c>
      <c r="N59" s="218">
        <f t="shared" si="45"/>
        <v>0</v>
      </c>
      <c r="O59" s="218">
        <f t="shared" si="45"/>
        <v>0</v>
      </c>
      <c r="P59" s="218">
        <f t="shared" si="45"/>
        <v>0</v>
      </c>
      <c r="Q59" s="218">
        <f t="shared" si="45"/>
        <v>0</v>
      </c>
      <c r="R59" s="218">
        <f t="shared" si="45"/>
        <v>0</v>
      </c>
      <c r="S59" s="218">
        <f t="shared" si="45"/>
        <v>0</v>
      </c>
      <c r="T59" s="218">
        <f t="shared" si="45"/>
        <v>0</v>
      </c>
      <c r="U59" s="218">
        <f aca="true" t="shared" si="46" ref="U59:AG59">+$C59*$B28</f>
        <v>0</v>
      </c>
      <c r="V59" s="218">
        <f t="shared" si="46"/>
        <v>0</v>
      </c>
      <c r="W59" s="218">
        <f t="shared" si="46"/>
        <v>0</v>
      </c>
      <c r="X59" s="218">
        <f t="shared" si="46"/>
        <v>0</v>
      </c>
      <c r="Y59" s="218">
        <f t="shared" si="46"/>
        <v>0</v>
      </c>
      <c r="Z59" s="218">
        <f t="shared" si="46"/>
        <v>0</v>
      </c>
      <c r="AA59" s="218">
        <f t="shared" si="46"/>
        <v>0</v>
      </c>
      <c r="AB59" s="218">
        <f t="shared" si="46"/>
        <v>0</v>
      </c>
      <c r="AC59" s="218">
        <f t="shared" si="46"/>
        <v>0</v>
      </c>
      <c r="AD59" s="218">
        <f t="shared" si="46"/>
        <v>0</v>
      </c>
      <c r="AE59" s="218">
        <f t="shared" si="46"/>
        <v>0</v>
      </c>
      <c r="AF59" s="218">
        <f t="shared" si="46"/>
        <v>0</v>
      </c>
      <c r="AG59" s="218">
        <f t="shared" si="46"/>
        <v>0</v>
      </c>
      <c r="AH59" s="218">
        <f aca="true" t="shared" si="47" ref="AH59:AQ59">+$C59*$B28</f>
        <v>0</v>
      </c>
      <c r="AI59" s="218">
        <f t="shared" si="47"/>
        <v>0</v>
      </c>
      <c r="AJ59" s="218">
        <f t="shared" si="47"/>
        <v>0</v>
      </c>
      <c r="AK59" s="218">
        <f t="shared" si="47"/>
        <v>0</v>
      </c>
      <c r="AL59" s="218">
        <f t="shared" si="47"/>
        <v>0</v>
      </c>
      <c r="AM59" s="218">
        <f t="shared" si="47"/>
        <v>0</v>
      </c>
      <c r="AN59" s="218">
        <f t="shared" si="47"/>
        <v>0</v>
      </c>
      <c r="AO59" s="218">
        <f t="shared" si="47"/>
        <v>0</v>
      </c>
      <c r="AP59" s="218">
        <f t="shared" si="47"/>
        <v>0</v>
      </c>
      <c r="AQ59" s="218">
        <f t="shared" si="47"/>
        <v>0</v>
      </c>
    </row>
    <row r="60" spans="1:43" ht="17.25">
      <c r="A60" s="217" t="s">
        <v>898</v>
      </c>
      <c r="B60" s="324"/>
      <c r="C60" s="225">
        <f>IF(B28&lt;&gt;0,(+D60/B28),0)</f>
        <v>0</v>
      </c>
      <c r="D60" s="218">
        <f>+N24</f>
        <v>0</v>
      </c>
      <c r="E60" s="218">
        <f aca="true" t="shared" si="48" ref="E60:T60">+$B60*E41</f>
        <v>0</v>
      </c>
      <c r="F60" s="218">
        <f t="shared" si="48"/>
        <v>0</v>
      </c>
      <c r="G60" s="218">
        <f t="shared" si="48"/>
        <v>0</v>
      </c>
      <c r="H60" s="218">
        <f t="shared" si="48"/>
        <v>0</v>
      </c>
      <c r="I60" s="218">
        <f t="shared" si="48"/>
        <v>0</v>
      </c>
      <c r="J60" s="218">
        <f t="shared" si="48"/>
        <v>0</v>
      </c>
      <c r="K60" s="218">
        <f t="shared" si="48"/>
        <v>0</v>
      </c>
      <c r="L60" s="218">
        <f t="shared" si="48"/>
        <v>0</v>
      </c>
      <c r="M60" s="218">
        <f t="shared" si="48"/>
        <v>0</v>
      </c>
      <c r="N60" s="218">
        <f t="shared" si="48"/>
        <v>0</v>
      </c>
      <c r="O60" s="218">
        <f t="shared" si="48"/>
        <v>0</v>
      </c>
      <c r="P60" s="218">
        <f t="shared" si="48"/>
        <v>0</v>
      </c>
      <c r="Q60" s="218">
        <f t="shared" si="48"/>
        <v>0</v>
      </c>
      <c r="R60" s="218">
        <f t="shared" si="48"/>
        <v>0</v>
      </c>
      <c r="S60" s="218">
        <f t="shared" si="48"/>
        <v>0</v>
      </c>
      <c r="T60" s="218">
        <f t="shared" si="48"/>
        <v>0</v>
      </c>
      <c r="U60" s="218">
        <f aca="true" t="shared" si="49" ref="U60:AG60">+$B60*U41</f>
        <v>0</v>
      </c>
      <c r="V60" s="218">
        <f t="shared" si="49"/>
        <v>0</v>
      </c>
      <c r="W60" s="218">
        <f t="shared" si="49"/>
        <v>0</v>
      </c>
      <c r="X60" s="218">
        <f t="shared" si="49"/>
        <v>0</v>
      </c>
      <c r="Y60" s="218">
        <f t="shared" si="49"/>
        <v>0</v>
      </c>
      <c r="Z60" s="218">
        <f t="shared" si="49"/>
        <v>0</v>
      </c>
      <c r="AA60" s="218">
        <f t="shared" si="49"/>
        <v>0</v>
      </c>
      <c r="AB60" s="218">
        <f t="shared" si="49"/>
        <v>0</v>
      </c>
      <c r="AC60" s="218">
        <f t="shared" si="49"/>
        <v>0</v>
      </c>
      <c r="AD60" s="218">
        <f t="shared" si="49"/>
        <v>0</v>
      </c>
      <c r="AE60" s="218">
        <f t="shared" si="49"/>
        <v>0</v>
      </c>
      <c r="AF60" s="218">
        <f t="shared" si="49"/>
        <v>0</v>
      </c>
      <c r="AG60" s="218">
        <f t="shared" si="49"/>
        <v>0</v>
      </c>
      <c r="AH60" s="218">
        <f aca="true" t="shared" si="50" ref="AH60:AQ60">+$B60*AH41</f>
        <v>0</v>
      </c>
      <c r="AI60" s="218">
        <f t="shared" si="50"/>
        <v>0</v>
      </c>
      <c r="AJ60" s="218">
        <f t="shared" si="50"/>
        <v>0</v>
      </c>
      <c r="AK60" s="218">
        <f t="shared" si="50"/>
        <v>0</v>
      </c>
      <c r="AL60" s="218">
        <f t="shared" si="50"/>
        <v>0</v>
      </c>
      <c r="AM60" s="218">
        <f t="shared" si="50"/>
        <v>0</v>
      </c>
      <c r="AN60" s="218">
        <f t="shared" si="50"/>
        <v>0</v>
      </c>
      <c r="AO60" s="218">
        <f t="shared" si="50"/>
        <v>0</v>
      </c>
      <c r="AP60" s="218">
        <f t="shared" si="50"/>
        <v>0</v>
      </c>
      <c r="AQ60" s="218">
        <f t="shared" si="50"/>
        <v>0</v>
      </c>
    </row>
    <row r="61" spans="1:43" ht="17.25">
      <c r="A61" s="217"/>
      <c r="B61" s="217"/>
      <c r="C61" s="143"/>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row>
    <row r="62" spans="1:43" ht="17.25">
      <c r="A62" s="223" t="s">
        <v>550</v>
      </c>
      <c r="B62" s="223"/>
      <c r="C62" s="260"/>
      <c r="D62" s="218">
        <f aca="true" t="shared" si="51" ref="D62:T62">SUM(D51:D61)</f>
        <v>0</v>
      </c>
      <c r="E62" s="218">
        <f t="shared" si="51"/>
        <v>0</v>
      </c>
      <c r="F62" s="218">
        <f t="shared" si="51"/>
        <v>0</v>
      </c>
      <c r="G62" s="218">
        <f t="shared" si="51"/>
        <v>0</v>
      </c>
      <c r="H62" s="218">
        <f t="shared" si="51"/>
        <v>0</v>
      </c>
      <c r="I62" s="218">
        <f t="shared" si="51"/>
        <v>0</v>
      </c>
      <c r="J62" s="218">
        <f t="shared" si="51"/>
        <v>0</v>
      </c>
      <c r="K62" s="218">
        <f t="shared" si="51"/>
        <v>0</v>
      </c>
      <c r="L62" s="218">
        <f t="shared" si="51"/>
        <v>0</v>
      </c>
      <c r="M62" s="218">
        <f t="shared" si="51"/>
        <v>0</v>
      </c>
      <c r="N62" s="218">
        <f t="shared" si="51"/>
        <v>0</v>
      </c>
      <c r="O62" s="218">
        <f t="shared" si="51"/>
        <v>0</v>
      </c>
      <c r="P62" s="218">
        <f t="shared" si="51"/>
        <v>0</v>
      </c>
      <c r="Q62" s="218">
        <f t="shared" si="51"/>
        <v>0</v>
      </c>
      <c r="R62" s="218">
        <f t="shared" si="51"/>
        <v>0</v>
      </c>
      <c r="S62" s="218">
        <f t="shared" si="51"/>
        <v>0</v>
      </c>
      <c r="T62" s="218">
        <f t="shared" si="51"/>
        <v>0</v>
      </c>
      <c r="U62" s="218">
        <f aca="true" t="shared" si="52" ref="U62:AQ62">SUM(U51:U61)</f>
        <v>0</v>
      </c>
      <c r="V62" s="218">
        <f t="shared" si="52"/>
        <v>0</v>
      </c>
      <c r="W62" s="218">
        <f t="shared" si="52"/>
        <v>0</v>
      </c>
      <c r="X62" s="218">
        <f t="shared" si="52"/>
        <v>0</v>
      </c>
      <c r="Y62" s="218">
        <f t="shared" si="52"/>
        <v>0</v>
      </c>
      <c r="Z62" s="218">
        <f t="shared" si="52"/>
        <v>0</v>
      </c>
      <c r="AA62" s="218">
        <f t="shared" si="52"/>
        <v>0</v>
      </c>
      <c r="AB62" s="218">
        <f t="shared" si="52"/>
        <v>0</v>
      </c>
      <c r="AC62" s="218">
        <f t="shared" si="52"/>
        <v>0</v>
      </c>
      <c r="AD62" s="218">
        <f t="shared" si="52"/>
        <v>0</v>
      </c>
      <c r="AE62" s="218">
        <f t="shared" si="52"/>
        <v>0</v>
      </c>
      <c r="AF62" s="218">
        <f t="shared" si="52"/>
        <v>0</v>
      </c>
      <c r="AG62" s="218">
        <f t="shared" si="52"/>
        <v>0</v>
      </c>
      <c r="AH62" s="218">
        <f t="shared" si="52"/>
        <v>0</v>
      </c>
      <c r="AI62" s="218">
        <f t="shared" si="52"/>
        <v>0</v>
      </c>
      <c r="AJ62" s="218">
        <f t="shared" si="52"/>
        <v>0</v>
      </c>
      <c r="AK62" s="218">
        <f t="shared" si="52"/>
        <v>0</v>
      </c>
      <c r="AL62" s="218">
        <f t="shared" si="52"/>
        <v>0</v>
      </c>
      <c r="AM62" s="218">
        <f t="shared" si="52"/>
        <v>0</v>
      </c>
      <c r="AN62" s="218">
        <f t="shared" si="52"/>
        <v>0</v>
      </c>
      <c r="AO62" s="218">
        <f t="shared" si="52"/>
        <v>0</v>
      </c>
      <c r="AP62" s="218">
        <f t="shared" si="52"/>
        <v>0</v>
      </c>
      <c r="AQ62" s="218">
        <f t="shared" si="52"/>
        <v>0</v>
      </c>
    </row>
    <row r="63" spans="1:43" ht="17.25">
      <c r="A63" s="217" t="s">
        <v>884</v>
      </c>
      <c r="B63" s="228"/>
      <c r="C63" s="229"/>
      <c r="D63" s="218">
        <f>IF($B28&lt;&gt;0,(+D62/$B28),0)</f>
        <v>0</v>
      </c>
      <c r="E63" s="218">
        <f>IF($B28&lt;&gt;0,(+E62/$B28),0)</f>
        <v>0</v>
      </c>
      <c r="F63" s="218">
        <f aca="true" t="shared" si="53" ref="F63:T63">IF($B28&lt;&gt;0,(+F62/$B28),0)</f>
        <v>0</v>
      </c>
      <c r="G63" s="218">
        <f t="shared" si="53"/>
        <v>0</v>
      </c>
      <c r="H63" s="218">
        <f t="shared" si="53"/>
        <v>0</v>
      </c>
      <c r="I63" s="218">
        <f t="shared" si="53"/>
        <v>0</v>
      </c>
      <c r="J63" s="218">
        <f t="shared" si="53"/>
        <v>0</v>
      </c>
      <c r="K63" s="218">
        <f t="shared" si="53"/>
        <v>0</v>
      </c>
      <c r="L63" s="218">
        <f t="shared" si="53"/>
        <v>0</v>
      </c>
      <c r="M63" s="218">
        <f t="shared" si="53"/>
        <v>0</v>
      </c>
      <c r="N63" s="218">
        <f t="shared" si="53"/>
        <v>0</v>
      </c>
      <c r="O63" s="218">
        <f t="shared" si="53"/>
        <v>0</v>
      </c>
      <c r="P63" s="218">
        <f t="shared" si="53"/>
        <v>0</v>
      </c>
      <c r="Q63" s="218">
        <f t="shared" si="53"/>
        <v>0</v>
      </c>
      <c r="R63" s="218">
        <f t="shared" si="53"/>
        <v>0</v>
      </c>
      <c r="S63" s="218">
        <f t="shared" si="53"/>
        <v>0</v>
      </c>
      <c r="T63" s="218">
        <f t="shared" si="53"/>
        <v>0</v>
      </c>
      <c r="U63" s="218">
        <f aca="true" t="shared" si="54" ref="U63:AQ63">IF($B28&lt;&gt;0,(+U62/$B28),0)</f>
        <v>0</v>
      </c>
      <c r="V63" s="218">
        <f t="shared" si="54"/>
        <v>0</v>
      </c>
      <c r="W63" s="218">
        <f t="shared" si="54"/>
        <v>0</v>
      </c>
      <c r="X63" s="218">
        <f t="shared" si="54"/>
        <v>0</v>
      </c>
      <c r="Y63" s="218">
        <f t="shared" si="54"/>
        <v>0</v>
      </c>
      <c r="Z63" s="218">
        <f t="shared" si="54"/>
        <v>0</v>
      </c>
      <c r="AA63" s="218">
        <f t="shared" si="54"/>
        <v>0</v>
      </c>
      <c r="AB63" s="218">
        <f t="shared" si="54"/>
        <v>0</v>
      </c>
      <c r="AC63" s="218">
        <f t="shared" si="54"/>
        <v>0</v>
      </c>
      <c r="AD63" s="218">
        <f t="shared" si="54"/>
        <v>0</v>
      </c>
      <c r="AE63" s="218">
        <f t="shared" si="54"/>
        <v>0</v>
      </c>
      <c r="AF63" s="218">
        <f t="shared" si="54"/>
        <v>0</v>
      </c>
      <c r="AG63" s="218">
        <f t="shared" si="54"/>
        <v>0</v>
      </c>
      <c r="AH63" s="218">
        <f t="shared" si="54"/>
        <v>0</v>
      </c>
      <c r="AI63" s="218">
        <f t="shared" si="54"/>
        <v>0</v>
      </c>
      <c r="AJ63" s="218">
        <f t="shared" si="54"/>
        <v>0</v>
      </c>
      <c r="AK63" s="218">
        <f t="shared" si="54"/>
        <v>0</v>
      </c>
      <c r="AL63" s="218">
        <f t="shared" si="54"/>
        <v>0</v>
      </c>
      <c r="AM63" s="218">
        <f t="shared" si="54"/>
        <v>0</v>
      </c>
      <c r="AN63" s="218">
        <f t="shared" si="54"/>
        <v>0</v>
      </c>
      <c r="AO63" s="218">
        <f t="shared" si="54"/>
        <v>0</v>
      </c>
      <c r="AP63" s="218">
        <f t="shared" si="54"/>
        <v>0</v>
      </c>
      <c r="AQ63" s="218">
        <f t="shared" si="54"/>
        <v>0</v>
      </c>
    </row>
    <row r="64" spans="1:43" ht="17.25">
      <c r="A64" s="217" t="s">
        <v>885</v>
      </c>
      <c r="B64" s="217"/>
      <c r="C64" s="260"/>
      <c r="D64" s="230">
        <f aca="true" t="shared" si="55" ref="D64:T64">IF(D48&lt;&gt;0,(+D62/D48),0)</f>
        <v>0</v>
      </c>
      <c r="E64" s="230">
        <f t="shared" si="55"/>
        <v>0</v>
      </c>
      <c r="F64" s="230">
        <f t="shared" si="55"/>
        <v>0</v>
      </c>
      <c r="G64" s="230">
        <f t="shared" si="55"/>
        <v>0</v>
      </c>
      <c r="H64" s="230">
        <f t="shared" si="55"/>
        <v>0</v>
      </c>
      <c r="I64" s="230">
        <f t="shared" si="55"/>
        <v>0</v>
      </c>
      <c r="J64" s="230">
        <f t="shared" si="55"/>
        <v>0</v>
      </c>
      <c r="K64" s="230">
        <f t="shared" si="55"/>
        <v>0</v>
      </c>
      <c r="L64" s="230">
        <f t="shared" si="55"/>
        <v>0</v>
      </c>
      <c r="M64" s="230">
        <f t="shared" si="55"/>
        <v>0</v>
      </c>
      <c r="N64" s="230">
        <f t="shared" si="55"/>
        <v>0</v>
      </c>
      <c r="O64" s="230">
        <f t="shared" si="55"/>
        <v>0</v>
      </c>
      <c r="P64" s="230">
        <f t="shared" si="55"/>
        <v>0</v>
      </c>
      <c r="Q64" s="230">
        <f t="shared" si="55"/>
        <v>0</v>
      </c>
      <c r="R64" s="230">
        <f t="shared" si="55"/>
        <v>0</v>
      </c>
      <c r="S64" s="230">
        <f t="shared" si="55"/>
        <v>0</v>
      </c>
      <c r="T64" s="230">
        <f t="shared" si="55"/>
        <v>0</v>
      </c>
      <c r="U64" s="230">
        <f aca="true" t="shared" si="56" ref="U64:AG64">IF(U48&lt;&gt;0,(+U62/U48),0)</f>
        <v>0</v>
      </c>
      <c r="V64" s="230">
        <f t="shared" si="56"/>
        <v>0</v>
      </c>
      <c r="W64" s="230">
        <f t="shared" si="56"/>
        <v>0</v>
      </c>
      <c r="X64" s="230">
        <f t="shared" si="56"/>
        <v>0</v>
      </c>
      <c r="Y64" s="230">
        <f t="shared" si="56"/>
        <v>0</v>
      </c>
      <c r="Z64" s="230">
        <f t="shared" si="56"/>
        <v>0</v>
      </c>
      <c r="AA64" s="230">
        <f t="shared" si="56"/>
        <v>0</v>
      </c>
      <c r="AB64" s="230">
        <f t="shared" si="56"/>
        <v>0</v>
      </c>
      <c r="AC64" s="230">
        <f t="shared" si="56"/>
        <v>0</v>
      </c>
      <c r="AD64" s="230">
        <f t="shared" si="56"/>
        <v>0</v>
      </c>
      <c r="AE64" s="230">
        <f t="shared" si="56"/>
        <v>0</v>
      </c>
      <c r="AF64" s="230">
        <f t="shared" si="56"/>
        <v>0</v>
      </c>
      <c r="AG64" s="230">
        <f t="shared" si="56"/>
        <v>0</v>
      </c>
      <c r="AH64" s="230">
        <f aca="true" t="shared" si="57" ref="AH64:AQ64">IF(AH48&lt;&gt;0,(+AH62/AH48),0)</f>
        <v>0</v>
      </c>
      <c r="AI64" s="230">
        <f t="shared" si="57"/>
        <v>0</v>
      </c>
      <c r="AJ64" s="230">
        <f t="shared" si="57"/>
        <v>0</v>
      </c>
      <c r="AK64" s="230">
        <f t="shared" si="57"/>
        <v>0</v>
      </c>
      <c r="AL64" s="230">
        <f t="shared" si="57"/>
        <v>0</v>
      </c>
      <c r="AM64" s="230">
        <f t="shared" si="57"/>
        <v>0</v>
      </c>
      <c r="AN64" s="230">
        <f t="shared" si="57"/>
        <v>0</v>
      </c>
      <c r="AO64" s="230">
        <f t="shared" si="57"/>
        <v>0</v>
      </c>
      <c r="AP64" s="230">
        <f t="shared" si="57"/>
        <v>0</v>
      </c>
      <c r="AQ64" s="230">
        <f t="shared" si="57"/>
        <v>0</v>
      </c>
    </row>
    <row r="65" spans="1:43" ht="17.25">
      <c r="A65" s="337" t="s">
        <v>886</v>
      </c>
      <c r="B65" s="260"/>
      <c r="C65" s="260"/>
      <c r="D65" s="218">
        <f aca="true" t="shared" si="58" ref="D65:T65">+D48-D62</f>
        <v>0</v>
      </c>
      <c r="E65" s="218">
        <f t="shared" si="58"/>
        <v>0</v>
      </c>
      <c r="F65" s="218">
        <f t="shared" si="58"/>
        <v>0</v>
      </c>
      <c r="G65" s="218">
        <f t="shared" si="58"/>
        <v>0</v>
      </c>
      <c r="H65" s="218">
        <f t="shared" si="58"/>
        <v>0</v>
      </c>
      <c r="I65" s="218">
        <f t="shared" si="58"/>
        <v>0</v>
      </c>
      <c r="J65" s="218">
        <f t="shared" si="58"/>
        <v>0</v>
      </c>
      <c r="K65" s="218">
        <f t="shared" si="58"/>
        <v>0</v>
      </c>
      <c r="L65" s="218">
        <f t="shared" si="58"/>
        <v>0</v>
      </c>
      <c r="M65" s="218">
        <f t="shared" si="58"/>
        <v>0</v>
      </c>
      <c r="N65" s="218">
        <f t="shared" si="58"/>
        <v>0</v>
      </c>
      <c r="O65" s="218">
        <f t="shared" si="58"/>
        <v>0</v>
      </c>
      <c r="P65" s="218">
        <f t="shared" si="58"/>
        <v>0</v>
      </c>
      <c r="Q65" s="218">
        <f t="shared" si="58"/>
        <v>0</v>
      </c>
      <c r="R65" s="218">
        <f t="shared" si="58"/>
        <v>0</v>
      </c>
      <c r="S65" s="218">
        <f t="shared" si="58"/>
        <v>0</v>
      </c>
      <c r="T65" s="218">
        <f t="shared" si="58"/>
        <v>0</v>
      </c>
      <c r="U65" s="218">
        <f aca="true" t="shared" si="59" ref="U65:AG65">+U48-U62</f>
        <v>0</v>
      </c>
      <c r="V65" s="218">
        <f t="shared" si="59"/>
        <v>0</v>
      </c>
      <c r="W65" s="218">
        <f t="shared" si="59"/>
        <v>0</v>
      </c>
      <c r="X65" s="218">
        <f t="shared" si="59"/>
        <v>0</v>
      </c>
      <c r="Y65" s="218">
        <f t="shared" si="59"/>
        <v>0</v>
      </c>
      <c r="Z65" s="218">
        <f t="shared" si="59"/>
        <v>0</v>
      </c>
      <c r="AA65" s="218">
        <f t="shared" si="59"/>
        <v>0</v>
      </c>
      <c r="AB65" s="218">
        <f t="shared" si="59"/>
        <v>0</v>
      </c>
      <c r="AC65" s="218">
        <f t="shared" si="59"/>
        <v>0</v>
      </c>
      <c r="AD65" s="218">
        <f t="shared" si="59"/>
        <v>0</v>
      </c>
      <c r="AE65" s="218">
        <f t="shared" si="59"/>
        <v>0</v>
      </c>
      <c r="AF65" s="218">
        <f t="shared" si="59"/>
        <v>0</v>
      </c>
      <c r="AG65" s="218">
        <f t="shared" si="59"/>
        <v>0</v>
      </c>
      <c r="AH65" s="218">
        <f aca="true" t="shared" si="60" ref="AH65:AQ65">+AH48-AH62</f>
        <v>0</v>
      </c>
      <c r="AI65" s="218">
        <f t="shared" si="60"/>
        <v>0</v>
      </c>
      <c r="AJ65" s="218">
        <f t="shared" si="60"/>
        <v>0</v>
      </c>
      <c r="AK65" s="218">
        <f t="shared" si="60"/>
        <v>0</v>
      </c>
      <c r="AL65" s="218">
        <f t="shared" si="60"/>
        <v>0</v>
      </c>
      <c r="AM65" s="218">
        <f t="shared" si="60"/>
        <v>0</v>
      </c>
      <c r="AN65" s="218">
        <f t="shared" si="60"/>
        <v>0</v>
      </c>
      <c r="AO65" s="218">
        <f t="shared" si="60"/>
        <v>0</v>
      </c>
      <c r="AP65" s="218">
        <f t="shared" si="60"/>
        <v>0</v>
      </c>
      <c r="AQ65" s="218">
        <f t="shared" si="60"/>
        <v>0</v>
      </c>
    </row>
    <row r="66" spans="1:43" ht="17.25">
      <c r="A66" s="260"/>
      <c r="B66" s="260"/>
      <c r="C66" s="260"/>
      <c r="D66" s="218"/>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row>
    <row r="67" spans="1:43" ht="17.25">
      <c r="A67" s="217" t="s">
        <v>887</v>
      </c>
      <c r="B67" s="217"/>
      <c r="C67" s="260"/>
      <c r="D67" s="218">
        <f>IF((+N4+N5+N6)&lt;&gt;0,(N4+N5+N6),0)</f>
        <v>0</v>
      </c>
      <c r="E67" s="218">
        <f aca="true" t="shared" si="61" ref="E67:AQ67">+$D$67</f>
        <v>0</v>
      </c>
      <c r="F67" s="218">
        <f t="shared" si="61"/>
        <v>0</v>
      </c>
      <c r="G67" s="218">
        <f t="shared" si="61"/>
        <v>0</v>
      </c>
      <c r="H67" s="218">
        <f t="shared" si="61"/>
        <v>0</v>
      </c>
      <c r="I67" s="218">
        <f t="shared" si="61"/>
        <v>0</v>
      </c>
      <c r="J67" s="218">
        <f t="shared" si="61"/>
        <v>0</v>
      </c>
      <c r="K67" s="218">
        <f t="shared" si="61"/>
        <v>0</v>
      </c>
      <c r="L67" s="218">
        <f t="shared" si="61"/>
        <v>0</v>
      </c>
      <c r="M67" s="218">
        <f t="shared" si="61"/>
        <v>0</v>
      </c>
      <c r="N67" s="218">
        <f t="shared" si="61"/>
        <v>0</v>
      </c>
      <c r="O67" s="218">
        <f t="shared" si="61"/>
        <v>0</v>
      </c>
      <c r="P67" s="218">
        <f t="shared" si="61"/>
        <v>0</v>
      </c>
      <c r="Q67" s="218">
        <f t="shared" si="61"/>
        <v>0</v>
      </c>
      <c r="R67" s="218">
        <f t="shared" si="61"/>
        <v>0</v>
      </c>
      <c r="S67" s="218">
        <f t="shared" si="61"/>
        <v>0</v>
      </c>
      <c r="T67" s="218">
        <f t="shared" si="61"/>
        <v>0</v>
      </c>
      <c r="U67" s="218">
        <f t="shared" si="61"/>
        <v>0</v>
      </c>
      <c r="V67" s="218">
        <f t="shared" si="61"/>
        <v>0</v>
      </c>
      <c r="W67" s="218">
        <f t="shared" si="61"/>
        <v>0</v>
      </c>
      <c r="X67" s="218">
        <f t="shared" si="61"/>
        <v>0</v>
      </c>
      <c r="Y67" s="218">
        <f t="shared" si="61"/>
        <v>0</v>
      </c>
      <c r="Z67" s="218">
        <f t="shared" si="61"/>
        <v>0</v>
      </c>
      <c r="AA67" s="218">
        <f t="shared" si="61"/>
        <v>0</v>
      </c>
      <c r="AB67" s="218">
        <f t="shared" si="61"/>
        <v>0</v>
      </c>
      <c r="AC67" s="218">
        <f t="shared" si="61"/>
        <v>0</v>
      </c>
      <c r="AD67" s="218">
        <f t="shared" si="61"/>
        <v>0</v>
      </c>
      <c r="AE67" s="218">
        <f t="shared" si="61"/>
        <v>0</v>
      </c>
      <c r="AF67" s="218">
        <f t="shared" si="61"/>
        <v>0</v>
      </c>
      <c r="AG67" s="218">
        <f t="shared" si="61"/>
        <v>0</v>
      </c>
      <c r="AH67" s="218">
        <f t="shared" si="61"/>
        <v>0</v>
      </c>
      <c r="AI67" s="218">
        <f t="shared" si="61"/>
        <v>0</v>
      </c>
      <c r="AJ67" s="218">
        <f t="shared" si="61"/>
        <v>0</v>
      </c>
      <c r="AK67" s="218">
        <f t="shared" si="61"/>
        <v>0</v>
      </c>
      <c r="AL67" s="218">
        <f t="shared" si="61"/>
        <v>0</v>
      </c>
      <c r="AM67" s="218">
        <f t="shared" si="61"/>
        <v>0</v>
      </c>
      <c r="AN67" s="218">
        <f t="shared" si="61"/>
        <v>0</v>
      </c>
      <c r="AO67" s="218">
        <f t="shared" si="61"/>
        <v>0</v>
      </c>
      <c r="AP67" s="218">
        <f t="shared" si="61"/>
        <v>0</v>
      </c>
      <c r="AQ67" s="218">
        <f t="shared" si="61"/>
        <v>0</v>
      </c>
    </row>
    <row r="68" spans="1:43" ht="17.25">
      <c r="A68" s="217" t="s">
        <v>888</v>
      </c>
      <c r="B68" s="217"/>
      <c r="C68" s="260"/>
      <c r="D68" s="221">
        <f>$R4</f>
        <v>0</v>
      </c>
      <c r="E68" s="221">
        <f>$R4</f>
        <v>0</v>
      </c>
      <c r="F68" s="221">
        <f aca="true" t="shared" si="62" ref="F68:T68">$R4</f>
        <v>0</v>
      </c>
      <c r="G68" s="221">
        <f t="shared" si="62"/>
        <v>0</v>
      </c>
      <c r="H68" s="221">
        <f t="shared" si="62"/>
        <v>0</v>
      </c>
      <c r="I68" s="221">
        <f t="shared" si="62"/>
        <v>0</v>
      </c>
      <c r="J68" s="221">
        <f t="shared" si="62"/>
        <v>0</v>
      </c>
      <c r="K68" s="221">
        <f t="shared" si="62"/>
        <v>0</v>
      </c>
      <c r="L68" s="221">
        <f t="shared" si="62"/>
        <v>0</v>
      </c>
      <c r="M68" s="221">
        <f t="shared" si="62"/>
        <v>0</v>
      </c>
      <c r="N68" s="221">
        <f t="shared" si="62"/>
        <v>0</v>
      </c>
      <c r="O68" s="221">
        <f t="shared" si="62"/>
        <v>0</v>
      </c>
      <c r="P68" s="221">
        <f t="shared" si="62"/>
        <v>0</v>
      </c>
      <c r="Q68" s="221">
        <f t="shared" si="62"/>
        <v>0</v>
      </c>
      <c r="R68" s="221">
        <f t="shared" si="62"/>
        <v>0</v>
      </c>
      <c r="S68" s="221">
        <f t="shared" si="62"/>
        <v>0</v>
      </c>
      <c r="T68" s="221">
        <f t="shared" si="62"/>
        <v>0</v>
      </c>
      <c r="U68" s="221">
        <f aca="true" t="shared" si="63" ref="U68:AG68">$R4</f>
        <v>0</v>
      </c>
      <c r="V68" s="221">
        <f t="shared" si="63"/>
        <v>0</v>
      </c>
      <c r="W68" s="221">
        <f t="shared" si="63"/>
        <v>0</v>
      </c>
      <c r="X68" s="221">
        <f t="shared" si="63"/>
        <v>0</v>
      </c>
      <c r="Y68" s="221">
        <f t="shared" si="63"/>
        <v>0</v>
      </c>
      <c r="Z68" s="221">
        <f t="shared" si="63"/>
        <v>0</v>
      </c>
      <c r="AA68" s="221">
        <f t="shared" si="63"/>
        <v>0</v>
      </c>
      <c r="AB68" s="221">
        <f t="shared" si="63"/>
        <v>0</v>
      </c>
      <c r="AC68" s="221">
        <f t="shared" si="63"/>
        <v>0</v>
      </c>
      <c r="AD68" s="221">
        <f t="shared" si="63"/>
        <v>0</v>
      </c>
      <c r="AE68" s="221">
        <f t="shared" si="63"/>
        <v>0</v>
      </c>
      <c r="AF68" s="221">
        <f t="shared" si="63"/>
        <v>0</v>
      </c>
      <c r="AG68" s="221">
        <f t="shared" si="63"/>
        <v>0</v>
      </c>
      <c r="AH68" s="221">
        <f aca="true" t="shared" si="64" ref="AH68:AQ68">$R4</f>
        <v>0</v>
      </c>
      <c r="AI68" s="221">
        <f t="shared" si="64"/>
        <v>0</v>
      </c>
      <c r="AJ68" s="221">
        <f t="shared" si="64"/>
        <v>0</v>
      </c>
      <c r="AK68" s="221">
        <f t="shared" si="64"/>
        <v>0</v>
      </c>
      <c r="AL68" s="221">
        <f t="shared" si="64"/>
        <v>0</v>
      </c>
      <c r="AM68" s="221">
        <f t="shared" si="64"/>
        <v>0</v>
      </c>
      <c r="AN68" s="221">
        <f t="shared" si="64"/>
        <v>0</v>
      </c>
      <c r="AO68" s="221">
        <f t="shared" si="64"/>
        <v>0</v>
      </c>
      <c r="AP68" s="221">
        <f t="shared" si="64"/>
        <v>0</v>
      </c>
      <c r="AQ68" s="221">
        <f t="shared" si="64"/>
        <v>0</v>
      </c>
    </row>
    <row r="69" spans="1:43" ht="17.25">
      <c r="A69" s="217" t="s">
        <v>889</v>
      </c>
      <c r="B69" s="217"/>
      <c r="C69" s="260"/>
      <c r="D69" s="218">
        <f>SUM(D67:D68)</f>
        <v>0</v>
      </c>
      <c r="E69" s="218">
        <f>SUM(E67:E68)</f>
        <v>0</v>
      </c>
      <c r="F69" s="218">
        <f aca="true" t="shared" si="65" ref="F69:T69">SUM(F67:F68)</f>
        <v>0</v>
      </c>
      <c r="G69" s="218">
        <f t="shared" si="65"/>
        <v>0</v>
      </c>
      <c r="H69" s="218">
        <f t="shared" si="65"/>
        <v>0</v>
      </c>
      <c r="I69" s="218">
        <f t="shared" si="65"/>
        <v>0</v>
      </c>
      <c r="J69" s="218">
        <f t="shared" si="65"/>
        <v>0</v>
      </c>
      <c r="K69" s="218">
        <f t="shared" si="65"/>
        <v>0</v>
      </c>
      <c r="L69" s="218">
        <f t="shared" si="65"/>
        <v>0</v>
      </c>
      <c r="M69" s="218">
        <f t="shared" si="65"/>
        <v>0</v>
      </c>
      <c r="N69" s="218">
        <f t="shared" si="65"/>
        <v>0</v>
      </c>
      <c r="O69" s="218">
        <f t="shared" si="65"/>
        <v>0</v>
      </c>
      <c r="P69" s="218">
        <f t="shared" si="65"/>
        <v>0</v>
      </c>
      <c r="Q69" s="218">
        <f t="shared" si="65"/>
        <v>0</v>
      </c>
      <c r="R69" s="218">
        <f t="shared" si="65"/>
        <v>0</v>
      </c>
      <c r="S69" s="218">
        <f t="shared" si="65"/>
        <v>0</v>
      </c>
      <c r="T69" s="218">
        <f t="shared" si="65"/>
        <v>0</v>
      </c>
      <c r="U69" s="218">
        <f aca="true" t="shared" si="66" ref="U69:AQ69">SUM(U67:U68)</f>
        <v>0</v>
      </c>
      <c r="V69" s="218">
        <f t="shared" si="66"/>
        <v>0</v>
      </c>
      <c r="W69" s="218">
        <f t="shared" si="66"/>
        <v>0</v>
      </c>
      <c r="X69" s="218">
        <f t="shared" si="66"/>
        <v>0</v>
      </c>
      <c r="Y69" s="218">
        <f t="shared" si="66"/>
        <v>0</v>
      </c>
      <c r="Z69" s="218">
        <f t="shared" si="66"/>
        <v>0</v>
      </c>
      <c r="AA69" s="218">
        <f t="shared" si="66"/>
        <v>0</v>
      </c>
      <c r="AB69" s="218">
        <f t="shared" si="66"/>
        <v>0</v>
      </c>
      <c r="AC69" s="218">
        <f t="shared" si="66"/>
        <v>0</v>
      </c>
      <c r="AD69" s="218">
        <f t="shared" si="66"/>
        <v>0</v>
      </c>
      <c r="AE69" s="218">
        <f t="shared" si="66"/>
        <v>0</v>
      </c>
      <c r="AF69" s="218">
        <f t="shared" si="66"/>
        <v>0</v>
      </c>
      <c r="AG69" s="218">
        <f t="shared" si="66"/>
        <v>0</v>
      </c>
      <c r="AH69" s="218">
        <f t="shared" si="66"/>
        <v>0</v>
      </c>
      <c r="AI69" s="218">
        <f t="shared" si="66"/>
        <v>0</v>
      </c>
      <c r="AJ69" s="218">
        <f t="shared" si="66"/>
        <v>0</v>
      </c>
      <c r="AK69" s="218">
        <f t="shared" si="66"/>
        <v>0</v>
      </c>
      <c r="AL69" s="218">
        <f t="shared" si="66"/>
        <v>0</v>
      </c>
      <c r="AM69" s="218">
        <f t="shared" si="66"/>
        <v>0</v>
      </c>
      <c r="AN69" s="218">
        <f t="shared" si="66"/>
        <v>0</v>
      </c>
      <c r="AO69" s="218">
        <f t="shared" si="66"/>
        <v>0</v>
      </c>
      <c r="AP69" s="218">
        <f t="shared" si="66"/>
        <v>0</v>
      </c>
      <c r="AQ69" s="218">
        <f t="shared" si="66"/>
        <v>0</v>
      </c>
    </row>
    <row r="71" spans="1:43" ht="17.25">
      <c r="A71" s="217" t="s">
        <v>890</v>
      </c>
      <c r="B71" s="217"/>
      <c r="C71" s="232"/>
      <c r="D71" s="275">
        <f>IF(D69&lt;&gt;0,(+D65/D69),0)</f>
        <v>0</v>
      </c>
      <c r="E71" s="275">
        <f aca="true" t="shared" si="67" ref="E71:S71">IF(E69&lt;&gt;0,(+E65/E69),0)</f>
        <v>0</v>
      </c>
      <c r="F71" s="275">
        <f t="shared" si="67"/>
        <v>0</v>
      </c>
      <c r="G71" s="275">
        <f t="shared" si="67"/>
        <v>0</v>
      </c>
      <c r="H71" s="275">
        <f t="shared" si="67"/>
        <v>0</v>
      </c>
      <c r="I71" s="275">
        <f t="shared" si="67"/>
        <v>0</v>
      </c>
      <c r="J71" s="275">
        <f t="shared" si="67"/>
        <v>0</v>
      </c>
      <c r="K71" s="275">
        <f t="shared" si="67"/>
        <v>0</v>
      </c>
      <c r="L71" s="275">
        <f t="shared" si="67"/>
        <v>0</v>
      </c>
      <c r="M71" s="275">
        <f t="shared" si="67"/>
        <v>0</v>
      </c>
      <c r="N71" s="275">
        <f t="shared" si="67"/>
        <v>0</v>
      </c>
      <c r="O71" s="275">
        <f t="shared" si="67"/>
        <v>0</v>
      </c>
      <c r="P71" s="275">
        <f t="shared" si="67"/>
        <v>0</v>
      </c>
      <c r="Q71" s="275">
        <f t="shared" si="67"/>
        <v>0</v>
      </c>
      <c r="R71" s="275">
        <f t="shared" si="67"/>
        <v>0</v>
      </c>
      <c r="S71" s="275">
        <f t="shared" si="67"/>
        <v>0</v>
      </c>
      <c r="T71" s="275">
        <f>IF(T69&lt;&gt;0,(+T65/T69),0)</f>
        <v>0</v>
      </c>
      <c r="U71" s="275">
        <f aca="true" t="shared" si="68" ref="U71:AG71">IF(U69&lt;&gt;0,(+U65/U69),0)</f>
        <v>0</v>
      </c>
      <c r="V71" s="275">
        <f t="shared" si="68"/>
        <v>0</v>
      </c>
      <c r="W71" s="275">
        <f t="shared" si="68"/>
        <v>0</v>
      </c>
      <c r="X71" s="275">
        <f t="shared" si="68"/>
        <v>0</v>
      </c>
      <c r="Y71" s="275">
        <f t="shared" si="68"/>
        <v>0</v>
      </c>
      <c r="Z71" s="275">
        <f t="shared" si="68"/>
        <v>0</v>
      </c>
      <c r="AA71" s="275">
        <f t="shared" si="68"/>
        <v>0</v>
      </c>
      <c r="AB71" s="275">
        <f t="shared" si="68"/>
        <v>0</v>
      </c>
      <c r="AC71" s="275">
        <f t="shared" si="68"/>
        <v>0</v>
      </c>
      <c r="AD71" s="275">
        <f t="shared" si="68"/>
        <v>0</v>
      </c>
      <c r="AE71" s="275">
        <f t="shared" si="68"/>
        <v>0</v>
      </c>
      <c r="AF71" s="275">
        <f t="shared" si="68"/>
        <v>0</v>
      </c>
      <c r="AG71" s="275">
        <f t="shared" si="68"/>
        <v>0</v>
      </c>
      <c r="AH71" s="275">
        <f aca="true" t="shared" si="69" ref="AH71:AQ71">IF(AH69&lt;&gt;0,(+AH65/AH69),0)</f>
        <v>0</v>
      </c>
      <c r="AI71" s="275">
        <f t="shared" si="69"/>
        <v>0</v>
      </c>
      <c r="AJ71" s="275">
        <f t="shared" si="69"/>
        <v>0</v>
      </c>
      <c r="AK71" s="275">
        <f t="shared" si="69"/>
        <v>0</v>
      </c>
      <c r="AL71" s="275">
        <f t="shared" si="69"/>
        <v>0</v>
      </c>
      <c r="AM71" s="275">
        <f t="shared" si="69"/>
        <v>0</v>
      </c>
      <c r="AN71" s="275">
        <f t="shared" si="69"/>
        <v>0</v>
      </c>
      <c r="AO71" s="275">
        <f t="shared" si="69"/>
        <v>0</v>
      </c>
      <c r="AP71" s="275">
        <f t="shared" si="69"/>
        <v>0</v>
      </c>
      <c r="AQ71" s="275">
        <f t="shared" si="69"/>
        <v>0</v>
      </c>
    </row>
    <row r="72" spans="1:43" ht="17.25">
      <c r="A72" s="217" t="s">
        <v>891</v>
      </c>
      <c r="B72" s="217"/>
      <c r="C72" s="232"/>
      <c r="D72" s="275">
        <f aca="true" t="shared" si="70" ref="D72:AG72">IF(D80&lt;&gt;0,((+D65+D80)/D69),0)</f>
        <v>0</v>
      </c>
      <c r="E72" s="275">
        <f t="shared" si="70"/>
        <v>0</v>
      </c>
      <c r="F72" s="275">
        <f t="shared" si="70"/>
        <v>0</v>
      </c>
      <c r="G72" s="275">
        <f t="shared" si="70"/>
        <v>0</v>
      </c>
      <c r="H72" s="275">
        <f t="shared" si="70"/>
        <v>0</v>
      </c>
      <c r="I72" s="275">
        <f t="shared" si="70"/>
        <v>0</v>
      </c>
      <c r="J72" s="275">
        <f t="shared" si="70"/>
        <v>0</v>
      </c>
      <c r="K72" s="275">
        <f t="shared" si="70"/>
        <v>0</v>
      </c>
      <c r="L72" s="275">
        <f t="shared" si="70"/>
        <v>0</v>
      </c>
      <c r="M72" s="275">
        <f t="shared" si="70"/>
        <v>0</v>
      </c>
      <c r="N72" s="275">
        <f t="shared" si="70"/>
        <v>0</v>
      </c>
      <c r="O72" s="275">
        <f t="shared" si="70"/>
        <v>0</v>
      </c>
      <c r="P72" s="275">
        <f t="shared" si="70"/>
        <v>0</v>
      </c>
      <c r="Q72" s="275">
        <f t="shared" si="70"/>
        <v>0</v>
      </c>
      <c r="R72" s="275">
        <f t="shared" si="70"/>
        <v>0</v>
      </c>
      <c r="S72" s="275">
        <f t="shared" si="70"/>
        <v>0</v>
      </c>
      <c r="T72" s="275">
        <f t="shared" si="70"/>
        <v>0</v>
      </c>
      <c r="U72" s="275">
        <f t="shared" si="70"/>
        <v>0</v>
      </c>
      <c r="V72" s="275">
        <f t="shared" si="70"/>
        <v>0</v>
      </c>
      <c r="W72" s="275">
        <f t="shared" si="70"/>
        <v>0</v>
      </c>
      <c r="X72" s="275">
        <f t="shared" si="70"/>
        <v>0</v>
      </c>
      <c r="Y72" s="275">
        <f t="shared" si="70"/>
        <v>0</v>
      </c>
      <c r="Z72" s="275">
        <f t="shared" si="70"/>
        <v>0</v>
      </c>
      <c r="AA72" s="275">
        <f t="shared" si="70"/>
        <v>0</v>
      </c>
      <c r="AB72" s="275">
        <f t="shared" si="70"/>
        <v>0</v>
      </c>
      <c r="AC72" s="275">
        <f t="shared" si="70"/>
        <v>0</v>
      </c>
      <c r="AD72" s="275">
        <f t="shared" si="70"/>
        <v>0</v>
      </c>
      <c r="AE72" s="275">
        <f t="shared" si="70"/>
        <v>0</v>
      </c>
      <c r="AF72" s="275">
        <f t="shared" si="70"/>
        <v>0</v>
      </c>
      <c r="AG72" s="275">
        <f t="shared" si="70"/>
        <v>0</v>
      </c>
      <c r="AH72" s="275">
        <f aca="true" t="shared" si="71" ref="AH72:AQ72">IF(AH80&lt;&gt;0,((+AH65+AH80)/AH69),0)</f>
        <v>0</v>
      </c>
      <c r="AI72" s="275">
        <f t="shared" si="71"/>
        <v>0</v>
      </c>
      <c r="AJ72" s="275">
        <f t="shared" si="71"/>
        <v>0</v>
      </c>
      <c r="AK72" s="275">
        <f t="shared" si="71"/>
        <v>0</v>
      </c>
      <c r="AL72" s="275">
        <f t="shared" si="71"/>
        <v>0</v>
      </c>
      <c r="AM72" s="275">
        <f t="shared" si="71"/>
        <v>0</v>
      </c>
      <c r="AN72" s="275">
        <f t="shared" si="71"/>
        <v>0</v>
      </c>
      <c r="AO72" s="275">
        <f t="shared" si="71"/>
        <v>0</v>
      </c>
      <c r="AP72" s="275">
        <f t="shared" si="71"/>
        <v>0</v>
      </c>
      <c r="AQ72" s="275">
        <f t="shared" si="71"/>
        <v>0</v>
      </c>
    </row>
    <row r="73" spans="1:43" ht="17.25">
      <c r="A73" s="468"/>
      <c r="B73" s="223"/>
      <c r="C73" s="260"/>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row>
    <row r="74" spans="1:43" ht="17.25">
      <c r="A74" s="223" t="s">
        <v>892</v>
      </c>
      <c r="B74" s="223"/>
      <c r="C74" s="260"/>
      <c r="D74" s="218">
        <f aca="true" t="shared" si="72" ref="D74:S74">D65-D69</f>
        <v>0</v>
      </c>
      <c r="E74" s="218">
        <f t="shared" si="72"/>
        <v>0</v>
      </c>
      <c r="F74" s="218">
        <f t="shared" si="72"/>
        <v>0</v>
      </c>
      <c r="G74" s="218">
        <f t="shared" si="72"/>
        <v>0</v>
      </c>
      <c r="H74" s="218">
        <f t="shared" si="72"/>
        <v>0</v>
      </c>
      <c r="I74" s="218">
        <f t="shared" si="72"/>
        <v>0</v>
      </c>
      <c r="J74" s="218">
        <f t="shared" si="72"/>
        <v>0</v>
      </c>
      <c r="K74" s="218">
        <f t="shared" si="72"/>
        <v>0</v>
      </c>
      <c r="L74" s="218">
        <f t="shared" si="72"/>
        <v>0</v>
      </c>
      <c r="M74" s="218">
        <f t="shared" si="72"/>
        <v>0</v>
      </c>
      <c r="N74" s="218">
        <f t="shared" si="72"/>
        <v>0</v>
      </c>
      <c r="O74" s="218">
        <f t="shared" si="72"/>
        <v>0</v>
      </c>
      <c r="P74" s="218">
        <f t="shared" si="72"/>
        <v>0</v>
      </c>
      <c r="Q74" s="218">
        <f t="shared" si="72"/>
        <v>0</v>
      </c>
      <c r="R74" s="218">
        <f t="shared" si="72"/>
        <v>0</v>
      </c>
      <c r="S74" s="218">
        <f t="shared" si="72"/>
        <v>0</v>
      </c>
      <c r="T74" s="218">
        <f aca="true" t="shared" si="73" ref="T74:AG74">+T65-T69</f>
        <v>0</v>
      </c>
      <c r="U74" s="218">
        <f t="shared" si="73"/>
        <v>0</v>
      </c>
      <c r="V74" s="218">
        <f t="shared" si="73"/>
        <v>0</v>
      </c>
      <c r="W74" s="218">
        <f t="shared" si="73"/>
        <v>0</v>
      </c>
      <c r="X74" s="218">
        <f t="shared" si="73"/>
        <v>0</v>
      </c>
      <c r="Y74" s="218">
        <f t="shared" si="73"/>
        <v>0</v>
      </c>
      <c r="Z74" s="218">
        <f t="shared" si="73"/>
        <v>0</v>
      </c>
      <c r="AA74" s="218">
        <f t="shared" si="73"/>
        <v>0</v>
      </c>
      <c r="AB74" s="218">
        <f t="shared" si="73"/>
        <v>0</v>
      </c>
      <c r="AC74" s="218">
        <f t="shared" si="73"/>
        <v>0</v>
      </c>
      <c r="AD74" s="218">
        <f t="shared" si="73"/>
        <v>0</v>
      </c>
      <c r="AE74" s="218">
        <f t="shared" si="73"/>
        <v>0</v>
      </c>
      <c r="AF74" s="218">
        <f t="shared" si="73"/>
        <v>0</v>
      </c>
      <c r="AG74" s="218">
        <f t="shared" si="73"/>
        <v>0</v>
      </c>
      <c r="AH74" s="218">
        <f aca="true" t="shared" si="74" ref="AH74:AQ74">+AH65-AH69</f>
        <v>0</v>
      </c>
      <c r="AI74" s="218">
        <f t="shared" si="74"/>
        <v>0</v>
      </c>
      <c r="AJ74" s="218">
        <f t="shared" si="74"/>
        <v>0</v>
      </c>
      <c r="AK74" s="218">
        <f t="shared" si="74"/>
        <v>0</v>
      </c>
      <c r="AL74" s="218">
        <f t="shared" si="74"/>
        <v>0</v>
      </c>
      <c r="AM74" s="218">
        <f t="shared" si="74"/>
        <v>0</v>
      </c>
      <c r="AN74" s="218">
        <f t="shared" si="74"/>
        <v>0</v>
      </c>
      <c r="AO74" s="218">
        <f t="shared" si="74"/>
        <v>0</v>
      </c>
      <c r="AP74" s="218">
        <f t="shared" si="74"/>
        <v>0</v>
      </c>
      <c r="AQ74" s="218">
        <f t="shared" si="74"/>
        <v>0</v>
      </c>
    </row>
    <row r="75" spans="1:43" ht="17.25">
      <c r="A75" s="1093" t="s">
        <v>1586</v>
      </c>
      <c r="B75" s="704"/>
      <c r="C75" s="260" t="s">
        <v>370</v>
      </c>
      <c r="D75" s="218">
        <f>D74*$B75/100</f>
        <v>0</v>
      </c>
      <c r="E75" s="218">
        <f aca="true" t="shared" si="75" ref="E75:AQ75">E74*$B75/100</f>
        <v>0</v>
      </c>
      <c r="F75" s="218">
        <f t="shared" si="75"/>
        <v>0</v>
      </c>
      <c r="G75" s="218">
        <f t="shared" si="75"/>
        <v>0</v>
      </c>
      <c r="H75" s="218">
        <f t="shared" si="75"/>
        <v>0</v>
      </c>
      <c r="I75" s="218">
        <f t="shared" si="75"/>
        <v>0</v>
      </c>
      <c r="J75" s="218">
        <f t="shared" si="75"/>
        <v>0</v>
      </c>
      <c r="K75" s="218">
        <f t="shared" si="75"/>
        <v>0</v>
      </c>
      <c r="L75" s="218">
        <f t="shared" si="75"/>
        <v>0</v>
      </c>
      <c r="M75" s="218">
        <f t="shared" si="75"/>
        <v>0</v>
      </c>
      <c r="N75" s="218">
        <f t="shared" si="75"/>
        <v>0</v>
      </c>
      <c r="O75" s="218">
        <f t="shared" si="75"/>
        <v>0</v>
      </c>
      <c r="P75" s="218">
        <f t="shared" si="75"/>
        <v>0</v>
      </c>
      <c r="Q75" s="218">
        <f t="shared" si="75"/>
        <v>0</v>
      </c>
      <c r="R75" s="218">
        <f t="shared" si="75"/>
        <v>0</v>
      </c>
      <c r="S75" s="218">
        <f t="shared" si="75"/>
        <v>0</v>
      </c>
      <c r="T75" s="218">
        <f t="shared" si="75"/>
        <v>0</v>
      </c>
      <c r="U75" s="218">
        <f t="shared" si="75"/>
        <v>0</v>
      </c>
      <c r="V75" s="218">
        <f t="shared" si="75"/>
        <v>0</v>
      </c>
      <c r="W75" s="218">
        <f t="shared" si="75"/>
        <v>0</v>
      </c>
      <c r="X75" s="218">
        <f t="shared" si="75"/>
        <v>0</v>
      </c>
      <c r="Y75" s="218">
        <f t="shared" si="75"/>
        <v>0</v>
      </c>
      <c r="Z75" s="218">
        <f t="shared" si="75"/>
        <v>0</v>
      </c>
      <c r="AA75" s="218">
        <f t="shared" si="75"/>
        <v>0</v>
      </c>
      <c r="AB75" s="218">
        <f t="shared" si="75"/>
        <v>0</v>
      </c>
      <c r="AC75" s="218">
        <f t="shared" si="75"/>
        <v>0</v>
      </c>
      <c r="AD75" s="218">
        <f t="shared" si="75"/>
        <v>0</v>
      </c>
      <c r="AE75" s="218">
        <f t="shared" si="75"/>
        <v>0</v>
      </c>
      <c r="AF75" s="218">
        <f t="shared" si="75"/>
        <v>0</v>
      </c>
      <c r="AG75" s="218">
        <f t="shared" si="75"/>
        <v>0</v>
      </c>
      <c r="AH75" s="218">
        <f t="shared" si="75"/>
        <v>0</v>
      </c>
      <c r="AI75" s="218">
        <f t="shared" si="75"/>
        <v>0</v>
      </c>
      <c r="AJ75" s="218">
        <f t="shared" si="75"/>
        <v>0</v>
      </c>
      <c r="AK75" s="218">
        <f t="shared" si="75"/>
        <v>0</v>
      </c>
      <c r="AL75" s="218">
        <f t="shared" si="75"/>
        <v>0</v>
      </c>
      <c r="AM75" s="218">
        <f t="shared" si="75"/>
        <v>0</v>
      </c>
      <c r="AN75" s="218">
        <f t="shared" si="75"/>
        <v>0</v>
      </c>
      <c r="AO75" s="218">
        <f t="shared" si="75"/>
        <v>0</v>
      </c>
      <c r="AP75" s="218">
        <f t="shared" si="75"/>
        <v>0</v>
      </c>
      <c r="AQ75" s="218">
        <f t="shared" si="75"/>
        <v>0</v>
      </c>
    </row>
    <row r="76" spans="1:43" ht="17.25">
      <c r="A76" s="1094"/>
      <c r="B76" s="705"/>
      <c r="C76" t="s">
        <v>370</v>
      </c>
      <c r="D76" s="218">
        <f>D74*$B76/100</f>
        <v>0</v>
      </c>
      <c r="E76" s="218">
        <f aca="true" t="shared" si="76" ref="E76:AG76">E74*$B76/100</f>
        <v>0</v>
      </c>
      <c r="F76" s="218">
        <f t="shared" si="76"/>
        <v>0</v>
      </c>
      <c r="G76" s="218">
        <f t="shared" si="76"/>
        <v>0</v>
      </c>
      <c r="H76" s="218">
        <f t="shared" si="76"/>
        <v>0</v>
      </c>
      <c r="I76" s="218">
        <f t="shared" si="76"/>
        <v>0</v>
      </c>
      <c r="J76" s="218">
        <f t="shared" si="76"/>
        <v>0</v>
      </c>
      <c r="K76" s="218">
        <f t="shared" si="76"/>
        <v>0</v>
      </c>
      <c r="L76" s="218">
        <f t="shared" si="76"/>
        <v>0</v>
      </c>
      <c r="M76" s="218">
        <f t="shared" si="76"/>
        <v>0</v>
      </c>
      <c r="N76" s="218">
        <f t="shared" si="76"/>
        <v>0</v>
      </c>
      <c r="O76" s="218">
        <f t="shared" si="76"/>
        <v>0</v>
      </c>
      <c r="P76" s="218">
        <f t="shared" si="76"/>
        <v>0</v>
      </c>
      <c r="Q76" s="218">
        <f t="shared" si="76"/>
        <v>0</v>
      </c>
      <c r="R76" s="218">
        <f t="shared" si="76"/>
        <v>0</v>
      </c>
      <c r="S76" s="218">
        <f t="shared" si="76"/>
        <v>0</v>
      </c>
      <c r="T76" s="218">
        <f t="shared" si="76"/>
        <v>0</v>
      </c>
      <c r="U76" s="218">
        <f t="shared" si="76"/>
        <v>0</v>
      </c>
      <c r="V76" s="218">
        <f t="shared" si="76"/>
        <v>0</v>
      </c>
      <c r="W76" s="218">
        <f t="shared" si="76"/>
        <v>0</v>
      </c>
      <c r="X76" s="218">
        <f t="shared" si="76"/>
        <v>0</v>
      </c>
      <c r="Y76" s="218">
        <f t="shared" si="76"/>
        <v>0</v>
      </c>
      <c r="Z76" s="218">
        <f t="shared" si="76"/>
        <v>0</v>
      </c>
      <c r="AA76" s="218">
        <f t="shared" si="76"/>
        <v>0</v>
      </c>
      <c r="AB76" s="218">
        <f t="shared" si="76"/>
        <v>0</v>
      </c>
      <c r="AC76" s="218">
        <f t="shared" si="76"/>
        <v>0</v>
      </c>
      <c r="AD76" s="218">
        <f t="shared" si="76"/>
        <v>0</v>
      </c>
      <c r="AE76" s="218">
        <f t="shared" si="76"/>
        <v>0</v>
      </c>
      <c r="AF76" s="218">
        <f t="shared" si="76"/>
        <v>0</v>
      </c>
      <c r="AG76" s="218">
        <f t="shared" si="76"/>
        <v>0</v>
      </c>
      <c r="AH76" s="218">
        <f aca="true" t="shared" si="77" ref="AH76:AQ76">AH74*$B76/100</f>
        <v>0</v>
      </c>
      <c r="AI76" s="218">
        <f t="shared" si="77"/>
        <v>0</v>
      </c>
      <c r="AJ76" s="218">
        <f t="shared" si="77"/>
        <v>0</v>
      </c>
      <c r="AK76" s="218">
        <f t="shared" si="77"/>
        <v>0</v>
      </c>
      <c r="AL76" s="218">
        <f t="shared" si="77"/>
        <v>0</v>
      </c>
      <c r="AM76" s="218">
        <f t="shared" si="77"/>
        <v>0</v>
      </c>
      <c r="AN76" s="218">
        <f t="shared" si="77"/>
        <v>0</v>
      </c>
      <c r="AO76" s="218">
        <f t="shared" si="77"/>
        <v>0</v>
      </c>
      <c r="AP76" s="218">
        <f t="shared" si="77"/>
        <v>0</v>
      </c>
      <c r="AQ76" s="218">
        <f t="shared" si="77"/>
        <v>0</v>
      </c>
    </row>
    <row r="77" spans="1:43" ht="17.25">
      <c r="A77" s="223"/>
      <c r="B77" s="260" t="s">
        <v>1260</v>
      </c>
      <c r="D77" s="218">
        <f>D74-SUM(D75:D76)</f>
        <v>0</v>
      </c>
      <c r="E77" s="218">
        <f>E74-SUM(E75:E76)</f>
        <v>0</v>
      </c>
      <c r="F77" s="218">
        <f aca="true" t="shared" si="78" ref="F77:AQ77">F74-SUM(F75:F76)</f>
        <v>0</v>
      </c>
      <c r="G77" s="218">
        <f t="shared" si="78"/>
        <v>0</v>
      </c>
      <c r="H77" s="218">
        <f t="shared" si="78"/>
        <v>0</v>
      </c>
      <c r="I77" s="218">
        <f t="shared" si="78"/>
        <v>0</v>
      </c>
      <c r="J77" s="218">
        <f t="shared" si="78"/>
        <v>0</v>
      </c>
      <c r="K77" s="218">
        <f t="shared" si="78"/>
        <v>0</v>
      </c>
      <c r="L77" s="218">
        <f t="shared" si="78"/>
        <v>0</v>
      </c>
      <c r="M77" s="218">
        <f t="shared" si="78"/>
        <v>0</v>
      </c>
      <c r="N77" s="218">
        <f t="shared" si="78"/>
        <v>0</v>
      </c>
      <c r="O77" s="218">
        <f t="shared" si="78"/>
        <v>0</v>
      </c>
      <c r="P77" s="218">
        <f t="shared" si="78"/>
        <v>0</v>
      </c>
      <c r="Q77" s="218">
        <f t="shared" si="78"/>
        <v>0</v>
      </c>
      <c r="R77" s="218">
        <f t="shared" si="78"/>
        <v>0</v>
      </c>
      <c r="S77" s="218">
        <f t="shared" si="78"/>
        <v>0</v>
      </c>
      <c r="T77" s="218">
        <f t="shared" si="78"/>
        <v>0</v>
      </c>
      <c r="U77" s="218">
        <f t="shared" si="78"/>
        <v>0</v>
      </c>
      <c r="V77" s="218">
        <f t="shared" si="78"/>
        <v>0</v>
      </c>
      <c r="W77" s="218">
        <f t="shared" si="78"/>
        <v>0</v>
      </c>
      <c r="X77" s="218">
        <f t="shared" si="78"/>
        <v>0</v>
      </c>
      <c r="Y77" s="218">
        <f t="shared" si="78"/>
        <v>0</v>
      </c>
      <c r="Z77" s="218">
        <f t="shared" si="78"/>
        <v>0</v>
      </c>
      <c r="AA77" s="218">
        <f t="shared" si="78"/>
        <v>0</v>
      </c>
      <c r="AB77" s="218">
        <f t="shared" si="78"/>
        <v>0</v>
      </c>
      <c r="AC77" s="218">
        <f t="shared" si="78"/>
        <v>0</v>
      </c>
      <c r="AD77" s="218">
        <f t="shared" si="78"/>
        <v>0</v>
      </c>
      <c r="AE77" s="218">
        <f t="shared" si="78"/>
        <v>0</v>
      </c>
      <c r="AF77" s="218">
        <f t="shared" si="78"/>
        <v>0</v>
      </c>
      <c r="AG77" s="218">
        <f t="shared" si="78"/>
        <v>0</v>
      </c>
      <c r="AH77" s="218">
        <f t="shared" si="78"/>
        <v>0</v>
      </c>
      <c r="AI77" s="218">
        <f t="shared" si="78"/>
        <v>0</v>
      </c>
      <c r="AJ77" s="218">
        <f t="shared" si="78"/>
        <v>0</v>
      </c>
      <c r="AK77" s="218">
        <f t="shared" si="78"/>
        <v>0</v>
      </c>
      <c r="AL77" s="218">
        <f t="shared" si="78"/>
        <v>0</v>
      </c>
      <c r="AM77" s="218">
        <f t="shared" si="78"/>
        <v>0</v>
      </c>
      <c r="AN77" s="218">
        <f t="shared" si="78"/>
        <v>0</v>
      </c>
      <c r="AO77" s="218">
        <f t="shared" si="78"/>
        <v>0</v>
      </c>
      <c r="AP77" s="218">
        <f t="shared" si="78"/>
        <v>0</v>
      </c>
      <c r="AQ77" s="218">
        <f t="shared" si="78"/>
        <v>0</v>
      </c>
    </row>
    <row r="78" spans="2:43" ht="17.25">
      <c r="B78" s="156"/>
      <c r="C78" s="156"/>
      <c r="D78" s="156"/>
      <c r="E78" s="156"/>
      <c r="F78" s="156"/>
      <c r="G78" s="156"/>
      <c r="H78" s="156"/>
      <c r="I78" s="156"/>
      <c r="J78" s="156"/>
      <c r="K78" s="156"/>
      <c r="L78" s="156"/>
      <c r="M78" s="1099">
        <f>SUM($D75:M75)</f>
        <v>0</v>
      </c>
      <c r="N78" s="156"/>
      <c r="O78" s="156"/>
      <c r="P78" s="156"/>
      <c r="Q78" s="156"/>
      <c r="R78" s="1099">
        <f>SUM(D75:R75)</f>
        <v>0</v>
      </c>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row>
    <row r="79" spans="1:43" ht="17.25">
      <c r="A79" s="233" t="s">
        <v>893</v>
      </c>
      <c r="B79" s="233"/>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row>
    <row r="80" spans="1:43" ht="17.25">
      <c r="A80" s="217" t="s">
        <v>894</v>
      </c>
      <c r="B80" s="217"/>
      <c r="C80" s="156"/>
      <c r="D80" s="339"/>
      <c r="E80" s="231">
        <f>+D83</f>
        <v>0</v>
      </c>
      <c r="F80" s="231">
        <f aca="true" t="shared" si="79" ref="F80:AQ80">+E83</f>
        <v>0</v>
      </c>
      <c r="G80" s="231">
        <f t="shared" si="79"/>
        <v>0</v>
      </c>
      <c r="H80" s="231">
        <f t="shared" si="79"/>
        <v>0</v>
      </c>
      <c r="I80" s="231">
        <f t="shared" si="79"/>
        <v>0</v>
      </c>
      <c r="J80" s="231">
        <f t="shared" si="79"/>
        <v>0</v>
      </c>
      <c r="K80" s="231">
        <f t="shared" si="79"/>
        <v>0</v>
      </c>
      <c r="L80" s="231">
        <f t="shared" si="79"/>
        <v>0</v>
      </c>
      <c r="M80" s="231">
        <f t="shared" si="79"/>
        <v>0</v>
      </c>
      <c r="N80" s="231">
        <f t="shared" si="79"/>
        <v>0</v>
      </c>
      <c r="O80" s="231">
        <f t="shared" si="79"/>
        <v>0</v>
      </c>
      <c r="P80" s="231">
        <f t="shared" si="79"/>
        <v>0</v>
      </c>
      <c r="Q80" s="231">
        <f t="shared" si="79"/>
        <v>0</v>
      </c>
      <c r="R80" s="231">
        <f t="shared" si="79"/>
        <v>0</v>
      </c>
      <c r="S80" s="231">
        <f t="shared" si="79"/>
        <v>0</v>
      </c>
      <c r="T80" s="231">
        <f t="shared" si="79"/>
        <v>0</v>
      </c>
      <c r="U80" s="231">
        <f t="shared" si="79"/>
        <v>0</v>
      </c>
      <c r="V80" s="231">
        <f t="shared" si="79"/>
        <v>0</v>
      </c>
      <c r="W80" s="231">
        <f t="shared" si="79"/>
        <v>0</v>
      </c>
      <c r="X80" s="231">
        <f t="shared" si="79"/>
        <v>0</v>
      </c>
      <c r="Y80" s="231">
        <f t="shared" si="79"/>
        <v>0</v>
      </c>
      <c r="Z80" s="231">
        <f t="shared" si="79"/>
        <v>0</v>
      </c>
      <c r="AA80" s="231">
        <f t="shared" si="79"/>
        <v>0</v>
      </c>
      <c r="AB80" s="231">
        <f t="shared" si="79"/>
        <v>0</v>
      </c>
      <c r="AC80" s="231">
        <f t="shared" si="79"/>
        <v>0</v>
      </c>
      <c r="AD80" s="231">
        <f t="shared" si="79"/>
        <v>0</v>
      </c>
      <c r="AE80" s="231">
        <f t="shared" si="79"/>
        <v>0</v>
      </c>
      <c r="AF80" s="231">
        <f t="shared" si="79"/>
        <v>0</v>
      </c>
      <c r="AG80" s="231">
        <f t="shared" si="79"/>
        <v>0</v>
      </c>
      <c r="AH80" s="231">
        <f t="shared" si="79"/>
        <v>0</v>
      </c>
      <c r="AI80" s="231">
        <f t="shared" si="79"/>
        <v>0</v>
      </c>
      <c r="AJ80" s="231">
        <f t="shared" si="79"/>
        <v>0</v>
      </c>
      <c r="AK80" s="231">
        <f t="shared" si="79"/>
        <v>0</v>
      </c>
      <c r="AL80" s="231">
        <f t="shared" si="79"/>
        <v>0</v>
      </c>
      <c r="AM80" s="231">
        <f t="shared" si="79"/>
        <v>0</v>
      </c>
      <c r="AN80" s="231">
        <f t="shared" si="79"/>
        <v>0</v>
      </c>
      <c r="AO80" s="231">
        <f t="shared" si="79"/>
        <v>0</v>
      </c>
      <c r="AP80" s="231">
        <f t="shared" si="79"/>
        <v>0</v>
      </c>
      <c r="AQ80" s="231">
        <f t="shared" si="79"/>
        <v>0</v>
      </c>
    </row>
    <row r="81" spans="1:43" ht="17.25">
      <c r="A81" s="217" t="s">
        <v>895</v>
      </c>
      <c r="B81" s="217"/>
      <c r="C81" s="338"/>
      <c r="D81" s="231">
        <f aca="true" t="shared" si="80" ref="D81:AQ81">D80*$C81</f>
        <v>0</v>
      </c>
      <c r="E81" s="231">
        <f t="shared" si="80"/>
        <v>0</v>
      </c>
      <c r="F81" s="231">
        <f t="shared" si="80"/>
        <v>0</v>
      </c>
      <c r="G81" s="231">
        <f t="shared" si="80"/>
        <v>0</v>
      </c>
      <c r="H81" s="231">
        <f t="shared" si="80"/>
        <v>0</v>
      </c>
      <c r="I81" s="231">
        <f t="shared" si="80"/>
        <v>0</v>
      </c>
      <c r="J81" s="231">
        <f t="shared" si="80"/>
        <v>0</v>
      </c>
      <c r="K81" s="231">
        <f t="shared" si="80"/>
        <v>0</v>
      </c>
      <c r="L81" s="231">
        <f t="shared" si="80"/>
        <v>0</v>
      </c>
      <c r="M81" s="231">
        <f t="shared" si="80"/>
        <v>0</v>
      </c>
      <c r="N81" s="231">
        <f t="shared" si="80"/>
        <v>0</v>
      </c>
      <c r="O81" s="231">
        <f t="shared" si="80"/>
        <v>0</v>
      </c>
      <c r="P81" s="231">
        <f t="shared" si="80"/>
        <v>0</v>
      </c>
      <c r="Q81" s="231">
        <f t="shared" si="80"/>
        <v>0</v>
      </c>
      <c r="R81" s="231">
        <f t="shared" si="80"/>
        <v>0</v>
      </c>
      <c r="S81" s="231">
        <f t="shared" si="80"/>
        <v>0</v>
      </c>
      <c r="T81" s="231">
        <f t="shared" si="80"/>
        <v>0</v>
      </c>
      <c r="U81" s="231">
        <f t="shared" si="80"/>
        <v>0</v>
      </c>
      <c r="V81" s="231">
        <f t="shared" si="80"/>
        <v>0</v>
      </c>
      <c r="W81" s="231">
        <f t="shared" si="80"/>
        <v>0</v>
      </c>
      <c r="X81" s="231">
        <f t="shared" si="80"/>
        <v>0</v>
      </c>
      <c r="Y81" s="231">
        <f t="shared" si="80"/>
        <v>0</v>
      </c>
      <c r="Z81" s="231">
        <f t="shared" si="80"/>
        <v>0</v>
      </c>
      <c r="AA81" s="231">
        <f t="shared" si="80"/>
        <v>0</v>
      </c>
      <c r="AB81" s="231">
        <f t="shared" si="80"/>
        <v>0</v>
      </c>
      <c r="AC81" s="231">
        <f t="shared" si="80"/>
        <v>0</v>
      </c>
      <c r="AD81" s="231">
        <f t="shared" si="80"/>
        <v>0</v>
      </c>
      <c r="AE81" s="231">
        <f t="shared" si="80"/>
        <v>0</v>
      </c>
      <c r="AF81" s="231">
        <f t="shared" si="80"/>
        <v>0</v>
      </c>
      <c r="AG81" s="231">
        <f t="shared" si="80"/>
        <v>0</v>
      </c>
      <c r="AH81" s="231">
        <f t="shared" si="80"/>
        <v>0</v>
      </c>
      <c r="AI81" s="231">
        <f t="shared" si="80"/>
        <v>0</v>
      </c>
      <c r="AJ81" s="231">
        <f t="shared" si="80"/>
        <v>0</v>
      </c>
      <c r="AK81" s="231">
        <f t="shared" si="80"/>
        <v>0</v>
      </c>
      <c r="AL81" s="231">
        <f t="shared" si="80"/>
        <v>0</v>
      </c>
      <c r="AM81" s="231">
        <f t="shared" si="80"/>
        <v>0</v>
      </c>
      <c r="AN81" s="231">
        <f t="shared" si="80"/>
        <v>0</v>
      </c>
      <c r="AO81" s="231">
        <f t="shared" si="80"/>
        <v>0</v>
      </c>
      <c r="AP81" s="231">
        <f t="shared" si="80"/>
        <v>0</v>
      </c>
      <c r="AQ81" s="231">
        <f t="shared" si="80"/>
        <v>0</v>
      </c>
    </row>
    <row r="82" spans="1:43" ht="17.25">
      <c r="A82" s="217" t="s">
        <v>406</v>
      </c>
      <c r="B82" s="217"/>
      <c r="C82" s="1031"/>
      <c r="D82" s="231">
        <f>IF(D69&gt;D65,(-D69+D65),0)</f>
        <v>0</v>
      </c>
      <c r="E82" s="231">
        <f aca="true" t="shared" si="81" ref="E82:AG82">IF(E69&gt;E65,(-E69+E65),0)</f>
        <v>0</v>
      </c>
      <c r="F82" s="231">
        <f t="shared" si="81"/>
        <v>0</v>
      </c>
      <c r="G82" s="231">
        <f t="shared" si="81"/>
        <v>0</v>
      </c>
      <c r="H82" s="231">
        <f t="shared" si="81"/>
        <v>0</v>
      </c>
      <c r="I82" s="231">
        <f t="shared" si="81"/>
        <v>0</v>
      </c>
      <c r="J82" s="231">
        <f t="shared" si="81"/>
        <v>0</v>
      </c>
      <c r="K82" s="231">
        <f t="shared" si="81"/>
        <v>0</v>
      </c>
      <c r="L82" s="231">
        <f t="shared" si="81"/>
        <v>0</v>
      </c>
      <c r="M82" s="231">
        <f t="shared" si="81"/>
        <v>0</v>
      </c>
      <c r="N82" s="231">
        <f t="shared" si="81"/>
        <v>0</v>
      </c>
      <c r="O82" s="231">
        <f t="shared" si="81"/>
        <v>0</v>
      </c>
      <c r="P82" s="231">
        <f t="shared" si="81"/>
        <v>0</v>
      </c>
      <c r="Q82" s="231">
        <f t="shared" si="81"/>
        <v>0</v>
      </c>
      <c r="R82" s="231">
        <f t="shared" si="81"/>
        <v>0</v>
      </c>
      <c r="S82" s="231">
        <f t="shared" si="81"/>
        <v>0</v>
      </c>
      <c r="T82" s="231">
        <f t="shared" si="81"/>
        <v>0</v>
      </c>
      <c r="U82" s="231">
        <f t="shared" si="81"/>
        <v>0</v>
      </c>
      <c r="V82" s="231">
        <f t="shared" si="81"/>
        <v>0</v>
      </c>
      <c r="W82" s="231">
        <f t="shared" si="81"/>
        <v>0</v>
      </c>
      <c r="X82" s="231">
        <f t="shared" si="81"/>
        <v>0</v>
      </c>
      <c r="Y82" s="231">
        <f t="shared" si="81"/>
        <v>0</v>
      </c>
      <c r="Z82" s="231">
        <f t="shared" si="81"/>
        <v>0</v>
      </c>
      <c r="AA82" s="231">
        <f t="shared" si="81"/>
        <v>0</v>
      </c>
      <c r="AB82" s="231">
        <f t="shared" si="81"/>
        <v>0</v>
      </c>
      <c r="AC82" s="231">
        <f t="shared" si="81"/>
        <v>0</v>
      </c>
      <c r="AD82" s="231">
        <f t="shared" si="81"/>
        <v>0</v>
      </c>
      <c r="AE82" s="231">
        <f t="shared" si="81"/>
        <v>0</v>
      </c>
      <c r="AF82" s="231">
        <f t="shared" si="81"/>
        <v>0</v>
      </c>
      <c r="AG82" s="231">
        <f t="shared" si="81"/>
        <v>0</v>
      </c>
      <c r="AH82" s="231">
        <f aca="true" t="shared" si="82" ref="AH82:AQ82">IF(AH69&gt;AH65,(-AH69+AH65),0)</f>
        <v>0</v>
      </c>
      <c r="AI82" s="231">
        <f t="shared" si="82"/>
        <v>0</v>
      </c>
      <c r="AJ82" s="231">
        <f t="shared" si="82"/>
        <v>0</v>
      </c>
      <c r="AK82" s="231">
        <f t="shared" si="82"/>
        <v>0</v>
      </c>
      <c r="AL82" s="231">
        <f t="shared" si="82"/>
        <v>0</v>
      </c>
      <c r="AM82" s="231">
        <f t="shared" si="82"/>
        <v>0</v>
      </c>
      <c r="AN82" s="231">
        <f t="shared" si="82"/>
        <v>0</v>
      </c>
      <c r="AO82" s="231">
        <f t="shared" si="82"/>
        <v>0</v>
      </c>
      <c r="AP82" s="231">
        <f t="shared" si="82"/>
        <v>0</v>
      </c>
      <c r="AQ82" s="231">
        <f t="shared" si="82"/>
        <v>0</v>
      </c>
    </row>
    <row r="83" spans="1:43" ht="17.25">
      <c r="A83" s="143" t="s">
        <v>896</v>
      </c>
      <c r="B83" s="143"/>
      <c r="C83" s="143"/>
      <c r="D83" s="231">
        <f>SUM(D80:D82)</f>
        <v>0</v>
      </c>
      <c r="E83" s="231">
        <f aca="true" t="shared" si="83" ref="E83:AQ83">SUM(E80:E82)</f>
        <v>0</v>
      </c>
      <c r="F83" s="231">
        <f t="shared" si="83"/>
        <v>0</v>
      </c>
      <c r="G83" s="231">
        <f t="shared" si="83"/>
        <v>0</v>
      </c>
      <c r="H83" s="231">
        <f t="shared" si="83"/>
        <v>0</v>
      </c>
      <c r="I83" s="231">
        <f t="shared" si="83"/>
        <v>0</v>
      </c>
      <c r="J83" s="231">
        <f t="shared" si="83"/>
        <v>0</v>
      </c>
      <c r="K83" s="231">
        <f t="shared" si="83"/>
        <v>0</v>
      </c>
      <c r="L83" s="231">
        <f t="shared" si="83"/>
        <v>0</v>
      </c>
      <c r="M83" s="231">
        <f t="shared" si="83"/>
        <v>0</v>
      </c>
      <c r="N83" s="231">
        <f t="shared" si="83"/>
        <v>0</v>
      </c>
      <c r="O83" s="231">
        <f t="shared" si="83"/>
        <v>0</v>
      </c>
      <c r="P83" s="231">
        <f t="shared" si="83"/>
        <v>0</v>
      </c>
      <c r="Q83" s="231">
        <f t="shared" si="83"/>
        <v>0</v>
      </c>
      <c r="R83" s="231">
        <f t="shared" si="83"/>
        <v>0</v>
      </c>
      <c r="S83" s="231">
        <f t="shared" si="83"/>
        <v>0</v>
      </c>
      <c r="T83" s="231">
        <f t="shared" si="83"/>
        <v>0</v>
      </c>
      <c r="U83" s="231">
        <f t="shared" si="83"/>
        <v>0</v>
      </c>
      <c r="V83" s="231">
        <f t="shared" si="83"/>
        <v>0</v>
      </c>
      <c r="W83" s="231">
        <f t="shared" si="83"/>
        <v>0</v>
      </c>
      <c r="X83" s="231">
        <f t="shared" si="83"/>
        <v>0</v>
      </c>
      <c r="Y83" s="231">
        <f t="shared" si="83"/>
        <v>0</v>
      </c>
      <c r="Z83" s="231">
        <f t="shared" si="83"/>
        <v>0</v>
      </c>
      <c r="AA83" s="231">
        <f t="shared" si="83"/>
        <v>0</v>
      </c>
      <c r="AB83" s="231">
        <f t="shared" si="83"/>
        <v>0</v>
      </c>
      <c r="AC83" s="231">
        <f t="shared" si="83"/>
        <v>0</v>
      </c>
      <c r="AD83" s="231">
        <f t="shared" si="83"/>
        <v>0</v>
      </c>
      <c r="AE83" s="231">
        <f t="shared" si="83"/>
        <v>0</v>
      </c>
      <c r="AF83" s="231">
        <f t="shared" si="83"/>
        <v>0</v>
      </c>
      <c r="AG83" s="231">
        <f t="shared" si="83"/>
        <v>0</v>
      </c>
      <c r="AH83" s="231">
        <f t="shared" si="83"/>
        <v>0</v>
      </c>
      <c r="AI83" s="231">
        <f t="shared" si="83"/>
        <v>0</v>
      </c>
      <c r="AJ83" s="231">
        <f t="shared" si="83"/>
        <v>0</v>
      </c>
      <c r="AK83" s="231">
        <f t="shared" si="83"/>
        <v>0</v>
      </c>
      <c r="AL83" s="231">
        <f t="shared" si="83"/>
        <v>0</v>
      </c>
      <c r="AM83" s="231">
        <f t="shared" si="83"/>
        <v>0</v>
      </c>
      <c r="AN83" s="231">
        <f t="shared" si="83"/>
        <v>0</v>
      </c>
      <c r="AO83" s="231">
        <f t="shared" si="83"/>
        <v>0</v>
      </c>
      <c r="AP83" s="231">
        <f t="shared" si="83"/>
        <v>0</v>
      </c>
      <c r="AQ83" s="231">
        <f t="shared" si="83"/>
        <v>0</v>
      </c>
    </row>
    <row r="84" spans="5:43" ht="17.25">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row>
  </sheetData>
  <sheetProtection/>
  <printOptions horizontalCentered="1"/>
  <pageMargins left="0.25" right="0.25" top="0.55" bottom="0.25" header="0.25" footer="0.25"/>
  <pageSetup fitToWidth="2" fitToHeight="1" horizontalDpi="600" verticalDpi="600" orientation="landscape" pageOrder="overThenDown" paperSize="5" scale="38" r:id="rId1"/>
  <headerFooter alignWithMargins="0">
    <oddHeader>&amp;C&amp;"Arial,Bold"&amp;14DRAFT - for discussion purposes only and subject to change&amp;16
MULTIFAMILY CASH FLOW</oddHeader>
    <oddFooter>&amp;L&amp;8&amp;F&amp;A &amp;D</oddFooter>
  </headerFooter>
</worksheet>
</file>

<file path=xl/worksheets/sheet8.xml><?xml version="1.0" encoding="utf-8"?>
<worksheet xmlns="http://schemas.openxmlformats.org/spreadsheetml/2006/main" xmlns:r="http://schemas.openxmlformats.org/officeDocument/2006/relationships">
  <sheetPr codeName="Sheet15"/>
  <dimension ref="A1:L119"/>
  <sheetViews>
    <sheetView workbookViewId="0" topLeftCell="A1">
      <selection activeCell="S100" sqref="S100"/>
    </sheetView>
  </sheetViews>
  <sheetFormatPr defaultColWidth="8.88671875" defaultRowHeight="15"/>
  <cols>
    <col min="1" max="1" width="10.77734375" style="488" customWidth="1"/>
    <col min="2" max="2" width="2.21484375" style="488" customWidth="1"/>
    <col min="3" max="4" width="8.88671875" style="488" customWidth="1"/>
    <col min="5" max="5" width="8.4453125" style="488" customWidth="1"/>
    <col min="6" max="6" width="8.88671875" style="488" customWidth="1"/>
    <col min="7" max="7" width="7.6640625" style="488" customWidth="1"/>
    <col min="8" max="8" width="8.6640625" style="488" customWidth="1"/>
    <col min="9" max="9" width="8.3359375" style="488" customWidth="1"/>
    <col min="10" max="10" width="10.77734375" style="488" customWidth="1"/>
    <col min="11" max="11" width="12.3359375" style="488" customWidth="1"/>
    <col min="12" max="12" width="8.4453125" style="488" customWidth="1"/>
    <col min="13" max="16384" width="8.88671875" style="488" customWidth="1"/>
  </cols>
  <sheetData>
    <row r="1" spans="1:12" ht="15.75" customHeight="1">
      <c r="A1" s="718" t="s">
        <v>619</v>
      </c>
      <c r="B1" s="719"/>
      <c r="C1" s="719"/>
      <c r="D1" s="719"/>
      <c r="E1" s="720"/>
      <c r="F1" s="720"/>
      <c r="G1" s="721"/>
      <c r="H1" s="928" t="s">
        <v>326</v>
      </c>
      <c r="I1" s="925"/>
      <c r="J1" s="926"/>
      <c r="K1" s="927"/>
      <c r="L1" s="722"/>
    </row>
    <row r="2" spans="1:12" ht="12.75" customHeight="1">
      <c r="A2" s="527"/>
      <c r="B2" s="551"/>
      <c r="C2" s="551"/>
      <c r="D2" s="551"/>
      <c r="E2" s="551"/>
      <c r="F2" s="551"/>
      <c r="G2" s="551"/>
      <c r="H2" s="551"/>
      <c r="I2" s="551"/>
      <c r="J2" s="723"/>
      <c r="K2" s="723"/>
      <c r="L2" s="724"/>
    </row>
    <row r="3" spans="1:12" ht="12.75" customHeight="1">
      <c r="A3" s="527"/>
      <c r="B3" s="725" t="s">
        <v>1002</v>
      </c>
      <c r="C3" s="726">
        <f>'FORM-10 (A-F)'!DEV_NAME</f>
        <v>0</v>
      </c>
      <c r="D3" s="727"/>
      <c r="E3" s="727"/>
      <c r="F3" s="728"/>
      <c r="G3" s="551"/>
      <c r="H3" s="551"/>
      <c r="I3" s="551"/>
      <c r="J3" s="725" t="s">
        <v>620</v>
      </c>
      <c r="K3" s="726">
        <f>'FORM-10 (A-F)'!HMFA</f>
        <v>0</v>
      </c>
      <c r="L3" s="729"/>
    </row>
    <row r="4" spans="1:12" ht="12.75" customHeight="1">
      <c r="A4" s="527"/>
      <c r="B4" s="730" t="s">
        <v>621</v>
      </c>
      <c r="C4" s="731">
        <f>'FORM-10 (A-F)'!SPONSOR</f>
        <v>0</v>
      </c>
      <c r="D4" s="732"/>
      <c r="E4" s="732"/>
      <c r="F4" s="732"/>
      <c r="G4" s="551"/>
      <c r="H4" s="551"/>
      <c r="I4" s="551"/>
      <c r="J4" s="725" t="s">
        <v>622</v>
      </c>
      <c r="K4" s="733"/>
      <c r="L4" s="849"/>
    </row>
    <row r="5" spans="1:12" ht="12.75" customHeight="1">
      <c r="A5" s="734"/>
      <c r="B5" s="735" t="s">
        <v>623</v>
      </c>
      <c r="C5" s="847"/>
      <c r="D5" s="847"/>
      <c r="E5" s="847"/>
      <c r="F5" s="848"/>
      <c r="G5" s="551"/>
      <c r="H5" s="551"/>
      <c r="I5" s="551"/>
      <c r="J5" s="725" t="s">
        <v>624</v>
      </c>
      <c r="K5" s="736"/>
      <c r="L5" s="849"/>
    </row>
    <row r="6" spans="1:12" ht="12.75" customHeight="1">
      <c r="A6" s="734"/>
      <c r="B6" s="551"/>
      <c r="C6" s="551"/>
      <c r="D6" s="551"/>
      <c r="E6" s="551"/>
      <c r="F6" s="551"/>
      <c r="G6" s="551"/>
      <c r="H6" s="551"/>
      <c r="I6" s="551"/>
      <c r="J6" s="551"/>
      <c r="K6" s="551"/>
      <c r="L6" s="557"/>
    </row>
    <row r="7" spans="1:12" ht="12.75" customHeight="1">
      <c r="A7" s="554" t="s">
        <v>628</v>
      </c>
      <c r="B7" s="551"/>
      <c r="C7" s="551"/>
      <c r="D7" s="551"/>
      <c r="E7" s="551"/>
      <c r="F7" s="551"/>
      <c r="G7" s="551"/>
      <c r="H7" s="551"/>
      <c r="I7" s="551"/>
      <c r="J7" s="1043" t="s">
        <v>1061</v>
      </c>
      <c r="K7" s="933" t="s">
        <v>1308</v>
      </c>
      <c r="L7" s="813" t="s">
        <v>396</v>
      </c>
    </row>
    <row r="8" spans="1:12" ht="12.75" customHeight="1">
      <c r="A8" s="737" t="s">
        <v>629</v>
      </c>
      <c r="B8" s="551"/>
      <c r="C8" s="551"/>
      <c r="D8" s="551"/>
      <c r="E8" s="551"/>
      <c r="F8" s="551"/>
      <c r="G8" s="551"/>
      <c r="H8" s="551"/>
      <c r="I8" s="551"/>
      <c r="J8" s="1043" t="s">
        <v>395</v>
      </c>
      <c r="K8" s="1044" t="s">
        <v>1309</v>
      </c>
      <c r="L8" s="813" t="s">
        <v>397</v>
      </c>
    </row>
    <row r="9" spans="1:12" ht="12.75" customHeight="1">
      <c r="A9" s="738"/>
      <c r="B9" s="725" t="s">
        <v>630</v>
      </c>
      <c r="C9" s="850" t="s">
        <v>274</v>
      </c>
      <c r="D9" s="851"/>
      <c r="E9" s="851"/>
      <c r="F9" s="851"/>
      <c r="G9" s="851"/>
      <c r="H9" s="930" t="s">
        <v>1177</v>
      </c>
      <c r="I9" s="1045"/>
      <c r="J9" s="1070"/>
      <c r="K9" s="1071"/>
      <c r="L9" s="1071"/>
    </row>
    <row r="10" spans="1:12" ht="12.75" customHeight="1">
      <c r="A10" s="738"/>
      <c r="B10" s="725" t="s">
        <v>630</v>
      </c>
      <c r="C10" s="736"/>
      <c r="D10" s="736"/>
      <c r="E10" s="736"/>
      <c r="F10" s="736"/>
      <c r="G10" s="736"/>
      <c r="H10" s="736"/>
      <c r="I10" s="857"/>
      <c r="J10" s="1072"/>
      <c r="K10" s="807"/>
      <c r="L10" s="807"/>
    </row>
    <row r="11" spans="1:12" ht="12.75" customHeight="1">
      <c r="A11" s="738"/>
      <c r="B11" s="725" t="s">
        <v>630</v>
      </c>
      <c r="C11" s="736"/>
      <c r="D11" s="736"/>
      <c r="E11" s="736"/>
      <c r="F11" s="736"/>
      <c r="G11" s="736"/>
      <c r="H11" s="736"/>
      <c r="I11" s="861"/>
      <c r="J11" s="1072"/>
      <c r="K11" s="807"/>
      <c r="L11" s="807"/>
    </row>
    <row r="12" spans="1:12" ht="12.75" customHeight="1">
      <c r="A12" s="738"/>
      <c r="B12" s="725" t="s">
        <v>630</v>
      </c>
      <c r="C12" s="852"/>
      <c r="D12" s="853"/>
      <c r="E12" s="854"/>
      <c r="F12" s="736"/>
      <c r="G12" s="853"/>
      <c r="H12" s="853"/>
      <c r="I12" s="898"/>
      <c r="J12" s="1072"/>
      <c r="K12" s="807"/>
      <c r="L12" s="807"/>
    </row>
    <row r="13" spans="1:12" ht="12.75" customHeight="1">
      <c r="A13" s="738"/>
      <c r="B13" s="725" t="s">
        <v>630</v>
      </c>
      <c r="C13" s="852"/>
      <c r="D13" s="853"/>
      <c r="E13" s="854"/>
      <c r="F13" s="736"/>
      <c r="G13" s="853"/>
      <c r="H13" s="853"/>
      <c r="I13" s="898"/>
      <c r="J13" s="1072"/>
      <c r="K13" s="807"/>
      <c r="L13" s="807"/>
    </row>
    <row r="14" spans="1:12" ht="12.75" customHeight="1">
      <c r="A14" s="738"/>
      <c r="B14" s="725" t="s">
        <v>630</v>
      </c>
      <c r="C14" s="852" t="s">
        <v>856</v>
      </c>
      <c r="D14" s="853"/>
      <c r="E14" s="854" t="s">
        <v>857</v>
      </c>
      <c r="F14" s="736" t="s">
        <v>858</v>
      </c>
      <c r="G14" s="853"/>
      <c r="H14" s="929"/>
      <c r="I14" s="1073"/>
      <c r="J14" s="1072"/>
      <c r="K14" s="1036"/>
      <c r="L14" s="807"/>
    </row>
    <row r="15" spans="1:12" ht="12.75" customHeight="1">
      <c r="A15" s="738"/>
      <c r="B15" s="725"/>
      <c r="C15" s="1037"/>
      <c r="D15" s="1038"/>
      <c r="E15" s="1039"/>
      <c r="F15" s="1039"/>
      <c r="G15" s="1038"/>
      <c r="H15" s="1038"/>
      <c r="I15" s="725" t="s">
        <v>859</v>
      </c>
      <c r="J15" s="741">
        <f>SUM(J9:J13)</f>
        <v>0</v>
      </c>
      <c r="K15" s="1036"/>
      <c r="L15" s="807"/>
    </row>
    <row r="16" spans="1:12" ht="12.75" customHeight="1">
      <c r="A16" s="738"/>
      <c r="B16" s="739"/>
      <c r="C16" s="808"/>
      <c r="D16" s="743"/>
      <c r="E16" s="743"/>
      <c r="F16" s="743"/>
      <c r="G16" s="743"/>
      <c r="H16" s="743"/>
      <c r="I16" s="743"/>
      <c r="J16" s="725" t="s">
        <v>631</v>
      </c>
      <c r="K16" s="741">
        <f>SUM(K8:K12)</f>
        <v>0</v>
      </c>
      <c r="L16" s="741">
        <f>SUM(L8:L12)</f>
        <v>0</v>
      </c>
    </row>
    <row r="17" spans="1:12" ht="12.75" customHeight="1">
      <c r="A17" s="738"/>
      <c r="B17" s="725" t="s">
        <v>632</v>
      </c>
      <c r="C17" s="742"/>
      <c r="D17" s="726"/>
      <c r="E17" s="726"/>
      <c r="F17" s="727"/>
      <c r="G17" s="726"/>
      <c r="I17" s="937" t="s">
        <v>971</v>
      </c>
      <c r="J17" s="1040">
        <f>IF(J15&lt;K80,(K83-J15),0)</f>
        <v>0</v>
      </c>
      <c r="K17" s="1036"/>
      <c r="L17" s="1036"/>
    </row>
    <row r="18" spans="1:11" ht="12.75" customHeight="1">
      <c r="A18" s="561"/>
      <c r="B18" s="739"/>
      <c r="C18" s="743"/>
      <c r="D18" s="743"/>
      <c r="E18" s="743"/>
      <c r="F18" s="743"/>
      <c r="G18" s="743"/>
      <c r="H18" s="743"/>
      <c r="I18" s="725" t="s">
        <v>860</v>
      </c>
      <c r="J18" s="1042">
        <f>SUM(J15+J17)</f>
        <v>0</v>
      </c>
      <c r="K18" s="1041"/>
    </row>
    <row r="19" spans="1:12" ht="12.75" customHeight="1">
      <c r="A19" s="738"/>
      <c r="B19" s="551"/>
      <c r="C19" s="725"/>
      <c r="D19" s="743"/>
      <c r="E19" s="743"/>
      <c r="F19" s="809"/>
      <c r="G19" s="743"/>
      <c r="H19" s="743"/>
      <c r="I19" s="743"/>
      <c r="J19" s="743"/>
      <c r="K19" s="744"/>
      <c r="L19" s="806"/>
    </row>
    <row r="20" spans="1:12" ht="12.75" customHeight="1">
      <c r="A20" s="821"/>
      <c r="B20" s="817"/>
      <c r="C20" s="817"/>
      <c r="D20" s="817"/>
      <c r="E20" s="817"/>
      <c r="F20" s="817"/>
      <c r="G20" s="817"/>
      <c r="H20" s="817"/>
      <c r="I20" s="817"/>
      <c r="J20" s="822" t="s">
        <v>398</v>
      </c>
      <c r="K20" s="823">
        <f>J18+K18</f>
        <v>0</v>
      </c>
      <c r="L20" s="824"/>
    </row>
    <row r="21" spans="1:12" ht="12.75" customHeight="1">
      <c r="A21" s="554" t="s">
        <v>633</v>
      </c>
      <c r="B21" s="745"/>
      <c r="C21" s="746"/>
      <c r="D21" s="810"/>
      <c r="E21" s="743"/>
      <c r="F21" s="743"/>
      <c r="G21" s="743"/>
      <c r="H21" s="743"/>
      <c r="I21" s="743"/>
      <c r="J21" s="743"/>
      <c r="K21" s="933" t="s">
        <v>1179</v>
      </c>
      <c r="L21" s="806"/>
    </row>
    <row r="22" spans="1:12" ht="12.75" customHeight="1">
      <c r="A22" s="748" t="s">
        <v>634</v>
      </c>
      <c r="B22" s="551"/>
      <c r="C22" s="749" t="s">
        <v>635</v>
      </c>
      <c r="D22" s="750"/>
      <c r="E22" s="810"/>
      <c r="F22" s="749" t="s">
        <v>636</v>
      </c>
      <c r="G22" s="810"/>
      <c r="H22" s="810"/>
      <c r="I22" s="810"/>
      <c r="J22" s="810"/>
      <c r="K22" s="934" t="s">
        <v>1180</v>
      </c>
      <c r="L22" s="751" t="s">
        <v>637</v>
      </c>
    </row>
    <row r="23" spans="1:12" ht="12.75" customHeight="1">
      <c r="A23" s="855" t="s">
        <v>269</v>
      </c>
      <c r="B23" s="856"/>
      <c r="C23" s="851"/>
      <c r="D23" s="851"/>
      <c r="E23" s="857"/>
      <c r="F23" s="858" t="s">
        <v>399</v>
      </c>
      <c r="G23" s="859"/>
      <c r="H23" s="859"/>
      <c r="I23" s="834"/>
      <c r="J23" s="835"/>
      <c r="K23" s="1074"/>
      <c r="L23" s="866"/>
    </row>
    <row r="24" spans="1:12" ht="12.75" customHeight="1">
      <c r="A24" s="860" t="s">
        <v>268</v>
      </c>
      <c r="B24" s="752"/>
      <c r="C24" s="736"/>
      <c r="D24" s="736"/>
      <c r="E24" s="861"/>
      <c r="F24" s="862" t="s">
        <v>400</v>
      </c>
      <c r="G24" s="851"/>
      <c r="H24" s="851"/>
      <c r="I24" s="834"/>
      <c r="J24" s="834"/>
      <c r="K24" s="1074"/>
      <c r="L24" s="867"/>
    </row>
    <row r="25" spans="1:12" ht="12.75" customHeight="1">
      <c r="A25" s="860" t="s">
        <v>271</v>
      </c>
      <c r="B25" s="752"/>
      <c r="C25" s="736"/>
      <c r="D25" s="736"/>
      <c r="E25" s="861"/>
      <c r="F25" s="831" t="s">
        <v>401</v>
      </c>
      <c r="G25" s="736"/>
      <c r="H25" s="736"/>
      <c r="I25" s="836"/>
      <c r="J25" s="836"/>
      <c r="K25" s="1074"/>
      <c r="L25" s="867"/>
    </row>
    <row r="26" spans="1:12" ht="12.75" customHeight="1">
      <c r="A26" s="860" t="s">
        <v>270</v>
      </c>
      <c r="B26" s="752"/>
      <c r="C26" s="736"/>
      <c r="D26" s="736"/>
      <c r="E26" s="861"/>
      <c r="F26" s="831" t="s">
        <v>956</v>
      </c>
      <c r="G26" s="736"/>
      <c r="H26" s="736"/>
      <c r="I26" s="836"/>
      <c r="J26" s="836"/>
      <c r="K26" s="1074"/>
      <c r="L26" s="867"/>
    </row>
    <row r="27" spans="1:12" ht="12.75" customHeight="1">
      <c r="A27" s="860"/>
      <c r="B27" s="752"/>
      <c r="C27" s="736"/>
      <c r="D27" s="736"/>
      <c r="E27" s="861"/>
      <c r="F27" s="902"/>
      <c r="G27" s="903"/>
      <c r="H27" s="903"/>
      <c r="I27" s="907" t="s">
        <v>972</v>
      </c>
      <c r="J27" s="836"/>
      <c r="K27" s="1074"/>
      <c r="L27" s="867"/>
    </row>
    <row r="28" spans="1:12" ht="12.75" customHeight="1">
      <c r="A28" s="860"/>
      <c r="B28" s="752"/>
      <c r="C28" s="736"/>
      <c r="D28" s="736"/>
      <c r="E28" s="861"/>
      <c r="F28" s="863"/>
      <c r="G28" s="736"/>
      <c r="H28" s="837" t="s">
        <v>957</v>
      </c>
      <c r="I28" s="904"/>
      <c r="J28" s="1075"/>
      <c r="K28" s="836"/>
      <c r="L28" s="867"/>
    </row>
    <row r="29" spans="1:12" ht="12.75" customHeight="1">
      <c r="A29" s="860"/>
      <c r="B29" s="752"/>
      <c r="C29" s="736"/>
      <c r="D29" s="736"/>
      <c r="E29" s="861"/>
      <c r="F29" s="863"/>
      <c r="G29" s="736"/>
      <c r="H29" s="839" t="s">
        <v>958</v>
      </c>
      <c r="I29" s="904"/>
      <c r="J29" s="1075"/>
      <c r="K29" s="836"/>
      <c r="L29" s="867"/>
    </row>
    <row r="30" spans="1:12" ht="12.75" customHeight="1">
      <c r="A30" s="860"/>
      <c r="B30" s="752"/>
      <c r="C30" s="736"/>
      <c r="D30" s="736"/>
      <c r="E30" s="861"/>
      <c r="F30" s="910"/>
      <c r="G30" s="903"/>
      <c r="H30" s="908" t="s">
        <v>973</v>
      </c>
      <c r="I30" s="909" t="s">
        <v>960</v>
      </c>
      <c r="J30" s="832"/>
      <c r="K30" s="836"/>
      <c r="L30" s="867"/>
    </row>
    <row r="31" spans="1:12" ht="12.75" customHeight="1">
      <c r="A31" s="860" t="s">
        <v>273</v>
      </c>
      <c r="B31" s="752"/>
      <c r="C31" s="736"/>
      <c r="D31" s="736"/>
      <c r="E31" s="861"/>
      <c r="F31" s="864"/>
      <c r="G31" s="837" t="s">
        <v>959</v>
      </c>
      <c r="H31" s="906"/>
      <c r="I31" s="838"/>
      <c r="J31" s="1076">
        <f>H31*I31</f>
        <v>0</v>
      </c>
      <c r="K31" s="836"/>
      <c r="L31" s="867"/>
    </row>
    <row r="32" spans="1:12" ht="12.75" customHeight="1">
      <c r="A32" s="860"/>
      <c r="B32" s="752"/>
      <c r="C32" s="736"/>
      <c r="D32" s="736"/>
      <c r="E32" s="861"/>
      <c r="F32" s="772" t="s">
        <v>962</v>
      </c>
      <c r="G32" s="736"/>
      <c r="H32" s="736"/>
      <c r="I32" s="836"/>
      <c r="J32" s="1077"/>
      <c r="K32" s="836"/>
      <c r="L32" s="867"/>
    </row>
    <row r="33" spans="1:12" ht="12.75" customHeight="1" thickBot="1">
      <c r="A33" s="860"/>
      <c r="B33" s="752"/>
      <c r="C33" s="736"/>
      <c r="D33" s="736"/>
      <c r="E33" s="861"/>
      <c r="F33" s="772"/>
      <c r="G33" s="736"/>
      <c r="H33" s="839" t="s">
        <v>961</v>
      </c>
      <c r="I33" s="836"/>
      <c r="J33" s="1078">
        <f>SUM(J28:J32)</f>
        <v>0</v>
      </c>
      <c r="K33" s="836"/>
      <c r="L33" s="867"/>
    </row>
    <row r="34" spans="1:12" ht="12.75" customHeight="1" thickTop="1">
      <c r="A34" s="860"/>
      <c r="B34" s="752"/>
      <c r="C34" s="840" t="s">
        <v>963</v>
      </c>
      <c r="D34" s="736"/>
      <c r="E34" s="861"/>
      <c r="F34" s="831" t="s">
        <v>327</v>
      </c>
      <c r="G34" s="736"/>
      <c r="H34" s="736"/>
      <c r="I34" s="836"/>
      <c r="J34" s="836"/>
      <c r="K34" s="811"/>
      <c r="L34" s="867"/>
    </row>
    <row r="35" spans="1:12" ht="12.75" customHeight="1">
      <c r="A35" s="860"/>
      <c r="B35" s="752"/>
      <c r="C35" s="736"/>
      <c r="D35" s="736"/>
      <c r="E35" s="861"/>
      <c r="F35" s="772"/>
      <c r="G35" s="736"/>
      <c r="H35" s="736"/>
      <c r="I35" s="836"/>
      <c r="J35" s="836"/>
      <c r="K35" s="811"/>
      <c r="L35" s="867"/>
    </row>
    <row r="36" spans="1:12" ht="12.75" customHeight="1">
      <c r="A36" s="860"/>
      <c r="B36" s="752"/>
      <c r="C36" s="736"/>
      <c r="D36" s="736"/>
      <c r="E36" s="861"/>
      <c r="F36" s="772"/>
      <c r="G36" s="736"/>
      <c r="H36" s="736"/>
      <c r="I36" s="836"/>
      <c r="J36" s="836"/>
      <c r="K36" s="811"/>
      <c r="L36" s="867"/>
    </row>
    <row r="37" spans="1:12" ht="12.75" customHeight="1">
      <c r="A37" s="860"/>
      <c r="B37" s="752"/>
      <c r="C37" s="736"/>
      <c r="D37" s="736"/>
      <c r="E37" s="861"/>
      <c r="F37" s="772"/>
      <c r="G37" s="736"/>
      <c r="H37" s="736"/>
      <c r="I37" s="836"/>
      <c r="J37" s="836"/>
      <c r="K37" s="811"/>
      <c r="L37" s="867"/>
    </row>
    <row r="38" spans="1:12" ht="12.75" customHeight="1">
      <c r="A38" s="860"/>
      <c r="B38" s="752"/>
      <c r="C38" s="736"/>
      <c r="D38" s="736"/>
      <c r="E38" s="861"/>
      <c r="F38" s="772"/>
      <c r="G38" s="736"/>
      <c r="H38" s="736"/>
      <c r="I38" s="836"/>
      <c r="J38" s="836"/>
      <c r="K38" s="811"/>
      <c r="L38" s="867"/>
    </row>
    <row r="39" spans="1:12" ht="12.75" customHeight="1">
      <c r="A39" s="860"/>
      <c r="B39" s="752"/>
      <c r="C39" s="736"/>
      <c r="D39" s="736"/>
      <c r="E39" s="861"/>
      <c r="F39" s="772"/>
      <c r="G39" s="736"/>
      <c r="H39" s="736"/>
      <c r="I39" s="836"/>
      <c r="J39" s="836"/>
      <c r="K39" s="811"/>
      <c r="L39" s="867"/>
    </row>
    <row r="40" spans="1:12" ht="12.75" customHeight="1">
      <c r="A40" s="860"/>
      <c r="B40" s="752"/>
      <c r="C40" s="736"/>
      <c r="D40" s="736"/>
      <c r="E40" s="861"/>
      <c r="F40" s="772"/>
      <c r="G40" s="736"/>
      <c r="H40" s="736"/>
      <c r="I40" s="836"/>
      <c r="J40" s="836"/>
      <c r="K40" s="811"/>
      <c r="L40" s="867"/>
    </row>
    <row r="41" spans="1:12" ht="12.75" customHeight="1">
      <c r="A41" s="860"/>
      <c r="B41" s="752"/>
      <c r="C41" s="736"/>
      <c r="D41" s="736"/>
      <c r="E41" s="861"/>
      <c r="F41" s="772"/>
      <c r="G41" s="736"/>
      <c r="H41" s="736"/>
      <c r="I41" s="836"/>
      <c r="J41" s="836"/>
      <c r="K41" s="811"/>
      <c r="L41" s="867"/>
    </row>
    <row r="42" spans="1:12" ht="12.75" customHeight="1">
      <c r="A42" s="860"/>
      <c r="B42" s="752"/>
      <c r="C42" s="736"/>
      <c r="D42" s="736"/>
      <c r="E42" s="861"/>
      <c r="F42" s="772"/>
      <c r="G42" s="736"/>
      <c r="H42" s="736"/>
      <c r="I42" s="836"/>
      <c r="J42" s="836"/>
      <c r="K42" s="811"/>
      <c r="L42" s="867"/>
    </row>
    <row r="43" spans="1:12" ht="12.75" customHeight="1">
      <c r="A43" s="860"/>
      <c r="B43" s="752"/>
      <c r="C43" s="736"/>
      <c r="D43" s="736"/>
      <c r="E43" s="861"/>
      <c r="F43" s="772"/>
      <c r="G43" s="736"/>
      <c r="H43" s="736"/>
      <c r="I43" s="836"/>
      <c r="J43" s="836"/>
      <c r="K43" s="811"/>
      <c r="L43" s="867"/>
    </row>
    <row r="44" spans="1:12" ht="12.75" customHeight="1">
      <c r="A44" s="860"/>
      <c r="B44" s="752"/>
      <c r="C44" s="736"/>
      <c r="D44" s="736"/>
      <c r="E44" s="861"/>
      <c r="F44" s="772"/>
      <c r="G44" s="736"/>
      <c r="H44" s="736"/>
      <c r="I44" s="836"/>
      <c r="J44" s="836"/>
      <c r="K44" s="811"/>
      <c r="L44" s="867"/>
    </row>
    <row r="45" spans="1:12" ht="12.75" customHeight="1">
      <c r="A45" s="860"/>
      <c r="B45" s="752"/>
      <c r="C45" s="736"/>
      <c r="D45" s="736"/>
      <c r="E45" s="861"/>
      <c r="F45" s="772"/>
      <c r="G45" s="736"/>
      <c r="H45" s="736"/>
      <c r="I45" s="836"/>
      <c r="J45" s="836"/>
      <c r="K45" s="811"/>
      <c r="L45" s="867"/>
    </row>
    <row r="46" spans="1:12" ht="12.75" customHeight="1">
      <c r="A46" s="860"/>
      <c r="B46" s="752"/>
      <c r="C46" s="736"/>
      <c r="D46" s="736"/>
      <c r="E46" s="861"/>
      <c r="F46" s="772"/>
      <c r="G46" s="736"/>
      <c r="H46" s="736"/>
      <c r="I46" s="836"/>
      <c r="J46" s="836"/>
      <c r="K46" s="811"/>
      <c r="L46" s="867"/>
    </row>
    <row r="47" spans="1:12" ht="12.75" customHeight="1">
      <c r="A47" s="860"/>
      <c r="B47" s="752"/>
      <c r="C47" s="736"/>
      <c r="D47" s="736"/>
      <c r="E47" s="861"/>
      <c r="F47" s="772"/>
      <c r="G47" s="736"/>
      <c r="H47" s="736"/>
      <c r="I47" s="836"/>
      <c r="J47" s="836"/>
      <c r="K47" s="811"/>
      <c r="L47" s="867"/>
    </row>
    <row r="48" spans="1:12" ht="12.75" customHeight="1">
      <c r="A48" s="860"/>
      <c r="B48" s="752"/>
      <c r="C48" s="736"/>
      <c r="D48" s="736"/>
      <c r="E48" s="861"/>
      <c r="F48" s="812"/>
      <c r="G48" s="865"/>
      <c r="H48" s="865"/>
      <c r="I48" s="836"/>
      <c r="J48" s="836"/>
      <c r="K48" s="811"/>
      <c r="L48" s="867"/>
    </row>
    <row r="49" spans="1:12" ht="12.75" customHeight="1">
      <c r="A49" s="754"/>
      <c r="B49" s="755"/>
      <c r="C49" s="756"/>
      <c r="D49" s="551"/>
      <c r="E49" s="551"/>
      <c r="F49" s="757" t="s">
        <v>638</v>
      </c>
      <c r="G49" s="758"/>
      <c r="H49" s="758"/>
      <c r="I49" s="758"/>
      <c r="J49" s="758"/>
      <c r="K49" s="759">
        <f>SUM(K23:K48)</f>
        <v>0</v>
      </c>
      <c r="L49" s="557"/>
    </row>
    <row r="50" spans="1:12" ht="10.5" customHeight="1">
      <c r="A50" s="754"/>
      <c r="B50" s="755"/>
      <c r="C50" s="756"/>
      <c r="D50" s="551"/>
      <c r="E50" s="551"/>
      <c r="F50" s="760"/>
      <c r="G50" s="551"/>
      <c r="H50" s="551"/>
      <c r="I50" s="551"/>
      <c r="J50" s="551"/>
      <c r="K50" s="933" t="s">
        <v>1179</v>
      </c>
      <c r="L50" s="557"/>
    </row>
    <row r="51" spans="1:12" ht="13.5" customHeight="1">
      <c r="A51" s="762" t="s">
        <v>639</v>
      </c>
      <c r="B51" s="755"/>
      <c r="C51" s="756"/>
      <c r="D51" s="551"/>
      <c r="E51" s="739"/>
      <c r="F51" s="551"/>
      <c r="G51" s="551"/>
      <c r="H51" s="551"/>
      <c r="I51" s="551"/>
      <c r="J51" s="551"/>
      <c r="K51" s="934" t="s">
        <v>1180</v>
      </c>
      <c r="L51" s="935" t="s">
        <v>637</v>
      </c>
    </row>
    <row r="52" spans="1:12" ht="12.75" customHeight="1">
      <c r="A52" s="855" t="s">
        <v>272</v>
      </c>
      <c r="B52" s="870"/>
      <c r="C52" s="851" t="s">
        <v>111</v>
      </c>
      <c r="D52" s="851"/>
      <c r="E52" s="871"/>
      <c r="F52" s="851" t="s">
        <v>402</v>
      </c>
      <c r="G52" s="851"/>
      <c r="H52" s="872"/>
      <c r="I52" s="836"/>
      <c r="J52" s="836"/>
      <c r="K52" s="879"/>
      <c r="L52" s="868"/>
    </row>
    <row r="53" spans="1:12" ht="12.75" customHeight="1">
      <c r="A53" s="860" t="s">
        <v>273</v>
      </c>
      <c r="B53" s="870"/>
      <c r="C53" s="736" t="s">
        <v>111</v>
      </c>
      <c r="D53" s="736"/>
      <c r="E53" s="873"/>
      <c r="F53" s="736" t="s">
        <v>403</v>
      </c>
      <c r="G53" s="736"/>
      <c r="H53" s="874" t="s">
        <v>964</v>
      </c>
      <c r="I53" s="836"/>
      <c r="J53" s="836"/>
      <c r="K53" s="880"/>
      <c r="L53" s="869"/>
    </row>
    <row r="54" spans="1:12" ht="12.75" customHeight="1">
      <c r="A54" s="860"/>
      <c r="B54" s="870"/>
      <c r="C54" s="736"/>
      <c r="D54" s="736"/>
      <c r="E54" s="873"/>
      <c r="F54" s="910"/>
      <c r="G54" s="903"/>
      <c r="H54" s="908" t="s">
        <v>973</v>
      </c>
      <c r="I54" s="909" t="s">
        <v>960</v>
      </c>
      <c r="J54" s="836"/>
      <c r="K54" s="881"/>
      <c r="L54" s="869"/>
    </row>
    <row r="55" spans="1:12" ht="12.75" customHeight="1">
      <c r="A55" s="860" t="s">
        <v>538</v>
      </c>
      <c r="B55" s="870"/>
      <c r="C55" s="736" t="s">
        <v>111</v>
      </c>
      <c r="D55" s="736"/>
      <c r="E55" s="873"/>
      <c r="F55" s="1065" t="s">
        <v>539</v>
      </c>
      <c r="G55" s="837"/>
      <c r="H55" s="906"/>
      <c r="I55" s="838"/>
      <c r="J55" s="833">
        <f>H55*I55</f>
        <v>0</v>
      </c>
      <c r="K55" s="881">
        <f>J55</f>
        <v>0</v>
      </c>
      <c r="L55" s="869"/>
    </row>
    <row r="56" spans="1:12" ht="12.75" customHeight="1">
      <c r="A56" s="860"/>
      <c r="B56" s="870"/>
      <c r="C56" s="736"/>
      <c r="D56" s="736"/>
      <c r="E56" s="873"/>
      <c r="F56" s="876" t="s">
        <v>325</v>
      </c>
      <c r="G56" s="865"/>
      <c r="H56" s="875"/>
      <c r="I56" s="836"/>
      <c r="J56" s="836"/>
      <c r="K56" s="881"/>
      <c r="L56" s="869"/>
    </row>
    <row r="57" spans="1:12" ht="12.75" customHeight="1">
      <c r="A57" s="860"/>
      <c r="B57" s="870"/>
      <c r="C57" s="736"/>
      <c r="D57" s="736"/>
      <c r="E57" s="873"/>
      <c r="F57" s="865"/>
      <c r="G57" s="865"/>
      <c r="H57" s="875"/>
      <c r="I57" s="836"/>
      <c r="J57" s="836"/>
      <c r="K57" s="881"/>
      <c r="L57" s="869"/>
    </row>
    <row r="58" spans="1:12" ht="12.75" customHeight="1">
      <c r="A58" s="860"/>
      <c r="B58" s="870"/>
      <c r="C58" s="736"/>
      <c r="D58" s="736"/>
      <c r="E58" s="873"/>
      <c r="F58" s="877" t="s">
        <v>965</v>
      </c>
      <c r="G58" s="865"/>
      <c r="H58" s="878" t="s">
        <v>964</v>
      </c>
      <c r="I58" s="836"/>
      <c r="J58" s="836"/>
      <c r="K58" s="882" t="s">
        <v>640</v>
      </c>
      <c r="L58" s="869"/>
    </row>
    <row r="59" spans="1:12" ht="12.75" customHeight="1">
      <c r="A59" s="762"/>
      <c r="B59" s="755"/>
      <c r="C59" s="568"/>
      <c r="D59" s="568"/>
      <c r="E59" s="763"/>
      <c r="F59" s="764"/>
      <c r="G59" s="765"/>
      <c r="H59" s="765"/>
      <c r="I59" s="765"/>
      <c r="J59" s="766" t="s">
        <v>641</v>
      </c>
      <c r="K59" s="767">
        <f>SUM(K52:K58)</f>
        <v>0</v>
      </c>
      <c r="L59" s="557"/>
    </row>
    <row r="60" spans="1:12" ht="12.75" customHeight="1">
      <c r="A60" s="554" t="s">
        <v>642</v>
      </c>
      <c r="B60" s="551"/>
      <c r="C60" s="768"/>
      <c r="D60" s="747"/>
      <c r="E60" s="747"/>
      <c r="F60" s="551"/>
      <c r="G60" s="551"/>
      <c r="H60" s="551"/>
      <c r="I60" s="551"/>
      <c r="J60" s="551"/>
      <c r="K60" s="551"/>
      <c r="L60" s="557"/>
    </row>
    <row r="61" spans="1:12" ht="12.75" customHeight="1">
      <c r="A61" s="748" t="s">
        <v>634</v>
      </c>
      <c r="B61" s="551"/>
      <c r="C61" s="749" t="s">
        <v>643</v>
      </c>
      <c r="D61" s="769"/>
      <c r="E61" s="770"/>
      <c r="F61" s="841" t="s">
        <v>644</v>
      </c>
      <c r="G61" s="747"/>
      <c r="H61" s="747"/>
      <c r="I61" s="747"/>
      <c r="J61" s="747"/>
      <c r="K61" s="933" t="s">
        <v>1179</v>
      </c>
      <c r="L61" s="557"/>
    </row>
    <row r="62" spans="1:12" ht="12.75" customHeight="1">
      <c r="A62" s="748"/>
      <c r="B62" s="551"/>
      <c r="C62" s="749"/>
      <c r="D62" s="769"/>
      <c r="E62" s="770"/>
      <c r="F62" s="912" t="s">
        <v>974</v>
      </c>
      <c r="G62" s="747"/>
      <c r="H62" s="911" t="s">
        <v>975</v>
      </c>
      <c r="I62" s="747"/>
      <c r="J62" s="913" t="s">
        <v>976</v>
      </c>
      <c r="K62" s="934" t="s">
        <v>1180</v>
      </c>
      <c r="L62" s="751" t="s">
        <v>637</v>
      </c>
    </row>
    <row r="63" spans="1:12" ht="12.75" customHeight="1">
      <c r="A63" s="883" t="s">
        <v>609</v>
      </c>
      <c r="B63" s="771"/>
      <c r="C63" s="884" t="s">
        <v>645</v>
      </c>
      <c r="D63" s="885"/>
      <c r="E63" s="886"/>
      <c r="F63" s="919"/>
      <c r="G63" s="887"/>
      <c r="H63" s="917"/>
      <c r="I63" s="914"/>
      <c r="J63" s="915"/>
      <c r="K63" s="842">
        <f>F63*H63</f>
        <v>0</v>
      </c>
      <c r="L63" s="868"/>
    </row>
    <row r="64" spans="1:12" ht="12.75" customHeight="1">
      <c r="A64" s="888" t="s">
        <v>610</v>
      </c>
      <c r="B64" s="771"/>
      <c r="C64" s="775" t="s">
        <v>548</v>
      </c>
      <c r="D64" s="889"/>
      <c r="E64" s="890"/>
      <c r="F64" s="919"/>
      <c r="G64" s="887"/>
      <c r="H64" s="918"/>
      <c r="I64" s="916" t="s">
        <v>966</v>
      </c>
      <c r="J64" s="920"/>
      <c r="K64" s="843">
        <f>F64*H64</f>
        <v>0</v>
      </c>
      <c r="L64" s="869"/>
    </row>
    <row r="65" spans="1:12" ht="12.75" customHeight="1">
      <c r="A65" s="888" t="s">
        <v>611</v>
      </c>
      <c r="B65" s="771"/>
      <c r="C65" s="891" t="s">
        <v>665</v>
      </c>
      <c r="D65" s="889"/>
      <c r="E65" s="890"/>
      <c r="F65" s="753" t="s">
        <v>646</v>
      </c>
      <c r="G65" s="736"/>
      <c r="H65" s="736"/>
      <c r="I65" s="736"/>
      <c r="J65" s="861"/>
      <c r="K65" s="843">
        <f>'FORM-10 (A-F)'!J216</f>
        <v>0</v>
      </c>
      <c r="L65" s="869"/>
    </row>
    <row r="66" spans="1:12" ht="12.75" customHeight="1">
      <c r="A66" s="888" t="s">
        <v>612</v>
      </c>
      <c r="B66" s="771"/>
      <c r="C66" s="775" t="s">
        <v>785</v>
      </c>
      <c r="D66" s="889"/>
      <c r="E66" s="890"/>
      <c r="F66" s="772" t="s">
        <v>967</v>
      </c>
      <c r="G66" s="736"/>
      <c r="H66" s="736"/>
      <c r="I66" s="736"/>
      <c r="J66" s="861"/>
      <c r="K66" s="843">
        <f>'FORM-10 (A-F)'!J210+'FORM-10 (A-F)'!J211+'FORM-10 (A-F)'!J212</f>
        <v>0</v>
      </c>
      <c r="L66" s="869"/>
    </row>
    <row r="67" spans="1:12" ht="12.75" customHeight="1">
      <c r="A67" s="894"/>
      <c r="B67" s="938"/>
      <c r="C67" s="939"/>
      <c r="D67" s="853"/>
      <c r="E67" s="898"/>
      <c r="F67" s="772"/>
      <c r="G67" s="736"/>
      <c r="H67" s="736"/>
      <c r="I67" s="736"/>
      <c r="J67" s="861"/>
      <c r="K67" s="773"/>
      <c r="L67" s="869"/>
    </row>
    <row r="68" spans="1:12" ht="12.75" customHeight="1">
      <c r="A68" s="894"/>
      <c r="B68" s="938"/>
      <c r="C68" s="939"/>
      <c r="D68" s="853"/>
      <c r="E68" s="898"/>
      <c r="F68" s="772"/>
      <c r="G68" s="736"/>
      <c r="H68" s="736"/>
      <c r="I68" s="736"/>
      <c r="J68" s="861"/>
      <c r="K68" s="773"/>
      <c r="L68" s="869"/>
    </row>
    <row r="69" spans="1:12" ht="12.75" customHeight="1">
      <c r="A69" s="888" t="s">
        <v>613</v>
      </c>
      <c r="B69" s="771"/>
      <c r="C69" s="893" t="s">
        <v>648</v>
      </c>
      <c r="D69" s="774"/>
      <c r="E69" s="892"/>
      <c r="F69" s="753" t="s">
        <v>649</v>
      </c>
      <c r="G69" s="736"/>
      <c r="H69" s="736"/>
      <c r="I69" s="736"/>
      <c r="J69" s="861"/>
      <c r="K69" s="843">
        <f>'FORM-10 (A-F)'!J219</f>
        <v>0</v>
      </c>
      <c r="L69" s="869"/>
    </row>
    <row r="70" spans="1:12" ht="12.75" customHeight="1">
      <c r="A70" s="888"/>
      <c r="B70" s="771"/>
      <c r="C70" s="893"/>
      <c r="D70" s="774"/>
      <c r="E70" s="892"/>
      <c r="F70" s="921"/>
      <c r="G70" s="903"/>
      <c r="H70" s="905" t="s">
        <v>977</v>
      </c>
      <c r="I70" s="903"/>
      <c r="J70" s="922"/>
      <c r="K70" s="843"/>
      <c r="L70" s="923"/>
    </row>
    <row r="71" spans="1:12" ht="12.75" customHeight="1">
      <c r="A71" s="888" t="s">
        <v>614</v>
      </c>
      <c r="B71" s="771"/>
      <c r="C71" s="893" t="s">
        <v>650</v>
      </c>
      <c r="D71" s="889"/>
      <c r="E71" s="890"/>
      <c r="F71" s="772">
        <v>3</v>
      </c>
      <c r="G71" s="736" t="s">
        <v>968</v>
      </c>
      <c r="H71" s="924"/>
      <c r="I71" s="736"/>
      <c r="J71" s="861"/>
      <c r="K71" s="843">
        <f>F71*H71</f>
        <v>0</v>
      </c>
      <c r="L71" s="869"/>
    </row>
    <row r="72" spans="1:12" ht="12.75" customHeight="1">
      <c r="A72" s="888" t="s">
        <v>615</v>
      </c>
      <c r="B72" s="771"/>
      <c r="C72" s="775" t="s">
        <v>651</v>
      </c>
      <c r="D72" s="889"/>
      <c r="E72" s="890"/>
      <c r="F72" s="772" t="s">
        <v>404</v>
      </c>
      <c r="G72" s="736"/>
      <c r="H72" s="736"/>
      <c r="I72" s="736"/>
      <c r="J72" s="861"/>
      <c r="K72" s="843">
        <f>'FORM-10 (A-F)'!J218</f>
        <v>0</v>
      </c>
      <c r="L72" s="869"/>
    </row>
    <row r="73" spans="1:12" ht="12.75" customHeight="1">
      <c r="A73" s="894"/>
      <c r="B73" s="771"/>
      <c r="C73" s="895" t="s">
        <v>325</v>
      </c>
      <c r="D73" s="847"/>
      <c r="E73" s="896"/>
      <c r="F73" s="772"/>
      <c r="G73" s="736"/>
      <c r="H73" s="736"/>
      <c r="I73" s="736"/>
      <c r="J73" s="861"/>
      <c r="K73" s="773"/>
      <c r="L73" s="869"/>
    </row>
    <row r="74" spans="1:12" ht="12.75" customHeight="1">
      <c r="A74" s="897"/>
      <c r="B74" s="771"/>
      <c r="C74" s="772"/>
      <c r="D74" s="853"/>
      <c r="E74" s="898"/>
      <c r="F74" s="772"/>
      <c r="G74" s="736"/>
      <c r="H74" s="736"/>
      <c r="I74" s="736"/>
      <c r="J74" s="861"/>
      <c r="K74" s="773"/>
      <c r="L74" s="869"/>
    </row>
    <row r="75" spans="1:12" ht="12.75" customHeight="1">
      <c r="A75" s="897"/>
      <c r="B75" s="771"/>
      <c r="C75" s="776"/>
      <c r="D75" s="853"/>
      <c r="E75" s="898"/>
      <c r="F75" s="772"/>
      <c r="G75" s="736"/>
      <c r="H75" s="736"/>
      <c r="I75" s="736"/>
      <c r="J75" s="861"/>
      <c r="K75" s="773"/>
      <c r="L75" s="869"/>
    </row>
    <row r="76" spans="1:12" ht="12.75" customHeight="1">
      <c r="A76" s="897"/>
      <c r="B76" s="771"/>
      <c r="C76" s="776"/>
      <c r="D76" s="853"/>
      <c r="E76" s="898"/>
      <c r="F76" s="772"/>
      <c r="G76" s="736"/>
      <c r="H76" s="736"/>
      <c r="I76" s="736"/>
      <c r="J76" s="861"/>
      <c r="K76" s="773"/>
      <c r="L76" s="869"/>
    </row>
    <row r="77" spans="1:12" ht="12.75" customHeight="1">
      <c r="A77" s="897"/>
      <c r="B77" s="771"/>
      <c r="C77" s="776"/>
      <c r="D77" s="853"/>
      <c r="E77" s="898"/>
      <c r="F77" s="772"/>
      <c r="G77" s="736"/>
      <c r="H77" s="736"/>
      <c r="I77" s="736"/>
      <c r="J77" s="861"/>
      <c r="K77" s="899" t="s">
        <v>640</v>
      </c>
      <c r="L77" s="896"/>
    </row>
    <row r="78" spans="1:12" ht="12.75" customHeight="1">
      <c r="A78" s="777"/>
      <c r="B78" s="740"/>
      <c r="C78" s="778"/>
      <c r="D78" s="778"/>
      <c r="E78" s="551"/>
      <c r="F78" s="779" t="s">
        <v>652</v>
      </c>
      <c r="G78" s="780"/>
      <c r="H78" s="780"/>
      <c r="I78" s="780"/>
      <c r="J78" s="781"/>
      <c r="K78" s="782">
        <f>SUM(K63:K77)</f>
        <v>0</v>
      </c>
      <c r="L78" s="557"/>
    </row>
    <row r="79" spans="1:12" ht="12.75" customHeight="1" thickBot="1">
      <c r="A79" s="940" t="s">
        <v>786</v>
      </c>
      <c r="B79" s="740"/>
      <c r="C79" s="551"/>
      <c r="D79" s="551"/>
      <c r="E79" s="551"/>
      <c r="F79" s="739"/>
      <c r="G79" s="551"/>
      <c r="H79" s="551"/>
      <c r="I79" s="551"/>
      <c r="J79" s="551"/>
      <c r="K79" s="783"/>
      <c r="L79" s="557"/>
    </row>
    <row r="80" spans="1:12" ht="12.75" customHeight="1" thickTop="1">
      <c r="A80" s="815"/>
      <c r="B80" s="816"/>
      <c r="C80" s="816"/>
      <c r="D80" s="817"/>
      <c r="E80" s="818"/>
      <c r="F80" s="817"/>
      <c r="G80" s="817"/>
      <c r="H80" s="817"/>
      <c r="I80" s="817"/>
      <c r="J80" s="814" t="s">
        <v>653</v>
      </c>
      <c r="K80" s="819">
        <f>SUM(K49+K59+K78)</f>
        <v>0</v>
      </c>
      <c r="L80" s="557"/>
    </row>
    <row r="81" spans="1:12" ht="12.75" customHeight="1">
      <c r="A81" s="554" t="s">
        <v>654</v>
      </c>
      <c r="B81" s="551"/>
      <c r="C81" s="551"/>
      <c r="D81" s="551"/>
      <c r="E81" s="739"/>
      <c r="F81" s="551"/>
      <c r="G81" s="551"/>
      <c r="H81" s="551"/>
      <c r="I81" s="551"/>
      <c r="J81" s="551"/>
      <c r="K81" s="761"/>
      <c r="L81" s="557"/>
    </row>
    <row r="82" spans="1:12" ht="12.75" customHeight="1">
      <c r="A82" s="785"/>
      <c r="B82" s="739" t="s">
        <v>655</v>
      </c>
      <c r="C82" s="551"/>
      <c r="D82" s="551"/>
      <c r="E82" s="551"/>
      <c r="F82" s="551"/>
      <c r="G82" s="551"/>
      <c r="H82" s="551"/>
      <c r="I82" s="551"/>
      <c r="J82" s="551"/>
      <c r="K82" s="786">
        <f>J18</f>
        <v>0</v>
      </c>
      <c r="L82" s="557"/>
    </row>
    <row r="83" spans="1:12" ht="12.75" customHeight="1">
      <c r="A83" s="785"/>
      <c r="B83" s="739" t="s">
        <v>656</v>
      </c>
      <c r="C83" s="551"/>
      <c r="D83" s="551"/>
      <c r="E83" s="551"/>
      <c r="F83" s="787"/>
      <c r="G83" s="551"/>
      <c r="H83" s="551"/>
      <c r="I83" s="551"/>
      <c r="J83" s="551"/>
      <c r="K83" s="788">
        <f>K80</f>
        <v>0</v>
      </c>
      <c r="L83" s="557"/>
    </row>
    <row r="84" spans="1:12" s="551" customFormat="1" ht="12.75" customHeight="1">
      <c r="A84" s="785"/>
      <c r="B84" s="844"/>
      <c r="F84" s="820"/>
      <c r="I84" s="936"/>
      <c r="J84" s="845" t="s">
        <v>969</v>
      </c>
      <c r="K84" s="1035">
        <f>K82-K83</f>
        <v>0</v>
      </c>
      <c r="L84" s="557"/>
    </row>
    <row r="85" spans="1:12" s="551" customFormat="1" ht="12.75" customHeight="1" thickBot="1">
      <c r="A85" s="789"/>
      <c r="B85" s="790"/>
      <c r="C85" s="791"/>
      <c r="D85" s="791"/>
      <c r="E85" s="791"/>
      <c r="F85" s="791"/>
      <c r="G85" s="792"/>
      <c r="H85" s="792"/>
      <c r="I85" s="792"/>
      <c r="J85" s="793"/>
      <c r="K85" s="794"/>
      <c r="L85" s="795"/>
    </row>
    <row r="86" spans="1:12" s="551" customFormat="1" ht="12.75" customHeight="1">
      <c r="A86" s="784" t="s">
        <v>657</v>
      </c>
      <c r="L86" s="557"/>
    </row>
    <row r="87" spans="1:12" s="551" customFormat="1" ht="12.75" customHeight="1">
      <c r="A87" s="527"/>
      <c r="B87" s="796" t="s">
        <v>658</v>
      </c>
      <c r="C87" s="900"/>
      <c r="D87" s="900"/>
      <c r="G87" s="739" t="s">
        <v>659</v>
      </c>
      <c r="H87" s="739"/>
      <c r="I87" s="739"/>
      <c r="L87" s="557"/>
    </row>
    <row r="88" spans="1:12" ht="12.75" customHeight="1">
      <c r="A88" s="784"/>
      <c r="B88" s="551"/>
      <c r="C88" s="551"/>
      <c r="D88" s="551"/>
      <c r="E88" s="551"/>
      <c r="F88" s="551"/>
      <c r="G88" s="551"/>
      <c r="H88" s="551"/>
      <c r="I88" s="551"/>
      <c r="J88" s="551"/>
      <c r="K88" s="551"/>
      <c r="L88" s="557"/>
    </row>
    <row r="89" spans="1:12" ht="12.75" customHeight="1" thickBot="1">
      <c r="A89" s="754" t="s">
        <v>660</v>
      </c>
      <c r="B89" s="797" t="s">
        <v>661</v>
      </c>
      <c r="C89" s="791"/>
      <c r="D89" s="791"/>
      <c r="E89" s="791"/>
      <c r="F89" s="725" t="s">
        <v>660</v>
      </c>
      <c r="G89" s="791" t="s">
        <v>662</v>
      </c>
      <c r="H89" s="791"/>
      <c r="I89" s="791"/>
      <c r="J89" s="791"/>
      <c r="K89" s="791"/>
      <c r="L89" s="557"/>
    </row>
    <row r="90" spans="1:12" ht="12.75" customHeight="1">
      <c r="A90" s="784"/>
      <c r="B90" s="796" t="s">
        <v>663</v>
      </c>
      <c r="C90" s="901"/>
      <c r="D90" s="901"/>
      <c r="E90" s="551"/>
      <c r="F90" s="739"/>
      <c r="G90" s="796" t="s">
        <v>663</v>
      </c>
      <c r="H90" s="796"/>
      <c r="I90" s="796"/>
      <c r="J90" s="551"/>
      <c r="K90" s="551"/>
      <c r="L90" s="557"/>
    </row>
    <row r="91" spans="1:12" ht="12.75" customHeight="1">
      <c r="A91" s="798" t="s">
        <v>664</v>
      </c>
      <c r="B91" s="551"/>
      <c r="C91" s="551"/>
      <c r="D91" s="551"/>
      <c r="E91" s="551"/>
      <c r="F91" s="551"/>
      <c r="G91" s="551"/>
      <c r="H91" s="551"/>
      <c r="I91" s="551"/>
      <c r="J91" s="551"/>
      <c r="K91" s="551"/>
      <c r="L91" s="557"/>
    </row>
    <row r="92" spans="1:8" ht="12.75" customHeight="1">
      <c r="A92" s="798"/>
      <c r="B92" s="551"/>
      <c r="C92" s="551"/>
      <c r="D92" s="551"/>
      <c r="E92" s="551"/>
      <c r="F92" s="551"/>
      <c r="G92" s="551"/>
      <c r="H92" s="551"/>
    </row>
    <row r="93" spans="1:8" ht="12.75" customHeight="1">
      <c r="A93" s="777" t="s">
        <v>1706</v>
      </c>
      <c r="B93" s="1694"/>
      <c r="C93" s="1695"/>
      <c r="D93" s="1695"/>
      <c r="F93" s="801"/>
      <c r="G93" s="551"/>
      <c r="H93" s="551"/>
    </row>
    <row r="94" spans="1:8" ht="12.75" customHeight="1" thickBot="1">
      <c r="A94" s="1696"/>
      <c r="B94" s="791"/>
      <c r="C94" s="791"/>
      <c r="D94" s="791"/>
      <c r="E94" s="791"/>
      <c r="G94" s="551"/>
      <c r="H94" s="551"/>
    </row>
    <row r="95" spans="1:8" ht="12.75" customHeight="1">
      <c r="A95" s="1696"/>
      <c r="B95" s="1697" t="s">
        <v>1707</v>
      </c>
      <c r="G95" s="551"/>
      <c r="H95" s="551"/>
    </row>
    <row r="96" spans="1:8" ht="12.75" customHeight="1">
      <c r="A96" s="1696"/>
      <c r="C96" s="1697" t="s">
        <v>1708</v>
      </c>
      <c r="D96" s="1697"/>
      <c r="E96" s="1697"/>
      <c r="F96" s="1697"/>
      <c r="G96" s="551"/>
      <c r="H96" s="551"/>
    </row>
    <row r="97" spans="1:12" ht="12.75" customHeight="1">
      <c r="A97" s="1696"/>
      <c r="G97" s="551"/>
      <c r="H97" s="551"/>
      <c r="I97" s="1757" t="s">
        <v>970</v>
      </c>
      <c r="J97" s="1758"/>
      <c r="K97" s="1758"/>
      <c r="L97" s="1759"/>
    </row>
    <row r="98" spans="1:12" ht="12.75" customHeight="1">
      <c r="A98" s="527"/>
      <c r="G98" s="551"/>
      <c r="H98" s="551"/>
      <c r="I98" s="1760" t="s">
        <v>1656</v>
      </c>
      <c r="J98" s="1761"/>
      <c r="K98" s="1761"/>
      <c r="L98" s="1209">
        <v>0</v>
      </c>
    </row>
    <row r="99" spans="1:12" ht="12.75" customHeight="1" thickBot="1">
      <c r="A99" s="754" t="s">
        <v>660</v>
      </c>
      <c r="B99" s="800"/>
      <c r="C99" s="791"/>
      <c r="D99" s="791"/>
      <c r="E99" s="791"/>
      <c r="G99" s="551"/>
      <c r="H99" s="551"/>
      <c r="I99" s="1760" t="s">
        <v>1654</v>
      </c>
      <c r="J99" s="1761"/>
      <c r="K99" s="1761"/>
      <c r="L99" s="557"/>
    </row>
    <row r="100" spans="1:12" ht="12.75" customHeight="1">
      <c r="A100" s="784"/>
      <c r="B100" s="1698" t="s">
        <v>1709</v>
      </c>
      <c r="C100" s="1695"/>
      <c r="D100" s="1695"/>
      <c r="G100" s="551"/>
      <c r="H100" s="551"/>
      <c r="I100" s="1760" t="s">
        <v>1178</v>
      </c>
      <c r="J100" s="1761"/>
      <c r="K100" s="1761"/>
      <c r="L100" s="1210">
        <f>L12</f>
        <v>0</v>
      </c>
    </row>
    <row r="101" spans="1:12" ht="12.75" customHeight="1" thickBot="1">
      <c r="A101" s="738"/>
      <c r="B101" s="1697" t="s">
        <v>1710</v>
      </c>
      <c r="G101" s="551"/>
      <c r="H101" s="551"/>
      <c r="I101" s="1211" t="s">
        <v>1655</v>
      </c>
      <c r="J101" s="1212"/>
      <c r="K101" s="1212"/>
      <c r="L101" s="1213">
        <f>L98-L99-L100</f>
        <v>0</v>
      </c>
    </row>
    <row r="102" spans="1:12" ht="12.75" customHeight="1" thickTop="1">
      <c r="A102" s="779"/>
      <c r="B102" s="799"/>
      <c r="C102" s="799"/>
      <c r="D102" s="799"/>
      <c r="E102" s="799"/>
      <c r="F102" s="799"/>
      <c r="G102" s="799"/>
      <c r="H102" s="799"/>
      <c r="I102" s="799"/>
      <c r="J102" s="932"/>
      <c r="K102" s="846"/>
      <c r="L102" s="931"/>
    </row>
    <row r="103" ht="12.75" customHeight="1">
      <c r="A103" s="801"/>
    </row>
    <row r="104" spans="1:11" ht="15">
      <c r="A104" s="801"/>
      <c r="K104" s="551"/>
    </row>
    <row r="105" ht="15">
      <c r="A105" s="801"/>
    </row>
    <row r="106" ht="15">
      <c r="A106" s="801"/>
    </row>
    <row r="108" spans="1:12" ht="15">
      <c r="A108" s="739"/>
      <c r="B108" s="551"/>
      <c r="C108" s="551"/>
      <c r="D108" s="551"/>
      <c r="E108" s="551"/>
      <c r="F108" s="551"/>
      <c r="G108" s="551"/>
      <c r="H108" s="551"/>
      <c r="I108" s="551"/>
      <c r="J108" s="551"/>
      <c r="K108" s="551"/>
      <c r="L108" s="551"/>
    </row>
    <row r="109" spans="1:12" ht="15">
      <c r="A109" s="802"/>
      <c r="B109" s="746"/>
      <c r="C109" s="803"/>
      <c r="D109" s="746"/>
      <c r="E109" s="551"/>
      <c r="F109" s="747"/>
      <c r="G109" s="747"/>
      <c r="H109" s="747"/>
      <c r="I109" s="747"/>
      <c r="J109" s="747"/>
      <c r="K109" s="804"/>
      <c r="L109" s="551"/>
    </row>
    <row r="110" spans="1:12" ht="15">
      <c r="A110" s="739"/>
      <c r="B110" s="551"/>
      <c r="C110" s="551"/>
      <c r="D110" s="551"/>
      <c r="E110" s="551"/>
      <c r="F110" s="551"/>
      <c r="G110" s="551"/>
      <c r="H110" s="551"/>
      <c r="I110" s="551"/>
      <c r="J110" s="551"/>
      <c r="K110" s="761"/>
      <c r="L110" s="551"/>
    </row>
    <row r="111" spans="1:12" ht="15">
      <c r="A111" s="739"/>
      <c r="B111" s="551"/>
      <c r="C111" s="551"/>
      <c r="D111" s="551"/>
      <c r="E111" s="551"/>
      <c r="F111" s="551"/>
      <c r="G111" s="551"/>
      <c r="H111" s="551"/>
      <c r="I111" s="551"/>
      <c r="J111" s="551"/>
      <c r="K111" s="805"/>
      <c r="L111" s="551"/>
    </row>
    <row r="112" spans="1:12" ht="15">
      <c r="A112" s="739"/>
      <c r="B112" s="551"/>
      <c r="C112" s="551"/>
      <c r="D112" s="551"/>
      <c r="E112" s="551"/>
      <c r="F112" s="551"/>
      <c r="G112" s="551"/>
      <c r="H112" s="551"/>
      <c r="I112" s="551"/>
      <c r="J112" s="551"/>
      <c r="K112" s="805"/>
      <c r="L112" s="551"/>
    </row>
    <row r="113" spans="1:12" ht="15">
      <c r="A113" s="739"/>
      <c r="B113" s="551"/>
      <c r="C113" s="551"/>
      <c r="D113" s="551"/>
      <c r="E113" s="551"/>
      <c r="F113" s="551"/>
      <c r="G113" s="551"/>
      <c r="H113" s="551"/>
      <c r="I113" s="551"/>
      <c r="J113" s="551"/>
      <c r="K113" s="805"/>
      <c r="L113" s="551"/>
    </row>
    <row r="114" spans="1:12" ht="15">
      <c r="A114" s="739"/>
      <c r="B114" s="551"/>
      <c r="C114" s="551"/>
      <c r="D114" s="551"/>
      <c r="E114" s="551"/>
      <c r="F114" s="551"/>
      <c r="G114" s="551"/>
      <c r="H114" s="551"/>
      <c r="I114" s="551"/>
      <c r="J114" s="551"/>
      <c r="K114" s="805"/>
      <c r="L114" s="551"/>
    </row>
    <row r="115" spans="1:12" ht="15">
      <c r="A115" s="739"/>
      <c r="B115" s="551"/>
      <c r="C115" s="551"/>
      <c r="D115" s="551"/>
      <c r="E115" s="551"/>
      <c r="F115" s="551"/>
      <c r="G115" s="551"/>
      <c r="H115" s="551"/>
      <c r="I115" s="551"/>
      <c r="J115" s="551"/>
      <c r="K115" s="805"/>
      <c r="L115" s="551"/>
    </row>
    <row r="116" spans="1:12" ht="15">
      <c r="A116" s="739"/>
      <c r="B116" s="551"/>
      <c r="C116" s="551"/>
      <c r="D116" s="551"/>
      <c r="E116" s="551"/>
      <c r="F116" s="551"/>
      <c r="G116" s="551"/>
      <c r="H116" s="551"/>
      <c r="I116" s="551"/>
      <c r="J116" s="551"/>
      <c r="K116" s="805"/>
      <c r="L116" s="551"/>
    </row>
    <row r="117" spans="1:12" ht="15">
      <c r="A117" s="739"/>
      <c r="B117" s="551"/>
      <c r="C117" s="551"/>
      <c r="D117" s="551"/>
      <c r="E117" s="551"/>
      <c r="F117" s="551"/>
      <c r="G117" s="551"/>
      <c r="H117" s="551"/>
      <c r="I117" s="551"/>
      <c r="J117" s="551"/>
      <c r="K117" s="805"/>
      <c r="L117" s="551"/>
    </row>
    <row r="118" spans="1:12" ht="15">
      <c r="A118" s="739"/>
      <c r="B118" s="551"/>
      <c r="C118" s="551"/>
      <c r="D118" s="551"/>
      <c r="E118" s="551"/>
      <c r="F118" s="551"/>
      <c r="G118" s="551"/>
      <c r="H118" s="551"/>
      <c r="I118" s="551"/>
      <c r="J118" s="551"/>
      <c r="K118" s="805"/>
      <c r="L118" s="551"/>
    </row>
    <row r="119" spans="1:12" ht="15">
      <c r="A119" s="739"/>
      <c r="B119" s="551"/>
      <c r="C119" s="551"/>
      <c r="D119" s="551"/>
      <c r="E119" s="739"/>
      <c r="F119" s="551"/>
      <c r="G119" s="551"/>
      <c r="H119" s="551"/>
      <c r="I119" s="551"/>
      <c r="J119" s="551"/>
      <c r="K119" s="761"/>
      <c r="L119" s="551"/>
    </row>
  </sheetData>
  <sheetProtection/>
  <mergeCells count="4">
    <mergeCell ref="I97:L97"/>
    <mergeCell ref="I98:K98"/>
    <mergeCell ref="I99:K99"/>
    <mergeCell ref="I100:K100"/>
  </mergeCells>
  <printOptions/>
  <pageMargins left="0.75" right="0.75" top="1" bottom="1" header="0.32569444444444445" footer="0.5"/>
  <pageSetup horizontalDpi="600" verticalDpi="600" orientation="portrait" paperSize="5" scale="70" r:id="rId2"/>
  <headerFooter alignWithMargins="0">
    <oddHeader>&amp;C&amp;"Arial,Bold"&amp;11DRAFT - for discussion purposes only and subject to change&amp;12
&amp;10New Jersey Housing &amp; Mortgage Finance Agency&amp;12
&amp;9P.O. Box 18550, 637 South Clinton Avenue
Trenton, NJ  08650-2085&amp;"Arial,Regular"&amp;12
</oddHeader>
  </headerFooter>
  <rowBreaks count="1" manualBreakCount="1">
    <brk id="102" max="255" man="1"/>
  </rowBreaks>
  <legacyDrawing r:id="rId1"/>
</worksheet>
</file>

<file path=xl/worksheets/sheet9.xml><?xml version="1.0" encoding="utf-8"?>
<worksheet xmlns="http://schemas.openxmlformats.org/spreadsheetml/2006/main" xmlns:r="http://schemas.openxmlformats.org/officeDocument/2006/relationships">
  <sheetPr codeName="Sheet5"/>
  <dimension ref="A1:A1"/>
  <sheetViews>
    <sheetView showGridLines="0" showRowColHeaders="0" defaultGridColor="0" zoomScalePageLayoutView="0" colorId="58" workbookViewId="0" topLeftCell="A1">
      <selection activeCell="O21" sqref="O21"/>
    </sheetView>
  </sheetViews>
  <sheetFormatPr defaultColWidth="7.10546875" defaultRowHeight="15"/>
  <cols>
    <col min="1" max="3" width="7.10546875" style="3" customWidth="1"/>
    <col min="4" max="4" width="4.3359375" style="3" customWidth="1"/>
    <col min="5" max="16384" width="7.10546875" style="3" customWidth="1"/>
  </cols>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NJHMFA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lbecerra</dc:creator>
  <cp:keywords/>
  <dc:description/>
  <cp:lastModifiedBy>Laura A. Shields</cp:lastModifiedBy>
  <cp:lastPrinted>2015-04-20T15:25:18Z</cp:lastPrinted>
  <dcterms:created xsi:type="dcterms:W3CDTF">2000-11-14T20:52:06Z</dcterms:created>
  <dcterms:modified xsi:type="dcterms:W3CDTF">2022-05-05T15:49:52Z</dcterms:modified>
  <cp:category/>
  <cp:version/>
  <cp:contentType/>
  <cp:contentStatus/>
</cp:coreProperties>
</file>