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U:\EPH\2019-2020 Activity\"/>
    </mc:Choice>
  </mc:AlternateContent>
  <xr:revisionPtr revIDLastSave="0" documentId="8_{93471EEF-525D-4383-A0BD-7EFCD29205EE}" xr6:coauthVersionLast="41" xr6:coauthVersionMax="41" xr10:uidLastSave="{00000000-0000-0000-0000-000000000000}"/>
  <workbookProtection workbookAlgorithmName="SHA-512" workbookHashValue="GSbwIftqzoK//FsxsRxOlOXB3oQZ2FvmztPYYryH3eSF7IlTJffO59+VVTM3Qpkf7jEfc3wFsxonuMINijcw4A==" workbookSaltValue="vbKOi0sf/Xp5xsrH4gYJ8Q==" workbookSpinCount="100000" lockStructure="1"/>
  <bookViews>
    <workbookView showSheetTabs="0" xWindow="-108" yWindow="-108" windowWidth="23256" windowHeight="12576" xr2:uid="{00000000-000D-0000-FFFF-FFFF00000000}"/>
  </bookViews>
  <sheets>
    <sheet name="Summary Sheet" sheetId="2" r:id="rId1"/>
    <sheet name="Grain Size Data Entry" sheetId="3" r:id="rId2"/>
    <sheet name="Look-up Tables" sheetId="4" state="veryHidden" r:id="rId3"/>
    <sheet name="Parameter Definition &amp; Calculat" sheetId="5" state="veryHidden" r:id="rId4"/>
  </sheets>
  <externalReferences>
    <externalReference r:id="rId5"/>
    <externalReference r:id="rId6"/>
  </externalReferences>
  <definedNames>
    <definedName name="_xlnm._FilterDatabase" localSheetId="3" hidden="1">'Parameter Definition &amp; Calculat'!$A$3:$I$22</definedName>
    <definedName name="_xlnm.Print_Area" localSheetId="1">'Grain Size Data Entry'!$B$1:$W$28</definedName>
    <definedName name="_xlnm.Print_Area" localSheetId="3">'Parameter Definition &amp; Calculat'!$A$1:$S$123</definedName>
    <definedName name="_xlnm.Print_Area" localSheetId="0">'Summary Sheet'!$B$2:$I$31</definedName>
    <definedName name="_xlnm.Print_Area">'[1]services (2)'!#REF!</definedName>
    <definedName name="Soil_Type" localSheetId="1">'[2]Look-up Tables'!$B$21:$B$33</definedName>
    <definedName name="Soil_Type">'Look-up Tables'!#REF!</definedName>
    <definedName name="Type_of_LNAPL_Source_Material">'Look-up Tables'!$B$3:$B$10</definedName>
    <definedName name="Type_of_Oil_Product" localSheetId="1">'[2]Look-up Tables'!$B$3:$B$16</definedName>
    <definedName name="Type_of_Oil_Product">'Look-up Tables'!$B$3:$B$16</definedName>
    <definedName name="Z_83402344_CCA8_40B9_B57E_B9AC5DEAD45E_.wvu.FilterData" localSheetId="3" hidden="1">'Parameter Definition &amp; Calculat'!$A$3:$I$22</definedName>
    <definedName name="Z_83402344_CCA8_40B9_B57E_B9AC5DEAD45E_.wvu.PrintArea" localSheetId="3" hidden="1">'Parameter Definition &amp; Calculat'!$A$1:$S$123</definedName>
    <definedName name="Z_83402344_CCA8_40B9_B57E_B9AC5DEAD45E_.wvu.PrintArea" localSheetId="0" hidden="1">'Summary Sheet'!$B$2:$I$30</definedName>
  </definedNames>
  <calcPr calcId="191029" concurrentCalc="0"/>
  <customWorkbookViews>
    <customWorkbookView name="Ruhl, John - Personal View" guid="{83402344-CCA8-40B9-B57E-B9AC5DEAD45E}" mergeInterval="0" personalView="1" maximized="1" xWindow="-11" yWindow="-11" windowWidth="1942" windowHeight="1042"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2" i="3" l="1"/>
  <c r="E33" i="3"/>
  <c r="F32" i="3"/>
  <c r="E34" i="3"/>
  <c r="F33" i="3"/>
  <c r="E35" i="3"/>
  <c r="F34" i="3"/>
  <c r="E36" i="3"/>
  <c r="F35" i="3"/>
  <c r="E37" i="3"/>
  <c r="F36" i="3"/>
  <c r="E38" i="3"/>
  <c r="F37" i="3"/>
  <c r="E39" i="3"/>
  <c r="F38" i="3"/>
  <c r="E40" i="3"/>
  <c r="F39" i="3"/>
  <c r="E41" i="3"/>
  <c r="F40" i="3"/>
  <c r="E42" i="3"/>
  <c r="F41" i="3"/>
  <c r="E43" i="3"/>
  <c r="F42" i="3"/>
  <c r="E44" i="3"/>
  <c r="F43" i="3"/>
  <c r="E45" i="3"/>
  <c r="F44" i="3"/>
  <c r="E46" i="3"/>
  <c r="F45" i="3"/>
  <c r="F46" i="3"/>
  <c r="E28" i="3"/>
  <c r="J46" i="3"/>
  <c r="J45" i="3"/>
  <c r="K45" i="3"/>
  <c r="J44" i="3"/>
  <c r="K44" i="3"/>
  <c r="J43" i="3"/>
  <c r="K43" i="3"/>
  <c r="J42" i="3"/>
  <c r="K42" i="3"/>
  <c r="J41" i="3"/>
  <c r="K41" i="3"/>
  <c r="J40" i="3"/>
  <c r="K40" i="3"/>
  <c r="J39" i="3"/>
  <c r="K39" i="3"/>
  <c r="J38" i="3"/>
  <c r="K38" i="3"/>
  <c r="J37" i="3"/>
  <c r="K37" i="3"/>
  <c r="J36" i="3"/>
  <c r="K36" i="3"/>
  <c r="J35" i="3"/>
  <c r="K35" i="3"/>
  <c r="J34" i="3"/>
  <c r="K34" i="3"/>
  <c r="J33" i="3"/>
  <c r="K33" i="3"/>
  <c r="J32" i="3"/>
  <c r="K32" i="3"/>
  <c r="K46" i="3"/>
  <c r="K28" i="3"/>
  <c r="T46" i="3"/>
  <c r="T45" i="3"/>
  <c r="U45" i="3"/>
  <c r="T44" i="3"/>
  <c r="U44" i="3"/>
  <c r="T43" i="3"/>
  <c r="U43" i="3"/>
  <c r="T42" i="3"/>
  <c r="U42" i="3"/>
  <c r="T41" i="3"/>
  <c r="U41" i="3"/>
  <c r="T40" i="3"/>
  <c r="U40" i="3"/>
  <c r="T39" i="3"/>
  <c r="U39" i="3"/>
  <c r="T38" i="3"/>
  <c r="U38" i="3"/>
  <c r="T37" i="3"/>
  <c r="U37" i="3"/>
  <c r="T36" i="3"/>
  <c r="U36" i="3"/>
  <c r="T35" i="3"/>
  <c r="U35" i="3"/>
  <c r="T34" i="3"/>
  <c r="U34" i="3"/>
  <c r="T33" i="3"/>
  <c r="U33" i="3"/>
  <c r="T32" i="3"/>
  <c r="U32" i="3"/>
  <c r="U46" i="3"/>
  <c r="U28" i="3"/>
  <c r="O46" i="3"/>
  <c r="O45" i="3"/>
  <c r="P45" i="3"/>
  <c r="O32" i="3"/>
  <c r="O33" i="3"/>
  <c r="P32" i="3"/>
  <c r="O34" i="3"/>
  <c r="P33" i="3"/>
  <c r="O35" i="3"/>
  <c r="P34" i="3"/>
  <c r="O36" i="3"/>
  <c r="P35" i="3"/>
  <c r="O37" i="3"/>
  <c r="P36" i="3"/>
  <c r="O38" i="3"/>
  <c r="P37" i="3"/>
  <c r="O39" i="3"/>
  <c r="P38" i="3"/>
  <c r="O40" i="3"/>
  <c r="P39" i="3"/>
  <c r="O41" i="3"/>
  <c r="P40" i="3"/>
  <c r="O42" i="3"/>
  <c r="P41" i="3"/>
  <c r="O43" i="3"/>
  <c r="P42" i="3"/>
  <c r="O44" i="3"/>
  <c r="P43" i="3"/>
  <c r="P44" i="3"/>
  <c r="P46" i="3"/>
  <c r="P28" i="3"/>
  <c r="U9" i="3"/>
  <c r="P9" i="3"/>
  <c r="K9" i="3"/>
  <c r="E9" i="3"/>
  <c r="H25" i="4"/>
  <c r="B27" i="4"/>
  <c r="B31" i="4"/>
  <c r="B32" i="4"/>
  <c r="G17" i="5"/>
  <c r="M17" i="5"/>
  <c r="D71" i="5"/>
  <c r="G3" i="4"/>
  <c r="H3" i="4"/>
  <c r="K3" i="4"/>
  <c r="L3" i="4"/>
  <c r="G13" i="2"/>
  <c r="I3" i="4"/>
  <c r="J3" i="4"/>
  <c r="C69" i="5"/>
  <c r="F28" i="2"/>
  <c r="C72" i="5"/>
  <c r="H28" i="2"/>
  <c r="G28" i="2"/>
  <c r="E28" i="2"/>
  <c r="D49" i="5"/>
  <c r="P71" i="5"/>
  <c r="L71" i="5"/>
  <c r="H71" i="5"/>
  <c r="T31" i="3"/>
  <c r="O31" i="3"/>
  <c r="J31" i="3"/>
  <c r="E31" i="3"/>
  <c r="V27" i="3"/>
  <c r="Q27" i="3"/>
  <c r="L27" i="3"/>
  <c r="G27" i="3"/>
  <c r="V26" i="3"/>
  <c r="Q26" i="3"/>
  <c r="L26" i="3"/>
  <c r="G26" i="3"/>
  <c r="V25" i="3"/>
  <c r="Q25" i="3"/>
  <c r="L25" i="3"/>
  <c r="G25" i="3"/>
  <c r="V24" i="3"/>
  <c r="Q24" i="3"/>
  <c r="L24" i="3"/>
  <c r="G24" i="3"/>
  <c r="V23" i="3"/>
  <c r="Q23" i="3"/>
  <c r="L23" i="3"/>
  <c r="G23" i="3"/>
  <c r="V22" i="3"/>
  <c r="Q22" i="3"/>
  <c r="L22" i="3"/>
  <c r="G22" i="3"/>
  <c r="V21" i="3"/>
  <c r="Q21" i="3"/>
  <c r="L21" i="3"/>
  <c r="G21" i="3"/>
  <c r="V20" i="3"/>
  <c r="Q20" i="3"/>
  <c r="L20" i="3"/>
  <c r="G20" i="3"/>
  <c r="V19" i="3"/>
  <c r="Q19" i="3"/>
  <c r="L19" i="3"/>
  <c r="G19" i="3"/>
  <c r="V18" i="3"/>
  <c r="Q18" i="3"/>
  <c r="L18" i="3"/>
  <c r="G18" i="3"/>
  <c r="V17" i="3"/>
  <c r="Q17" i="3"/>
  <c r="L17" i="3"/>
  <c r="G17" i="3"/>
  <c r="V16" i="3"/>
  <c r="Q16" i="3"/>
  <c r="L16" i="3"/>
  <c r="G16" i="3"/>
  <c r="V15" i="3"/>
  <c r="Q15" i="3"/>
  <c r="L15" i="3"/>
  <c r="G15" i="3"/>
  <c r="V14" i="3"/>
  <c r="Q14" i="3"/>
  <c r="L14" i="3"/>
  <c r="G14" i="3"/>
  <c r="V13" i="3"/>
  <c r="Q13" i="3"/>
  <c r="L13" i="3"/>
  <c r="G13" i="3"/>
  <c r="F7" i="3"/>
  <c r="E24" i="2"/>
  <c r="P73" i="5"/>
  <c r="L73" i="5"/>
  <c r="H73" i="5"/>
  <c r="D73" i="5"/>
  <c r="C73" i="5"/>
  <c r="V7" i="3"/>
  <c r="H24" i="2"/>
  <c r="Q7" i="3"/>
  <c r="D70" i="5"/>
  <c r="P70" i="5"/>
  <c r="G24" i="2"/>
  <c r="L70" i="5"/>
  <c r="D87" i="5"/>
  <c r="D48" i="5"/>
  <c r="D88" i="5"/>
  <c r="P75" i="5"/>
  <c r="L75" i="5"/>
  <c r="H75" i="5"/>
  <c r="P87" i="5"/>
  <c r="P88" i="5"/>
  <c r="L87" i="5"/>
  <c r="L88" i="5"/>
  <c r="H87" i="5"/>
  <c r="H88" i="5"/>
  <c r="Q69" i="5"/>
  <c r="M69" i="5"/>
  <c r="I69" i="5"/>
  <c r="C70" i="5"/>
  <c r="C68" i="5"/>
  <c r="P100" i="5"/>
  <c r="P101" i="5"/>
  <c r="Q102" i="5"/>
  <c r="L100" i="5"/>
  <c r="L101" i="5"/>
  <c r="M102" i="5"/>
  <c r="D100" i="5"/>
  <c r="D101" i="5"/>
  <c r="E102" i="5"/>
  <c r="D75" i="5"/>
  <c r="D58" i="5"/>
  <c r="D51" i="5"/>
  <c r="D45" i="5"/>
  <c r="D47" i="5"/>
  <c r="P98" i="5"/>
  <c r="Q99" i="5"/>
  <c r="L98" i="5"/>
  <c r="M99" i="5"/>
  <c r="H98" i="5"/>
  <c r="I99" i="5"/>
  <c r="E99" i="5"/>
  <c r="H77" i="5"/>
  <c r="L77" i="5"/>
  <c r="P77" i="5"/>
  <c r="D77" i="5"/>
  <c r="E106" i="5"/>
  <c r="M106" i="5"/>
  <c r="Q106" i="5"/>
  <c r="E104" i="5"/>
  <c r="E105" i="5"/>
  <c r="E108" i="5"/>
  <c r="I104" i="5"/>
  <c r="I105" i="5"/>
  <c r="I108" i="5"/>
  <c r="M104" i="5"/>
  <c r="M105" i="5"/>
  <c r="M108" i="5"/>
  <c r="Q104" i="5"/>
  <c r="Q105" i="5"/>
  <c r="Q108" i="5"/>
  <c r="M109" i="5"/>
  <c r="M112" i="5"/>
  <c r="G25" i="2"/>
  <c r="Q109" i="5"/>
  <c r="Q112" i="5"/>
  <c r="H25" i="2"/>
  <c r="E109" i="5"/>
  <c r="E112" i="5"/>
  <c r="E25" i="2"/>
  <c r="D59" i="5"/>
  <c r="D52" i="5"/>
  <c r="D53" i="5"/>
  <c r="P72" i="5"/>
  <c r="L72" i="5"/>
  <c r="D72" i="5"/>
  <c r="D54" i="5"/>
  <c r="D55" i="5"/>
  <c r="D56" i="5"/>
  <c r="D61" i="5"/>
  <c r="E15" i="2"/>
  <c r="D69" i="5"/>
  <c r="D79" i="5"/>
  <c r="P69" i="5"/>
  <c r="P79" i="5"/>
  <c r="L69" i="5"/>
  <c r="L79" i="5"/>
  <c r="H69" i="5"/>
  <c r="E14" i="2"/>
  <c r="P68" i="5"/>
  <c r="P78" i="5"/>
  <c r="P80" i="5"/>
  <c r="P81" i="5"/>
  <c r="P82" i="5"/>
  <c r="P83" i="5"/>
  <c r="P84" i="5"/>
  <c r="P85" i="5"/>
  <c r="P90" i="5"/>
  <c r="H27" i="2"/>
  <c r="L68" i="5"/>
  <c r="L78" i="5"/>
  <c r="L80" i="5"/>
  <c r="L81" i="5"/>
  <c r="L82" i="5"/>
  <c r="L83" i="5"/>
  <c r="L84" i="5"/>
  <c r="L85" i="5"/>
  <c r="L90" i="5"/>
  <c r="G27" i="2"/>
  <c r="H68" i="5"/>
  <c r="H78" i="5"/>
  <c r="D68" i="5"/>
  <c r="D78" i="5"/>
  <c r="D80" i="5"/>
  <c r="D81" i="5"/>
  <c r="D82" i="5"/>
  <c r="D83" i="5"/>
  <c r="D84" i="5"/>
  <c r="D85" i="5"/>
  <c r="D90" i="5"/>
  <c r="E27" i="2"/>
  <c r="L7" i="3"/>
  <c r="H70" i="5"/>
  <c r="H100" i="5"/>
  <c r="H101" i="5"/>
  <c r="I102" i="5"/>
  <c r="I106" i="5"/>
  <c r="I109" i="5"/>
  <c r="I112" i="5"/>
  <c r="F25" i="2"/>
  <c r="H72" i="5"/>
  <c r="H79" i="5"/>
  <c r="H80" i="5"/>
  <c r="H81" i="5"/>
  <c r="H82" i="5"/>
  <c r="H83" i="5"/>
  <c r="H84" i="5"/>
  <c r="H85" i="5"/>
  <c r="H90" i="5"/>
  <c r="F27" i="2"/>
  <c r="H29" i="2"/>
  <c r="F24" i="2"/>
  <c r="E29" i="2"/>
</calcChain>
</file>

<file path=xl/sharedStrings.xml><?xml version="1.0" encoding="utf-8"?>
<sst xmlns="http://schemas.openxmlformats.org/spreadsheetml/2006/main" count="455" uniqueCount="237">
  <si>
    <t>Input Parameters</t>
  </si>
  <si>
    <t>Unit of Measure</t>
  </si>
  <si>
    <t>S</t>
  </si>
  <si>
    <t>C</t>
  </si>
  <si>
    <t>mg/kg</t>
  </si>
  <si>
    <t>Mass of petroleum hydrocarbon</t>
  </si>
  <si>
    <t>mg</t>
  </si>
  <si>
    <t>Mass of dry soil</t>
  </si>
  <si>
    <t>kg</t>
  </si>
  <si>
    <t>Bulk soil density</t>
  </si>
  <si>
    <t>Ø</t>
  </si>
  <si>
    <t>Residual Saturation of oil - Percent of effective porosity</t>
  </si>
  <si>
    <t xml:space="preserve">Effective petroleum hydrocarbon saturation ratio </t>
  </si>
  <si>
    <t>Relative permeability to petroleum hydrocarbon</t>
  </si>
  <si>
    <t>K</t>
  </si>
  <si>
    <t>Hydraulic conductivity</t>
  </si>
  <si>
    <t>g</t>
  </si>
  <si>
    <t>Gravitational acceleration</t>
  </si>
  <si>
    <t>Intrinsic permeability</t>
  </si>
  <si>
    <t>μ</t>
  </si>
  <si>
    <t>Poise</t>
  </si>
  <si>
    <t>mm</t>
  </si>
  <si>
    <r>
      <t>M</t>
    </r>
    <r>
      <rPr>
        <vertAlign val="subscript"/>
        <sz val="11"/>
        <rFont val="Calibri"/>
        <family val="2"/>
        <scheme val="minor"/>
      </rPr>
      <t>o</t>
    </r>
  </si>
  <si>
    <r>
      <t>M</t>
    </r>
    <r>
      <rPr>
        <vertAlign val="subscript"/>
        <sz val="11"/>
        <rFont val="Calibri"/>
        <family val="2"/>
        <scheme val="minor"/>
      </rPr>
      <t>s</t>
    </r>
  </si>
  <si>
    <r>
      <t>k</t>
    </r>
    <r>
      <rPr>
        <vertAlign val="subscript"/>
        <sz val="11"/>
        <rFont val="Calibri"/>
        <family val="2"/>
        <scheme val="minor"/>
      </rPr>
      <t>r</t>
    </r>
  </si>
  <si>
    <r>
      <t>m</t>
    </r>
    <r>
      <rPr>
        <vertAlign val="superscript"/>
        <sz val="11"/>
        <rFont val="Calibri"/>
        <family val="2"/>
        <scheme val="minor"/>
      </rPr>
      <t>2</t>
    </r>
  </si>
  <si>
    <t>Physical Parameter / Physical Variable</t>
  </si>
  <si>
    <t>Standard Unit of Measure</t>
  </si>
  <si>
    <t>Mathematic Symbol</t>
  </si>
  <si>
    <t>Alternate Unit of Measure</t>
  </si>
  <si>
    <t xml:space="preserve">Low </t>
  </si>
  <si>
    <t>Parameter</t>
  </si>
  <si>
    <t>constant</t>
  </si>
  <si>
    <t>Probable</t>
  </si>
  <si>
    <t>High</t>
  </si>
  <si>
    <t>Ratio of Petroleum Hydrocarbon Volume per sample volume at Residual Saturation</t>
  </si>
  <si>
    <t>Petroleum hydrocarbon liquid density</t>
  </si>
  <si>
    <t>Soil Specific</t>
  </si>
  <si>
    <t>Area of Concern Name</t>
  </si>
  <si>
    <t>Type of LNAPL Source Material</t>
  </si>
  <si>
    <t>Diesel Fuel</t>
  </si>
  <si>
    <t>EPH Category</t>
  </si>
  <si>
    <t>poise</t>
  </si>
  <si>
    <r>
      <rPr>
        <sz val="11"/>
        <color theme="1"/>
        <rFont val="Calibri"/>
        <family val="2"/>
      </rPr>
      <t>φ</t>
    </r>
    <r>
      <rPr>
        <sz val="11"/>
        <color theme="1"/>
        <rFont val="Calibri"/>
        <family val="2"/>
        <scheme val="minor"/>
      </rPr>
      <t xml:space="preserve"> porosity</t>
    </r>
  </si>
  <si>
    <t>1-φ</t>
  </si>
  <si>
    <t>m^2</t>
  </si>
  <si>
    <t>Constant/ Value</t>
  </si>
  <si>
    <t>Calculated Value</t>
  </si>
  <si>
    <t>Baseline Calculation</t>
  </si>
  <si>
    <t>calculated m^2</t>
  </si>
  <si>
    <t>Sample 1</t>
  </si>
  <si>
    <t>Sample 2</t>
  </si>
  <si>
    <t>Sample 3</t>
  </si>
  <si>
    <t>Sample 4</t>
  </si>
  <si>
    <t>C =</t>
  </si>
  <si>
    <t>Dimensionless</t>
  </si>
  <si>
    <t>= Equivalent to NAPL Saturation * Porosity</t>
  </si>
  <si>
    <r>
      <t>=(</t>
    </r>
    <r>
      <rPr>
        <b/>
        <sz val="11"/>
        <color rgb="FF0070C0"/>
        <rFont val="Calibri"/>
        <family val="2"/>
        <scheme val="minor"/>
      </rPr>
      <t>Site Variable</t>
    </r>
    <r>
      <rPr>
        <sz val="11"/>
        <rFont val="Calibri"/>
        <family val="2"/>
        <scheme val="minor"/>
      </rPr>
      <t>* Soil Constant * Oil Constant ) / (Soil Constant * Soil Constant)</t>
    </r>
  </si>
  <si>
    <r>
      <t>=(</t>
    </r>
    <r>
      <rPr>
        <b/>
        <sz val="11"/>
        <color rgb="FF0070C0"/>
        <rFont val="Calibri"/>
        <family val="2"/>
        <scheme val="minor"/>
      </rPr>
      <t>Site Variable</t>
    </r>
    <r>
      <rPr>
        <sz val="11"/>
        <rFont val="Calibri"/>
        <family val="2"/>
        <scheme val="minor"/>
      </rPr>
      <t xml:space="preserve"> * Oil Constant ) / (Soil Constant * Soil Constant)</t>
    </r>
  </si>
  <si>
    <t>= Eqivalent to residual hydrocarbon saturation and Effective Petroleum Saturation</t>
  </si>
  <si>
    <t>= ((1-Sr)*Se) + Sr</t>
  </si>
  <si>
    <r>
      <t xml:space="preserve"> = </t>
    </r>
    <r>
      <rPr>
        <b/>
        <sz val="11"/>
        <color theme="5"/>
        <rFont val="Calibri"/>
        <family val="2"/>
        <scheme val="minor"/>
      </rPr>
      <t>S * Ø</t>
    </r>
  </si>
  <si>
    <r>
      <t>= (</t>
    </r>
    <r>
      <rPr>
        <b/>
        <sz val="11"/>
        <color theme="5"/>
        <rFont val="Calibri"/>
        <family val="2"/>
        <scheme val="minor"/>
      </rPr>
      <t>ϴo</t>
    </r>
    <r>
      <rPr>
        <sz val="11"/>
        <rFont val="Calibri"/>
        <family val="2"/>
        <scheme val="minor"/>
      </rPr>
      <t xml:space="preserve"> * ρo) / ((1- Ø) * ρs)</t>
    </r>
  </si>
  <si>
    <r>
      <t>= (</t>
    </r>
    <r>
      <rPr>
        <sz val="11"/>
        <color rgb="FFDE8400"/>
        <rFont val="Calibri"/>
        <family val="2"/>
        <scheme val="minor"/>
      </rPr>
      <t xml:space="preserve"> </t>
    </r>
    <r>
      <rPr>
        <b/>
        <sz val="11"/>
        <color rgb="FFDE8400"/>
        <rFont val="Calibri"/>
        <family val="2"/>
        <scheme val="minor"/>
      </rPr>
      <t>S</t>
    </r>
    <r>
      <rPr>
        <b/>
        <sz val="11"/>
        <color theme="5"/>
        <rFont val="Calibri"/>
        <family val="2"/>
        <scheme val="minor"/>
      </rPr>
      <t xml:space="preserve"> * Ø </t>
    </r>
    <r>
      <rPr>
        <sz val="11"/>
        <rFont val="Calibri"/>
        <family val="2"/>
        <scheme val="minor"/>
      </rPr>
      <t>* ρo) / ((1- Ø) * ρs)</t>
    </r>
  </si>
  <si>
    <r>
      <t xml:space="preserve">= ( </t>
    </r>
    <r>
      <rPr>
        <b/>
        <sz val="11"/>
        <color theme="9" tint="-0.249977111117893"/>
        <rFont val="Calibri"/>
        <family val="2"/>
        <scheme val="minor"/>
      </rPr>
      <t>((1-Sr)*Se) + Sr)</t>
    </r>
    <r>
      <rPr>
        <sz val="11"/>
        <rFont val="Calibri"/>
        <family val="2"/>
        <scheme val="minor"/>
      </rPr>
      <t xml:space="preserve">* </t>
    </r>
    <r>
      <rPr>
        <b/>
        <sz val="11"/>
        <color rgb="FFDE8400"/>
        <rFont val="Calibri"/>
        <family val="2"/>
        <scheme val="minor"/>
      </rPr>
      <t>Ø</t>
    </r>
    <r>
      <rPr>
        <sz val="11"/>
        <rFont val="Calibri"/>
        <family val="2"/>
        <scheme val="minor"/>
      </rPr>
      <t xml:space="preserve"> * ρo) / ((1- Ø) * ρs)</t>
    </r>
  </si>
  <si>
    <r>
      <t>= 1.1349 * kr^</t>
    </r>
    <r>
      <rPr>
        <b/>
        <vertAlign val="superscript"/>
        <sz val="11"/>
        <color rgb="FF7030A0"/>
        <rFont val="Calibri"/>
        <family val="2"/>
        <scheme val="minor"/>
      </rPr>
      <t>0.3095</t>
    </r>
  </si>
  <si>
    <r>
      <t>= ( (</t>
    </r>
    <r>
      <rPr>
        <b/>
        <sz val="11"/>
        <color theme="9" tint="-0.249977111117893"/>
        <rFont val="Calibri"/>
        <family val="2"/>
        <scheme val="minor"/>
      </rPr>
      <t>(1-Sr)</t>
    </r>
    <r>
      <rPr>
        <sz val="11"/>
        <rFont val="Calibri"/>
        <family val="2"/>
        <scheme val="minor"/>
      </rPr>
      <t xml:space="preserve">*( </t>
    </r>
    <r>
      <rPr>
        <b/>
        <sz val="11"/>
        <color rgb="FF7030A0"/>
        <rFont val="Calibri"/>
        <family val="2"/>
        <scheme val="minor"/>
      </rPr>
      <t>1.1349 * kr^0.3095)</t>
    </r>
    <r>
      <rPr>
        <sz val="11"/>
        <rFont val="Calibri"/>
        <family val="2"/>
        <scheme val="minor"/>
      </rPr>
      <t xml:space="preserve">) + </t>
    </r>
    <r>
      <rPr>
        <b/>
        <sz val="11"/>
        <color theme="9" tint="-0.249977111117893"/>
        <rFont val="Calibri"/>
        <family val="2"/>
        <scheme val="minor"/>
      </rPr>
      <t>Sr</t>
    </r>
    <r>
      <rPr>
        <sz val="11"/>
        <rFont val="Calibri"/>
        <family val="2"/>
        <scheme val="minor"/>
      </rPr>
      <t xml:space="preserve">)* </t>
    </r>
    <r>
      <rPr>
        <b/>
        <sz val="11"/>
        <color rgb="FFDE8400"/>
        <rFont val="Calibri"/>
        <family val="2"/>
        <scheme val="minor"/>
      </rPr>
      <t>Ø</t>
    </r>
    <r>
      <rPr>
        <sz val="11"/>
        <rFont val="Calibri"/>
        <family val="2"/>
        <scheme val="minor"/>
      </rPr>
      <t xml:space="preserve"> * ρo) / ((1- Ø) * ρs)</t>
    </r>
  </si>
  <si>
    <t>=Oil Constant * * Soil Constant * Oil Constant ) / (Soil Constant * Soil Constant)</t>
  </si>
  <si>
    <t>Relative soil permeability to petroleum oil.   It is the ratio of effective permeability to the intrinsic permeability of the soil.</t>
  </si>
  <si>
    <t>= 1.1349</t>
  </si>
  <si>
    <t>gram/cm^3</t>
  </si>
  <si>
    <t>Kgram/ cm^3</t>
  </si>
  <si>
    <t>meter * gram / cm- sec^2</t>
  </si>
  <si>
    <t>100 gram^2 * Sec^2 / cm^2</t>
  </si>
  <si>
    <t>Units Conversion</t>
  </si>
  <si>
    <t>Constant</t>
  </si>
  <si>
    <t>Sample #4</t>
  </si>
  <si>
    <t>Sample #2</t>
  </si>
  <si>
    <t>Sample #1</t>
  </si>
  <si>
    <t>Sample #3</t>
  </si>
  <si>
    <t>DERIVATION OF THE EQUATION</t>
  </si>
  <si>
    <t xml:space="preserve"> μ</t>
  </si>
  <si>
    <t>Calculated-Soil specific value</t>
  </si>
  <si>
    <t>Selected by Committee</t>
  </si>
  <si>
    <t>New Jersey Department of Environmental Protection</t>
  </si>
  <si>
    <t>Site Remediation and Waste Management Program</t>
  </si>
  <si>
    <t>Site Name:</t>
  </si>
  <si>
    <t>Program Interest (PI) Num.</t>
  </si>
  <si>
    <t>Hydraulic Oil</t>
  </si>
  <si>
    <t>Lubricating Oil</t>
  </si>
  <si>
    <t>Waste Oil</t>
  </si>
  <si>
    <t>Mineral Oil</t>
  </si>
  <si>
    <t>Waste Vehicular Crankcase Oil</t>
  </si>
  <si>
    <t>7:26E Table 2-1</t>
  </si>
  <si>
    <r>
      <t xml:space="preserve">Density of the Petroleum Product  </t>
    </r>
    <r>
      <rPr>
        <sz val="10"/>
        <color theme="1"/>
        <rFont val="Calibri"/>
        <family val="2"/>
        <scheme val="minor"/>
      </rPr>
      <t>(gram/cm^3)</t>
    </r>
  </si>
  <si>
    <r>
      <t xml:space="preserve">Dynamic Viscosity of the Petroleum Product </t>
    </r>
    <r>
      <rPr>
        <sz val="10"/>
        <color theme="1"/>
        <rFont val="Calibri"/>
        <family val="2"/>
        <scheme val="minor"/>
      </rPr>
      <t>(poise)</t>
    </r>
  </si>
  <si>
    <t>Calculation of EPH Indicator for 4 Samples</t>
  </si>
  <si>
    <t>kg/ (m sec)</t>
  </si>
  <si>
    <t>kg/m^3</t>
  </si>
  <si>
    <t>m/second</t>
  </si>
  <si>
    <t>Assumed Hydraulic Gradient</t>
  </si>
  <si>
    <t>m/m</t>
  </si>
  <si>
    <t>GRAIN SIZE TO CALCULATION OF INTRINSIC PERMEABILITY OF THE SOIL</t>
  </si>
  <si>
    <t>min/day</t>
  </si>
  <si>
    <t>Investigator's Name</t>
  </si>
  <si>
    <t>k</t>
  </si>
  <si>
    <r>
      <rPr>
        <i/>
        <sz val="11"/>
        <color theme="1"/>
        <rFont val="Calibri"/>
        <family val="2"/>
        <scheme val="minor"/>
      </rPr>
      <t>ρ</t>
    </r>
    <r>
      <rPr>
        <vertAlign val="subscript"/>
        <sz val="11"/>
        <color theme="1"/>
        <rFont val="Calibri"/>
        <family val="2"/>
        <scheme val="minor"/>
      </rPr>
      <t>o</t>
    </r>
  </si>
  <si>
    <r>
      <t xml:space="preserve">Grain Size with 10% of Soil Passing through the Sieve </t>
    </r>
    <r>
      <rPr>
        <sz val="10"/>
        <color theme="1"/>
        <rFont val="Calibri"/>
        <family val="2"/>
        <scheme val="minor"/>
      </rPr>
      <t>(mm)</t>
    </r>
  </si>
  <si>
    <t>Ceiling Values</t>
  </si>
  <si>
    <t>Lab Sample Name</t>
  </si>
  <si>
    <t>Grain Size from Sieve (mm of Sieve)</t>
  </si>
  <si>
    <t>Percent of material mass retained on the sieve</t>
  </si>
  <si>
    <t xml:space="preserve">Data Points to be Hidden After Spreadsheet review Calculation of D10 from the Grain Size Data - </t>
  </si>
  <si>
    <r>
      <t>μ</t>
    </r>
    <r>
      <rPr>
        <i/>
        <vertAlign val="subscript"/>
        <sz val="11"/>
        <color theme="1"/>
        <rFont val="Calibri"/>
        <family val="2"/>
      </rPr>
      <t>o</t>
    </r>
  </si>
  <si>
    <t>Viscosity (poise)</t>
  </si>
  <si>
    <t>Sample Identification Name/Number</t>
  </si>
  <si>
    <r>
      <t xml:space="preserve">AOC No. </t>
    </r>
    <r>
      <rPr>
        <sz val="9"/>
        <color theme="1"/>
        <rFont val="Calibri"/>
        <family val="2"/>
        <scheme val="minor"/>
      </rPr>
      <t>(must correspond with CID)</t>
    </r>
  </si>
  <si>
    <t>Grain density</t>
  </si>
  <si>
    <t>Soil Porosity</t>
  </si>
  <si>
    <t>i</t>
  </si>
  <si>
    <r>
      <t>Dynamic viscosity of fluid @ 15</t>
    </r>
    <r>
      <rPr>
        <sz val="11"/>
        <rFont val="Verdana"/>
        <family val="2"/>
      </rPr>
      <t>°</t>
    </r>
    <r>
      <rPr>
        <sz val="11"/>
        <rFont val="Calibri"/>
        <family val="2"/>
      </rPr>
      <t>C</t>
    </r>
  </si>
  <si>
    <t>Grain size diameter where 10% soil passes</t>
  </si>
  <si>
    <t>Petroleum product type</t>
  </si>
  <si>
    <t>Calculated from laboratory grain size distribution</t>
  </si>
  <si>
    <r>
      <t>= (K * μ) / (k * ρ</t>
    </r>
    <r>
      <rPr>
        <b/>
        <vertAlign val="subscript"/>
        <sz val="11"/>
        <color rgb="FFC00000"/>
        <rFont val="Calibri"/>
        <family val="2"/>
        <scheme val="minor"/>
      </rPr>
      <t>o</t>
    </r>
    <r>
      <rPr>
        <b/>
        <sz val="11"/>
        <color rgb="FFC00000"/>
        <rFont val="Calibri"/>
        <family val="2"/>
        <scheme val="minor"/>
      </rPr>
      <t xml:space="preserve"> * g)</t>
    </r>
  </si>
  <si>
    <r>
      <t>= 1.1349 * (</t>
    </r>
    <r>
      <rPr>
        <b/>
        <sz val="11"/>
        <color rgb="FFC00000"/>
        <rFont val="Calibri"/>
        <family val="2"/>
        <scheme val="minor"/>
      </rPr>
      <t xml:space="preserve"> (K * μ) / (k * ρ</t>
    </r>
    <r>
      <rPr>
        <b/>
        <vertAlign val="subscript"/>
        <sz val="11"/>
        <color rgb="FFC00000"/>
        <rFont val="Calibri"/>
        <family val="2"/>
        <scheme val="minor"/>
      </rPr>
      <t>o</t>
    </r>
    <r>
      <rPr>
        <b/>
        <sz val="11"/>
        <color rgb="FFC00000"/>
        <rFont val="Calibri"/>
        <family val="2"/>
        <scheme val="minor"/>
      </rPr>
      <t xml:space="preserve"> * g)</t>
    </r>
    <r>
      <rPr>
        <b/>
        <sz val="11"/>
        <color rgb="FF7030A0"/>
        <rFont val="Calibri"/>
        <family val="2"/>
        <scheme val="minor"/>
      </rPr>
      <t xml:space="preserve">  )^0.3095</t>
    </r>
  </si>
  <si>
    <r>
      <t>= ( (</t>
    </r>
    <r>
      <rPr>
        <b/>
        <sz val="11"/>
        <color theme="9" tint="-0.249977111117893"/>
        <rFont val="Calibri"/>
        <family val="2"/>
        <scheme val="minor"/>
      </rPr>
      <t>(1-Sr)</t>
    </r>
    <r>
      <rPr>
        <sz val="11"/>
        <rFont val="Calibri"/>
        <family val="2"/>
        <scheme val="minor"/>
      </rPr>
      <t>*(</t>
    </r>
    <r>
      <rPr>
        <b/>
        <sz val="11"/>
        <color rgb="FF7030A0"/>
        <rFont val="Calibri"/>
        <family val="2"/>
        <scheme val="minor"/>
      </rPr>
      <t xml:space="preserve"> 1.1349 *</t>
    </r>
    <r>
      <rPr>
        <sz val="11"/>
        <rFont val="Calibri"/>
        <family val="2"/>
        <scheme val="minor"/>
      </rPr>
      <t xml:space="preserve"> ((</t>
    </r>
    <r>
      <rPr>
        <b/>
        <sz val="11"/>
        <color rgb="FFC00000"/>
        <rFont val="Calibri"/>
        <family val="2"/>
        <scheme val="minor"/>
      </rPr>
      <t>(K * μ) / (k * ρ</t>
    </r>
    <r>
      <rPr>
        <b/>
        <vertAlign val="subscript"/>
        <sz val="11"/>
        <color rgb="FFC00000"/>
        <rFont val="Calibri"/>
        <family val="2"/>
        <scheme val="minor"/>
      </rPr>
      <t>o</t>
    </r>
    <r>
      <rPr>
        <b/>
        <sz val="11"/>
        <color rgb="FFC00000"/>
        <rFont val="Calibri"/>
        <family val="2"/>
        <scheme val="minor"/>
      </rPr>
      <t xml:space="preserve"> * g)</t>
    </r>
    <r>
      <rPr>
        <sz val="11"/>
        <rFont val="Calibri"/>
        <family val="2"/>
        <scheme val="minor"/>
      </rPr>
      <t>)^</t>
    </r>
    <r>
      <rPr>
        <b/>
        <sz val="11"/>
        <color rgb="FF7030A0"/>
        <rFont val="Calibri"/>
        <family val="2"/>
        <scheme val="minor"/>
      </rPr>
      <t>0.3095</t>
    </r>
    <r>
      <rPr>
        <sz val="11"/>
        <rFont val="Calibri"/>
        <family val="2"/>
        <scheme val="minor"/>
      </rPr>
      <t>))) +</t>
    </r>
    <r>
      <rPr>
        <b/>
        <sz val="11"/>
        <color theme="9" tint="-0.249977111117893"/>
        <rFont val="Calibri"/>
        <family val="2"/>
        <scheme val="minor"/>
      </rPr>
      <t xml:space="preserve"> Sr</t>
    </r>
    <r>
      <rPr>
        <sz val="11"/>
        <rFont val="Calibri"/>
        <family val="2"/>
        <scheme val="minor"/>
      </rPr>
      <t>)*</t>
    </r>
    <r>
      <rPr>
        <b/>
        <sz val="11"/>
        <color rgb="FFDE8400"/>
        <rFont val="Calibri"/>
        <family val="2"/>
        <scheme val="minor"/>
      </rPr>
      <t xml:space="preserve"> Ø</t>
    </r>
    <r>
      <rPr>
        <sz val="11"/>
        <rFont val="Calibri"/>
        <family val="2"/>
        <scheme val="minor"/>
      </rPr>
      <t xml:space="preserve"> * ρo) / ((1- Ø) * ρs)</t>
    </r>
  </si>
  <si>
    <t>Hydraulic Conductivity based on 0.01 feet/year mobility</t>
  </si>
  <si>
    <r>
      <t>g/cm</t>
    </r>
    <r>
      <rPr>
        <vertAlign val="superscript"/>
        <sz val="11"/>
        <rFont val="Calibri"/>
        <family val="2"/>
        <scheme val="minor"/>
      </rPr>
      <t>3</t>
    </r>
  </si>
  <si>
    <t>m/s</t>
  </si>
  <si>
    <r>
      <t>m/s</t>
    </r>
    <r>
      <rPr>
        <vertAlign val="superscript"/>
        <sz val="11"/>
        <rFont val="Calibri"/>
        <family val="2"/>
        <scheme val="minor"/>
      </rPr>
      <t>2</t>
    </r>
  </si>
  <si>
    <r>
      <t>m * g/cm-s</t>
    </r>
    <r>
      <rPr>
        <vertAlign val="superscript"/>
        <sz val="11"/>
        <rFont val="Calibri"/>
        <family val="2"/>
        <scheme val="minor"/>
      </rPr>
      <t>2</t>
    </r>
  </si>
  <si>
    <r>
      <t>kg/cm</t>
    </r>
    <r>
      <rPr>
        <vertAlign val="superscript"/>
        <sz val="11"/>
        <rFont val="Calibri"/>
        <family val="2"/>
        <scheme val="minor"/>
      </rPr>
      <t>3</t>
    </r>
  </si>
  <si>
    <t>ft/yr</t>
  </si>
  <si>
    <t>day/yr</t>
  </si>
  <si>
    <t>ft/m</t>
  </si>
  <si>
    <t>ft/s</t>
  </si>
  <si>
    <t>s/min</t>
  </si>
  <si>
    <r>
      <t>kg/ cm</t>
    </r>
    <r>
      <rPr>
        <vertAlign val="superscript"/>
        <sz val="11"/>
        <rFont val="Calibri"/>
        <family val="2"/>
        <scheme val="minor"/>
      </rPr>
      <t>3</t>
    </r>
  </si>
  <si>
    <r>
      <t>100 g</t>
    </r>
    <r>
      <rPr>
        <vertAlign val="superscript"/>
        <sz val="11"/>
        <rFont val="Calibri"/>
        <family val="2"/>
        <scheme val="minor"/>
      </rPr>
      <t>2</t>
    </r>
    <r>
      <rPr>
        <sz val="11"/>
        <rFont val="Calibri"/>
        <family val="2"/>
        <scheme val="minor"/>
      </rPr>
      <t xml:space="preserve"> * s</t>
    </r>
    <r>
      <rPr>
        <vertAlign val="superscript"/>
        <sz val="11"/>
        <rFont val="Calibri"/>
        <family val="2"/>
        <scheme val="minor"/>
      </rPr>
      <t>2</t>
    </r>
    <r>
      <rPr>
        <sz val="11"/>
        <rFont val="Calibri"/>
        <family val="2"/>
        <scheme val="minor"/>
      </rPr>
      <t xml:space="preserve"> /cm</t>
    </r>
    <r>
      <rPr>
        <vertAlign val="superscript"/>
        <sz val="11"/>
        <rFont val="Calibri"/>
        <family val="2"/>
        <scheme val="minor"/>
      </rPr>
      <t>2</t>
    </r>
  </si>
  <si>
    <r>
      <t>S</t>
    </r>
    <r>
      <rPr>
        <vertAlign val="subscript"/>
        <sz val="11"/>
        <rFont val="Calibri"/>
        <family val="2"/>
        <scheme val="minor"/>
      </rPr>
      <t>r</t>
    </r>
  </si>
  <si>
    <r>
      <t>S</t>
    </r>
    <r>
      <rPr>
        <vertAlign val="subscript"/>
        <sz val="11"/>
        <rFont val="Calibri"/>
        <family val="2"/>
        <scheme val="minor"/>
      </rPr>
      <t>e</t>
    </r>
  </si>
  <si>
    <r>
      <t>C</t>
    </r>
    <r>
      <rPr>
        <vertAlign val="subscript"/>
        <sz val="11"/>
        <rFont val="Calibri"/>
        <family val="2"/>
        <scheme val="minor"/>
      </rPr>
      <t>oil</t>
    </r>
  </si>
  <si>
    <r>
      <t>=((K * μ) / (k * ρ</t>
    </r>
    <r>
      <rPr>
        <vertAlign val="subscript"/>
        <sz val="11"/>
        <rFont val="Calibri"/>
        <family val="2"/>
        <scheme val="minor"/>
      </rPr>
      <t>o</t>
    </r>
    <r>
      <rPr>
        <sz val="11"/>
        <rFont val="Calibri"/>
        <family val="2"/>
        <scheme val="minor"/>
      </rPr>
      <t xml:space="preserve"> * g))^0.3095</t>
    </r>
  </si>
  <si>
    <r>
      <t>= M</t>
    </r>
    <r>
      <rPr>
        <vertAlign val="subscript"/>
        <sz val="11"/>
        <rFont val="Calibri"/>
        <family val="2"/>
        <scheme val="minor"/>
      </rPr>
      <t>o</t>
    </r>
    <r>
      <rPr>
        <sz val="11"/>
        <rFont val="Calibri"/>
        <family val="2"/>
        <scheme val="minor"/>
      </rPr>
      <t xml:space="preserve"> / M</t>
    </r>
    <r>
      <rPr>
        <vertAlign val="subscript"/>
        <sz val="11"/>
        <rFont val="Calibri"/>
        <family val="2"/>
        <scheme val="minor"/>
      </rPr>
      <t>s</t>
    </r>
  </si>
  <si>
    <r>
      <t>= (1-S</t>
    </r>
    <r>
      <rPr>
        <vertAlign val="subscript"/>
        <sz val="11"/>
        <rFont val="Calibri"/>
        <family val="2"/>
        <scheme val="minor"/>
      </rPr>
      <t>r</t>
    </r>
    <r>
      <rPr>
        <sz val="11"/>
        <rFont val="Calibri"/>
        <family val="2"/>
        <scheme val="minor"/>
      </rPr>
      <t>)</t>
    </r>
  </si>
  <si>
    <r>
      <t>= (1-S</t>
    </r>
    <r>
      <rPr>
        <vertAlign val="subscript"/>
        <sz val="11"/>
        <rFont val="Calibri"/>
        <family val="2"/>
        <scheme val="minor"/>
      </rPr>
      <t>r</t>
    </r>
    <r>
      <rPr>
        <sz val="11"/>
        <rFont val="Calibri"/>
        <family val="2"/>
        <scheme val="minor"/>
      </rPr>
      <t>)*1.1348</t>
    </r>
  </si>
  <si>
    <r>
      <t>=Conversion cm</t>
    </r>
    <r>
      <rPr>
        <vertAlign val="superscript"/>
        <sz val="11"/>
        <rFont val="Calibri"/>
        <family val="2"/>
        <scheme val="minor"/>
      </rPr>
      <t>2</t>
    </r>
    <r>
      <rPr>
        <sz val="11"/>
        <rFont val="Calibri"/>
        <family val="2"/>
        <scheme val="minor"/>
      </rPr>
      <t>/ m</t>
    </r>
    <r>
      <rPr>
        <vertAlign val="superscript"/>
        <sz val="11"/>
        <rFont val="Calibri"/>
        <family val="2"/>
        <scheme val="minor"/>
      </rPr>
      <t>2</t>
    </r>
  </si>
  <si>
    <r>
      <t>= ((1-S</t>
    </r>
    <r>
      <rPr>
        <vertAlign val="subscript"/>
        <sz val="11"/>
        <rFont val="Calibri"/>
        <family val="2"/>
        <scheme val="minor"/>
      </rPr>
      <t>r</t>
    </r>
    <r>
      <rPr>
        <sz val="11"/>
        <rFont val="Calibri"/>
        <family val="2"/>
        <scheme val="minor"/>
      </rPr>
      <t>)*S</t>
    </r>
    <r>
      <rPr>
        <vertAlign val="subscript"/>
        <sz val="11"/>
        <rFont val="Calibri"/>
        <family val="2"/>
        <scheme val="minor"/>
      </rPr>
      <t>e</t>
    </r>
    <r>
      <rPr>
        <sz val="11"/>
        <rFont val="Calibri"/>
        <family val="2"/>
        <scheme val="minor"/>
      </rPr>
      <t>) + S</t>
    </r>
    <r>
      <rPr>
        <vertAlign val="subscript"/>
        <sz val="11"/>
        <rFont val="Calibri"/>
        <family val="2"/>
        <scheme val="minor"/>
      </rPr>
      <t>r</t>
    </r>
  </si>
  <si>
    <r>
      <t>φ</t>
    </r>
    <r>
      <rPr>
        <vertAlign val="superscript"/>
        <sz val="11"/>
        <color theme="1"/>
        <rFont val="Calibri"/>
        <family val="2"/>
        <scheme val="minor"/>
      </rPr>
      <t>3</t>
    </r>
  </si>
  <si>
    <r>
      <t>(1-φ)</t>
    </r>
    <r>
      <rPr>
        <vertAlign val="superscript"/>
        <sz val="11"/>
        <color theme="1"/>
        <rFont val="Calibri"/>
        <family val="2"/>
        <scheme val="minor"/>
      </rPr>
      <t>2</t>
    </r>
  </si>
  <si>
    <r>
      <t>Denominator = 180 * (1-φ)</t>
    </r>
    <r>
      <rPr>
        <vertAlign val="superscript"/>
        <sz val="11"/>
        <color theme="1"/>
        <rFont val="Calibri"/>
        <family val="2"/>
        <scheme val="minor"/>
      </rPr>
      <t>2</t>
    </r>
  </si>
  <si>
    <r>
      <t>Convert  to sq meters:  1 m</t>
    </r>
    <r>
      <rPr>
        <vertAlign val="superscript"/>
        <sz val="11"/>
        <color theme="1"/>
        <rFont val="Calibri"/>
        <family val="2"/>
        <scheme val="minor"/>
      </rPr>
      <t>2</t>
    </r>
    <r>
      <rPr>
        <sz val="11"/>
        <color theme="1"/>
        <rFont val="Calibri"/>
        <family val="2"/>
        <scheme val="minor"/>
      </rPr>
      <t xml:space="preserve"> per 10</t>
    </r>
    <r>
      <rPr>
        <vertAlign val="superscript"/>
        <sz val="11"/>
        <color theme="1"/>
        <rFont val="Calibri"/>
        <family val="2"/>
        <scheme val="minor"/>
      </rPr>
      <t>6</t>
    </r>
    <r>
      <rPr>
        <sz val="11"/>
        <color theme="1"/>
        <rFont val="Calibri"/>
        <family val="2"/>
        <scheme val="minor"/>
      </rPr>
      <t xml:space="preserve"> mm</t>
    </r>
    <r>
      <rPr>
        <vertAlign val="superscript"/>
        <sz val="11"/>
        <color theme="1"/>
        <rFont val="Calibri"/>
        <family val="2"/>
        <scheme val="minor"/>
      </rPr>
      <t>2</t>
    </r>
  </si>
  <si>
    <r>
      <t>Intrinsic Permeability k in m</t>
    </r>
    <r>
      <rPr>
        <b/>
        <vertAlign val="superscript"/>
        <sz val="11"/>
        <color theme="1"/>
        <rFont val="Calibri"/>
        <family val="2"/>
        <scheme val="minor"/>
      </rPr>
      <t>2</t>
    </r>
  </si>
  <si>
    <r>
      <t>cm</t>
    </r>
    <r>
      <rPr>
        <vertAlign val="superscript"/>
        <sz val="11"/>
        <rFont val="Calibri"/>
        <family val="2"/>
        <scheme val="minor"/>
      </rPr>
      <t>2</t>
    </r>
    <r>
      <rPr>
        <sz val="11"/>
        <rFont val="Calibri"/>
        <family val="2"/>
        <scheme val="minor"/>
      </rPr>
      <t>/m</t>
    </r>
    <r>
      <rPr>
        <vertAlign val="superscript"/>
        <sz val="11"/>
        <rFont val="Calibri"/>
        <family val="2"/>
        <scheme val="minor"/>
      </rPr>
      <t>2</t>
    </r>
  </si>
  <si>
    <r>
      <t>ϴ</t>
    </r>
    <r>
      <rPr>
        <i/>
        <vertAlign val="subscript"/>
        <sz val="11"/>
        <rFont val="Calibri"/>
        <family val="2"/>
        <scheme val="minor"/>
      </rPr>
      <t>o</t>
    </r>
  </si>
  <si>
    <r>
      <t>ρ</t>
    </r>
    <r>
      <rPr>
        <i/>
        <vertAlign val="subscript"/>
        <sz val="11"/>
        <rFont val="Calibri"/>
        <family val="2"/>
        <scheme val="minor"/>
      </rPr>
      <t>o</t>
    </r>
  </si>
  <si>
    <r>
      <t>ρ</t>
    </r>
    <r>
      <rPr>
        <i/>
        <vertAlign val="subscript"/>
        <sz val="11"/>
        <rFont val="Calibri"/>
        <family val="2"/>
        <scheme val="minor"/>
      </rPr>
      <t>s</t>
    </r>
  </si>
  <si>
    <r>
      <t>ρ</t>
    </r>
    <r>
      <rPr>
        <i/>
        <vertAlign val="subscript"/>
        <sz val="11"/>
        <rFont val="Calibri"/>
        <family val="2"/>
        <scheme val="minor"/>
      </rPr>
      <t>b</t>
    </r>
  </si>
  <si>
    <r>
      <t>Intrinsic Permeability k (mm</t>
    </r>
    <r>
      <rPr>
        <vertAlign val="superscript"/>
        <sz val="11"/>
        <color theme="1"/>
        <rFont val="Calibri"/>
        <family val="2"/>
        <scheme val="minor"/>
      </rPr>
      <t>2</t>
    </r>
    <r>
      <rPr>
        <sz val="11"/>
        <color theme="1"/>
        <rFont val="Calibri"/>
        <family val="2"/>
        <scheme val="minor"/>
      </rPr>
      <t>)</t>
    </r>
  </si>
  <si>
    <r>
      <t xml:space="preserve">= ((1-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s</t>
    </r>
    <r>
      <rPr>
        <sz val="11"/>
        <rFont val="Calibri"/>
        <family val="2"/>
        <scheme val="minor"/>
      </rPr>
      <t>)</t>
    </r>
  </si>
  <si>
    <r>
      <t>= (</t>
    </r>
    <r>
      <rPr>
        <i/>
        <sz val="11"/>
        <rFont val="Calibri"/>
        <family val="2"/>
        <scheme val="minor"/>
      </rPr>
      <t>ϴ</t>
    </r>
    <r>
      <rPr>
        <i/>
        <vertAlign val="subscript"/>
        <sz val="11"/>
        <rFont val="Calibri"/>
        <family val="2"/>
        <scheme val="minor"/>
      </rPr>
      <t>o</t>
    </r>
    <r>
      <rPr>
        <sz val="11"/>
        <rFont val="Calibri"/>
        <family val="2"/>
        <scheme val="minor"/>
      </rPr>
      <t xml:space="preserve"> * </t>
    </r>
    <r>
      <rPr>
        <i/>
        <sz val="11"/>
        <rFont val="Calibri"/>
        <family val="2"/>
        <scheme val="minor"/>
      </rPr>
      <t>ρ</t>
    </r>
    <r>
      <rPr>
        <i/>
        <vertAlign val="subscript"/>
        <sz val="11"/>
        <rFont val="Calibri"/>
        <family val="2"/>
        <scheme val="minor"/>
      </rPr>
      <t>o</t>
    </r>
    <r>
      <rPr>
        <sz val="11"/>
        <rFont val="Calibri"/>
        <family val="2"/>
        <scheme val="minor"/>
      </rPr>
      <t>)</t>
    </r>
  </si>
  <si>
    <r>
      <t xml:space="preserve"> = S *</t>
    </r>
    <r>
      <rPr>
        <i/>
        <sz val="11"/>
        <rFont val="Calibri"/>
        <family val="2"/>
        <scheme val="minor"/>
      </rPr>
      <t xml:space="preserve"> Ø</t>
    </r>
  </si>
  <si>
    <r>
      <t xml:space="preserve">= 1.1349* [((K * </t>
    </r>
    <r>
      <rPr>
        <i/>
        <sz val="11"/>
        <rFont val="Calibri"/>
        <family val="2"/>
        <scheme val="minor"/>
      </rPr>
      <t>μ</t>
    </r>
    <r>
      <rPr>
        <sz val="11"/>
        <rFont val="Calibri"/>
        <family val="2"/>
        <scheme val="minor"/>
      </rPr>
      <t>) / (k *</t>
    </r>
    <r>
      <rPr>
        <i/>
        <sz val="11"/>
        <rFont val="Calibri"/>
        <family val="2"/>
        <scheme val="minor"/>
      </rPr>
      <t xml:space="preserve"> ρ</t>
    </r>
    <r>
      <rPr>
        <i/>
        <vertAlign val="subscript"/>
        <sz val="11"/>
        <rFont val="Calibri"/>
        <family val="2"/>
        <scheme val="minor"/>
      </rPr>
      <t>o</t>
    </r>
    <r>
      <rPr>
        <sz val="11"/>
        <rFont val="Calibri"/>
        <family val="2"/>
        <scheme val="minor"/>
      </rPr>
      <t xml:space="preserve"> * g))</t>
    </r>
    <r>
      <rPr>
        <vertAlign val="superscript"/>
        <sz val="11"/>
        <rFont val="Calibri"/>
        <family val="2"/>
        <scheme val="minor"/>
      </rPr>
      <t>0.3095</t>
    </r>
    <r>
      <rPr>
        <sz val="11"/>
        <rFont val="Calibri"/>
        <family val="2"/>
        <scheme val="minor"/>
      </rPr>
      <t>]</t>
    </r>
  </si>
  <si>
    <r>
      <t xml:space="preserve">=(K * </t>
    </r>
    <r>
      <rPr>
        <i/>
        <sz val="11"/>
        <rFont val="Calibri"/>
        <family val="2"/>
        <scheme val="minor"/>
      </rPr>
      <t>μ</t>
    </r>
    <r>
      <rPr>
        <sz val="11"/>
        <rFont val="Calibri"/>
        <family val="2"/>
        <scheme val="minor"/>
      </rPr>
      <t>) / (k *</t>
    </r>
    <r>
      <rPr>
        <i/>
        <sz val="11"/>
        <rFont val="Calibri"/>
        <family val="2"/>
        <scheme val="minor"/>
      </rPr>
      <t xml:space="preserve"> ρ</t>
    </r>
    <r>
      <rPr>
        <i/>
        <vertAlign val="subscript"/>
        <sz val="11"/>
        <rFont val="Calibri"/>
        <family val="2"/>
        <scheme val="minor"/>
      </rPr>
      <t>o</t>
    </r>
    <r>
      <rPr>
        <sz val="11"/>
        <rFont val="Calibri"/>
        <family val="2"/>
        <scheme val="minor"/>
      </rPr>
      <t xml:space="preserve"> * g)</t>
    </r>
  </si>
  <si>
    <r>
      <t xml:space="preserve">=((K * </t>
    </r>
    <r>
      <rPr>
        <i/>
        <sz val="11"/>
        <rFont val="Calibri"/>
        <family val="2"/>
        <scheme val="minor"/>
      </rPr>
      <t>μ</t>
    </r>
    <r>
      <rPr>
        <sz val="11"/>
        <rFont val="Calibri"/>
        <family val="2"/>
        <scheme val="minor"/>
      </rPr>
      <t>) / (k *</t>
    </r>
    <r>
      <rPr>
        <i/>
        <sz val="11"/>
        <rFont val="Calibri"/>
        <family val="2"/>
        <scheme val="minor"/>
      </rPr>
      <t xml:space="preserve"> ρ</t>
    </r>
    <r>
      <rPr>
        <i/>
        <vertAlign val="subscript"/>
        <sz val="11"/>
        <rFont val="Calibri"/>
        <family val="2"/>
        <scheme val="minor"/>
      </rPr>
      <t>o</t>
    </r>
    <r>
      <rPr>
        <sz val="11"/>
        <rFont val="Calibri"/>
        <family val="2"/>
        <scheme val="minor"/>
      </rPr>
      <t xml:space="preserve"> * g))</t>
    </r>
    <r>
      <rPr>
        <vertAlign val="superscript"/>
        <sz val="11"/>
        <rFont val="Calibri"/>
        <family val="2"/>
        <scheme val="minor"/>
      </rPr>
      <t>0.3095</t>
    </r>
  </si>
  <si>
    <r>
      <t>=(K *</t>
    </r>
    <r>
      <rPr>
        <i/>
        <sz val="11"/>
        <rFont val="Calibri"/>
        <family val="2"/>
        <scheme val="minor"/>
      </rPr>
      <t xml:space="preserve"> μ</t>
    </r>
    <r>
      <rPr>
        <sz val="11"/>
        <rFont val="Calibri"/>
        <family val="2"/>
        <scheme val="minor"/>
      </rPr>
      <t>)</t>
    </r>
  </si>
  <si>
    <r>
      <t xml:space="preserve">=(k * </t>
    </r>
    <r>
      <rPr>
        <i/>
        <sz val="11"/>
        <rFont val="Calibri"/>
        <family val="2"/>
        <scheme val="minor"/>
      </rPr>
      <t>ρ</t>
    </r>
    <r>
      <rPr>
        <i/>
        <vertAlign val="subscript"/>
        <sz val="11"/>
        <rFont val="Calibri"/>
        <family val="2"/>
        <scheme val="minor"/>
      </rPr>
      <t>o</t>
    </r>
    <r>
      <rPr>
        <sz val="11"/>
        <rFont val="Calibri"/>
        <family val="2"/>
        <scheme val="minor"/>
      </rPr>
      <t xml:space="preserve"> * g)</t>
    </r>
  </si>
  <si>
    <r>
      <t>= ( ((1-S</t>
    </r>
    <r>
      <rPr>
        <vertAlign val="subscript"/>
        <sz val="11"/>
        <rFont val="Calibri"/>
        <family val="2"/>
        <scheme val="minor"/>
      </rPr>
      <t>r</t>
    </r>
    <r>
      <rPr>
        <sz val="11"/>
        <rFont val="Calibri"/>
        <family val="2"/>
        <scheme val="minor"/>
      </rPr>
      <t>)*( 1.1349 * k</t>
    </r>
    <r>
      <rPr>
        <vertAlign val="subscript"/>
        <sz val="11"/>
        <rFont val="Calibri"/>
        <family val="2"/>
        <scheme val="minor"/>
      </rPr>
      <t>r</t>
    </r>
    <r>
      <rPr>
        <vertAlign val="superscript"/>
        <sz val="11"/>
        <rFont val="Calibri"/>
        <family val="2"/>
        <scheme val="minor"/>
      </rPr>
      <t>0.3095</t>
    </r>
    <r>
      <rPr>
        <sz val="11"/>
        <rFont val="Calibri"/>
        <family val="2"/>
        <scheme val="minor"/>
      </rPr>
      <t>)) + S</t>
    </r>
    <r>
      <rPr>
        <vertAlign val="subscript"/>
        <sz val="11"/>
        <rFont val="Calibri"/>
        <family val="2"/>
        <scheme val="minor"/>
      </rPr>
      <t>r</t>
    </r>
    <r>
      <rPr>
        <sz val="11"/>
        <rFont val="Calibri"/>
        <family val="2"/>
        <scheme val="minor"/>
      </rPr>
      <t xml:space="preserve">)* </t>
    </r>
    <r>
      <rPr>
        <i/>
        <sz val="11"/>
        <rFont val="Calibri"/>
        <family val="2"/>
        <scheme val="minor"/>
      </rPr>
      <t>Ø</t>
    </r>
    <r>
      <rPr>
        <sz val="11"/>
        <rFont val="Calibri"/>
        <family val="2"/>
        <scheme val="minor"/>
      </rPr>
      <t xml:space="preserve"> *</t>
    </r>
    <r>
      <rPr>
        <i/>
        <sz val="11"/>
        <rFont val="Calibri"/>
        <family val="2"/>
        <scheme val="minor"/>
      </rPr>
      <t xml:space="preserve"> ρ</t>
    </r>
    <r>
      <rPr>
        <i/>
        <vertAlign val="subscript"/>
        <sz val="11"/>
        <rFont val="Calibri"/>
        <family val="2"/>
        <scheme val="minor"/>
      </rPr>
      <t>o</t>
    </r>
    <r>
      <rPr>
        <sz val="11"/>
        <rFont val="Calibri"/>
        <family val="2"/>
        <scheme val="minor"/>
      </rPr>
      <t xml:space="preserve">) / ((1-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s</t>
    </r>
    <r>
      <rPr>
        <sz val="11"/>
        <rFont val="Calibri"/>
        <family val="2"/>
        <scheme val="minor"/>
      </rPr>
      <t>)</t>
    </r>
  </si>
  <si>
    <r>
      <t xml:space="preserve"> = S * </t>
    </r>
    <r>
      <rPr>
        <i/>
        <sz val="11"/>
        <rFont val="Calibri"/>
        <family val="2"/>
        <scheme val="minor"/>
      </rPr>
      <t>Ø</t>
    </r>
  </si>
  <si>
    <r>
      <t xml:space="preserve">= 1.1349* [((K * </t>
    </r>
    <r>
      <rPr>
        <i/>
        <sz val="11"/>
        <rFont val="Calibri"/>
        <family val="2"/>
        <scheme val="minor"/>
      </rPr>
      <t>μ</t>
    </r>
    <r>
      <rPr>
        <sz val="11"/>
        <rFont val="Calibri"/>
        <family val="2"/>
        <scheme val="minor"/>
      </rPr>
      <t xml:space="preserve">) / (k * </t>
    </r>
    <r>
      <rPr>
        <i/>
        <sz val="11"/>
        <rFont val="Calibri"/>
        <family val="2"/>
        <scheme val="minor"/>
      </rPr>
      <t>ρ</t>
    </r>
    <r>
      <rPr>
        <i/>
        <vertAlign val="subscript"/>
        <sz val="11"/>
        <rFont val="Calibri"/>
        <family val="2"/>
        <scheme val="minor"/>
      </rPr>
      <t>o</t>
    </r>
    <r>
      <rPr>
        <sz val="11"/>
        <rFont val="Calibri"/>
        <family val="2"/>
        <scheme val="minor"/>
      </rPr>
      <t xml:space="preserve"> * g))</t>
    </r>
    <r>
      <rPr>
        <vertAlign val="superscript"/>
        <sz val="11"/>
        <rFont val="Calibri"/>
        <family val="2"/>
        <scheme val="minor"/>
      </rPr>
      <t>0.3095</t>
    </r>
    <r>
      <rPr>
        <sz val="11"/>
        <rFont val="Calibri"/>
        <family val="2"/>
        <scheme val="minor"/>
      </rPr>
      <t>]</t>
    </r>
  </si>
  <si>
    <r>
      <t xml:space="preserve">=(K * </t>
    </r>
    <r>
      <rPr>
        <i/>
        <sz val="11"/>
        <rFont val="Calibri"/>
        <family val="2"/>
        <scheme val="minor"/>
      </rPr>
      <t>μ</t>
    </r>
    <r>
      <rPr>
        <sz val="11"/>
        <rFont val="Calibri"/>
        <family val="2"/>
        <scheme val="minor"/>
      </rPr>
      <t xml:space="preserve">) / (k * </t>
    </r>
    <r>
      <rPr>
        <i/>
        <sz val="11"/>
        <rFont val="Calibri"/>
        <family val="2"/>
        <scheme val="minor"/>
      </rPr>
      <t>ρ</t>
    </r>
    <r>
      <rPr>
        <i/>
        <vertAlign val="subscript"/>
        <sz val="11"/>
        <rFont val="Calibri"/>
        <family val="2"/>
        <scheme val="minor"/>
      </rPr>
      <t>o</t>
    </r>
    <r>
      <rPr>
        <sz val="11"/>
        <rFont val="Calibri"/>
        <family val="2"/>
        <scheme val="minor"/>
      </rPr>
      <t xml:space="preserve"> * g)</t>
    </r>
  </si>
  <si>
    <r>
      <t xml:space="preserve">=(K * </t>
    </r>
    <r>
      <rPr>
        <i/>
        <sz val="11"/>
        <rFont val="Calibri"/>
        <family val="2"/>
        <scheme val="minor"/>
      </rPr>
      <t>μ</t>
    </r>
    <r>
      <rPr>
        <sz val="11"/>
        <rFont val="Calibri"/>
        <family val="2"/>
        <scheme val="minor"/>
      </rPr>
      <t>)</t>
    </r>
  </si>
  <si>
    <r>
      <t>= ( ((1-S</t>
    </r>
    <r>
      <rPr>
        <vertAlign val="subscript"/>
        <sz val="11"/>
        <rFont val="Calibri"/>
        <family val="2"/>
        <scheme val="minor"/>
      </rPr>
      <t>r</t>
    </r>
    <r>
      <rPr>
        <sz val="11"/>
        <rFont val="Calibri"/>
        <family val="2"/>
        <scheme val="minor"/>
      </rPr>
      <t>)*( 1.1349 * k</t>
    </r>
    <r>
      <rPr>
        <vertAlign val="subscript"/>
        <sz val="11"/>
        <rFont val="Calibri"/>
        <family val="2"/>
        <scheme val="minor"/>
      </rPr>
      <t>r</t>
    </r>
    <r>
      <rPr>
        <vertAlign val="superscript"/>
        <sz val="11"/>
        <rFont val="Calibri"/>
        <family val="2"/>
        <scheme val="minor"/>
      </rPr>
      <t>0.3095</t>
    </r>
    <r>
      <rPr>
        <sz val="11"/>
        <rFont val="Calibri"/>
        <family val="2"/>
        <scheme val="minor"/>
      </rPr>
      <t>)) + S</t>
    </r>
    <r>
      <rPr>
        <vertAlign val="subscript"/>
        <sz val="11"/>
        <rFont val="Calibri"/>
        <family val="2"/>
        <scheme val="minor"/>
      </rPr>
      <t>r</t>
    </r>
    <r>
      <rPr>
        <sz val="11"/>
        <rFont val="Calibri"/>
        <family val="2"/>
        <scheme val="minor"/>
      </rPr>
      <t xml:space="preserve">)*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o</t>
    </r>
    <r>
      <rPr>
        <sz val="11"/>
        <rFont val="Calibri"/>
        <family val="2"/>
        <scheme val="minor"/>
      </rPr>
      <t>) / ((1-</t>
    </r>
    <r>
      <rPr>
        <i/>
        <sz val="11"/>
        <rFont val="Calibri"/>
        <family val="2"/>
        <scheme val="minor"/>
      </rPr>
      <t xml:space="preserve"> Ø</t>
    </r>
    <r>
      <rPr>
        <sz val="11"/>
        <rFont val="Calibri"/>
        <family val="2"/>
        <scheme val="minor"/>
      </rPr>
      <t xml:space="preserve">) * </t>
    </r>
    <r>
      <rPr>
        <i/>
        <sz val="11"/>
        <rFont val="Calibri"/>
        <family val="2"/>
        <scheme val="minor"/>
      </rPr>
      <t>ρ</t>
    </r>
    <r>
      <rPr>
        <i/>
        <vertAlign val="subscript"/>
        <sz val="11"/>
        <rFont val="Calibri"/>
        <family val="2"/>
        <scheme val="minor"/>
      </rPr>
      <t>s</t>
    </r>
    <r>
      <rPr>
        <sz val="11"/>
        <rFont val="Calibri"/>
        <family val="2"/>
        <scheme val="minor"/>
      </rPr>
      <t>)</t>
    </r>
  </si>
  <si>
    <r>
      <t>= ( ((1-S</t>
    </r>
    <r>
      <rPr>
        <vertAlign val="subscript"/>
        <sz val="11"/>
        <rFont val="Calibri"/>
        <family val="2"/>
        <scheme val="minor"/>
      </rPr>
      <t>r</t>
    </r>
    <r>
      <rPr>
        <sz val="11"/>
        <rFont val="Calibri"/>
        <family val="2"/>
        <scheme val="minor"/>
      </rPr>
      <t>)*S</t>
    </r>
    <r>
      <rPr>
        <vertAlign val="subscript"/>
        <sz val="11"/>
        <rFont val="Calibri"/>
        <family val="2"/>
        <scheme val="minor"/>
      </rPr>
      <t>e</t>
    </r>
    <r>
      <rPr>
        <sz val="11"/>
        <rFont val="Calibri"/>
        <family val="2"/>
        <scheme val="minor"/>
      </rPr>
      <t>) + S</t>
    </r>
    <r>
      <rPr>
        <vertAlign val="subscript"/>
        <sz val="11"/>
        <rFont val="Calibri"/>
        <family val="2"/>
        <scheme val="minor"/>
      </rPr>
      <t>r</t>
    </r>
    <r>
      <rPr>
        <sz val="11"/>
        <rFont val="Calibri"/>
        <family val="2"/>
        <scheme val="minor"/>
      </rPr>
      <t xml:space="preserve">)*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o</t>
    </r>
    <r>
      <rPr>
        <sz val="11"/>
        <rFont val="Calibri"/>
        <family val="2"/>
        <scheme val="minor"/>
      </rPr>
      <t xml:space="preserve">) / ((1-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s</t>
    </r>
    <r>
      <rPr>
        <sz val="11"/>
        <rFont val="Calibri"/>
        <family val="2"/>
        <scheme val="minor"/>
      </rPr>
      <t>)</t>
    </r>
  </si>
  <si>
    <r>
      <t xml:space="preserve">= ( S *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o</t>
    </r>
    <r>
      <rPr>
        <sz val="11"/>
        <rFont val="Calibri"/>
        <family val="2"/>
        <scheme val="minor"/>
      </rPr>
      <t xml:space="preserve">) / ((1-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s</t>
    </r>
    <r>
      <rPr>
        <sz val="11"/>
        <rFont val="Calibri"/>
        <family val="2"/>
        <scheme val="minor"/>
      </rPr>
      <t>)</t>
    </r>
  </si>
  <si>
    <r>
      <t xml:space="preserve"> = (</t>
    </r>
    <r>
      <rPr>
        <i/>
        <sz val="11"/>
        <rFont val="Calibri"/>
        <family val="2"/>
        <scheme val="minor"/>
      </rPr>
      <t>ϴ</t>
    </r>
    <r>
      <rPr>
        <i/>
        <vertAlign val="subscript"/>
        <sz val="11"/>
        <rFont val="Calibri"/>
        <family val="2"/>
        <scheme val="minor"/>
      </rPr>
      <t>o</t>
    </r>
    <r>
      <rPr>
        <sz val="11"/>
        <rFont val="Calibri"/>
        <family val="2"/>
        <scheme val="minor"/>
      </rPr>
      <t xml:space="preserve"> * </t>
    </r>
    <r>
      <rPr>
        <i/>
        <sz val="11"/>
        <rFont val="Calibri"/>
        <family val="2"/>
        <scheme val="minor"/>
      </rPr>
      <t>ρ</t>
    </r>
    <r>
      <rPr>
        <i/>
        <vertAlign val="subscript"/>
        <sz val="11"/>
        <rFont val="Calibri"/>
        <family val="2"/>
        <scheme val="minor"/>
      </rPr>
      <t>o</t>
    </r>
    <r>
      <rPr>
        <sz val="11"/>
        <rFont val="Calibri"/>
        <family val="2"/>
        <scheme val="minor"/>
      </rPr>
      <t xml:space="preserve">) / ((1- </t>
    </r>
    <r>
      <rPr>
        <i/>
        <sz val="11"/>
        <rFont val="Calibri"/>
        <family val="2"/>
        <scheme val="minor"/>
      </rPr>
      <t>Ø</t>
    </r>
    <r>
      <rPr>
        <sz val="11"/>
        <rFont val="Calibri"/>
        <family val="2"/>
        <scheme val="minor"/>
      </rPr>
      <t xml:space="preserve">) * </t>
    </r>
    <r>
      <rPr>
        <i/>
        <sz val="11"/>
        <rFont val="Calibri"/>
        <family val="2"/>
        <scheme val="minor"/>
      </rPr>
      <t>ρ</t>
    </r>
    <r>
      <rPr>
        <i/>
        <vertAlign val="subscript"/>
        <sz val="11"/>
        <rFont val="Calibri"/>
        <family val="2"/>
        <scheme val="minor"/>
      </rPr>
      <t>s</t>
    </r>
    <r>
      <rPr>
        <sz val="11"/>
        <rFont val="Calibri"/>
        <family val="2"/>
        <scheme val="minor"/>
      </rPr>
      <t>)</t>
    </r>
  </si>
  <si>
    <t>cm/s =</t>
  </si>
  <si>
    <t>Percent of soil mass passing through the sieve</t>
  </si>
  <si>
    <t>Selected Ceiling Value</t>
  </si>
  <si>
    <t>q</t>
  </si>
  <si>
    <t>Darcy Flux (lowest value where NAPL is considered mobile)</t>
  </si>
  <si>
    <t>Selected by the NJDEP.  Equivalent to 1 foot in 100 years</t>
  </si>
  <si>
    <t>Calculated based on q and i</t>
  </si>
  <si>
    <t>Category 1</t>
  </si>
  <si>
    <t>Category 2</t>
  </si>
  <si>
    <r>
      <t>Lab D</t>
    </r>
    <r>
      <rPr>
        <b/>
        <vertAlign val="subscript"/>
        <sz val="14"/>
        <color theme="1"/>
        <rFont val="Calibri"/>
        <family val="2"/>
        <scheme val="minor"/>
      </rPr>
      <t>10</t>
    </r>
    <r>
      <rPr>
        <b/>
        <sz val="14"/>
        <color theme="1"/>
        <rFont val="Calibri"/>
        <family val="2"/>
        <scheme val="minor"/>
      </rPr>
      <t>=</t>
    </r>
  </si>
  <si>
    <t>D10</t>
  </si>
  <si>
    <r>
      <rPr>
        <sz val="11"/>
        <rFont val="Calibri"/>
        <family val="2"/>
        <scheme val="minor"/>
      </rPr>
      <t>D</t>
    </r>
    <r>
      <rPr>
        <vertAlign val="subscript"/>
        <sz val="11"/>
        <rFont val="Calibri"/>
        <family val="2"/>
        <scheme val="minor"/>
      </rPr>
      <t>10</t>
    </r>
  </si>
  <si>
    <r>
      <t>Default value is set by the DEP.  The calculated value is from the site specific soil D</t>
    </r>
    <r>
      <rPr>
        <vertAlign val="subscript"/>
        <sz val="11"/>
        <rFont val="Calibri"/>
        <family val="2"/>
        <scheme val="minor"/>
      </rPr>
      <t>10</t>
    </r>
  </si>
  <si>
    <r>
      <t>Numerator =  φ</t>
    </r>
    <r>
      <rPr>
        <vertAlign val="superscript"/>
        <sz val="11"/>
        <color theme="1"/>
        <rFont val="Calibri"/>
        <family val="2"/>
        <scheme val="minor"/>
      </rPr>
      <t>3</t>
    </r>
    <r>
      <rPr>
        <sz val="11"/>
        <color theme="1"/>
        <rFont val="Calibri"/>
        <family val="2"/>
        <scheme val="minor"/>
      </rPr>
      <t xml:space="preserve"> * D</t>
    </r>
    <r>
      <rPr>
        <vertAlign val="subscript"/>
        <sz val="11"/>
        <color theme="1"/>
        <rFont val="Calibri"/>
        <family val="2"/>
        <scheme val="minor"/>
      </rPr>
      <t>10</t>
    </r>
    <r>
      <rPr>
        <vertAlign val="superscript"/>
        <sz val="11"/>
        <color theme="1"/>
        <rFont val="Calibri"/>
        <family val="2"/>
        <scheme val="minor"/>
      </rPr>
      <t>2</t>
    </r>
    <r>
      <rPr>
        <sz val="11"/>
        <color theme="1"/>
        <rFont val="Calibri"/>
        <family val="2"/>
        <scheme val="minor"/>
      </rPr>
      <t xml:space="preserve"> mm</t>
    </r>
    <r>
      <rPr>
        <vertAlign val="superscript"/>
        <sz val="11"/>
        <color theme="1"/>
        <rFont val="Calibri"/>
        <family val="2"/>
        <scheme val="minor"/>
      </rPr>
      <t>2</t>
    </r>
  </si>
  <si>
    <r>
      <t>D</t>
    </r>
    <r>
      <rPr>
        <vertAlign val="subscript"/>
        <sz val="11"/>
        <color theme="1"/>
        <rFont val="Calibri"/>
        <family val="2"/>
        <scheme val="minor"/>
      </rPr>
      <t>10</t>
    </r>
    <r>
      <rPr>
        <vertAlign val="superscript"/>
        <sz val="11"/>
        <color theme="1"/>
        <rFont val="Calibri"/>
        <family val="2"/>
        <scheme val="minor"/>
      </rPr>
      <t>2</t>
    </r>
    <r>
      <rPr>
        <sz val="11"/>
        <color theme="1"/>
        <rFont val="Calibri"/>
        <family val="2"/>
        <scheme val="minor"/>
      </rPr>
      <t xml:space="preserve"> mm</t>
    </r>
    <r>
      <rPr>
        <vertAlign val="superscript"/>
        <sz val="11"/>
        <color theme="1"/>
        <rFont val="Calibri"/>
        <family val="2"/>
        <scheme val="minor"/>
      </rPr>
      <t>2</t>
    </r>
  </si>
  <si>
    <r>
      <t>D</t>
    </r>
    <r>
      <rPr>
        <vertAlign val="subscript"/>
        <sz val="11"/>
        <color theme="1"/>
        <rFont val="Calibri"/>
        <family val="2"/>
        <scheme val="minor"/>
      </rPr>
      <t>10</t>
    </r>
    <r>
      <rPr>
        <sz val="11"/>
        <color theme="1"/>
        <rFont val="Calibri"/>
        <family val="2"/>
        <scheme val="minor"/>
      </rPr>
      <t xml:space="preserve">  sieve diam (mm) retaining 90% of dry sample mass = very fine sand</t>
    </r>
  </si>
  <si>
    <r>
      <t>k = [φ</t>
    </r>
    <r>
      <rPr>
        <vertAlign val="superscript"/>
        <sz val="12"/>
        <color theme="1"/>
        <rFont val="Calibri"/>
        <family val="2"/>
        <scheme val="minor"/>
      </rPr>
      <t>3</t>
    </r>
    <r>
      <rPr>
        <sz val="12"/>
        <color theme="1"/>
        <rFont val="Calibri"/>
        <family val="2"/>
        <scheme val="minor"/>
      </rPr>
      <t xml:space="preserve"> * D</t>
    </r>
    <r>
      <rPr>
        <vertAlign val="subscript"/>
        <sz val="12"/>
        <color theme="1"/>
        <rFont val="Calibri"/>
        <family val="2"/>
        <scheme val="minor"/>
      </rPr>
      <t>10</t>
    </r>
    <r>
      <rPr>
        <vertAlign val="superscript"/>
        <sz val="12"/>
        <color theme="1"/>
        <rFont val="Calibri"/>
        <family val="2"/>
        <scheme val="minor"/>
      </rPr>
      <t>2</t>
    </r>
    <r>
      <rPr>
        <sz val="12"/>
        <color theme="1"/>
        <rFont val="Calibri"/>
        <family val="2"/>
        <scheme val="minor"/>
      </rPr>
      <t xml:space="preserve"> mm</t>
    </r>
    <r>
      <rPr>
        <vertAlign val="superscript"/>
        <sz val="12"/>
        <color theme="1"/>
        <rFont val="Calibri"/>
        <family val="2"/>
        <scheme val="minor"/>
      </rPr>
      <t>2</t>
    </r>
    <r>
      <rPr>
        <sz val="12"/>
        <color theme="1"/>
        <rFont val="Calibri"/>
        <family val="2"/>
        <scheme val="minor"/>
      </rPr>
      <t>]  / [ 180 * (1-φ)</t>
    </r>
    <r>
      <rPr>
        <vertAlign val="superscript"/>
        <sz val="12"/>
        <color theme="1"/>
        <rFont val="Calibri"/>
        <family val="2"/>
        <scheme val="minor"/>
      </rPr>
      <t>2</t>
    </r>
    <r>
      <rPr>
        <sz val="12"/>
        <color theme="1"/>
        <rFont val="Calibri"/>
        <family val="2"/>
        <scheme val="minor"/>
      </rPr>
      <t>]</t>
    </r>
  </si>
  <si>
    <r>
      <t xml:space="preserve"> Calc. D</t>
    </r>
    <r>
      <rPr>
        <b/>
        <vertAlign val="subscript"/>
        <sz val="14"/>
        <color theme="1"/>
        <rFont val="Calibri"/>
        <family val="2"/>
        <scheme val="minor"/>
      </rPr>
      <t>10</t>
    </r>
    <r>
      <rPr>
        <b/>
        <sz val="14"/>
        <color theme="1"/>
        <rFont val="Calibri"/>
        <family val="2"/>
        <scheme val="minor"/>
      </rPr>
      <t>=</t>
    </r>
  </si>
  <si>
    <r>
      <t>For each sample, click the bullet corresponding to source of D</t>
    </r>
    <r>
      <rPr>
        <b/>
        <vertAlign val="subscript"/>
        <sz val="11"/>
        <color theme="1"/>
        <rFont val="Calibri"/>
        <family val="2"/>
        <scheme val="minor"/>
      </rPr>
      <t>10</t>
    </r>
    <r>
      <rPr>
        <b/>
        <sz val="11"/>
        <color theme="1"/>
        <rFont val="Calibri"/>
        <family val="2"/>
        <scheme val="minor"/>
      </rPr>
      <t xml:space="preserve"> value.</t>
    </r>
  </si>
  <si>
    <r>
      <rPr>
        <sz val="11"/>
        <color theme="1"/>
        <rFont val="Calibri"/>
        <family val="2"/>
        <scheme val="minor"/>
      </rPr>
      <t>D</t>
    </r>
    <r>
      <rPr>
        <vertAlign val="subscript"/>
        <sz val="11"/>
        <color theme="1"/>
        <rFont val="Calibri"/>
        <family val="2"/>
        <scheme val="minor"/>
      </rPr>
      <t>10</t>
    </r>
  </si>
  <si>
    <r>
      <rPr>
        <sz val="11"/>
        <color theme="1"/>
        <rFont val="Calibri"/>
        <family val="2"/>
        <scheme val="minor"/>
      </rPr>
      <t>Intrinsic Permeability</t>
    </r>
    <r>
      <rPr>
        <sz val="10"/>
        <color theme="1"/>
        <rFont val="Calibri"/>
        <family val="2"/>
        <scheme val="minor"/>
      </rPr>
      <t xml:space="preserve"> (m</t>
    </r>
    <r>
      <rPr>
        <vertAlign val="superscript"/>
        <sz val="10"/>
        <color theme="1"/>
        <rFont val="Calibri"/>
        <family val="2"/>
        <scheme val="minor"/>
      </rPr>
      <t>2</t>
    </r>
    <r>
      <rPr>
        <sz val="10"/>
        <color theme="1"/>
        <rFont val="Calibri"/>
        <family val="2"/>
        <scheme val="minor"/>
      </rPr>
      <t>) -calculated based on D</t>
    </r>
    <r>
      <rPr>
        <vertAlign val="subscript"/>
        <sz val="10"/>
        <color theme="1"/>
        <rFont val="Calibri"/>
        <family val="2"/>
        <scheme val="minor"/>
      </rPr>
      <t>10</t>
    </r>
  </si>
  <si>
    <t xml:space="preserve">  Velocity Conversion of Units Calculations - Meters/second to Feet/Year</t>
  </si>
  <si>
    <t>mg/kg EPH</t>
  </si>
  <si>
    <t>Ft/100 years</t>
  </si>
  <si>
    <t>m/year</t>
  </si>
  <si>
    <t>days/year</t>
  </si>
  <si>
    <t>Minutes/ day</t>
  </si>
  <si>
    <t>Seconds / Minute</t>
  </si>
  <si>
    <t>Concentration of oil per dry soil (Alternative EPH Free Product Limit concentration per dry soil)</t>
  </si>
  <si>
    <t>Type of Petroleum Product</t>
  </si>
  <si>
    <t>No. 2 Heating Oil</t>
  </si>
  <si>
    <t>No. 4 Heating Oil</t>
  </si>
  <si>
    <t>No. 6 Heating Oil</t>
  </si>
  <si>
    <t>Cutting Oil</t>
  </si>
  <si>
    <t>Unknown Petroleum Hydrocarbons</t>
  </si>
  <si>
    <t>Dielectric Fluid, Dielectric Mineral Oil, Transformer Oil</t>
  </si>
  <si>
    <t>Unknown Petroleum Hydrocarbon</t>
  </si>
  <si>
    <t>Eqivalent Category 1</t>
  </si>
  <si>
    <t>Crude Oil</t>
  </si>
  <si>
    <t>Contact DEP</t>
  </si>
  <si>
    <t>Manufactured Gas Plant (MGP)</t>
  </si>
  <si>
    <t>Not App.</t>
  </si>
  <si>
    <t>Calculated EPH Product Limit Concentration for each grain size sample.</t>
  </si>
  <si>
    <t>Oil Density (gm/cm^3)</t>
  </si>
  <si>
    <t>Oil Density (gram/ cm^3)</t>
  </si>
  <si>
    <t>Extractable Petroleum Hydrocarbon (EPH) Alternative Product Limit Concentration Calculator for Soil</t>
  </si>
  <si>
    <t>Default Product Indicator Concentration (mg/kg)</t>
  </si>
  <si>
    <t>Default Product Indicator Concentration</t>
  </si>
  <si>
    <t>Type of Petroleum Product Source Material</t>
  </si>
  <si>
    <t>Petroleum Product Specific Parameter</t>
  </si>
  <si>
    <t>Petroleum Product (NAPL) Saturation ratio</t>
  </si>
  <si>
    <t>Maximum Allowable EPH Concentration in Soil (i.e., NJDEP Ceiling Limit)</t>
  </si>
  <si>
    <t>Waste Oil- Known Source Material</t>
  </si>
  <si>
    <t>See Instruction</t>
  </si>
  <si>
    <t>Use Source Material</t>
  </si>
  <si>
    <r>
      <t xml:space="preserve">Select the number of Grain Size Samples that were 
analyzed for this AOC.  
</t>
    </r>
    <r>
      <rPr>
        <sz val="11"/>
        <color theme="1"/>
        <rFont val="Calibri"/>
        <family val="2"/>
        <scheme val="minor"/>
      </rPr>
      <t>Click the quantity of grain size samples: 3 samples or 4 samples.</t>
    </r>
  </si>
  <si>
    <t>EPH Alternative Product Limit Concentration for Soil in this AOC</t>
  </si>
  <si>
    <t xml:space="preserve">    mg/kg of EPH</t>
  </si>
  <si>
    <t>D10 is the greatest of the values listed below</t>
  </si>
  <si>
    <t>Version 1.1, December 2019 Release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</si>
</sst>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0E+00"/>
    <numFmt numFmtId="165" formatCode="0.0000"/>
    <numFmt numFmtId="166" formatCode="0.00000"/>
    <numFmt numFmtId="167" formatCode="0.000E+00"/>
    <numFmt numFmtId="168" formatCode="0.000000"/>
    <numFmt numFmtId="169" formatCode="0.000"/>
    <numFmt numFmtId="170" formatCode="0.0%"/>
    <numFmt numFmtId="171" formatCode="0.0000%"/>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vertAlign val="subscript"/>
      <sz val="11"/>
      <name val="Calibri"/>
      <family val="2"/>
      <scheme val="minor"/>
    </font>
    <font>
      <vertAlign val="superscript"/>
      <sz val="11"/>
      <name val="Calibri"/>
      <family val="2"/>
      <scheme val="minor"/>
    </font>
    <font>
      <sz val="11"/>
      <color rgb="FF000000"/>
      <name val="Calibri"/>
      <family val="2"/>
      <scheme val="minor"/>
    </font>
    <font>
      <b/>
      <sz val="12"/>
      <name val="Calibri"/>
      <family val="2"/>
      <scheme val="minor"/>
    </font>
    <font>
      <sz val="11"/>
      <color theme="1"/>
      <name val="Calibri"/>
      <family val="2"/>
    </font>
    <font>
      <sz val="14"/>
      <color theme="1"/>
      <name val="Calibri"/>
      <family val="2"/>
      <scheme val="minor"/>
    </font>
    <font>
      <sz val="11"/>
      <color rgb="FF9C0006"/>
      <name val="Calibri"/>
      <family val="2"/>
      <scheme val="minor"/>
    </font>
    <font>
      <sz val="11"/>
      <color rgb="FF9C650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
      <sz val="11"/>
      <color rgb="FF006100"/>
      <name val="Calibri"/>
      <family val="2"/>
      <scheme val="minor"/>
    </font>
    <font>
      <b/>
      <sz val="11"/>
      <color rgb="FF0070C0"/>
      <name val="Calibri"/>
      <family val="2"/>
      <scheme val="minor"/>
    </font>
    <font>
      <b/>
      <sz val="11"/>
      <color theme="5"/>
      <name val="Calibri"/>
      <family val="2"/>
      <scheme val="minor"/>
    </font>
    <font>
      <b/>
      <sz val="11"/>
      <name val="Calibri"/>
      <family val="2"/>
      <scheme val="minor"/>
    </font>
    <font>
      <b/>
      <sz val="11"/>
      <color rgb="FFDE8400"/>
      <name val="Calibri"/>
      <family val="2"/>
      <scheme val="minor"/>
    </font>
    <font>
      <sz val="11"/>
      <color rgb="FFDE8400"/>
      <name val="Calibri"/>
      <family val="2"/>
      <scheme val="minor"/>
    </font>
    <font>
      <b/>
      <sz val="11"/>
      <color theme="9" tint="-0.249977111117893"/>
      <name val="Calibri"/>
      <family val="2"/>
      <scheme val="minor"/>
    </font>
    <font>
      <b/>
      <sz val="11"/>
      <color rgb="FF7030A0"/>
      <name val="Calibri"/>
      <family val="2"/>
      <scheme val="minor"/>
    </font>
    <font>
      <b/>
      <vertAlign val="superscript"/>
      <sz val="11"/>
      <color rgb="FF7030A0"/>
      <name val="Calibri"/>
      <family val="2"/>
      <scheme val="minor"/>
    </font>
    <font>
      <b/>
      <sz val="11"/>
      <color rgb="FFC00000"/>
      <name val="Calibri"/>
      <family val="2"/>
      <scheme val="minor"/>
    </font>
    <font>
      <b/>
      <sz val="14"/>
      <name val="Calibri"/>
      <family val="2"/>
      <scheme val="minor"/>
    </font>
    <font>
      <b/>
      <sz val="14"/>
      <color rgb="FF006100"/>
      <name val="Calibri"/>
      <family val="2"/>
      <scheme val="minor"/>
    </font>
    <font>
      <i/>
      <sz val="11"/>
      <name val="Calibri"/>
      <family val="2"/>
      <scheme val="minor"/>
    </font>
    <font>
      <b/>
      <sz val="16"/>
      <color indexed="8"/>
      <name val="Arial"/>
      <family val="2"/>
    </font>
    <font>
      <sz val="16"/>
      <color indexed="8"/>
      <name val="Arial"/>
      <family val="2"/>
    </font>
    <font>
      <sz val="13"/>
      <color theme="1"/>
      <name val="Calibri"/>
      <family val="2"/>
      <scheme val="minor"/>
    </font>
    <font>
      <sz val="9"/>
      <color theme="1"/>
      <name val="Calibri"/>
      <family val="2"/>
      <scheme val="minor"/>
    </font>
    <font>
      <sz val="11"/>
      <name val="Calibri"/>
      <family val="2"/>
    </font>
    <font>
      <vertAlign val="subscript"/>
      <sz val="11"/>
      <color theme="1"/>
      <name val="Calibri"/>
      <family val="2"/>
      <scheme val="minor"/>
    </font>
    <font>
      <vertAlign val="subscript"/>
      <sz val="12"/>
      <color theme="1"/>
      <name val="Calibri"/>
      <family val="2"/>
      <scheme val="minor"/>
    </font>
    <font>
      <b/>
      <sz val="16"/>
      <color theme="1"/>
      <name val="Calibri"/>
      <family val="2"/>
      <scheme val="minor"/>
    </font>
    <font>
      <i/>
      <vertAlign val="subscript"/>
      <sz val="11"/>
      <color theme="1"/>
      <name val="Calibri"/>
      <family val="2"/>
    </font>
    <font>
      <vertAlign val="superscript"/>
      <sz val="10"/>
      <color theme="1"/>
      <name val="Calibri"/>
      <family val="2"/>
      <scheme val="minor"/>
    </font>
    <font>
      <sz val="11"/>
      <name val="Verdana"/>
      <family val="2"/>
    </font>
    <font>
      <b/>
      <vertAlign val="subscript"/>
      <sz val="11"/>
      <color rgb="FFC00000"/>
      <name val="Calibri"/>
      <family val="2"/>
      <scheme val="minor"/>
    </font>
    <font>
      <vertAlign val="superscript"/>
      <sz val="12"/>
      <color theme="1"/>
      <name val="Calibri"/>
      <family val="2"/>
      <scheme val="minor"/>
    </font>
    <font>
      <vertAlign val="superscript"/>
      <sz val="11"/>
      <color theme="1"/>
      <name val="Calibri"/>
      <family val="2"/>
      <scheme val="minor"/>
    </font>
    <font>
      <b/>
      <vertAlign val="superscript"/>
      <sz val="11"/>
      <color theme="1"/>
      <name val="Calibri"/>
      <family val="2"/>
      <scheme val="minor"/>
    </font>
    <font>
      <i/>
      <vertAlign val="subscript"/>
      <sz val="11"/>
      <name val="Calibri"/>
      <family val="2"/>
      <scheme val="minor"/>
    </font>
    <font>
      <b/>
      <vertAlign val="subscript"/>
      <sz val="14"/>
      <color theme="1"/>
      <name val="Calibri"/>
      <family val="2"/>
      <scheme val="minor"/>
    </font>
    <font>
      <sz val="11"/>
      <color theme="0"/>
      <name val="Calibri"/>
      <family val="2"/>
      <scheme val="minor"/>
    </font>
    <font>
      <sz val="8"/>
      <color rgb="FF000000"/>
      <name val="Segoe UI"/>
      <family val="2"/>
    </font>
    <font>
      <sz val="12"/>
      <color rgb="FF000000"/>
      <name val="Calibri"/>
      <family val="2"/>
    </font>
    <font>
      <b/>
      <vertAlign val="subscript"/>
      <sz val="11"/>
      <color theme="1"/>
      <name val="Calibri"/>
      <family val="2"/>
      <scheme val="minor"/>
    </font>
    <font>
      <vertAlign val="subscript"/>
      <sz val="10"/>
      <color theme="1"/>
      <name val="Calibri"/>
      <family val="2"/>
      <scheme val="minor"/>
    </font>
    <font>
      <b/>
      <sz val="14"/>
      <color theme="0"/>
      <name val="Calibri"/>
      <family val="2"/>
      <scheme val="minor"/>
    </font>
    <font>
      <sz val="9.5"/>
      <color theme="1"/>
      <name val="Calibri"/>
      <family val="2"/>
      <scheme val="minor"/>
    </font>
  </fonts>
  <fills count="14">
    <fill>
      <patternFill patternType="none"/>
    </fill>
    <fill>
      <patternFill patternType="gray125"/>
    </fill>
    <fill>
      <patternFill patternType="solid">
        <fgColor rgb="FFFFC7CE"/>
      </patternFill>
    </fill>
    <fill>
      <patternFill patternType="solid">
        <fgColor rgb="FFFFEB9C"/>
      </patternFill>
    </fill>
    <fill>
      <patternFill patternType="solid">
        <fgColor rgb="FF8CFCFC"/>
        <bgColor indexed="64"/>
      </patternFill>
    </fill>
    <fill>
      <patternFill patternType="solid">
        <fgColor rgb="FFCCFFCC"/>
        <bgColor indexed="64"/>
      </patternFill>
    </fill>
    <fill>
      <patternFill patternType="solid">
        <fgColor theme="9" tint="0.59999389629810485"/>
        <bgColor indexed="64"/>
      </patternFill>
    </fill>
    <fill>
      <patternFill patternType="solid">
        <fgColor rgb="FFC6EFCE"/>
      </patternFill>
    </fill>
    <fill>
      <patternFill patternType="solid">
        <fgColor rgb="FFA1FFFD"/>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rgb="FFB5FFFD"/>
        <bgColor indexed="64"/>
      </patternFill>
    </fill>
    <fill>
      <patternFill patternType="solid">
        <fgColor theme="2" tint="-9.9978637043366805E-2"/>
        <bgColor indexed="64"/>
      </patternFill>
    </fill>
  </fills>
  <borders count="65">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medium">
        <color indexed="64"/>
      </bottom>
      <diagonal/>
    </border>
    <border>
      <left style="thin">
        <color theme="0"/>
      </left>
      <right style="thin">
        <color theme="0"/>
      </right>
      <top style="thin">
        <color theme="0"/>
      </top>
      <bottom style="medium">
        <color indexed="64"/>
      </bottom>
      <diagonal/>
    </border>
    <border>
      <left/>
      <right style="thin">
        <color theme="0"/>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thin">
        <color theme="0"/>
      </left>
      <right/>
      <top/>
      <bottom style="thin">
        <color theme="0"/>
      </bottom>
      <diagonal/>
    </border>
    <border>
      <left style="thin">
        <color theme="0"/>
      </left>
      <right style="medium">
        <color indexed="64"/>
      </right>
      <top/>
      <bottom style="medium">
        <color indexed="64"/>
      </bottom>
      <diagonal/>
    </border>
    <border>
      <left style="thin">
        <color theme="0"/>
      </left>
      <right style="medium">
        <color indexed="64"/>
      </right>
      <top style="thin">
        <color theme="0"/>
      </top>
      <bottom/>
      <diagonal/>
    </border>
    <border>
      <left style="thin">
        <color theme="0"/>
      </left>
      <right style="thin">
        <color theme="0"/>
      </right>
      <top style="thin">
        <color theme="0"/>
      </top>
      <bottom/>
      <diagonal/>
    </border>
    <border>
      <left style="thin">
        <color theme="0"/>
      </left>
      <right style="medium">
        <color indexed="64"/>
      </right>
      <top/>
      <bottom/>
      <diagonal/>
    </border>
    <border>
      <left style="thin">
        <color theme="0"/>
      </left>
      <right style="thin">
        <color theme="0"/>
      </right>
      <top/>
      <bottom/>
      <diagonal/>
    </border>
    <border>
      <left style="thin">
        <color theme="0"/>
      </left>
      <right style="thin">
        <color theme="0"/>
      </right>
      <top style="thin">
        <color theme="0"/>
      </top>
      <bottom style="thin">
        <color theme="1"/>
      </bottom>
      <diagonal/>
    </border>
    <border>
      <left style="thin">
        <color theme="0"/>
      </left>
      <right style="medium">
        <color indexed="64"/>
      </right>
      <top style="thin">
        <color theme="0"/>
      </top>
      <bottom style="thin">
        <color theme="1"/>
      </bottom>
      <diagonal/>
    </border>
    <border>
      <left style="medium">
        <color indexed="64"/>
      </left>
      <right/>
      <top style="thin">
        <color theme="0"/>
      </top>
      <bottom style="thin">
        <color theme="0"/>
      </bottom>
      <diagonal/>
    </border>
    <border>
      <left style="medium">
        <color indexed="64"/>
      </left>
      <right style="thin">
        <color theme="0"/>
      </right>
      <top style="thin">
        <color theme="0"/>
      </top>
      <bottom/>
      <diagonal/>
    </border>
    <border>
      <left style="thin">
        <color theme="0"/>
      </left>
      <right style="medium">
        <color indexed="64"/>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medium">
        <color indexed="64"/>
      </right>
      <top/>
      <bottom/>
      <diagonal/>
    </border>
    <border>
      <left style="medium">
        <color indexed="64"/>
      </left>
      <right style="medium">
        <color theme="0"/>
      </right>
      <top style="medium">
        <color theme="0"/>
      </top>
      <bottom/>
      <diagonal/>
    </border>
    <border>
      <left style="thin">
        <color theme="0"/>
      </left>
      <right style="thin">
        <color theme="0"/>
      </right>
      <top style="medium">
        <color indexed="64"/>
      </top>
      <bottom/>
      <diagonal/>
    </border>
    <border>
      <left style="thin">
        <color indexed="64"/>
      </left>
      <right style="thin">
        <color indexed="64"/>
      </right>
      <top style="thin">
        <color indexed="64"/>
      </top>
      <bottom style="thin">
        <color indexed="64"/>
      </bottom>
      <diagonal/>
    </border>
    <border>
      <left style="thin">
        <color theme="0"/>
      </left>
      <right/>
      <top style="thin">
        <color theme="1"/>
      </top>
      <bottom style="thin">
        <color theme="1"/>
      </bottom>
      <diagonal/>
    </border>
    <border>
      <left/>
      <right/>
      <top style="thin">
        <color theme="1"/>
      </top>
      <bottom style="thin">
        <color theme="1"/>
      </bottom>
      <diagonal/>
    </border>
    <border>
      <left/>
      <right style="thin">
        <color theme="0"/>
      </right>
      <top style="thin">
        <color theme="1"/>
      </top>
      <bottom style="thin">
        <color theme="1"/>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top/>
      <bottom style="medium">
        <color indexed="64"/>
      </bottom>
      <diagonal/>
    </border>
    <border>
      <left style="thin">
        <color theme="0"/>
      </left>
      <right/>
      <top style="medium">
        <color indexed="64"/>
      </top>
      <bottom/>
      <diagonal/>
    </border>
    <border>
      <left/>
      <right style="thin">
        <color theme="0"/>
      </right>
      <top/>
      <bottom style="medium">
        <color indexed="64"/>
      </bottom>
      <diagonal/>
    </border>
    <border>
      <left style="medium">
        <color indexed="64"/>
      </left>
      <right/>
      <top style="medium">
        <color indexed="64"/>
      </top>
      <bottom style="thin">
        <color theme="0"/>
      </bottom>
      <diagonal/>
    </border>
    <border>
      <left/>
      <right style="thin">
        <color theme="0"/>
      </right>
      <top style="medium">
        <color indexed="64"/>
      </top>
      <bottom style="thin">
        <color theme="0"/>
      </bottom>
      <diagonal/>
    </border>
    <border>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medium">
        <color indexed="64"/>
      </top>
      <bottom style="medium">
        <color theme="0"/>
      </bottom>
      <diagonal/>
    </border>
    <border>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top/>
      <bottom style="thin">
        <color theme="0"/>
      </bottom>
      <diagonal/>
    </border>
    <border>
      <left/>
      <right style="medium">
        <color indexed="64"/>
      </right>
      <top/>
      <bottom style="thin">
        <color theme="0"/>
      </bottom>
      <diagonal/>
    </border>
    <border>
      <left style="thin">
        <color rgb="FF7030A0"/>
      </left>
      <right style="thin">
        <color rgb="FF7030A0"/>
      </right>
      <top style="thin">
        <color rgb="FF7030A0"/>
      </top>
      <bottom style="thin">
        <color rgb="FF7030A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rgb="FF0070C0"/>
      </left>
      <right style="thick">
        <color rgb="FF0070C0"/>
      </right>
      <top style="thick">
        <color rgb="FF0070C0"/>
      </top>
      <bottom style="thick">
        <color rgb="FF0070C0"/>
      </bottom>
      <diagonal/>
    </border>
    <border>
      <left/>
      <right style="thick">
        <color rgb="FF0070C0"/>
      </right>
      <top style="thin">
        <color theme="0"/>
      </top>
      <bottom style="thin">
        <color theme="0"/>
      </bottom>
      <diagonal/>
    </border>
  </borders>
  <cellStyleXfs count="7">
    <xf numFmtId="0" fontId="0" fillId="0" borderId="0"/>
    <xf numFmtId="43" fontId="1" fillId="0" borderId="0" applyFont="0" applyFill="0" applyBorder="0" applyAlignment="0" applyProtection="0"/>
    <xf numFmtId="0" fontId="3" fillId="0" borderId="0"/>
    <xf numFmtId="0" fontId="11" fillId="2" borderId="0" applyNumberFormat="0" applyBorder="0" applyAlignment="0" applyProtection="0"/>
    <xf numFmtId="0" fontId="12" fillId="3" borderId="0" applyNumberFormat="0" applyBorder="0" applyAlignment="0" applyProtection="0"/>
    <xf numFmtId="9" fontId="1" fillId="0" borderId="0" applyFont="0" applyFill="0" applyBorder="0" applyAlignment="0" applyProtection="0"/>
    <xf numFmtId="0" fontId="18" fillId="7" borderId="0" applyNumberFormat="0" applyBorder="0" applyAlignment="0" applyProtection="0"/>
  </cellStyleXfs>
  <cellXfs count="360">
    <xf numFmtId="0" fontId="0" fillId="0" borderId="0" xfId="0"/>
    <xf numFmtId="0" fontId="4" fillId="0" borderId="0" xfId="2" applyFont="1" applyAlignment="1">
      <alignment vertical="center"/>
    </xf>
    <xf numFmtId="0" fontId="4" fillId="0" borderId="0" xfId="2" applyFont="1" applyAlignment="1">
      <alignment horizontal="center" vertical="center"/>
    </xf>
    <xf numFmtId="0" fontId="4" fillId="0" borderId="0" xfId="2" applyFont="1" applyAlignment="1">
      <alignment vertical="center" wrapText="1"/>
    </xf>
    <xf numFmtId="0" fontId="4" fillId="0" borderId="0" xfId="2" applyFont="1" applyAlignment="1">
      <alignment horizontal="left" vertical="center"/>
    </xf>
    <xf numFmtId="0" fontId="4" fillId="0" borderId="0" xfId="2" applyFont="1" applyFill="1" applyBorder="1" applyAlignment="1">
      <alignment horizontal="center" vertical="center"/>
    </xf>
    <xf numFmtId="0" fontId="7" fillId="0" borderId="0" xfId="2" applyFont="1" applyAlignment="1">
      <alignment horizontal="left" vertical="center"/>
    </xf>
    <xf numFmtId="0" fontId="8" fillId="0" borderId="0" xfId="2"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horizontal="center" vertical="center"/>
    </xf>
    <xf numFmtId="0" fontId="0" fillId="0" borderId="0" xfId="0" applyFill="1" applyAlignment="1">
      <alignment horizontal="center" vertical="center" wrapText="1"/>
    </xf>
    <xf numFmtId="0" fontId="2" fillId="0" borderId="0" xfId="0" applyFont="1" applyAlignment="1">
      <alignment horizontal="center" vertical="center" wrapText="1"/>
    </xf>
    <xf numFmtId="3" fontId="0" fillId="0" borderId="0" xfId="1" applyNumberFormat="1" applyFont="1" applyAlignment="1">
      <alignment horizontal="center" vertical="center" wrapText="1"/>
    </xf>
    <xf numFmtId="164" fontId="0" fillId="0" borderId="0" xfId="0" applyNumberFormat="1" applyAlignment="1">
      <alignment horizontal="center" vertical="center" wrapText="1"/>
    </xf>
    <xf numFmtId="11" fontId="0" fillId="0" borderId="0" xfId="0" applyNumberFormat="1" applyAlignment="1">
      <alignment horizontal="center" vertical="center"/>
    </xf>
    <xf numFmtId="0" fontId="4" fillId="6" borderId="0" xfId="3" applyFont="1" applyFill="1"/>
    <xf numFmtId="0" fontId="4" fillId="6" borderId="0" xfId="3" applyFont="1" applyFill="1" applyAlignment="1">
      <alignment vertical="center" wrapText="1"/>
    </xf>
    <xf numFmtId="0" fontId="4" fillId="0" borderId="0" xfId="2" quotePrefix="1" applyFont="1" applyAlignment="1">
      <alignment vertical="center"/>
    </xf>
    <xf numFmtId="0" fontId="4" fillId="0" borderId="0" xfId="2" quotePrefix="1" applyFont="1" applyAlignment="1">
      <alignment horizontal="left" vertical="center"/>
    </xf>
    <xf numFmtId="0" fontId="21" fillId="0" borderId="0" xfId="2" quotePrefix="1" applyFont="1" applyAlignment="1">
      <alignment horizontal="center" vertical="center"/>
    </xf>
    <xf numFmtId="0" fontId="24" fillId="0" borderId="0" xfId="2" quotePrefix="1" applyFont="1" applyAlignment="1">
      <alignment horizontal="center" vertical="center"/>
    </xf>
    <xf numFmtId="0" fontId="25" fillId="0" borderId="0" xfId="2" quotePrefix="1" applyFont="1" applyAlignment="1">
      <alignment horizontal="center" vertical="center"/>
    </xf>
    <xf numFmtId="0" fontId="27" fillId="0" borderId="0" xfId="2" quotePrefix="1" applyFont="1" applyAlignment="1">
      <alignment horizontal="left" vertical="center"/>
    </xf>
    <xf numFmtId="9" fontId="4" fillId="0" borderId="0" xfId="2" applyNumberFormat="1" applyFont="1" applyAlignment="1">
      <alignment horizontal="center" vertical="center"/>
    </xf>
    <xf numFmtId="11" fontId="4" fillId="0" borderId="0" xfId="2" applyNumberFormat="1" applyFont="1" applyAlignment="1">
      <alignment horizontal="center" vertical="center"/>
    </xf>
    <xf numFmtId="0" fontId="25" fillId="0" borderId="0" xfId="2" quotePrefix="1" applyFont="1" applyAlignment="1">
      <alignment horizontal="left" vertical="center"/>
    </xf>
    <xf numFmtId="9" fontId="4" fillId="0" borderId="0" xfId="5" applyFont="1" applyAlignment="1">
      <alignment horizontal="center" vertical="center"/>
    </xf>
    <xf numFmtId="165" fontId="4" fillId="0" borderId="0" xfId="2" quotePrefix="1" applyNumberFormat="1" applyFont="1" applyAlignment="1">
      <alignment horizontal="center" vertical="center"/>
    </xf>
    <xf numFmtId="3" fontId="4" fillId="0" borderId="0" xfId="1" applyNumberFormat="1" applyFont="1" applyAlignment="1">
      <alignment horizontal="center" vertical="center"/>
    </xf>
    <xf numFmtId="166" fontId="4" fillId="0" borderId="0" xfId="2" applyNumberFormat="1" applyFont="1" applyAlignment="1">
      <alignment horizontal="center" vertical="center"/>
    </xf>
    <xf numFmtId="0" fontId="4" fillId="6" borderId="4" xfId="3" applyFont="1" applyFill="1" applyBorder="1" applyAlignment="1"/>
    <xf numFmtId="0" fontId="4" fillId="6" borderId="0" xfId="3" applyFont="1" applyFill="1" applyBorder="1" applyAlignment="1">
      <alignment wrapText="1"/>
    </xf>
    <xf numFmtId="0" fontId="13" fillId="0" borderId="7" xfId="0" applyFont="1" applyBorder="1" applyAlignment="1">
      <alignment horizontal="center" vertical="center" wrapText="1"/>
    </xf>
    <xf numFmtId="0" fontId="4" fillId="6" borderId="7" xfId="3" applyFont="1" applyFill="1" applyBorder="1" applyAlignment="1">
      <alignment wrapText="1"/>
    </xf>
    <xf numFmtId="0" fontId="10" fillId="11" borderId="0" xfId="0" applyFont="1" applyFill="1" applyAlignment="1">
      <alignment horizontal="center" vertical="center"/>
    </xf>
    <xf numFmtId="167" fontId="14" fillId="11" borderId="0" xfId="0" applyNumberFormat="1" applyFont="1" applyFill="1" applyAlignment="1">
      <alignment horizontal="center" vertical="center" wrapText="1"/>
    </xf>
    <xf numFmtId="0" fontId="4" fillId="0" borderId="0" xfId="2" applyFont="1" applyFill="1" applyAlignment="1">
      <alignment vertical="center"/>
    </xf>
    <xf numFmtId="0" fontId="18" fillId="7" borderId="0" xfId="6" applyAlignment="1">
      <alignment horizontal="center" vertical="center"/>
    </xf>
    <xf numFmtId="0" fontId="18" fillId="7" borderId="0" xfId="6" applyAlignment="1">
      <alignment vertical="center"/>
    </xf>
    <xf numFmtId="0" fontId="17" fillId="10" borderId="0" xfId="0" applyFont="1" applyFill="1" applyAlignment="1">
      <alignment horizontal="center" vertical="center"/>
    </xf>
    <xf numFmtId="0" fontId="17" fillId="10" borderId="0" xfId="0" applyFont="1" applyFill="1" applyAlignment="1">
      <alignment horizontal="center" vertical="center" wrapText="1"/>
    </xf>
    <xf numFmtId="11" fontId="17" fillId="10" borderId="0" xfId="0" applyNumberFormat="1" applyFont="1" applyFill="1" applyAlignment="1">
      <alignment horizontal="center" vertical="center"/>
    </xf>
    <xf numFmtId="0" fontId="30" fillId="10" borderId="0" xfId="2" applyFont="1" applyFill="1" applyAlignment="1">
      <alignment vertical="center"/>
    </xf>
    <xf numFmtId="0" fontId="1" fillId="3" borderId="0" xfId="4" applyFont="1" applyAlignment="1">
      <alignment horizontal="center" vertical="center"/>
    </xf>
    <xf numFmtId="0" fontId="2" fillId="3" borderId="0" xfId="4" applyFont="1" applyAlignment="1">
      <alignment horizontal="center" vertical="center" wrapText="1"/>
    </xf>
    <xf numFmtId="0" fontId="15" fillId="0" borderId="3" xfId="0" applyFont="1" applyBorder="1" applyAlignment="1">
      <alignment horizontal="center" vertical="center"/>
    </xf>
    <xf numFmtId="168" fontId="15" fillId="11" borderId="0" xfId="0" applyNumberFormat="1" applyFont="1" applyFill="1" applyAlignment="1">
      <alignment horizontal="center" vertical="center" wrapText="1"/>
    </xf>
    <xf numFmtId="165" fontId="15" fillId="11" borderId="0" xfId="0" applyNumberFormat="1" applyFont="1" applyFill="1" applyAlignment="1">
      <alignment horizontal="center" vertical="center" wrapText="1"/>
    </xf>
    <xf numFmtId="0" fontId="0" fillId="0" borderId="0" xfId="0" applyAlignment="1">
      <alignment horizontal="left" vertical="center"/>
    </xf>
    <xf numFmtId="0" fontId="13" fillId="4" borderId="0" xfId="0" applyFont="1" applyFill="1" applyAlignment="1">
      <alignment horizontal="center" vertical="center"/>
    </xf>
    <xf numFmtId="0" fontId="2" fillId="4" borderId="0" xfId="0" applyFont="1" applyFill="1" applyAlignment="1">
      <alignment horizontal="center" vertical="center" wrapText="1"/>
    </xf>
    <xf numFmtId="0" fontId="0" fillId="0" borderId="8" xfId="0" applyBorder="1"/>
    <xf numFmtId="0" fontId="0" fillId="0" borderId="8" xfId="0" applyBorder="1" applyAlignment="1">
      <alignment horizontal="left" vertical="center" wrapText="1"/>
    </xf>
    <xf numFmtId="0" fontId="31" fillId="0" borderId="8" xfId="0" applyFont="1" applyBorder="1" applyAlignment="1">
      <alignment horizontal="left" vertical="top"/>
    </xf>
    <xf numFmtId="0" fontId="32" fillId="0" borderId="8" xfId="0" applyFont="1" applyBorder="1" applyAlignment="1">
      <alignment horizontal="left" vertical="top"/>
    </xf>
    <xf numFmtId="0" fontId="14" fillId="0" borderId="8" xfId="0" applyFont="1" applyBorder="1" applyAlignment="1">
      <alignment vertical="center"/>
    </xf>
    <xf numFmtId="0" fontId="0" fillId="0" borderId="8" xfId="0" applyBorder="1" applyAlignment="1">
      <alignment vertical="center"/>
    </xf>
    <xf numFmtId="0" fontId="33" fillId="0" borderId="8" xfId="0" applyFont="1" applyBorder="1"/>
    <xf numFmtId="0" fontId="33" fillId="0" borderId="8" xfId="0" applyFont="1" applyBorder="1" applyAlignment="1">
      <alignment vertical="center"/>
    </xf>
    <xf numFmtId="0" fontId="2" fillId="0" borderId="8" xfId="0" applyFont="1" applyBorder="1" applyAlignment="1">
      <alignment horizontal="left" vertical="center" wrapText="1"/>
    </xf>
    <xf numFmtId="2" fontId="0" fillId="0" borderId="8" xfId="0" applyNumberFormat="1" applyFill="1" applyBorder="1" applyAlignment="1">
      <alignment horizontal="center" vertical="center"/>
    </xf>
    <xf numFmtId="3" fontId="14" fillId="11" borderId="8" xfId="0" applyNumberFormat="1" applyFont="1" applyFill="1" applyBorder="1" applyAlignment="1">
      <alignment horizontal="center" vertical="center" wrapText="1"/>
    </xf>
    <xf numFmtId="0" fontId="0" fillId="0" borderId="9" xfId="0" applyBorder="1"/>
    <xf numFmtId="0" fontId="0" fillId="0" borderId="9" xfId="0" applyBorder="1" applyAlignment="1">
      <alignment horizontal="left" vertical="center" wrapText="1"/>
    </xf>
    <xf numFmtId="0" fontId="33" fillId="0" borderId="10" xfId="0" applyFont="1" applyBorder="1"/>
    <xf numFmtId="0" fontId="0" fillId="0" borderId="10" xfId="0" applyBorder="1"/>
    <xf numFmtId="0" fontId="0" fillId="0" borderId="14" xfId="0" applyBorder="1"/>
    <xf numFmtId="0" fontId="14" fillId="0" borderId="14" xfId="0" applyFont="1" applyBorder="1" applyAlignment="1">
      <alignment vertical="center"/>
    </xf>
    <xf numFmtId="0" fontId="0" fillId="0" borderId="14" xfId="0" applyBorder="1" applyAlignment="1">
      <alignment vertical="center"/>
    </xf>
    <xf numFmtId="0" fontId="33" fillId="0" borderId="14" xfId="0" applyFont="1" applyBorder="1"/>
    <xf numFmtId="0" fontId="0" fillId="0" borderId="15" xfId="0" applyBorder="1"/>
    <xf numFmtId="0" fontId="0" fillId="0" borderId="16" xfId="0" applyBorder="1" applyAlignment="1">
      <alignment horizontal="left" vertical="center" wrapText="1"/>
    </xf>
    <xf numFmtId="0" fontId="0" fillId="0" borderId="16" xfId="0" applyBorder="1"/>
    <xf numFmtId="0" fontId="0" fillId="0" borderId="17" xfId="0" applyBorder="1"/>
    <xf numFmtId="0" fontId="0" fillId="0" borderId="18" xfId="0" applyBorder="1"/>
    <xf numFmtId="0" fontId="0" fillId="0" borderId="19" xfId="0" applyBorder="1"/>
    <xf numFmtId="0" fontId="14" fillId="0" borderId="19" xfId="0" applyFont="1" applyBorder="1" applyAlignment="1">
      <alignment vertical="center"/>
    </xf>
    <xf numFmtId="0" fontId="0" fillId="0" borderId="19" xfId="0" applyBorder="1" applyAlignment="1">
      <alignment vertical="center"/>
    </xf>
    <xf numFmtId="0" fontId="33" fillId="0" borderId="18" xfId="0" applyFont="1" applyBorder="1"/>
    <xf numFmtId="0" fontId="0" fillId="0" borderId="21" xfId="0" applyBorder="1"/>
    <xf numFmtId="0" fontId="0" fillId="0" borderId="12" xfId="0" applyBorder="1" applyAlignment="1">
      <alignment horizontal="left" vertical="center" wrapText="1"/>
    </xf>
    <xf numFmtId="0" fontId="0" fillId="0" borderId="12" xfId="0" applyBorder="1"/>
    <xf numFmtId="0" fontId="0" fillId="0" borderId="20" xfId="0" applyBorder="1"/>
    <xf numFmtId="0" fontId="0" fillId="0" borderId="18" xfId="0" applyBorder="1" applyAlignment="1">
      <alignment horizontal="center" vertical="center"/>
    </xf>
    <xf numFmtId="0" fontId="0" fillId="0" borderId="13" xfId="0" applyBorder="1" applyAlignment="1">
      <alignment horizontal="left" vertical="center" wrapText="1"/>
    </xf>
    <xf numFmtId="0" fontId="0" fillId="0" borderId="13" xfId="0" applyBorder="1"/>
    <xf numFmtId="0" fontId="0" fillId="0" borderId="13" xfId="0" applyBorder="1" applyAlignment="1">
      <alignment horizontal="center"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1" xfId="0" applyBorder="1"/>
    <xf numFmtId="0" fontId="0" fillId="0" borderId="22" xfId="0" applyBorder="1"/>
    <xf numFmtId="0" fontId="0" fillId="0" borderId="0" xfId="0" applyAlignment="1">
      <alignment horizontal="left" vertical="center" wrapText="1"/>
    </xf>
    <xf numFmtId="0" fontId="33" fillId="0" borderId="26" xfId="0" applyFont="1" applyBorder="1" applyAlignment="1">
      <alignment horizontal="center"/>
    </xf>
    <xf numFmtId="0" fontId="33" fillId="0" borderId="28" xfId="0" applyFont="1" applyBorder="1"/>
    <xf numFmtId="0" fontId="33" fillId="0" borderId="28" xfId="0" applyFont="1" applyBorder="1" applyAlignment="1">
      <alignment horizontal="left" vertical="center" wrapText="1"/>
    </xf>
    <xf numFmtId="0" fontId="33" fillId="0" borderId="30" xfId="0" applyFont="1" applyBorder="1"/>
    <xf numFmtId="0" fontId="0" fillId="0" borderId="23" xfId="0" applyBorder="1"/>
    <xf numFmtId="0" fontId="0" fillId="0" borderId="31" xfId="0" applyBorder="1"/>
    <xf numFmtId="0" fontId="2" fillId="0" borderId="25" xfId="0" applyFont="1" applyBorder="1" applyAlignment="1">
      <alignment horizontal="left" vertical="center" wrapText="1"/>
    </xf>
    <xf numFmtId="0" fontId="0" fillId="0" borderId="24" xfId="0" applyBorder="1"/>
    <xf numFmtId="11" fontId="4" fillId="0" borderId="0" xfId="2" applyNumberFormat="1" applyFont="1" applyAlignment="1">
      <alignment vertical="center"/>
    </xf>
    <xf numFmtId="168" fontId="4" fillId="0" borderId="0" xfId="5" applyNumberFormat="1" applyFont="1" applyAlignment="1">
      <alignment horizontal="center" vertical="center"/>
    </xf>
    <xf numFmtId="0" fontId="9" fillId="0" borderId="18" xfId="0" applyFont="1" applyBorder="1" applyAlignment="1">
      <alignment horizontal="center" vertical="center"/>
    </xf>
    <xf numFmtId="2" fontId="4" fillId="0" borderId="0" xfId="2" applyNumberFormat="1" applyFont="1" applyAlignment="1">
      <alignment vertical="center"/>
    </xf>
    <xf numFmtId="0" fontId="0" fillId="0" borderId="9" xfId="0" applyBorder="1" applyAlignment="1">
      <alignment vertical="center"/>
    </xf>
    <xf numFmtId="0" fontId="0" fillId="0" borderId="32" xfId="0" applyBorder="1" applyAlignment="1">
      <alignment vertical="center"/>
    </xf>
    <xf numFmtId="1" fontId="17" fillId="10" borderId="0" xfId="0" applyNumberFormat="1" applyFont="1" applyFill="1" applyAlignment="1">
      <alignment horizontal="center" vertical="center"/>
    </xf>
    <xf numFmtId="0" fontId="2" fillId="9" borderId="33" xfId="0" applyFont="1" applyFill="1" applyBorder="1" applyAlignment="1">
      <alignment horizontal="center" vertical="center"/>
    </xf>
    <xf numFmtId="0" fontId="16" fillId="0" borderId="9" xfId="0" applyFont="1" applyBorder="1" applyAlignment="1">
      <alignment vertical="center"/>
    </xf>
    <xf numFmtId="0" fontId="0" fillId="0" borderId="35" xfId="0" applyBorder="1"/>
    <xf numFmtId="0" fontId="0" fillId="0" borderId="36" xfId="0" applyBorder="1" applyAlignment="1">
      <alignment horizontal="center" vertical="center"/>
    </xf>
    <xf numFmtId="0" fontId="0" fillId="0" borderId="36" xfId="0" applyBorder="1"/>
    <xf numFmtId="0" fontId="0" fillId="0" borderId="36" xfId="0" applyBorder="1" applyAlignment="1">
      <alignment horizontal="center" vertical="center" wrapText="1"/>
    </xf>
    <xf numFmtId="165" fontId="0" fillId="0" borderId="36" xfId="0" applyNumberFormat="1" applyBorder="1" applyAlignment="1">
      <alignment horizontal="center" vertical="center"/>
    </xf>
    <xf numFmtId="0" fontId="0" fillId="0" borderId="37" xfId="0" applyBorder="1"/>
    <xf numFmtId="0" fontId="0" fillId="0" borderId="3" xfId="0" applyBorder="1"/>
    <xf numFmtId="0" fontId="0" fillId="0" borderId="4" xfId="0" applyBorder="1" applyAlignment="1">
      <alignment horizontal="left" vertical="center" wrapText="1"/>
    </xf>
    <xf numFmtId="0" fontId="31" fillId="0" borderId="4" xfId="0" applyFont="1" applyBorder="1" applyAlignment="1">
      <alignment horizontal="left" vertical="top"/>
    </xf>
    <xf numFmtId="0" fontId="0" fillId="0" borderId="4" xfId="0" applyBorder="1"/>
    <xf numFmtId="165"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1" xfId="0" applyBorder="1"/>
    <xf numFmtId="0" fontId="0" fillId="0" borderId="0" xfId="0" applyBorder="1"/>
    <xf numFmtId="0" fontId="0" fillId="0" borderId="5" xfId="0" applyBorder="1"/>
    <xf numFmtId="0" fontId="0" fillId="0" borderId="0" xfId="0" applyBorder="1" applyAlignment="1">
      <alignment horizontal="left" vertical="center" wrapText="1"/>
    </xf>
    <xf numFmtId="0" fontId="32" fillId="0" borderId="0" xfId="0" applyFont="1" applyBorder="1" applyAlignment="1">
      <alignment horizontal="left" vertical="top"/>
    </xf>
    <xf numFmtId="165"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38" xfId="0" applyBorder="1"/>
    <xf numFmtId="0" fontId="14" fillId="0" borderId="0" xfId="0" applyFont="1" applyBorder="1" applyAlignment="1">
      <alignment vertical="center"/>
    </xf>
    <xf numFmtId="0" fontId="0" fillId="0" borderId="0" xfId="0" applyBorder="1" applyAlignment="1">
      <alignment vertical="center"/>
    </xf>
    <xf numFmtId="0" fontId="0" fillId="0" borderId="39" xfId="0" applyBorder="1" applyAlignment="1">
      <alignment horizontal="center" vertical="center"/>
    </xf>
    <xf numFmtId="0" fontId="15" fillId="0" borderId="0" xfId="0" applyFont="1" applyBorder="1" applyAlignment="1">
      <alignment horizontal="right"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wrapText="1"/>
    </xf>
    <xf numFmtId="0" fontId="0" fillId="0" borderId="5" xfId="0" applyBorder="1" applyAlignment="1">
      <alignment horizontal="center" vertical="center" wrapText="1"/>
    </xf>
    <xf numFmtId="166" fontId="0" fillId="0" borderId="0" xfId="0" applyNumberFormat="1" applyBorder="1" applyAlignment="1">
      <alignment horizontal="center" vertical="center"/>
    </xf>
    <xf numFmtId="9" fontId="0" fillId="0" borderId="38" xfId="0" applyNumberFormat="1" applyBorder="1" applyAlignment="1">
      <alignment horizontal="center" vertical="center"/>
    </xf>
    <xf numFmtId="0" fontId="0" fillId="0" borderId="6" xfId="0" applyBorder="1" applyAlignment="1">
      <alignment horizontal="center" vertical="center"/>
    </xf>
    <xf numFmtId="9" fontId="0" fillId="0" borderId="2" xfId="0" applyNumberFormat="1" applyBorder="1" applyAlignment="1">
      <alignment horizontal="center" vertical="center"/>
    </xf>
    <xf numFmtId="0" fontId="0" fillId="0" borderId="9" xfId="0" applyFill="1" applyBorder="1"/>
    <xf numFmtId="0" fontId="0" fillId="0" borderId="9" xfId="0" applyFill="1" applyBorder="1" applyAlignment="1">
      <alignment vertical="center"/>
    </xf>
    <xf numFmtId="0" fontId="35" fillId="0" borderId="0" xfId="2" applyFont="1" applyFill="1" applyAlignment="1">
      <alignment horizontal="center" vertical="center"/>
    </xf>
    <xf numFmtId="0" fontId="4" fillId="0" borderId="0" xfId="2" applyFont="1" applyFill="1" applyAlignment="1">
      <alignment horizontal="center" vertical="center"/>
    </xf>
    <xf numFmtId="11" fontId="4" fillId="0" borderId="0" xfId="2" applyNumberFormat="1" applyFont="1" applyFill="1" applyAlignment="1">
      <alignment horizontal="center" vertical="center"/>
    </xf>
    <xf numFmtId="0" fontId="0" fillId="0" borderId="0" xfId="0" applyFill="1" applyAlignment="1">
      <alignment horizontal="left" vertical="center" wrapText="1"/>
    </xf>
    <xf numFmtId="3" fontId="14" fillId="0" borderId="25" xfId="0" applyNumberFormat="1" applyFont="1" applyBorder="1" applyAlignment="1">
      <alignment horizontal="center" vertical="center" wrapText="1"/>
    </xf>
    <xf numFmtId="0" fontId="0" fillId="0" borderId="0" xfId="0" applyFill="1" applyAlignment="1">
      <alignment horizontal="center" vertical="center"/>
    </xf>
    <xf numFmtId="0" fontId="4" fillId="0" borderId="0" xfId="2" quotePrefix="1" applyFont="1" applyAlignment="1">
      <alignment horizontal="center" vertical="center"/>
    </xf>
    <xf numFmtId="0" fontId="30" fillId="0" borderId="0" xfId="2" applyFont="1" applyAlignment="1">
      <alignment horizontal="center" vertical="center"/>
    </xf>
    <xf numFmtId="0" fontId="0" fillId="0" borderId="0" xfId="0" applyFont="1" applyAlignment="1">
      <alignment horizontal="center" vertical="center" wrapText="1"/>
    </xf>
    <xf numFmtId="0" fontId="2" fillId="0" borderId="0" xfId="0" applyFont="1" applyFill="1" applyAlignment="1">
      <alignment horizontal="center" vertical="center"/>
    </xf>
    <xf numFmtId="0" fontId="13" fillId="12" borderId="0" xfId="0" applyFont="1" applyFill="1" applyAlignment="1">
      <alignment horizontal="center" vertical="center" wrapText="1"/>
    </xf>
    <xf numFmtId="0" fontId="2" fillId="12" borderId="0" xfId="0" applyFont="1" applyFill="1" applyAlignment="1">
      <alignment horizontal="center" vertical="center" wrapText="1"/>
    </xf>
    <xf numFmtId="3" fontId="0" fillId="0" borderId="0" xfId="0" applyNumberFormat="1"/>
    <xf numFmtId="0" fontId="1" fillId="7" borderId="0" xfId="6" applyFont="1" applyBorder="1" applyAlignment="1">
      <alignment horizontal="center" vertical="center"/>
    </xf>
    <xf numFmtId="0" fontId="14" fillId="13" borderId="0" xfId="0" applyFont="1" applyFill="1" applyBorder="1" applyAlignment="1">
      <alignment horizontal="center" vertical="center" wrapText="1"/>
    </xf>
    <xf numFmtId="0" fontId="1" fillId="7" borderId="38" xfId="6" applyFont="1" applyBorder="1" applyAlignment="1">
      <alignment horizontal="center" vertical="center"/>
    </xf>
    <xf numFmtId="0" fontId="14" fillId="13" borderId="7" xfId="0" applyFont="1" applyFill="1" applyBorder="1" applyAlignment="1">
      <alignment horizontal="center" vertical="center" wrapText="1"/>
    </xf>
    <xf numFmtId="165" fontId="13" fillId="13" borderId="7" xfId="0" applyNumberFormat="1" applyFont="1" applyFill="1" applyBorder="1" applyAlignment="1">
      <alignment horizontal="center" vertical="center"/>
    </xf>
    <xf numFmtId="165" fontId="15" fillId="0" borderId="38" xfId="0" applyNumberFormat="1" applyFont="1" applyBorder="1" applyAlignment="1">
      <alignment horizontal="center" vertical="center"/>
    </xf>
    <xf numFmtId="0" fontId="0" fillId="0" borderId="6" xfId="0" applyBorder="1" applyAlignment="1">
      <alignment vertical="center"/>
    </xf>
    <xf numFmtId="0" fontId="15" fillId="0" borderId="38" xfId="0" applyFont="1" applyBorder="1" applyAlignment="1">
      <alignment horizontal="center" vertical="center"/>
    </xf>
    <xf numFmtId="0" fontId="0" fillId="0" borderId="7" xfId="0" applyBorder="1" applyAlignment="1">
      <alignment vertical="center"/>
    </xf>
    <xf numFmtId="0" fontId="0" fillId="0" borderId="30" xfId="0" applyBorder="1"/>
    <xf numFmtId="0" fontId="0" fillId="0" borderId="27" xfId="0" applyBorder="1" applyAlignment="1">
      <alignment vertical="center"/>
    </xf>
    <xf numFmtId="0" fontId="15" fillId="0" borderId="0" xfId="0" applyFont="1" applyAlignment="1">
      <alignment vertical="center"/>
    </xf>
    <xf numFmtId="0" fontId="30" fillId="0" borderId="0" xfId="2" applyFont="1" applyFill="1" applyAlignment="1">
      <alignment horizontal="center" vertical="center"/>
    </xf>
    <xf numFmtId="0" fontId="1" fillId="7" borderId="7" xfId="6" applyFont="1" applyBorder="1" applyAlignment="1">
      <alignment horizontal="center" vertical="center"/>
    </xf>
    <xf numFmtId="0" fontId="0" fillId="0" borderId="8" xfId="0" applyFill="1" applyBorder="1" applyAlignment="1">
      <alignment vertical="center"/>
    </xf>
    <xf numFmtId="0" fontId="0" fillId="0" borderId="9" xfId="0" applyFill="1" applyBorder="1" applyAlignment="1">
      <alignment horizontal="center" vertical="center"/>
    </xf>
    <xf numFmtId="166" fontId="0" fillId="0" borderId="9" xfId="0" applyNumberFormat="1" applyFill="1" applyBorder="1" applyAlignment="1">
      <alignment horizontal="center" vertical="center"/>
    </xf>
    <xf numFmtId="171" fontId="0" fillId="0" borderId="9" xfId="5" applyNumberFormat="1" applyFont="1" applyFill="1" applyBorder="1" applyAlignment="1">
      <alignment horizontal="center" vertical="center"/>
    </xf>
    <xf numFmtId="9" fontId="0" fillId="0" borderId="9" xfId="0" applyNumberFormat="1" applyFill="1" applyBorder="1" applyAlignment="1">
      <alignment horizontal="center" vertical="center"/>
    </xf>
    <xf numFmtId="0" fontId="1" fillId="0" borderId="9" xfId="6" applyFont="1" applyFill="1" applyBorder="1" applyAlignment="1">
      <alignment horizontal="center" vertical="center"/>
    </xf>
    <xf numFmtId="0" fontId="0" fillId="0" borderId="9" xfId="0" applyFill="1" applyBorder="1" applyAlignment="1">
      <alignment horizontal="center" vertical="center" wrapText="1"/>
    </xf>
    <xf numFmtId="0" fontId="48" fillId="0" borderId="37" xfId="0" applyFont="1" applyBorder="1"/>
    <xf numFmtId="0" fontId="48" fillId="0" borderId="4" xfId="0" applyFont="1" applyBorder="1"/>
    <xf numFmtId="0" fontId="48" fillId="0" borderId="4" xfId="0" applyFont="1" applyBorder="1" applyAlignment="1">
      <alignment horizontal="center" vertical="center"/>
    </xf>
    <xf numFmtId="0" fontId="48" fillId="0" borderId="1" xfId="0" applyFont="1" applyBorder="1" applyAlignment="1">
      <alignment horizontal="center" vertical="center"/>
    </xf>
    <xf numFmtId="0" fontId="48" fillId="7" borderId="1" xfId="6" applyFont="1" applyBorder="1" applyAlignment="1">
      <alignment horizontal="center" vertical="center"/>
    </xf>
    <xf numFmtId="0" fontId="48" fillId="0" borderId="0" xfId="0" applyFont="1" applyBorder="1"/>
    <xf numFmtId="0" fontId="48" fillId="7" borderId="4" xfId="6" applyFont="1" applyBorder="1" applyAlignment="1">
      <alignment horizontal="center" vertical="center"/>
    </xf>
    <xf numFmtId="0" fontId="0" fillId="0" borderId="46" xfId="0" applyBorder="1" applyAlignment="1">
      <alignment horizontal="center" vertical="center"/>
    </xf>
    <xf numFmtId="0" fontId="14" fillId="13" borderId="47" xfId="0" applyFont="1" applyFill="1" applyBorder="1" applyAlignment="1">
      <alignment horizontal="center" vertical="center" wrapText="1"/>
    </xf>
    <xf numFmtId="0" fontId="0" fillId="0" borderId="47" xfId="0" applyBorder="1" applyAlignment="1">
      <alignment horizontal="center" vertical="center"/>
    </xf>
    <xf numFmtId="0" fontId="0" fillId="0" borderId="47" xfId="0" applyBorder="1"/>
    <xf numFmtId="0" fontId="0" fillId="0" borderId="27" xfId="0" applyBorder="1" applyAlignment="1">
      <alignment horizontal="center" vertical="center"/>
    </xf>
    <xf numFmtId="0" fontId="0" fillId="0" borderId="8" xfId="0" applyBorder="1" applyAlignment="1">
      <alignment horizontal="center" vertical="center"/>
    </xf>
    <xf numFmtId="0" fontId="15" fillId="0" borderId="45" xfId="0" applyFont="1" applyBorder="1" applyAlignment="1">
      <alignment horizontal="center" vertical="center" wrapText="1"/>
    </xf>
    <xf numFmtId="0" fontId="0" fillId="0" borderId="48" xfId="0" applyBorder="1" applyAlignment="1">
      <alignment horizontal="center" vertical="center" wrapText="1"/>
    </xf>
    <xf numFmtId="0" fontId="48" fillId="0" borderId="49" xfId="0" applyFont="1" applyBorder="1"/>
    <xf numFmtId="0" fontId="15" fillId="0" borderId="22" xfId="0" applyFont="1" applyBorder="1" applyAlignment="1">
      <alignment horizontal="right" vertical="center"/>
    </xf>
    <xf numFmtId="0" fontId="48" fillId="0" borderId="40" xfId="0" applyFont="1" applyBorder="1" applyAlignment="1">
      <alignment horizontal="center" vertical="center"/>
    </xf>
    <xf numFmtId="0" fontId="0" fillId="0" borderId="12" xfId="0" applyBorder="1" applyAlignment="1">
      <alignment horizontal="center" vertical="center" wrapText="1"/>
    </xf>
    <xf numFmtId="0" fontId="0" fillId="0" borderId="50" xfId="0" applyBorder="1"/>
    <xf numFmtId="0" fontId="0" fillId="0" borderId="37" xfId="0" applyBorder="1" applyAlignment="1">
      <alignment vertical="center"/>
    </xf>
    <xf numFmtId="165" fontId="0" fillId="0" borderId="27" xfId="0" applyNumberFormat="1" applyBorder="1" applyAlignment="1">
      <alignment horizontal="center" vertical="center"/>
    </xf>
    <xf numFmtId="0" fontId="48" fillId="0" borderId="16" xfId="0" applyFont="1" applyBorder="1"/>
    <xf numFmtId="0" fontId="48" fillId="0" borderId="52" xfId="0" applyFont="1" applyBorder="1" applyAlignment="1">
      <alignment horizontal="center" vertical="center"/>
    </xf>
    <xf numFmtId="165" fontId="15" fillId="0" borderId="53" xfId="0" applyNumberFormat="1" applyFont="1" applyBorder="1" applyAlignment="1">
      <alignment horizontal="center" vertical="center"/>
    </xf>
    <xf numFmtId="0" fontId="0" fillId="0" borderId="54" xfId="0" applyBorder="1" applyAlignment="1">
      <alignment horizontal="center" vertical="center" wrapText="1"/>
    </xf>
    <xf numFmtId="0" fontId="0" fillId="0" borderId="37" xfId="0" applyBorder="1" applyAlignment="1">
      <alignment horizontal="left" vertical="center" wrapText="1"/>
    </xf>
    <xf numFmtId="0" fontId="0" fillId="0" borderId="46" xfId="0" applyBorder="1" applyAlignment="1">
      <alignment vertical="center"/>
    </xf>
    <xf numFmtId="0" fontId="48" fillId="0" borderId="40" xfId="0" applyFont="1" applyBorder="1"/>
    <xf numFmtId="0" fontId="48" fillId="0" borderId="56" xfId="0" applyFont="1" applyBorder="1"/>
    <xf numFmtId="0" fontId="48" fillId="0" borderId="57" xfId="0" applyFont="1"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169" fontId="2" fillId="5" borderId="8" xfId="0" applyNumberFormat="1" applyFont="1" applyFill="1" applyBorder="1" applyAlignment="1" applyProtection="1">
      <alignment horizontal="center" vertical="center"/>
      <protection hidden="1"/>
    </xf>
    <xf numFmtId="11" fontId="2" fillId="5" borderId="8" xfId="0" applyNumberFormat="1" applyFont="1" applyFill="1" applyBorder="1" applyAlignment="1">
      <alignment horizontal="center" vertical="center"/>
    </xf>
    <xf numFmtId="0" fontId="12" fillId="3" borderId="0" xfId="4" applyAlignment="1">
      <alignment horizontal="center" vertical="center"/>
    </xf>
    <xf numFmtId="0" fontId="5" fillId="0" borderId="0" xfId="2" applyFont="1" applyAlignment="1">
      <alignment horizontal="center" vertical="center"/>
    </xf>
    <xf numFmtId="0" fontId="36" fillId="0" borderId="18" xfId="0" applyFont="1" applyBorder="1" applyAlignment="1">
      <alignment horizontal="center" vertical="center"/>
    </xf>
    <xf numFmtId="0" fontId="33" fillId="0" borderId="27" xfId="0" applyFont="1" applyBorder="1" applyAlignment="1" applyProtection="1">
      <alignment horizontal="center"/>
      <protection locked="0"/>
    </xf>
    <xf numFmtId="0" fontId="2" fillId="8" borderId="8" xfId="0" applyFont="1" applyFill="1" applyBorder="1" applyAlignment="1" applyProtection="1">
      <alignment horizontal="center" vertical="center"/>
      <protection locked="0"/>
    </xf>
    <xf numFmtId="165" fontId="13" fillId="0" borderId="2" xfId="0" applyNumberFormat="1" applyFont="1" applyBorder="1" applyAlignment="1">
      <alignment horizontal="center" vertical="center"/>
    </xf>
    <xf numFmtId="0" fontId="13" fillId="0" borderId="2" xfId="0" applyFont="1" applyBorder="1" applyAlignment="1">
      <alignment horizontal="center" vertical="center"/>
    </xf>
    <xf numFmtId="11" fontId="4" fillId="0" borderId="0" xfId="2" applyNumberFormat="1" applyFont="1" applyAlignment="1">
      <alignment horizontal="center"/>
    </xf>
    <xf numFmtId="0" fontId="4" fillId="0" borderId="0" xfId="2" applyFont="1" applyAlignment="1">
      <alignment horizontal="center"/>
    </xf>
    <xf numFmtId="2" fontId="4" fillId="0" borderId="0" xfId="2" applyNumberFormat="1" applyFont="1" applyAlignment="1">
      <alignment horizontal="center"/>
    </xf>
    <xf numFmtId="0" fontId="13" fillId="4" borderId="0" xfId="0" applyFont="1" applyFill="1" applyAlignment="1">
      <alignment horizontal="left" vertical="center"/>
    </xf>
    <xf numFmtId="0" fontId="4" fillId="0" borderId="0" xfId="2" applyFont="1" applyFill="1" applyAlignment="1">
      <alignment horizontal="center"/>
    </xf>
    <xf numFmtId="169" fontId="0" fillId="0" borderId="0" xfId="0" applyNumberFormat="1" applyAlignment="1">
      <alignment horizontal="center"/>
    </xf>
    <xf numFmtId="0" fontId="4" fillId="0" borderId="0" xfId="4" applyFont="1" applyFill="1" applyAlignment="1">
      <alignment horizontal="center" vertical="center"/>
    </xf>
    <xf numFmtId="3" fontId="10" fillId="0" borderId="25" xfId="0" applyNumberFormat="1" applyFont="1" applyBorder="1" applyAlignment="1">
      <alignment horizontal="center" vertical="center" wrapText="1"/>
    </xf>
    <xf numFmtId="0" fontId="14" fillId="0" borderId="45" xfId="0" applyFont="1" applyBorder="1" applyAlignment="1">
      <alignment horizontal="left" vertical="center" wrapText="1"/>
    </xf>
    <xf numFmtId="0" fontId="0" fillId="0" borderId="12" xfId="0" applyBorder="1" applyAlignment="1">
      <alignment horizontal="center" vertical="center"/>
    </xf>
    <xf numFmtId="3" fontId="38" fillId="0" borderId="63" xfId="0" quotePrefix="1" applyNumberFormat="1" applyFont="1" applyBorder="1" applyAlignment="1">
      <alignment horizontal="center" vertical="center"/>
    </xf>
    <xf numFmtId="0" fontId="2" fillId="4" borderId="16" xfId="0" applyFont="1" applyFill="1" applyBorder="1" applyAlignment="1" applyProtection="1">
      <alignment horizontal="center" vertical="center" wrapText="1"/>
      <protection locked="0"/>
    </xf>
    <xf numFmtId="3" fontId="0" fillId="0" borderId="0" xfId="0" applyNumberFormat="1" applyAlignment="1">
      <alignment horizontal="center" vertical="center"/>
    </xf>
    <xf numFmtId="3" fontId="2" fillId="5" borderId="16" xfId="0" applyNumberFormat="1" applyFont="1" applyFill="1" applyBorder="1" applyAlignment="1">
      <alignment horizontal="center" vertical="center"/>
    </xf>
    <xf numFmtId="0" fontId="54" fillId="0" borderId="16" xfId="0" applyFont="1" applyBorder="1" applyAlignment="1">
      <alignment vertical="center" wrapText="1"/>
    </xf>
    <xf numFmtId="3" fontId="0" fillId="0" borderId="0" xfId="0" applyNumberFormat="1" applyAlignment="1">
      <alignment horizontal="center" vertical="center" wrapText="1"/>
    </xf>
    <xf numFmtId="0" fontId="2" fillId="0" borderId="25" xfId="0" applyFont="1" applyBorder="1" applyAlignment="1" applyProtection="1">
      <alignment horizontal="left" vertical="center" wrapText="1"/>
      <protection hidden="1"/>
    </xf>
    <xf numFmtId="3" fontId="53" fillId="0" borderId="25" xfId="0" applyNumberFormat="1" applyFont="1" applyBorder="1" applyAlignment="1" applyProtection="1">
      <alignment horizontal="center" vertical="center" wrapText="1"/>
      <protection hidden="1"/>
    </xf>
    <xf numFmtId="0" fontId="0" fillId="0" borderId="24" xfId="0" applyBorder="1" applyProtection="1">
      <protection hidden="1"/>
    </xf>
    <xf numFmtId="0" fontId="0" fillId="0" borderId="22" xfId="0" applyFill="1" applyBorder="1" applyProtection="1">
      <protection hidden="1"/>
    </xf>
    <xf numFmtId="0" fontId="0" fillId="0" borderId="11" xfId="0" applyFill="1" applyBorder="1" applyAlignment="1" applyProtection="1">
      <alignment vertical="center"/>
      <protection hidden="1"/>
    </xf>
    <xf numFmtId="0" fontId="0" fillId="0" borderId="9" xfId="0" applyFill="1" applyBorder="1" applyAlignment="1" applyProtection="1">
      <alignment vertical="center"/>
      <protection hidden="1"/>
    </xf>
    <xf numFmtId="0" fontId="0" fillId="9" borderId="10" xfId="0" applyFill="1" applyBorder="1" applyProtection="1">
      <protection hidden="1"/>
    </xf>
    <xf numFmtId="0" fontId="0" fillId="10" borderId="15" xfId="0" applyFill="1" applyBorder="1" applyAlignment="1" applyProtection="1">
      <alignment horizontal="center" vertical="center"/>
      <protection hidden="1"/>
    </xf>
    <xf numFmtId="0" fontId="0" fillId="10" borderId="16" xfId="0" applyFill="1" applyBorder="1" applyAlignment="1" applyProtection="1">
      <alignment horizontal="center" vertical="center"/>
      <protection hidden="1"/>
    </xf>
    <xf numFmtId="166" fontId="0" fillId="10" borderId="40" xfId="0" applyNumberFormat="1" applyFill="1" applyBorder="1" applyAlignment="1" applyProtection="1">
      <alignment horizontal="center" vertical="center" wrapText="1"/>
      <protection hidden="1"/>
    </xf>
    <xf numFmtId="171" fontId="0" fillId="10" borderId="40" xfId="5" applyNumberFormat="1" applyFont="1" applyFill="1" applyBorder="1" applyAlignment="1" applyProtection="1">
      <alignment horizontal="center" vertical="center" wrapText="1"/>
      <protection hidden="1"/>
    </xf>
    <xf numFmtId="9" fontId="0" fillId="10" borderId="16" xfId="0" applyNumberFormat="1" applyFill="1" applyBorder="1" applyAlignment="1" applyProtection="1">
      <alignment horizontal="center" vertical="center"/>
      <protection hidden="1"/>
    </xf>
    <xf numFmtId="0" fontId="1" fillId="10" borderId="16" xfId="6" applyFont="1" applyFill="1" applyBorder="1" applyAlignment="1" applyProtection="1">
      <alignment horizontal="center" vertical="center"/>
      <protection hidden="1"/>
    </xf>
    <xf numFmtId="0" fontId="0" fillId="10" borderId="16" xfId="0" applyFill="1" applyBorder="1" applyAlignment="1" applyProtection="1">
      <alignment horizontal="center" vertical="center" wrapText="1"/>
      <protection hidden="1"/>
    </xf>
    <xf numFmtId="0" fontId="0" fillId="10" borderId="40" xfId="0" applyFill="1" applyBorder="1" applyAlignment="1" applyProtection="1">
      <alignment horizontal="center" vertical="center" wrapText="1"/>
      <protection hidden="1"/>
    </xf>
    <xf numFmtId="9" fontId="0" fillId="10" borderId="17" xfId="0" applyNumberFormat="1" applyFill="1" applyBorder="1" applyAlignment="1" applyProtection="1">
      <alignment horizontal="center" vertical="center"/>
      <protection hidden="1"/>
    </xf>
    <xf numFmtId="0" fontId="0" fillId="9" borderId="14" xfId="0" applyFill="1" applyBorder="1" applyAlignment="1" applyProtection="1">
      <alignment vertical="center"/>
      <protection hidden="1"/>
    </xf>
    <xf numFmtId="0" fontId="0" fillId="9" borderId="8" xfId="0" applyFill="1" applyBorder="1" applyAlignment="1" applyProtection="1">
      <alignment vertical="center"/>
      <protection hidden="1"/>
    </xf>
    <xf numFmtId="0" fontId="0" fillId="10" borderId="18" xfId="0" applyFill="1" applyBorder="1" applyAlignment="1" applyProtection="1">
      <alignment horizontal="center" vertical="center"/>
      <protection hidden="1"/>
    </xf>
    <xf numFmtId="0" fontId="0" fillId="10" borderId="10" xfId="0" applyFill="1" applyBorder="1" applyAlignment="1" applyProtection="1">
      <alignment horizontal="center" vertical="center"/>
      <protection hidden="1"/>
    </xf>
    <xf numFmtId="165" fontId="0" fillId="10" borderId="61" xfId="0" applyNumberFormat="1" applyFill="1" applyBorder="1" applyAlignment="1" applyProtection="1">
      <alignment horizontal="center" vertical="center"/>
      <protection hidden="1"/>
    </xf>
    <xf numFmtId="165" fontId="0" fillId="10" borderId="41" xfId="0" applyNumberFormat="1" applyFill="1" applyBorder="1" applyAlignment="1" applyProtection="1">
      <alignment horizontal="center" vertical="center"/>
      <protection hidden="1"/>
    </xf>
    <xf numFmtId="9" fontId="0" fillId="10" borderId="14" xfId="0" applyNumberFormat="1" applyFill="1" applyBorder="1" applyAlignment="1" applyProtection="1">
      <alignment horizontal="center" vertical="center"/>
      <protection hidden="1"/>
    </xf>
    <xf numFmtId="0" fontId="1" fillId="10" borderId="8" xfId="6" applyFont="1" applyFill="1" applyBorder="1" applyAlignment="1" applyProtection="1">
      <alignment horizontal="center" vertical="center"/>
      <protection hidden="1"/>
    </xf>
    <xf numFmtId="9" fontId="0" fillId="10" borderId="19" xfId="0" applyNumberFormat="1" applyFill="1" applyBorder="1" applyAlignment="1" applyProtection="1">
      <alignment horizontal="center" vertical="center"/>
      <protection hidden="1"/>
    </xf>
    <xf numFmtId="0" fontId="0" fillId="0" borderId="10" xfId="0" applyBorder="1" applyProtection="1">
      <protection hidden="1"/>
    </xf>
    <xf numFmtId="0" fontId="0" fillId="10" borderId="10" xfId="0" applyFill="1" applyBorder="1" applyAlignment="1" applyProtection="1">
      <alignment horizontal="center"/>
      <protection hidden="1"/>
    </xf>
    <xf numFmtId="0" fontId="0" fillId="10" borderId="14" xfId="0" applyFill="1" applyBorder="1" applyAlignment="1" applyProtection="1">
      <alignment horizontal="center" vertical="center"/>
      <protection hidden="1"/>
    </xf>
    <xf numFmtId="0" fontId="0" fillId="10" borderId="8" xfId="0" applyFill="1" applyBorder="1" applyAlignment="1" applyProtection="1">
      <alignment horizontal="center" vertical="center"/>
      <protection hidden="1"/>
    </xf>
    <xf numFmtId="0" fontId="0" fillId="10" borderId="14" xfId="0" applyFill="1" applyBorder="1" applyAlignment="1" applyProtection="1">
      <alignment horizontal="center"/>
      <protection hidden="1"/>
    </xf>
    <xf numFmtId="0" fontId="0" fillId="10" borderId="19" xfId="0" applyFill="1" applyBorder="1" applyAlignment="1" applyProtection="1">
      <alignment horizontal="center"/>
      <protection hidden="1"/>
    </xf>
    <xf numFmtId="0" fontId="0" fillId="0" borderId="14" xfId="0" applyBorder="1" applyProtection="1">
      <protection hidden="1"/>
    </xf>
    <xf numFmtId="0" fontId="0" fillId="0" borderId="8" xfId="0" applyBorder="1" applyProtection="1">
      <protection hidden="1"/>
    </xf>
    <xf numFmtId="165" fontId="0" fillId="10" borderId="62" xfId="0" applyNumberFormat="1" applyFill="1" applyBorder="1" applyAlignment="1" applyProtection="1">
      <alignment horizontal="center" vertical="center"/>
      <protection hidden="1"/>
    </xf>
    <xf numFmtId="165" fontId="0" fillId="10" borderId="60" xfId="0" applyNumberFormat="1" applyFill="1" applyBorder="1" applyAlignment="1" applyProtection="1">
      <alignment horizontal="center" vertical="center"/>
      <protection hidden="1"/>
    </xf>
    <xf numFmtId="0" fontId="0" fillId="10" borderId="8" xfId="0" applyFill="1" applyBorder="1" applyAlignment="1" applyProtection="1">
      <alignment horizontal="center"/>
      <protection hidden="1"/>
    </xf>
    <xf numFmtId="0" fontId="0" fillId="9" borderId="14" xfId="0" applyFill="1" applyBorder="1" applyProtection="1">
      <protection hidden="1"/>
    </xf>
    <xf numFmtId="0" fontId="0" fillId="9" borderId="8" xfId="0" applyFill="1" applyBorder="1" applyProtection="1">
      <protection hidden="1"/>
    </xf>
    <xf numFmtId="0" fontId="0" fillId="10" borderId="21" xfId="0" applyFill="1" applyBorder="1" applyAlignment="1" applyProtection="1">
      <alignment horizontal="center" vertical="center"/>
      <protection hidden="1"/>
    </xf>
    <xf numFmtId="0" fontId="0" fillId="10" borderId="13" xfId="0" applyFill="1" applyBorder="1" applyAlignment="1" applyProtection="1">
      <alignment horizontal="center"/>
      <protection hidden="1"/>
    </xf>
    <xf numFmtId="0" fontId="0" fillId="10" borderId="12" xfId="0" applyFill="1" applyBorder="1" applyAlignment="1" applyProtection="1">
      <alignment horizontal="center"/>
      <protection hidden="1"/>
    </xf>
    <xf numFmtId="0" fontId="0" fillId="10" borderId="12" xfId="0" applyFill="1" applyBorder="1" applyAlignment="1" applyProtection="1">
      <alignment horizontal="center" vertical="center"/>
      <protection hidden="1"/>
    </xf>
    <xf numFmtId="0" fontId="0" fillId="10" borderId="13" xfId="0" applyFill="1" applyBorder="1" applyAlignment="1" applyProtection="1">
      <alignment horizontal="center" vertical="center"/>
      <protection hidden="1"/>
    </xf>
    <xf numFmtId="0" fontId="0" fillId="10" borderId="13" xfId="0" applyFill="1" applyBorder="1" applyAlignment="1" applyProtection="1">
      <alignment horizontal="center" vertical="center" wrapText="1"/>
      <protection hidden="1"/>
    </xf>
    <xf numFmtId="165" fontId="0" fillId="10" borderId="13" xfId="0" applyNumberFormat="1" applyFill="1" applyBorder="1" applyAlignment="1" applyProtection="1">
      <alignment horizontal="center" vertical="center"/>
      <protection hidden="1"/>
    </xf>
    <xf numFmtId="0" fontId="0" fillId="10" borderId="20" xfId="0" applyFill="1" applyBorder="1" applyAlignment="1" applyProtection="1">
      <alignment horizontal="center"/>
      <protection hidden="1"/>
    </xf>
    <xf numFmtId="0" fontId="0" fillId="0" borderId="9" xfId="0" applyBorder="1" applyAlignment="1" applyProtection="1">
      <alignment horizontal="center" vertical="center"/>
      <protection hidden="1"/>
    </xf>
    <xf numFmtId="0" fontId="0" fillId="0" borderId="9" xfId="0" applyBorder="1" applyProtection="1">
      <protection hidden="1"/>
    </xf>
    <xf numFmtId="0" fontId="0" fillId="0" borderId="9" xfId="0" applyBorder="1" applyAlignment="1" applyProtection="1">
      <alignment horizontal="center" vertical="center" wrapText="1"/>
      <protection hidden="1"/>
    </xf>
    <xf numFmtId="165" fontId="0" fillId="0" borderId="9" xfId="0" applyNumberForma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5" xfId="0" applyBorder="1" applyProtection="1">
      <protection hidden="1"/>
    </xf>
    <xf numFmtId="0" fontId="0" fillId="0" borderId="25" xfId="0" applyBorder="1" applyAlignment="1" applyProtection="1">
      <alignment horizontal="center" vertical="center" wrapText="1"/>
      <protection hidden="1"/>
    </xf>
    <xf numFmtId="165" fontId="0" fillId="0" borderId="25" xfId="0" applyNumberFormat="1" applyBorder="1" applyAlignment="1" applyProtection="1">
      <alignment horizontal="center" vertical="center"/>
      <protection hidden="1"/>
    </xf>
    <xf numFmtId="0" fontId="2" fillId="9" borderId="34" xfId="0" applyFont="1" applyFill="1" applyBorder="1" applyAlignment="1" applyProtection="1">
      <alignment horizontal="center" vertical="center"/>
    </xf>
    <xf numFmtId="0" fontId="16" fillId="0" borderId="9" xfId="0" applyFont="1" applyBorder="1" applyAlignment="1" applyProtection="1">
      <alignment vertical="center"/>
    </xf>
    <xf numFmtId="0" fontId="0" fillId="0" borderId="9" xfId="0" applyBorder="1" applyAlignment="1" applyProtection="1">
      <alignment vertical="center"/>
    </xf>
    <xf numFmtId="0" fontId="0" fillId="0" borderId="32" xfId="0" applyBorder="1" applyAlignment="1" applyProtection="1">
      <alignment vertical="center"/>
    </xf>
    <xf numFmtId="0" fontId="0" fillId="0" borderId="8" xfId="0" applyBorder="1" applyAlignment="1" applyProtection="1">
      <alignment horizontal="left" vertical="center" wrapText="1"/>
    </xf>
    <xf numFmtId="0" fontId="0" fillId="0" borderId="14" xfId="0" applyBorder="1" applyAlignment="1" applyProtection="1">
      <alignment horizontal="left" vertical="center" wrapText="1"/>
    </xf>
    <xf numFmtId="0" fontId="2" fillId="9" borderId="27" xfId="0" applyFont="1" applyFill="1" applyBorder="1" applyAlignment="1" applyProtection="1">
      <alignment horizontal="center" vertical="center"/>
    </xf>
    <xf numFmtId="0" fontId="0" fillId="0" borderId="8" xfId="0" applyBorder="1" applyProtection="1"/>
    <xf numFmtId="0" fontId="0" fillId="0" borderId="19" xfId="0" applyBorder="1" applyProtection="1"/>
    <xf numFmtId="0" fontId="2" fillId="0" borderId="8" xfId="0" applyFont="1" applyBorder="1" applyAlignment="1" applyProtection="1">
      <alignment horizontal="left" vertical="center" wrapText="1"/>
    </xf>
    <xf numFmtId="0" fontId="2" fillId="0" borderId="8"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48" fillId="0" borderId="8" xfId="0" applyFont="1" applyBorder="1" applyAlignment="1" applyProtection="1">
      <alignment horizontal="center" vertical="center" wrapText="1"/>
      <protection locked="0"/>
    </xf>
    <xf numFmtId="0" fontId="0" fillId="8" borderId="0" xfId="5" applyNumberFormat="1" applyFont="1" applyFill="1" applyBorder="1" applyAlignment="1" applyProtection="1">
      <alignment horizontal="center" vertical="center"/>
      <protection locked="0"/>
    </xf>
    <xf numFmtId="170" fontId="0" fillId="8" borderId="0" xfId="5" applyNumberFormat="1" applyFont="1" applyFill="1" applyBorder="1" applyAlignment="1" applyProtection="1">
      <alignment horizontal="center" vertical="center"/>
      <protection locked="0"/>
    </xf>
    <xf numFmtId="0" fontId="10" fillId="4" borderId="47" xfId="0" applyFont="1" applyFill="1" applyBorder="1" applyAlignment="1" applyProtection="1">
      <alignment horizontal="center" vertical="center" wrapText="1"/>
      <protection locked="0"/>
    </xf>
    <xf numFmtId="0" fontId="10" fillId="4" borderId="47" xfId="0" applyNumberFormat="1"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165" fontId="13" fillId="13" borderId="0" xfId="0" applyNumberFormat="1" applyFont="1" applyFill="1" applyBorder="1" applyAlignment="1" applyProtection="1">
      <alignment horizontal="center" vertical="center"/>
      <protection locked="0"/>
    </xf>
    <xf numFmtId="165" fontId="13" fillId="13" borderId="47" xfId="0" applyNumberFormat="1" applyFont="1" applyFill="1" applyBorder="1" applyAlignment="1" applyProtection="1">
      <alignment horizontal="center" vertical="center"/>
      <protection locked="0"/>
    </xf>
    <xf numFmtId="0" fontId="48" fillId="0" borderId="55" xfId="0" applyFont="1" applyFill="1" applyBorder="1" applyAlignment="1" applyProtection="1">
      <alignment horizontal="center" vertical="center"/>
      <protection locked="0" hidden="1"/>
    </xf>
    <xf numFmtId="0" fontId="48" fillId="0" borderId="51" xfId="0" applyFont="1" applyFill="1" applyBorder="1" applyAlignment="1" applyProtection="1">
      <alignment horizontal="center" vertical="center" wrapText="1"/>
      <protection locked="0" hidden="1"/>
    </xf>
    <xf numFmtId="0" fontId="48" fillId="0" borderId="3" xfId="0" applyFont="1" applyFill="1" applyBorder="1" applyAlignment="1" applyProtection="1">
      <alignment horizontal="center" vertical="center" wrapText="1"/>
      <protection locked="0" hidden="1"/>
    </xf>
    <xf numFmtId="0" fontId="2" fillId="9" borderId="27" xfId="0" applyFont="1" applyFill="1" applyBorder="1" applyAlignment="1" applyProtection="1">
      <alignment horizontal="center" vertical="center"/>
      <protection locked="0"/>
    </xf>
    <xf numFmtId="0" fontId="0" fillId="0" borderId="9" xfId="0" applyBorder="1" applyProtection="1">
      <protection locked="0"/>
    </xf>
    <xf numFmtId="0" fontId="0" fillId="0" borderId="8" xfId="0" applyBorder="1" applyProtection="1">
      <protection locked="0"/>
    </xf>
    <xf numFmtId="0" fontId="38" fillId="0" borderId="10" xfId="0" applyFont="1" applyBorder="1" applyAlignment="1">
      <alignment horizontal="left" vertical="center" wrapText="1"/>
    </xf>
    <xf numFmtId="0" fontId="38" fillId="0" borderId="64" xfId="0" applyFont="1"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16" fillId="0" borderId="10" xfId="0" applyFont="1" applyBorder="1" applyAlignment="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35" xfId="0" applyFont="1" applyBorder="1" applyAlignment="1">
      <alignment horizontal="left" vertical="center" wrapText="1"/>
    </xf>
    <xf numFmtId="0" fontId="2" fillId="0" borderId="45" xfId="0" applyFont="1" applyBorder="1" applyAlignment="1">
      <alignment horizontal="left" vertical="center" wrapText="1"/>
    </xf>
    <xf numFmtId="0" fontId="2" fillId="0" borderId="22" xfId="0" applyFont="1" applyBorder="1" applyAlignment="1">
      <alignment horizontal="left" vertical="center" wrapText="1"/>
    </xf>
    <xf numFmtId="0" fontId="2" fillId="0" borderId="11" xfId="0" applyFont="1" applyBorder="1" applyAlignment="1">
      <alignment horizontal="left" vertical="center" wrapText="1"/>
    </xf>
    <xf numFmtId="0" fontId="33" fillId="8" borderId="42" xfId="0" applyFont="1" applyFill="1" applyBorder="1" applyAlignment="1" applyProtection="1">
      <alignment horizontal="center"/>
      <protection locked="0"/>
    </xf>
    <xf numFmtId="0" fontId="33" fillId="8" borderId="43" xfId="0" applyFont="1" applyFill="1" applyBorder="1" applyAlignment="1" applyProtection="1">
      <alignment horizontal="center"/>
      <protection locked="0"/>
    </xf>
    <xf numFmtId="0" fontId="33" fillId="8" borderId="44" xfId="0" applyFont="1" applyFill="1" applyBorder="1" applyAlignment="1" applyProtection="1">
      <alignment horizontal="center"/>
      <protection locked="0"/>
    </xf>
    <xf numFmtId="0" fontId="14" fillId="0" borderId="8" xfId="0" applyFont="1" applyBorder="1" applyAlignment="1">
      <alignment horizontal="left" vertical="center" wrapText="1"/>
    </xf>
    <xf numFmtId="0" fontId="33" fillId="8" borderId="28" xfId="0" applyFont="1" applyFill="1" applyBorder="1" applyAlignment="1" applyProtection="1">
      <alignment horizontal="center"/>
      <protection locked="0"/>
    </xf>
    <xf numFmtId="0" fontId="33" fillId="8" borderId="29" xfId="0" applyFont="1" applyFill="1" applyBorder="1" applyAlignment="1" applyProtection="1">
      <alignment horizontal="center"/>
      <protection locked="0"/>
    </xf>
    <xf numFmtId="0" fontId="14" fillId="9" borderId="0" xfId="0" applyFont="1" applyFill="1" applyBorder="1" applyAlignment="1">
      <alignment horizontal="center" vertical="center"/>
    </xf>
    <xf numFmtId="0" fontId="14" fillId="9" borderId="38" xfId="0" applyFont="1" applyFill="1" applyBorder="1" applyAlignment="1">
      <alignment horizontal="center" vertical="center"/>
    </xf>
    <xf numFmtId="0" fontId="14" fillId="9" borderId="5"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38" fillId="0" borderId="7" xfId="0" applyFont="1" applyFill="1" applyBorder="1" applyAlignment="1" applyProtection="1">
      <alignment horizontal="center" vertical="center" wrapText="1"/>
      <protection hidden="1"/>
    </xf>
    <xf numFmtId="0" fontId="28" fillId="12" borderId="0" xfId="0" applyFont="1" applyFill="1" applyBorder="1" applyAlignment="1">
      <alignment horizontal="center" vertical="center" wrapText="1"/>
    </xf>
    <xf numFmtId="0" fontId="29" fillId="7" borderId="0" xfId="6" applyFont="1" applyAlignment="1">
      <alignment horizontal="left" vertic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4" xfId="0" applyFont="1" applyBorder="1" applyAlignment="1">
      <alignment horizontal="center" vertical="center"/>
    </xf>
  </cellXfs>
  <cellStyles count="7">
    <cellStyle name="Bad" xfId="3" builtinId="27"/>
    <cellStyle name="Comma" xfId="1" builtinId="3"/>
    <cellStyle name="Good" xfId="6" builtinId="26"/>
    <cellStyle name="Neutral" xfId="4" builtinId="28"/>
    <cellStyle name="Normal" xfId="0" builtinId="0"/>
    <cellStyle name="Normal 2" xfId="2" xr:uid="{00000000-0005-0000-0000-000005000000}"/>
    <cellStyle name="Percent" xfId="5" builtinId="5"/>
  </cellStyles>
  <dxfs count="28">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font>
      <fill>
        <patternFill>
          <bgColor theme="3" tint="0.59996337778862885"/>
        </patternFill>
      </fill>
    </dxf>
    <dxf>
      <font>
        <color theme="0"/>
      </font>
    </dxf>
    <dxf>
      <font>
        <b/>
        <i val="0"/>
      </font>
      <fill>
        <patternFill>
          <bgColor theme="3" tint="0.59996337778862885"/>
        </patternFill>
      </fill>
    </dxf>
    <dxf>
      <font>
        <color theme="0"/>
      </font>
    </dxf>
    <dxf>
      <font>
        <b/>
        <i val="0"/>
      </font>
      <fill>
        <patternFill>
          <bgColor theme="3" tint="0.59996337778862885"/>
        </patternFill>
      </fill>
    </dxf>
    <dxf>
      <font>
        <color theme="0"/>
      </font>
    </dxf>
    <dxf>
      <font>
        <color theme="0"/>
      </font>
      <fill>
        <patternFill>
          <bgColor theme="0"/>
        </patternFill>
      </fill>
    </dxf>
    <dxf>
      <font>
        <b/>
        <i val="0"/>
      </font>
      <fill>
        <patternFill>
          <bgColor theme="3" tint="0.59996337778862885"/>
        </patternFill>
      </fill>
    </dxf>
    <dxf>
      <font>
        <color theme="0"/>
      </font>
    </dxf>
    <dxf>
      <font>
        <b val="0"/>
        <i val="0"/>
        <strike/>
        <color theme="4" tint="-0.24994659260841701"/>
      </font>
      <fill>
        <patternFill>
          <bgColor theme="0"/>
        </patternFill>
      </fill>
    </dxf>
    <dxf>
      <font>
        <color theme="0" tint="-4.9989318521683403E-2"/>
      </font>
      <fill>
        <patternFill>
          <bgColor theme="0" tint="-4.9989318521683403E-2"/>
        </patternFill>
      </fill>
    </dxf>
    <dxf>
      <font>
        <b val="0"/>
        <i val="0"/>
        <strike/>
        <color theme="4" tint="-0.24994659260841701"/>
      </font>
      <fill>
        <patternFill>
          <bgColor theme="0"/>
        </patternFill>
      </fill>
    </dxf>
    <dxf>
      <font>
        <b val="0"/>
        <i val="0"/>
        <strike/>
        <color theme="4" tint="-0.24994659260841701"/>
      </font>
      <fill>
        <patternFill>
          <bgColor theme="0"/>
        </patternFill>
      </fill>
    </dxf>
    <dxf>
      <font>
        <b val="0"/>
        <i val="0"/>
        <strike/>
        <color theme="4" tint="-0.24994659260841701"/>
      </font>
      <fill>
        <patternFill>
          <bgColor theme="0"/>
        </patternFill>
      </fill>
    </dxf>
  </dxfs>
  <tableStyles count="0" defaultTableStyle="TableStyleMedium2" defaultPivotStyle="PivotStyleLight16"/>
  <colors>
    <mruColors>
      <color rgb="FF66FFFF"/>
      <color rgb="FFCCFFCC"/>
      <color rgb="FF8CFCFC"/>
      <color rgb="FFA1FFFD"/>
      <color rgb="FFDDFFFE"/>
      <color rgb="FFB5FFFD"/>
      <color rgb="FFFFFF99"/>
      <color rgb="FFCEF3FE"/>
      <color rgb="FFFF6600"/>
      <color rgb="FFDE8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6/relationships/vbaProject" Target="vbaProject.bin"/><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fmlaLink="'Grain Size Data Entry'!$I$7"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C18"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Grain Size Data Entry'!$B$7"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Grain Size Data Entry'!$N$7"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Grain Size Data Entry'!$S$7"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310583</xdr:colOff>
      <xdr:row>1</xdr:row>
      <xdr:rowOff>11906</xdr:rowOff>
    </xdr:from>
    <xdr:to>
      <xdr:col>21</xdr:col>
      <xdr:colOff>92869</xdr:colOff>
      <xdr:row>40</xdr:row>
      <xdr:rowOff>137160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0422323" y="202406"/>
          <a:ext cx="7097486" cy="11593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endParaRPr lang="en-US" sz="1200" b="1" u="sng">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1" i="0" u="sng"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Instructions for using the EPH Alternative Product Limit Concentration Calculator.</a:t>
          </a:r>
          <a:endPar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Use this calculator in accordance with the Department’s </a:t>
          </a:r>
          <a:r>
            <a:rPr kumimoji="0" lang="en-US" sz="1200" b="0" i="1"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Technical Guidance for Evaluation of Extractable Petroleum Hydrocarbons in Soil</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This calculator provides a tool for the investigator to calculate an AOC-specific alternative EPH product limit concentration. To use the calculator, the investigator must identity the petroleum product as listed in Table 2-1 at N.J.A.C. 7:26E-2.1(d) and have the laboratory report of the grain size distribution analyses. The investigator can input the effective diameter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reported by the laboratory, or the investigator can input the grain size distribution values and the calculator will generate the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value.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Complete the following actions:</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1.	Input the general information including the Site Name, PI number for the Site, AOC Name and AOC Number from the CID as applicable, and the investigator’s name in the corresponding blue fields.</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2.	To the right of "Type of Petroleum Product", click in the blue field, and then select the applicable petroleum product from the dropdown list (identical to Table 2-1 at N.J.A.C. 7:26E-2.1(d)).  If the petroleum product is Waste Oil with known source(s), select instead the source petroleum product from the dropdown list; or if the source petroleum product is not identified on the dropdown list or is unknown, select Unknown Petroleum Hydrocarbon.  This ensures the correct dynamic viscosity and density values are incorporated into the calculation.</a:t>
          </a: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Contact the Department if the petroleum product is MGP or Crude Oil.</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3.	Choose the selector button corresponding to the number of grain size samples that were analyzed.  The selection options are 3 and 4 samples.</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4.	In the blue fields to the right of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Sample Identification Name/Number</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input the Sample ID for each sample analyzed for grain size. </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5.	For each sample, click the radio button corresponding to source of the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value.  </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The default option is “Direct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input from lab report” when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has been calculated and reported by the laboratory.   If this option is chosen, click on the blue box: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COMPLETE GRAIN SIZE DATA SHEET</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which opens the sheet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Grain Size Data Entry</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Click in the gray field to the right of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Lab D</a:t>
          </a:r>
          <a:r>
            <a:rPr kumimoji="0" lang="en-US" sz="1200" b="1"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and enter the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value.  Do this for each sample.  When finished, click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Return to Summary.</a:t>
          </a:r>
          <a:endPar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If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is not provided by the laboratory, the investigator selects “Input sieve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data and determine through this calculator”.  Next, click on the blue box: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COMPLETE GRAIN SIZE DATA SHEET</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which opens the sheet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Grain Size Data Entry</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In the column titled "Grain Size from Sieve (mm of Sieve)", s</a:t>
          </a:r>
          <a:r>
            <a:rPr kumimoji="0" lang="en-US" sz="1200" b="0" i="0" u="none" strike="noStrike" kern="0" cap="none" spc="0" normalizeH="0" baseline="0" noProof="0">
              <a:ln>
                <a:noFill/>
              </a:ln>
              <a:solidFill>
                <a:prstClr val="black"/>
              </a:solidFill>
              <a:effectLst/>
              <a:uLnTx/>
              <a:uFillTx/>
              <a:latin typeface="+mn-lt"/>
              <a:ea typeface="+mn-ea"/>
              <a:cs typeface="+mn-cs"/>
            </a:rPr>
            <a:t>tarting at the </a:t>
          </a:r>
          <a:r>
            <a:rPr kumimoji="0" lang="en-US" sz="1200" b="0" i="0" u="sng" strike="noStrike" kern="0" cap="none" spc="0" normalizeH="0" baseline="0" noProof="0">
              <a:ln>
                <a:noFill/>
              </a:ln>
              <a:solidFill>
                <a:prstClr val="black"/>
              </a:solidFill>
              <a:effectLst/>
              <a:uLnTx/>
              <a:uFillTx/>
              <a:latin typeface="+mn-lt"/>
              <a:ea typeface="+mn-ea"/>
              <a:cs typeface="+mn-cs"/>
            </a:rPr>
            <a:t>bottom</a:t>
          </a:r>
          <a:r>
            <a:rPr kumimoji="0" lang="en-US" sz="1200" b="0" i="0" u="none" strike="noStrike" kern="0" cap="none" spc="0" normalizeH="0" baseline="0" noProof="0">
              <a:ln>
                <a:noFill/>
              </a:ln>
              <a:solidFill>
                <a:prstClr val="black"/>
              </a:solidFill>
              <a:effectLst/>
              <a:uLnTx/>
              <a:uFillTx/>
              <a:latin typeface="+mn-lt"/>
              <a:ea typeface="+mn-ea"/>
              <a:cs typeface="+mn-cs"/>
            </a:rPr>
            <a:t>, enter the corresponding sieve size in mm </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from </a:t>
          </a:r>
          <a:r>
            <a:rPr kumimoji="0" lang="en-US" sz="1200" b="0" i="0" u="sng"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finest upward to coarsest</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for each sieve size reported by the laboratory.  In the column directly to the right titled "Percent of soil mass passing through the sieve</a:t>
          </a:r>
          <a:r>
            <a:rPr kumimoji="0" lang="en-US" sz="1200" b="0" i="0" u="none" strike="noStrike" kern="0" cap="none" spc="0" normalizeH="0" baseline="0" noProof="0">
              <a:ln>
                <a:noFill/>
              </a:ln>
              <a:solidFill>
                <a:prstClr val="black"/>
              </a:solidFill>
              <a:effectLst/>
              <a:uLnTx/>
              <a:uFillTx/>
              <a:latin typeface="+mn-lt"/>
              <a:ea typeface="+mn-ea"/>
              <a:cs typeface="+mn-cs"/>
            </a:rPr>
            <a:t>", enter the percent passing corresponding to each sieve size.  T</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he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value for the sample is displayed in the gray field to the right of “Calc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Continue the data entry process for the remainder of the samples.  When finished, click: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Return to Summary</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6.	The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Summary Sheet</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displays the D</a:t>
          </a:r>
          <a:r>
            <a:rPr kumimoji="0" lang="en-US" sz="1200" b="0" i="0" u="none" strike="noStrike" kern="0" cap="none" spc="0" normalizeH="0" baseline="-25000" noProof="0">
              <a:ln>
                <a:noFill/>
              </a:ln>
              <a:solidFill>
                <a:prstClr val="black"/>
              </a:solidFill>
              <a:effectLst/>
              <a:uLnTx/>
              <a:uFillTx/>
              <a:latin typeface="+mn-lt"/>
              <a:ea typeface="Calibri" panose="020F0502020204030204" pitchFamily="34" charset="0"/>
              <a:cs typeface="Times New Roman" panose="02020603050405020304" pitchFamily="18" charset="0"/>
            </a:rPr>
            <a:t>10</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value for each sample and computes the intrinsic permeability (k), displaying both parameters below the corresponding sample in the green fields.</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7.	The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Calculated EPH Product Limit Concentration </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for each sample is displayed on Line 27.  If a </a:t>
          </a:r>
          <a:r>
            <a:rPr kumimoji="0" lang="en-US" sz="1200" b="0" i="0" u="none" strike="noStrike" kern="0" cap="none" spc="0" normalizeH="0" baseline="0" noProof="0">
              <a:ln>
                <a:noFill/>
              </a:ln>
              <a:solidFill>
                <a:prstClr val="black"/>
              </a:solidFill>
              <a:effectLst/>
              <a:uLnTx/>
              <a:uFillTx/>
              <a:latin typeface="+mn-lt"/>
              <a:ea typeface="+mn-ea"/>
              <a:cs typeface="+mn-cs"/>
            </a:rPr>
            <a:t>displayed</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a:t>
          </a:r>
          <a:r>
            <a:rPr kumimoji="0" lang="en-US" sz="1200" b="1" i="0" u="none" strike="noStrike" kern="0" cap="none" spc="0" normalizeH="0" baseline="0" noProof="0">
              <a:ln>
                <a:noFill/>
              </a:ln>
              <a:solidFill>
                <a:prstClr val="black"/>
              </a:solidFill>
              <a:effectLst/>
              <a:uLnTx/>
              <a:uFillTx/>
              <a:latin typeface="+mn-lt"/>
              <a:ea typeface="+mn-ea"/>
              <a:cs typeface="+mn-cs"/>
            </a:rPr>
            <a:t>Calculated EPH Product Limit Concentration </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has a strikethrough, then the concentration for that sample exceeds the 30,000 mg/kg EPH Ceiling Limit. </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8.	Line 29 provides the </a:t>
          </a:r>
          <a:r>
            <a:rPr kumimoji="0" lang="en-US" sz="1200" b="1" i="0" u="sng"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Alternative EPH Product Limit Concentration for Soil in this AOC</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(cell E29).  The concentration is the lesser of the median value for the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Calculated EPH Product Limit Concentrations</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from Line 27  -OR-  the 30,000 mg/kg EPH ceiling limit.</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9.	Save the spreadsheet with a unique file name and date within the project file.</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10.  Print the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Summary Sheet</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by selecting “</a:t>
          </a:r>
          <a:r>
            <a:rPr kumimoji="0" lang="en-US" sz="1200" b="1"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PRINT EPH Report</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  Return to the </a:t>
          </a:r>
          <a:r>
            <a:rPr kumimoji="0" lang="en-US" sz="1200" b="1" i="0" u="none" strike="noStrike" kern="0" cap="none" spc="0" normalizeH="0" baseline="0" noProof="0">
              <a:ln>
                <a:noFill/>
              </a:ln>
              <a:solidFill>
                <a:prstClr val="black"/>
              </a:solidFill>
              <a:effectLst/>
              <a:uLnTx/>
              <a:uFillTx/>
              <a:latin typeface="+mn-lt"/>
              <a:ea typeface="+mn-ea"/>
              <a:cs typeface="+mn-cs"/>
            </a:rPr>
            <a:t>Grain Size Data Entry </a:t>
          </a: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sheet and print it separately. </a:t>
          </a:r>
        </a:p>
        <a:p>
          <a:pPr marL="457200" marR="0" lvl="0" indent="-228600" defTabSz="914400" eaLnBrk="1" fontAlgn="auto" latinLnBrk="0" hangingPunct="1">
            <a:lnSpc>
              <a:spcPct val="107000"/>
            </a:lnSpc>
            <a:spcBef>
              <a:spcPts val="0"/>
            </a:spcBef>
            <a:spcAft>
              <a:spcPts val="80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11.  To run another set of samples or to calculate an Alternative EPH Product Limit Concentration for a second petroleum product stored/discharged at the AOC, click “RESET CALCULATOR” and return to Step 1.</a:t>
          </a:r>
        </a:p>
        <a:p>
          <a:pPr marL="0" marR="0">
            <a:lnSpc>
              <a:spcPct val="107000"/>
            </a:lnSpc>
            <a:spcBef>
              <a:spcPts val="0"/>
            </a:spcBef>
            <a:spcAft>
              <a:spcPts val="800"/>
            </a:spcAft>
          </a:pPr>
          <a:endParaRPr lang="en-US" sz="1200" b="1" u="sng">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xdr:col>
      <xdr:colOff>142874</xdr:colOff>
      <xdr:row>30</xdr:row>
      <xdr:rowOff>123825</xdr:rowOff>
    </xdr:from>
    <xdr:to>
      <xdr:col>9</xdr:col>
      <xdr:colOff>180974</xdr:colOff>
      <xdr:row>38</xdr:row>
      <xdr:rowOff>152400</xdr:rowOff>
    </xdr:to>
    <xdr:sp macro="" textlink="">
      <xdr:nvSpPr>
        <xdr:cNvPr id="2" name="Rounded Rectangle 1" descr="fae22b21-eaca-4260-ac08-f82332c056b0">
          <a:extLst>
            <a:ext uri="{FF2B5EF4-FFF2-40B4-BE49-F238E27FC236}">
              <a16:creationId xmlns:a16="http://schemas.microsoft.com/office/drawing/2014/main" id="{00000000-0008-0000-0000-000002000000}"/>
            </a:ext>
          </a:extLst>
        </xdr:cNvPr>
        <xdr:cNvSpPr/>
      </xdr:nvSpPr>
      <xdr:spPr>
        <a:xfrm>
          <a:off x="561974" y="9667875"/>
          <a:ext cx="9458325" cy="1514475"/>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240165</xdr:colOff>
      <xdr:row>32</xdr:row>
      <xdr:rowOff>131854</xdr:rowOff>
    </xdr:from>
    <xdr:to>
      <xdr:col>2</xdr:col>
      <xdr:colOff>2049371</xdr:colOff>
      <xdr:row>36</xdr:row>
      <xdr:rowOff>123145</xdr:rowOff>
    </xdr:to>
    <xdr:sp macro="[0]!PrintSummary" textlink="">
      <xdr:nvSpPr>
        <xdr:cNvPr id="3" name="Rectangle 2" descr="e239ff51-9987-4d32-9842-bbca2ec39424">
          <a:extLst>
            <a:ext uri="{FF2B5EF4-FFF2-40B4-BE49-F238E27FC236}">
              <a16:creationId xmlns:a16="http://schemas.microsoft.com/office/drawing/2014/main" id="{00000000-0008-0000-0000-000003000000}"/>
            </a:ext>
          </a:extLst>
        </xdr:cNvPr>
        <xdr:cNvSpPr/>
      </xdr:nvSpPr>
      <xdr:spPr>
        <a:xfrm>
          <a:off x="670471" y="10799854"/>
          <a:ext cx="2105041" cy="708467"/>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PRINT EPH Report</a:t>
          </a:r>
        </a:p>
      </xdr:txBody>
    </xdr:sp>
    <xdr:clientData/>
  </xdr:twoCellAnchor>
  <xdr:twoCellAnchor>
    <xdr:from>
      <xdr:col>3</xdr:col>
      <xdr:colOff>985916</xdr:colOff>
      <xdr:row>32</xdr:row>
      <xdr:rowOff>131854</xdr:rowOff>
    </xdr:from>
    <xdr:to>
      <xdr:col>5</xdr:col>
      <xdr:colOff>182551</xdr:colOff>
      <xdr:row>36</xdr:row>
      <xdr:rowOff>123145</xdr:rowOff>
    </xdr:to>
    <xdr:sp macro="[0]!resetdata" textlink="">
      <xdr:nvSpPr>
        <xdr:cNvPr id="5" name="Rectangle 4" descr="afc7d4bb-962d-4952-b31f-6b71b63c651b">
          <a:extLst>
            <a:ext uri="{FF2B5EF4-FFF2-40B4-BE49-F238E27FC236}">
              <a16:creationId xmlns:a16="http://schemas.microsoft.com/office/drawing/2014/main" id="{00000000-0008-0000-0000-000005000000}"/>
            </a:ext>
          </a:extLst>
        </xdr:cNvPr>
        <xdr:cNvSpPr/>
      </xdr:nvSpPr>
      <xdr:spPr>
        <a:xfrm>
          <a:off x="4168387" y="10799854"/>
          <a:ext cx="2101199" cy="708467"/>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600"/>
            <a:t>RESET CALCULATOR</a:t>
          </a:r>
        </a:p>
      </xdr:txBody>
    </xdr:sp>
    <xdr:clientData/>
  </xdr:twoCellAnchor>
  <xdr:twoCellAnchor>
    <xdr:from>
      <xdr:col>6</xdr:col>
      <xdr:colOff>427944</xdr:colOff>
      <xdr:row>32</xdr:row>
      <xdr:rowOff>131854</xdr:rowOff>
    </xdr:from>
    <xdr:to>
      <xdr:col>8</xdr:col>
      <xdr:colOff>223293</xdr:colOff>
      <xdr:row>36</xdr:row>
      <xdr:rowOff>123145</xdr:rowOff>
    </xdr:to>
    <xdr:sp macro="[0]!Instructions" textlink="">
      <xdr:nvSpPr>
        <xdr:cNvPr id="8" name="Rectangle 7" descr="e080dd22-ba38-4180-9a91-1b9b5afa4a17">
          <a:extLst>
            <a:ext uri="{FF2B5EF4-FFF2-40B4-BE49-F238E27FC236}">
              <a16:creationId xmlns:a16="http://schemas.microsoft.com/office/drawing/2014/main" id="{00000000-0008-0000-0000-000008000000}"/>
            </a:ext>
          </a:extLst>
        </xdr:cNvPr>
        <xdr:cNvSpPr/>
      </xdr:nvSpPr>
      <xdr:spPr>
        <a:xfrm>
          <a:off x="7662462" y="10799854"/>
          <a:ext cx="2090313" cy="708467"/>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n-US" sz="1600"/>
            <a:t>INSTRUCTIONS</a:t>
          </a:r>
        </a:p>
      </xdr:txBody>
    </xdr:sp>
    <xdr:clientData/>
  </xdr:twoCellAnchor>
  <xdr:twoCellAnchor editAs="oneCell">
    <xdr:from>
      <xdr:col>2</xdr:col>
      <xdr:colOff>99060</xdr:colOff>
      <xdr:row>2</xdr:row>
      <xdr:rowOff>53340</xdr:rowOff>
    </xdr:from>
    <xdr:to>
      <xdr:col>2</xdr:col>
      <xdr:colOff>1234440</xdr:colOff>
      <xdr:row>6</xdr:row>
      <xdr:rowOff>65728</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 y="236220"/>
          <a:ext cx="1135380" cy="1246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7620</xdr:colOff>
          <xdr:row>20</xdr:row>
          <xdr:rowOff>7620</xdr:rowOff>
        </xdr:from>
        <xdr:to>
          <xdr:col>4</xdr:col>
          <xdr:colOff>1318260</xdr:colOff>
          <xdr:row>22</xdr:row>
          <xdr:rowOff>60960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20</xdr:row>
          <xdr:rowOff>68580</xdr:rowOff>
        </xdr:from>
        <xdr:to>
          <xdr:col>4</xdr:col>
          <xdr:colOff>975360</xdr:colOff>
          <xdr:row>20</xdr:row>
          <xdr:rowOff>441960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Direct D10 input from lab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20</xdr:row>
          <xdr:rowOff>419100</xdr:rowOff>
        </xdr:from>
        <xdr:to>
          <xdr:col>4</xdr:col>
          <xdr:colOff>975360</xdr:colOff>
          <xdr:row>21</xdr:row>
          <xdr:rowOff>365760</xdr:rowOff>
        </xdr:to>
        <xdr:sp macro="" textlink="">
          <xdr:nvSpPr>
            <xdr:cNvPr id="1046" name="Option Button 22" descr="Input sieve d10 data and determine through this calculator."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Input sieve D10 data and determine through calculator.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20</xdr:row>
          <xdr:rowOff>7620</xdr:rowOff>
        </xdr:from>
        <xdr:to>
          <xdr:col>6</xdr:col>
          <xdr:colOff>1211580</xdr:colOff>
          <xdr:row>22</xdr:row>
          <xdr:rowOff>60960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xdr:colOff>
          <xdr:row>20</xdr:row>
          <xdr:rowOff>68580</xdr:rowOff>
        </xdr:from>
        <xdr:to>
          <xdr:col>6</xdr:col>
          <xdr:colOff>1005840</xdr:colOff>
          <xdr:row>20</xdr:row>
          <xdr:rowOff>434340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Direct D10 input from lab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20</xdr:row>
          <xdr:rowOff>411480</xdr:rowOff>
        </xdr:from>
        <xdr:to>
          <xdr:col>6</xdr:col>
          <xdr:colOff>1028700</xdr:colOff>
          <xdr:row>21</xdr:row>
          <xdr:rowOff>350520</xdr:rowOff>
        </xdr:to>
        <xdr:sp macro="" textlink="">
          <xdr:nvSpPr>
            <xdr:cNvPr id="1052" name="Option Button 28" descr="Input sieve d10 data and determine through this calculator."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Input sieve D10 data and determine through calculator.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20</xdr:row>
          <xdr:rowOff>7620</xdr:rowOff>
        </xdr:from>
        <xdr:to>
          <xdr:col>8</xdr:col>
          <xdr:colOff>0</xdr:colOff>
          <xdr:row>22</xdr:row>
          <xdr:rowOff>60960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68580</xdr:rowOff>
        </xdr:from>
        <xdr:to>
          <xdr:col>7</xdr:col>
          <xdr:colOff>982980</xdr:colOff>
          <xdr:row>20</xdr:row>
          <xdr:rowOff>441960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Direct D10 input from lab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20</xdr:row>
          <xdr:rowOff>419100</xdr:rowOff>
        </xdr:from>
        <xdr:to>
          <xdr:col>7</xdr:col>
          <xdr:colOff>982980</xdr:colOff>
          <xdr:row>21</xdr:row>
          <xdr:rowOff>365760</xdr:rowOff>
        </xdr:to>
        <xdr:sp macro="" textlink="">
          <xdr:nvSpPr>
            <xdr:cNvPr id="1055" name="Option Button 31" descr="Input sieve d10 data and determine through this calculator."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Input sieve D10 data and determine through calculator.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20</xdr:row>
          <xdr:rowOff>7620</xdr:rowOff>
        </xdr:from>
        <xdr:to>
          <xdr:col>6</xdr:col>
          <xdr:colOff>0</xdr:colOff>
          <xdr:row>22</xdr:row>
          <xdr:rowOff>60960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20</xdr:row>
          <xdr:rowOff>68580</xdr:rowOff>
        </xdr:from>
        <xdr:to>
          <xdr:col>5</xdr:col>
          <xdr:colOff>975360</xdr:colOff>
          <xdr:row>20</xdr:row>
          <xdr:rowOff>441960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Direct D10 input from lab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20</xdr:row>
          <xdr:rowOff>419100</xdr:rowOff>
        </xdr:from>
        <xdr:to>
          <xdr:col>5</xdr:col>
          <xdr:colOff>975360</xdr:colOff>
          <xdr:row>21</xdr:row>
          <xdr:rowOff>365760</xdr:rowOff>
        </xdr:to>
        <xdr:sp macro="" textlink="">
          <xdr:nvSpPr>
            <xdr:cNvPr id="1058" name="Option Button 34" descr="Input sieve d10 data and determine through this calculator."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Input sieve D10 data and determine through calculator.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xdr:colOff>
          <xdr:row>1</xdr:row>
          <xdr:rowOff>68580</xdr:rowOff>
        </xdr:from>
        <xdr:to>
          <xdr:col>20</xdr:col>
          <xdr:colOff>533400</xdr:colOff>
          <xdr:row>2</xdr:row>
          <xdr:rowOff>152400</xdr:rowOff>
        </xdr:to>
        <xdr:sp macro="" textlink="">
          <xdr:nvSpPr>
            <xdr:cNvPr id="1059" name="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200" b="0" i="0" u="none" strike="noStrike" baseline="0">
                  <a:solidFill>
                    <a:srgbClr val="000000"/>
                  </a:solidFill>
                  <a:latin typeface="Calibri"/>
                  <a:cs typeface="Calibri"/>
                </a:rPr>
                <a:t>Close Instructions</a:t>
              </a:r>
            </a:p>
          </xdr:txBody>
        </xdr:sp>
        <xdr:clientData fPrintsWithSheet="0"/>
      </xdr:twoCellAnchor>
    </mc:Choice>
    <mc:Fallback/>
  </mc:AlternateContent>
  <xdr:twoCellAnchor>
    <xdr:from>
      <xdr:col>2</xdr:col>
      <xdr:colOff>909320</xdr:colOff>
      <xdr:row>21</xdr:row>
      <xdr:rowOff>216746</xdr:rowOff>
    </xdr:from>
    <xdr:to>
      <xdr:col>3</xdr:col>
      <xdr:colOff>1076960</xdr:colOff>
      <xdr:row>22</xdr:row>
      <xdr:rowOff>209126</xdr:rowOff>
    </xdr:to>
    <xdr:sp macro="[0]!Grain__size_worksheet" textlink="">
      <xdr:nvSpPr>
        <xdr:cNvPr id="7" name="Rounded Rectangle 6">
          <a:extLst>
            <a:ext uri="{FF2B5EF4-FFF2-40B4-BE49-F238E27FC236}">
              <a16:creationId xmlns:a16="http://schemas.microsoft.com/office/drawing/2014/main" id="{00000000-0008-0000-0000-000007000000}"/>
            </a:ext>
          </a:extLst>
        </xdr:cNvPr>
        <xdr:cNvSpPr/>
      </xdr:nvSpPr>
      <xdr:spPr>
        <a:xfrm>
          <a:off x="1637453" y="5483013"/>
          <a:ext cx="2385907" cy="381846"/>
        </a:xfrm>
        <a:prstGeom prst="roundRect">
          <a:avLst/>
        </a:prstGeom>
        <a:solidFill>
          <a:srgbClr val="A1FFF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COMPLETE GRAIN SIZE DATA SHEET</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15</xdr:row>
          <xdr:rowOff>68580</xdr:rowOff>
        </xdr:from>
        <xdr:to>
          <xdr:col>7</xdr:col>
          <xdr:colOff>929640</xdr:colOff>
          <xdr:row>17</xdr:row>
          <xdr:rowOff>76200</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16</xdr:row>
          <xdr:rowOff>99060</xdr:rowOff>
        </xdr:from>
        <xdr:to>
          <xdr:col>5</xdr:col>
          <xdr:colOff>769620</xdr:colOff>
          <xdr:row>16</xdr:row>
          <xdr:rowOff>601980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3 Grain Size Samples were analyzed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1173480</xdr:colOff>
          <xdr:row>16</xdr:row>
          <xdr:rowOff>91440</xdr:rowOff>
        </xdr:from>
        <xdr:to>
          <xdr:col>7</xdr:col>
          <xdr:colOff>632460</xdr:colOff>
          <xdr:row>16</xdr:row>
          <xdr:rowOff>601980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4 Grain Size Samples were analyzed</a:t>
              </a:r>
            </a:p>
          </xdr:txBody>
        </xdr:sp>
        <xdr:clientData/>
      </xdr:twoCellAnchor>
    </mc:Choice>
    <mc:Fallback/>
  </mc:AlternateContent>
  <xdr:twoCellAnchor>
    <xdr:from>
      <xdr:col>9</xdr:col>
      <xdr:colOff>228804</xdr:colOff>
      <xdr:row>0</xdr:row>
      <xdr:rowOff>133092</xdr:rowOff>
    </xdr:from>
    <xdr:to>
      <xdr:col>21</xdr:col>
      <xdr:colOff>335484</xdr:colOff>
      <xdr:row>41</xdr:row>
      <xdr:rowOff>82732</xdr:rowOff>
    </xdr:to>
    <xdr:sp macro="" textlink="">
      <xdr:nvSpPr>
        <xdr:cNvPr id="6" name="Rectangle 5" descr="d2dc0965-e5b3-448a-bb08-cae531c3adaf">
          <a:extLst>
            <a:ext uri="{FF2B5EF4-FFF2-40B4-BE49-F238E27FC236}">
              <a16:creationId xmlns:a16="http://schemas.microsoft.com/office/drawing/2014/main" id="{00000000-0008-0000-0000-000006000000}"/>
            </a:ext>
          </a:extLst>
        </xdr:cNvPr>
        <xdr:cNvSpPr/>
      </xdr:nvSpPr>
      <xdr:spPr>
        <a:xfrm>
          <a:off x="11495518" y="133092"/>
          <a:ext cx="7421880" cy="117824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342900</xdr:colOff>
      <xdr:row>1</xdr:row>
      <xdr:rowOff>65315</xdr:rowOff>
    </xdr:from>
    <xdr:to>
      <xdr:col>21</xdr:col>
      <xdr:colOff>91440</xdr:colOff>
      <xdr:row>5</xdr:row>
      <xdr:rowOff>53340</xdr:rowOff>
    </xdr:to>
    <xdr:sp macro="" textlink="">
      <xdr:nvSpPr>
        <xdr:cNvPr id="2" name="Rounded Rectangle 1" descr="8c65b6d8-e841-4dab-8f87-f5d5e8647bc1">
          <a:extLst>
            <a:ext uri="{FF2B5EF4-FFF2-40B4-BE49-F238E27FC236}">
              <a16:creationId xmlns:a16="http://schemas.microsoft.com/office/drawing/2014/main" id="{00000000-0008-0000-0100-000002000000}"/>
            </a:ext>
          </a:extLst>
        </xdr:cNvPr>
        <xdr:cNvSpPr/>
      </xdr:nvSpPr>
      <xdr:spPr>
        <a:xfrm>
          <a:off x="15765780" y="255815"/>
          <a:ext cx="1988820" cy="925285"/>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76197</xdr:colOff>
      <xdr:row>1</xdr:row>
      <xdr:rowOff>130628</xdr:rowOff>
    </xdr:from>
    <xdr:to>
      <xdr:col>3</xdr:col>
      <xdr:colOff>10884</xdr:colOff>
      <xdr:row>4</xdr:row>
      <xdr:rowOff>118301</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797" y="326571"/>
          <a:ext cx="664030" cy="706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587828</xdr:colOff>
      <xdr:row>1</xdr:row>
      <xdr:rowOff>174171</xdr:rowOff>
    </xdr:from>
    <xdr:to>
      <xdr:col>20</xdr:col>
      <xdr:colOff>1001485</xdr:colOff>
      <xdr:row>4</xdr:row>
      <xdr:rowOff>143419</xdr:rowOff>
    </xdr:to>
    <xdr:sp macro="[0]!Return_to_Cover_sheet" textlink="">
      <xdr:nvSpPr>
        <xdr:cNvPr id="4" name="Rectangle 3" descr="270b8aae-1b78-4337-9dcc-5c41bbf6718b">
          <a:extLst>
            <a:ext uri="{FF2B5EF4-FFF2-40B4-BE49-F238E27FC236}">
              <a16:creationId xmlns:a16="http://schemas.microsoft.com/office/drawing/2014/main" id="{00000000-0008-0000-0100-000004000000}"/>
            </a:ext>
          </a:extLst>
        </xdr:cNvPr>
        <xdr:cNvSpPr/>
      </xdr:nvSpPr>
      <xdr:spPr>
        <a:xfrm>
          <a:off x="16010708" y="364671"/>
          <a:ext cx="1533797" cy="677908"/>
        </a:xfrm>
        <a:prstGeom prst="rect">
          <a:avLst/>
        </a:prstGeom>
        <a:solidFill>
          <a:srgbClr val="A1FFFD"/>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600" b="1">
              <a:solidFill>
                <a:schemeClr val="tx1"/>
              </a:solidFill>
            </a:rPr>
            <a:t>Return</a:t>
          </a:r>
          <a:r>
            <a:rPr lang="en-US" sz="1600" b="1" baseline="0">
              <a:solidFill>
                <a:schemeClr val="tx1"/>
              </a:solidFill>
            </a:rPr>
            <a:t> to Summary Sheet</a:t>
          </a:r>
          <a:endParaRPr lang="en-US" sz="1600" b="1">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ersey1\Shared\DAVE\EXCEL\ZIPPED%20FILES\SCHLAGE\SCHLAGE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srp\hsse-beera\$TPHCapCommittee\2012%20EPH\EPH%20Guidance\Equation\NJDEP%20EPH%20Indicator%20of%20Petroleum%20Product%20v02%2004-3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itu Oxidation"/>
      <sheetName val="services (2)"/>
      <sheetName val="Direct Costs"/>
      <sheetName val="Sparge Costs"/>
      <sheetName val="Cost Summary"/>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ittee Checklist &amp; Questions"/>
      <sheetName val="Summary Sheet"/>
      <sheetName val="Grain Size Data Entry"/>
      <sheetName val="Grain Size Graph"/>
      <sheetName val="Parameter Definition &amp; Calculat"/>
      <sheetName val="Look-up Tables"/>
      <sheetName val="Graphics Guidance"/>
      <sheetName val="NJDEP EPH Indicator of Petroleu"/>
    </sheetNames>
    <sheetDataSet>
      <sheetData sheetId="0" refreshError="1"/>
      <sheetData sheetId="1" refreshError="1"/>
      <sheetData sheetId="2" refreshError="1"/>
      <sheetData sheetId="3" refreshError="1"/>
      <sheetData sheetId="4" refreshError="1"/>
      <sheetData sheetId="5">
        <row r="3">
          <cell r="B3" t="str">
            <v>Fuel Oil No. 2</v>
          </cell>
        </row>
        <row r="4">
          <cell r="B4" t="str">
            <v>Diesel Fuel</v>
          </cell>
        </row>
        <row r="5">
          <cell r="B5" t="str">
            <v>Fuel Oil No. 4</v>
          </cell>
        </row>
        <row r="6">
          <cell r="B6" t="str">
            <v>Fuel Oil No. 6</v>
          </cell>
        </row>
        <row r="7">
          <cell r="B7" t="str">
            <v>Lubricating Oil</v>
          </cell>
        </row>
        <row r="8">
          <cell r="B8" t="str">
            <v>Waste Oil</v>
          </cell>
        </row>
        <row r="9">
          <cell r="B9" t="str">
            <v>Hydraulic Oil</v>
          </cell>
        </row>
        <row r="10">
          <cell r="B10" t="str">
            <v>Unknown Petroleum Hydrocarbons</v>
          </cell>
        </row>
        <row r="11">
          <cell r="B11" t="str">
            <v>Waste Vehicular Crankcase Oil</v>
          </cell>
        </row>
        <row r="12">
          <cell r="B12" t="str">
            <v>Mineral Oil</v>
          </cell>
        </row>
        <row r="13">
          <cell r="B13" t="str">
            <v>Dielectric Fluid</v>
          </cell>
        </row>
        <row r="14">
          <cell r="B14" t="str">
            <v>Dielectric Mineral Oil</v>
          </cell>
        </row>
        <row r="15">
          <cell r="B15" t="str">
            <v>Transformer Oil</v>
          </cell>
        </row>
        <row r="16">
          <cell r="B16" t="str">
            <v>Manufactured Gas Plant (MGP)</v>
          </cell>
        </row>
        <row r="21">
          <cell r="B21" t="str">
            <v>Sand</v>
          </cell>
        </row>
        <row r="22">
          <cell r="B22" t="str">
            <v>Sandy Loam</v>
          </cell>
        </row>
        <row r="23">
          <cell r="B23" t="str">
            <v>Sandy Silt Loam</v>
          </cell>
        </row>
        <row r="24">
          <cell r="B24" t="str">
            <v>Sandy Clay</v>
          </cell>
        </row>
        <row r="25">
          <cell r="B25" t="str">
            <v>Clay Loam</v>
          </cell>
        </row>
        <row r="26">
          <cell r="B26" t="str">
            <v>Sandy Clay Loam</v>
          </cell>
        </row>
        <row r="27">
          <cell r="B27" t="str">
            <v>Loamy Sand</v>
          </cell>
        </row>
        <row r="28">
          <cell r="B28" t="str">
            <v>Clay</v>
          </cell>
        </row>
        <row r="29">
          <cell r="B29" t="str">
            <v>Silty Clay</v>
          </cell>
        </row>
        <row r="30">
          <cell r="B30" t="str">
            <v>Silty Clay Loam</v>
          </cell>
        </row>
        <row r="31">
          <cell r="B31" t="str">
            <v>Loam</v>
          </cell>
        </row>
        <row r="32">
          <cell r="B32" t="str">
            <v>Silt Loam</v>
          </cell>
        </row>
        <row r="33">
          <cell r="B33" t="str">
            <v>Silt</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CFCFC"/>
    <pageSetUpPr fitToPage="1"/>
  </sheetPr>
  <dimension ref="A1:N134"/>
  <sheetViews>
    <sheetView tabSelected="1" zoomScaleNormal="100" zoomScalePageLayoutView="80" workbookViewId="0">
      <selection activeCell="D9" sqref="D9:E9"/>
    </sheetView>
  </sheetViews>
  <sheetFormatPr defaultColWidth="8.88671875" defaultRowHeight="14.4" x14ac:dyDescent="0.3"/>
  <cols>
    <col min="1" max="1" width="6.33203125" style="55" customWidth="1"/>
    <col min="2" max="2" width="4.33203125" style="55" customWidth="1"/>
    <col min="3" max="3" width="35.6640625" style="56" customWidth="1"/>
    <col min="4" max="4" width="36" style="55" customWidth="1"/>
    <col min="5" max="5" width="19.33203125" style="55" customWidth="1"/>
    <col min="6" max="6" width="18.21875" style="55" customWidth="1"/>
    <col min="7" max="7" width="17.77734375" style="55" customWidth="1"/>
    <col min="8" max="8" width="17.6640625" style="55" customWidth="1"/>
    <col min="9" max="16384" width="8.88671875" style="55"/>
  </cols>
  <sheetData>
    <row r="1" spans="1:14" ht="15" thickBot="1" x14ac:dyDescent="0.35">
      <c r="A1" s="69"/>
      <c r="B1" s="95"/>
      <c r="C1" s="67"/>
      <c r="D1" s="66"/>
      <c r="E1" s="66"/>
      <c r="F1" s="66"/>
      <c r="G1" s="66"/>
      <c r="H1" s="66"/>
      <c r="I1" s="96"/>
      <c r="J1" s="70"/>
    </row>
    <row r="2" spans="1:14" x14ac:dyDescent="0.3">
      <c r="A2" s="69"/>
      <c r="B2" s="74"/>
      <c r="C2" s="75"/>
      <c r="D2" s="76"/>
      <c r="E2" s="76"/>
      <c r="F2" s="76"/>
      <c r="G2" s="76"/>
      <c r="H2" s="76"/>
      <c r="I2" s="77"/>
      <c r="J2" s="70"/>
    </row>
    <row r="3" spans="1:14" ht="21" x14ac:dyDescent="0.3">
      <c r="A3" s="69"/>
      <c r="B3" s="78"/>
      <c r="D3" s="57" t="s">
        <v>84</v>
      </c>
      <c r="I3" s="79"/>
      <c r="J3" s="70"/>
    </row>
    <row r="4" spans="1:14" ht="20.399999999999999" x14ac:dyDescent="0.3">
      <c r="A4" s="69"/>
      <c r="B4" s="78"/>
      <c r="D4" s="58" t="s">
        <v>85</v>
      </c>
      <c r="I4" s="79"/>
      <c r="J4" s="70"/>
    </row>
    <row r="5" spans="1:14" x14ac:dyDescent="0.3">
      <c r="A5" s="69"/>
      <c r="B5" s="78"/>
      <c r="I5" s="79"/>
      <c r="J5" s="70"/>
    </row>
    <row r="6" spans="1:14" ht="41.4" customHeight="1" x14ac:dyDescent="0.3">
      <c r="A6" s="69"/>
      <c r="B6" s="78"/>
      <c r="D6" s="346" t="s">
        <v>222</v>
      </c>
      <c r="E6" s="346"/>
      <c r="F6" s="346"/>
      <c r="G6" s="346"/>
      <c r="H6" s="346"/>
      <c r="I6" s="80"/>
      <c r="J6" s="71"/>
      <c r="K6" s="59"/>
      <c r="L6" s="59"/>
      <c r="M6" s="59"/>
      <c r="N6" s="59"/>
    </row>
    <row r="7" spans="1:14" x14ac:dyDescent="0.3">
      <c r="A7" s="69"/>
      <c r="B7" s="78"/>
      <c r="D7" s="60" t="s">
        <v>236</v>
      </c>
      <c r="E7" s="60"/>
      <c r="F7" s="60"/>
      <c r="G7" s="60"/>
      <c r="H7" s="60"/>
      <c r="I7" s="81"/>
      <c r="J7" s="72"/>
      <c r="K7" s="60"/>
    </row>
    <row r="8" spans="1:14" ht="13.95" customHeight="1" x14ac:dyDescent="0.3">
      <c r="A8" s="69"/>
      <c r="B8" s="78"/>
      <c r="E8" s="60"/>
      <c r="F8" s="60"/>
      <c r="G8" s="60"/>
      <c r="H8" s="60"/>
      <c r="I8" s="81"/>
      <c r="J8" s="72"/>
      <c r="K8" s="60"/>
    </row>
    <row r="9" spans="1:14" s="61" customFormat="1" ht="23.4" customHeight="1" x14ac:dyDescent="0.35">
      <c r="A9" s="68"/>
      <c r="B9" s="82"/>
      <c r="C9" s="100" t="s">
        <v>86</v>
      </c>
      <c r="D9" s="347"/>
      <c r="E9" s="347"/>
      <c r="F9" s="99" t="s">
        <v>87</v>
      </c>
      <c r="G9" s="99"/>
      <c r="H9" s="347"/>
      <c r="I9" s="348"/>
      <c r="J9" s="73"/>
      <c r="K9" s="62"/>
    </row>
    <row r="10" spans="1:14" s="61" customFormat="1" ht="23.4" customHeight="1" x14ac:dyDescent="0.35">
      <c r="A10" s="68"/>
      <c r="B10" s="82"/>
      <c r="C10" s="100" t="s">
        <v>38</v>
      </c>
      <c r="D10" s="347"/>
      <c r="E10" s="347"/>
      <c r="F10" s="99" t="s">
        <v>116</v>
      </c>
      <c r="G10" s="99"/>
      <c r="H10" s="347"/>
      <c r="I10" s="348"/>
      <c r="J10" s="73"/>
      <c r="K10" s="62"/>
    </row>
    <row r="11" spans="1:14" s="61" customFormat="1" ht="23.4" customHeight="1" x14ac:dyDescent="0.35">
      <c r="A11" s="68"/>
      <c r="B11" s="101"/>
      <c r="C11" s="100" t="s">
        <v>104</v>
      </c>
      <c r="D11" s="343"/>
      <c r="E11" s="344"/>
      <c r="F11" s="344"/>
      <c r="G11" s="345"/>
      <c r="H11" s="227"/>
      <c r="I11" s="98"/>
      <c r="J11" s="73"/>
      <c r="K11" s="62"/>
    </row>
    <row r="12" spans="1:14" ht="15" thickBot="1" x14ac:dyDescent="0.35">
      <c r="A12" s="69"/>
      <c r="B12" s="83"/>
      <c r="C12" s="84"/>
      <c r="D12" s="85"/>
      <c r="E12" s="85"/>
      <c r="F12" s="85"/>
      <c r="G12" s="85"/>
      <c r="H12" s="85"/>
      <c r="I12" s="102"/>
      <c r="J12" s="95"/>
      <c r="K12" s="60"/>
    </row>
    <row r="13" spans="1:14" s="60" customFormat="1" ht="48" customHeight="1" x14ac:dyDescent="0.3">
      <c r="A13" s="91"/>
      <c r="B13" s="92"/>
      <c r="C13" s="75" t="s">
        <v>206</v>
      </c>
      <c r="D13" s="242"/>
      <c r="E13" s="93"/>
      <c r="F13" s="245" t="s">
        <v>224</v>
      </c>
      <c r="G13" s="244" t="e">
        <f>'Look-up Tables'!$L$3</f>
        <v>#N/A</v>
      </c>
      <c r="H13" s="93" t="s">
        <v>199</v>
      </c>
      <c r="I13" s="94"/>
      <c r="J13" s="72"/>
    </row>
    <row r="14" spans="1:14" s="60" customFormat="1" ht="21.6" customHeight="1" x14ac:dyDescent="0.3">
      <c r="A14" s="91"/>
      <c r="B14" s="87" t="s">
        <v>113</v>
      </c>
      <c r="C14" s="329" t="s">
        <v>95</v>
      </c>
      <c r="D14" s="330"/>
      <c r="E14" s="113" t="e">
        <f>'Look-up Tables'!$I$3</f>
        <v>#N/A</v>
      </c>
      <c r="F14" s="114" t="s">
        <v>42</v>
      </c>
      <c r="G14" s="110"/>
      <c r="H14" s="110"/>
      <c r="I14" s="111"/>
      <c r="J14" s="72"/>
    </row>
    <row r="15" spans="1:14" s="60" customFormat="1" ht="21.6" customHeight="1" x14ac:dyDescent="0.3">
      <c r="A15" s="91"/>
      <c r="B15" s="87" t="s">
        <v>106</v>
      </c>
      <c r="C15" s="333" t="s">
        <v>94</v>
      </c>
      <c r="D15" s="334"/>
      <c r="E15" s="301" t="e">
        <f>'Look-up Tables'!$J$3</f>
        <v>#N/A</v>
      </c>
      <c r="F15" s="302" t="s">
        <v>70</v>
      </c>
      <c r="G15" s="303"/>
      <c r="H15" s="303"/>
      <c r="I15" s="304"/>
      <c r="J15" s="72"/>
    </row>
    <row r="16" spans="1:14" s="60" customFormat="1" ht="9.6" customHeight="1" x14ac:dyDescent="0.3">
      <c r="A16" s="91"/>
      <c r="B16" s="87"/>
      <c r="C16" s="305"/>
      <c r="D16" s="306"/>
      <c r="E16" s="307"/>
      <c r="F16" s="302"/>
      <c r="G16" s="303"/>
      <c r="H16" s="303"/>
      <c r="I16" s="304"/>
      <c r="J16" s="72"/>
    </row>
    <row r="17" spans="1:11" s="60" customFormat="1" ht="58.2" customHeight="1" x14ac:dyDescent="0.3">
      <c r="A17" s="91"/>
      <c r="B17" s="87"/>
      <c r="C17" s="335" t="s">
        <v>232</v>
      </c>
      <c r="D17" s="336"/>
      <c r="E17" s="324">
        <v>8</v>
      </c>
      <c r="F17" s="302"/>
      <c r="G17" s="303"/>
      <c r="H17" s="303"/>
      <c r="I17" s="304"/>
      <c r="J17" s="72"/>
    </row>
    <row r="18" spans="1:11" ht="6.6" customHeight="1" x14ac:dyDescent="0.3">
      <c r="A18" s="69"/>
      <c r="B18" s="78"/>
      <c r="C18" s="313">
        <v>1</v>
      </c>
      <c r="D18" s="308"/>
      <c r="E18" s="325"/>
      <c r="F18" s="326"/>
      <c r="G18" s="326"/>
      <c r="H18" s="326"/>
      <c r="I18" s="309"/>
      <c r="J18" s="70"/>
      <c r="K18" s="60"/>
    </row>
    <row r="19" spans="1:11" ht="23.4" customHeight="1" x14ac:dyDescent="0.3">
      <c r="A19" s="69"/>
      <c r="B19" s="78"/>
      <c r="C19" s="310"/>
      <c r="D19" s="311"/>
      <c r="E19" s="312" t="s">
        <v>50</v>
      </c>
      <c r="F19" s="312" t="s">
        <v>51</v>
      </c>
      <c r="G19" s="312" t="s">
        <v>52</v>
      </c>
      <c r="H19" s="312" t="s">
        <v>53</v>
      </c>
      <c r="I19" s="309"/>
      <c r="J19" s="70"/>
      <c r="K19" s="60"/>
    </row>
    <row r="20" spans="1:11" ht="23.4" customHeight="1" x14ac:dyDescent="0.3">
      <c r="A20" s="69"/>
      <c r="B20" s="78"/>
      <c r="C20" s="337" t="s">
        <v>115</v>
      </c>
      <c r="D20" s="338"/>
      <c r="E20" s="228"/>
      <c r="F20" s="228"/>
      <c r="G20" s="228"/>
      <c r="H20" s="228"/>
      <c r="I20" s="79"/>
      <c r="J20" s="70"/>
      <c r="K20" s="60"/>
    </row>
    <row r="21" spans="1:11" ht="47.25" customHeight="1" x14ac:dyDescent="0.3">
      <c r="A21" s="69"/>
      <c r="B21" s="78"/>
      <c r="C21" s="339" t="s">
        <v>195</v>
      </c>
      <c r="D21" s="340"/>
      <c r="I21" s="79"/>
      <c r="J21" s="70"/>
      <c r="K21" s="60"/>
    </row>
    <row r="22" spans="1:11" ht="30.6" customHeight="1" x14ac:dyDescent="0.3">
      <c r="A22" s="69"/>
      <c r="B22" s="78"/>
      <c r="C22" s="341"/>
      <c r="D22" s="342"/>
      <c r="I22" s="79"/>
      <c r="J22" s="70"/>
      <c r="K22" s="60"/>
    </row>
    <row r="23" spans="1:11" ht="29.4" customHeight="1" x14ac:dyDescent="0.3">
      <c r="A23" s="69"/>
      <c r="B23" s="174"/>
      <c r="C23" s="63"/>
      <c r="D23" s="70"/>
      <c r="I23" s="79"/>
      <c r="J23" s="70"/>
      <c r="K23" s="60"/>
    </row>
    <row r="24" spans="1:11" ht="23.4" customHeight="1" x14ac:dyDescent="0.3">
      <c r="A24" s="69"/>
      <c r="B24" s="226" t="s">
        <v>196</v>
      </c>
      <c r="C24" s="331" t="s">
        <v>107</v>
      </c>
      <c r="D24" s="330"/>
      <c r="E24" s="222">
        <f>'Grain Size Data Entry'!$F$7</f>
        <v>0</v>
      </c>
      <c r="F24" s="222">
        <f>'Grain Size Data Entry'!L7</f>
        <v>0</v>
      </c>
      <c r="G24" s="222">
        <f>'Grain Size Data Entry'!Q7</f>
        <v>0</v>
      </c>
      <c r="H24" s="222">
        <f>'Grain Size Data Entry'!V7</f>
        <v>0</v>
      </c>
      <c r="I24" s="79"/>
      <c r="J24" s="70"/>
      <c r="K24" s="60"/>
    </row>
    <row r="25" spans="1:11" ht="23.4" customHeight="1" x14ac:dyDescent="0.3">
      <c r="A25" s="69"/>
      <c r="B25" s="87" t="s">
        <v>105</v>
      </c>
      <c r="C25" s="332" t="s">
        <v>197</v>
      </c>
      <c r="D25" s="330"/>
      <c r="E25" s="223">
        <f>'Parameter Definition &amp; Calculat'!$E$112</f>
        <v>1.0999553129688145E-11</v>
      </c>
      <c r="F25" s="223">
        <f>'Parameter Definition &amp; Calculat'!$I$112</f>
        <v>1.0999553129688145E-11</v>
      </c>
      <c r="G25" s="223">
        <f>'Parameter Definition &amp; Calculat'!$M$112</f>
        <v>1.0999553129688145E-11</v>
      </c>
      <c r="H25" s="223">
        <f>'Parameter Definition &amp; Calculat'!$Q$112</f>
        <v>1.0999553129688145E-11</v>
      </c>
      <c r="I25" s="79"/>
      <c r="J25" s="70"/>
      <c r="K25" s="60"/>
    </row>
    <row r="26" spans="1:11" ht="16.2" customHeight="1" x14ac:dyDescent="0.3">
      <c r="A26" s="69"/>
      <c r="B26" s="108"/>
      <c r="C26" s="329"/>
      <c r="D26" s="330"/>
      <c r="E26" s="64"/>
      <c r="F26" s="64"/>
      <c r="G26" s="64"/>
      <c r="H26" s="64"/>
      <c r="I26" s="79"/>
      <c r="J26" s="70"/>
      <c r="K26" s="60"/>
    </row>
    <row r="27" spans="1:11" ht="43.95" customHeight="1" x14ac:dyDescent="0.3">
      <c r="A27" s="69"/>
      <c r="B27" s="78"/>
      <c r="C27" s="63" t="s">
        <v>219</v>
      </c>
      <c r="D27" s="63" t="s">
        <v>234</v>
      </c>
      <c r="E27" s="65" t="e">
        <f>'Parameter Definition &amp; Calculat'!$D$90</f>
        <v>#N/A</v>
      </c>
      <c r="F27" s="65" t="e">
        <f>'Parameter Definition &amp; Calculat'!$H$90</f>
        <v>#N/A</v>
      </c>
      <c r="G27" s="65" t="e">
        <f>'Parameter Definition &amp; Calculat'!$L$90</f>
        <v>#N/A</v>
      </c>
      <c r="H27" s="65" t="e">
        <f>'Parameter Definition &amp; Calculat'!$P$90</f>
        <v>#N/A</v>
      </c>
      <c r="I27" s="79"/>
      <c r="J27" s="70"/>
      <c r="K27" s="60"/>
    </row>
    <row r="28" spans="1:11" ht="43.95" customHeight="1" thickBot="1" x14ac:dyDescent="0.35">
      <c r="A28" s="69"/>
      <c r="B28" s="103"/>
      <c r="C28" s="104" t="s">
        <v>228</v>
      </c>
      <c r="D28" s="104" t="s">
        <v>234</v>
      </c>
      <c r="E28" s="238" t="e">
        <f>'Look-up Tables'!$K$3</f>
        <v>#N/A</v>
      </c>
      <c r="F28" s="156" t="e">
        <f>'Look-up Tables'!$K$3</f>
        <v>#N/A</v>
      </c>
      <c r="G28" s="156" t="e">
        <f>'Look-up Tables'!$K$3</f>
        <v>#N/A</v>
      </c>
      <c r="H28" s="156" t="e">
        <f>'Look-up Tables'!$K$3</f>
        <v>#N/A</v>
      </c>
      <c r="I28" s="105"/>
      <c r="J28" s="70"/>
      <c r="K28" s="60"/>
    </row>
    <row r="29" spans="1:11" ht="51" customHeight="1" thickTop="1" thickBot="1" x14ac:dyDescent="0.35">
      <c r="A29" s="69"/>
      <c r="B29" s="103"/>
      <c r="C29" s="327" t="s">
        <v>233</v>
      </c>
      <c r="D29" s="328"/>
      <c r="E29" s="241" t="e">
        <f>IF(H29&gt;'Look-up Tables'!$K$3,'Look-up Tables'!$K$3,H29)</f>
        <v>#N/A</v>
      </c>
      <c r="F29" s="239" t="s">
        <v>199</v>
      </c>
      <c r="G29" s="247"/>
      <c r="H29" s="248" t="e">
        <f>IF($C$18=2,(MEDIAN($E$27,$F$27,$G$27,$H$27)),(MEDIAN($E$27,$F$27,$G$27)))</f>
        <v>#N/A</v>
      </c>
      <c r="I29" s="249"/>
      <c r="J29" s="70"/>
      <c r="K29" s="60"/>
    </row>
    <row r="30" spans="1:11" ht="15.6" thickTop="1" thickBot="1" x14ac:dyDescent="0.35">
      <c r="A30" s="69"/>
      <c r="B30" s="83"/>
      <c r="C30" s="88"/>
      <c r="D30" s="89"/>
      <c r="E30" s="240"/>
      <c r="F30" s="90"/>
      <c r="G30" s="90"/>
      <c r="H30" s="90"/>
      <c r="I30" s="86"/>
      <c r="J30" s="70"/>
      <c r="K30" s="60"/>
    </row>
    <row r="31" spans="1:11" x14ac:dyDescent="0.3">
      <c r="K31" s="60"/>
    </row>
    <row r="32" spans="1:11" ht="12" customHeight="1" x14ac:dyDescent="0.3">
      <c r="K32" s="60"/>
    </row>
    <row r="33" spans="11:11" x14ac:dyDescent="0.3">
      <c r="K33" s="60"/>
    </row>
    <row r="34" spans="11:11" x14ac:dyDescent="0.3">
      <c r="K34" s="60"/>
    </row>
    <row r="35" spans="11:11" x14ac:dyDescent="0.3">
      <c r="K35" s="60"/>
    </row>
    <row r="36" spans="11:11" x14ac:dyDescent="0.3">
      <c r="K36" s="60"/>
    </row>
    <row r="37" spans="11:11" x14ac:dyDescent="0.3">
      <c r="K37" s="60"/>
    </row>
    <row r="38" spans="11:11" x14ac:dyDescent="0.3">
      <c r="K38" s="60"/>
    </row>
    <row r="39" spans="11:11" x14ac:dyDescent="0.3">
      <c r="K39" s="60"/>
    </row>
    <row r="40" spans="11:11" x14ac:dyDescent="0.3">
      <c r="K40" s="60"/>
    </row>
    <row r="41" spans="11:11" ht="12" customHeight="1" x14ac:dyDescent="0.3">
      <c r="K41" s="60"/>
    </row>
    <row r="42" spans="11:11" x14ac:dyDescent="0.3">
      <c r="K42" s="60"/>
    </row>
    <row r="43" spans="11:11" x14ac:dyDescent="0.3">
      <c r="K43" s="60"/>
    </row>
    <row r="44" spans="11:11" x14ac:dyDescent="0.3">
      <c r="K44" s="60"/>
    </row>
    <row r="45" spans="11:11" x14ac:dyDescent="0.3">
      <c r="K45" s="60"/>
    </row>
    <row r="46" spans="11:11" x14ac:dyDescent="0.3">
      <c r="K46" s="60"/>
    </row>
    <row r="47" spans="11:11" x14ac:dyDescent="0.3">
      <c r="K47" s="60"/>
    </row>
    <row r="48" spans="11:11" x14ac:dyDescent="0.3">
      <c r="K48" s="60"/>
    </row>
    <row r="49" spans="11:11" x14ac:dyDescent="0.3">
      <c r="K49" s="60"/>
    </row>
    <row r="50" spans="11:11" x14ac:dyDescent="0.3">
      <c r="K50" s="60"/>
    </row>
    <row r="51" spans="11:11" x14ac:dyDescent="0.3">
      <c r="K51" s="60"/>
    </row>
    <row r="52" spans="11:11" x14ac:dyDescent="0.3">
      <c r="K52" s="60"/>
    </row>
    <row r="53" spans="11:11" x14ac:dyDescent="0.3">
      <c r="K53" s="60"/>
    </row>
    <row r="54" spans="11:11" x14ac:dyDescent="0.3">
      <c r="K54" s="60"/>
    </row>
    <row r="55" spans="11:11" x14ac:dyDescent="0.3">
      <c r="K55" s="60"/>
    </row>
    <row r="56" spans="11:11" x14ac:dyDescent="0.3">
      <c r="K56" s="60"/>
    </row>
    <row r="57" spans="11:11" x14ac:dyDescent="0.3">
      <c r="K57" s="60"/>
    </row>
    <row r="58" spans="11:11" x14ac:dyDescent="0.3">
      <c r="K58" s="60"/>
    </row>
    <row r="59" spans="11:11" x14ac:dyDescent="0.3">
      <c r="K59" s="60"/>
    </row>
    <row r="60" spans="11:11" x14ac:dyDescent="0.3">
      <c r="K60" s="60"/>
    </row>
    <row r="61" spans="11:11" x14ac:dyDescent="0.3">
      <c r="K61" s="60"/>
    </row>
    <row r="62" spans="11:11" x14ac:dyDescent="0.3">
      <c r="K62" s="60"/>
    </row>
    <row r="63" spans="11:11" x14ac:dyDescent="0.3">
      <c r="K63" s="60"/>
    </row>
    <row r="64" spans="11:11" x14ac:dyDescent="0.3">
      <c r="K64" s="60"/>
    </row>
    <row r="65" spans="11:11" x14ac:dyDescent="0.3">
      <c r="K65" s="60"/>
    </row>
    <row r="66" spans="11:11" x14ac:dyDescent="0.3">
      <c r="K66" s="60"/>
    </row>
    <row r="67" spans="11:11" x14ac:dyDescent="0.3">
      <c r="K67" s="60"/>
    </row>
    <row r="68" spans="11:11" x14ac:dyDescent="0.3">
      <c r="K68" s="60"/>
    </row>
    <row r="69" spans="11:11" x14ac:dyDescent="0.3">
      <c r="K69" s="60"/>
    </row>
    <row r="70" spans="11:11" x14ac:dyDescent="0.3">
      <c r="K70" s="60"/>
    </row>
    <row r="71" spans="11:11" x14ac:dyDescent="0.3">
      <c r="K71" s="60"/>
    </row>
    <row r="72" spans="11:11" x14ac:dyDescent="0.3">
      <c r="K72" s="60"/>
    </row>
    <row r="73" spans="11:11" x14ac:dyDescent="0.3">
      <c r="K73" s="60"/>
    </row>
    <row r="74" spans="11:11" x14ac:dyDescent="0.3">
      <c r="K74" s="60"/>
    </row>
    <row r="75" spans="11:11" x14ac:dyDescent="0.3">
      <c r="K75" s="60"/>
    </row>
    <row r="76" spans="11:11" x14ac:dyDescent="0.3">
      <c r="K76" s="60"/>
    </row>
    <row r="77" spans="11:11" x14ac:dyDescent="0.3">
      <c r="K77" s="60"/>
    </row>
    <row r="78" spans="11:11" x14ac:dyDescent="0.3">
      <c r="K78" s="60"/>
    </row>
    <row r="79" spans="11:11" x14ac:dyDescent="0.3">
      <c r="K79" s="60"/>
    </row>
    <row r="80" spans="11:11" x14ac:dyDescent="0.3">
      <c r="K80" s="60"/>
    </row>
    <row r="81" spans="11:11" x14ac:dyDescent="0.3">
      <c r="K81" s="60"/>
    </row>
    <row r="82" spans="11:11" x14ac:dyDescent="0.3">
      <c r="K82" s="60"/>
    </row>
    <row r="83" spans="11:11" x14ac:dyDescent="0.3">
      <c r="K83" s="60"/>
    </row>
    <row r="84" spans="11:11" x14ac:dyDescent="0.3">
      <c r="K84" s="60"/>
    </row>
    <row r="85" spans="11:11" x14ac:dyDescent="0.3">
      <c r="K85" s="60"/>
    </row>
    <row r="86" spans="11:11" x14ac:dyDescent="0.3">
      <c r="K86" s="60"/>
    </row>
    <row r="87" spans="11:11" x14ac:dyDescent="0.3">
      <c r="K87" s="60"/>
    </row>
    <row r="88" spans="11:11" x14ac:dyDescent="0.3">
      <c r="K88" s="60"/>
    </row>
    <row r="89" spans="11:11" x14ac:dyDescent="0.3">
      <c r="K89" s="60"/>
    </row>
    <row r="90" spans="11:11" x14ac:dyDescent="0.3">
      <c r="K90" s="60"/>
    </row>
    <row r="91" spans="11:11" x14ac:dyDescent="0.3">
      <c r="K91" s="60"/>
    </row>
    <row r="92" spans="11:11" x14ac:dyDescent="0.3">
      <c r="K92" s="60"/>
    </row>
    <row r="93" spans="11:11" x14ac:dyDescent="0.3">
      <c r="K93" s="60"/>
    </row>
    <row r="94" spans="11:11" x14ac:dyDescent="0.3">
      <c r="K94" s="60"/>
    </row>
    <row r="95" spans="11:11" x14ac:dyDescent="0.3">
      <c r="K95" s="60"/>
    </row>
    <row r="96" spans="11:11" x14ac:dyDescent="0.3">
      <c r="K96" s="60"/>
    </row>
    <row r="97" spans="11:11" x14ac:dyDescent="0.3">
      <c r="K97" s="60"/>
    </row>
    <row r="98" spans="11:11" x14ac:dyDescent="0.3">
      <c r="K98" s="60"/>
    </row>
    <row r="99" spans="11:11" x14ac:dyDescent="0.3">
      <c r="K99" s="60"/>
    </row>
    <row r="100" spans="11:11" x14ac:dyDescent="0.3">
      <c r="K100" s="60"/>
    </row>
    <row r="101" spans="11:11" x14ac:dyDescent="0.3">
      <c r="K101" s="60"/>
    </row>
    <row r="102" spans="11:11" x14ac:dyDescent="0.3">
      <c r="K102" s="60"/>
    </row>
    <row r="103" spans="11:11" x14ac:dyDescent="0.3">
      <c r="K103" s="60"/>
    </row>
    <row r="104" spans="11:11" x14ac:dyDescent="0.3">
      <c r="K104" s="60"/>
    </row>
    <row r="105" spans="11:11" x14ac:dyDescent="0.3">
      <c r="K105" s="60"/>
    </row>
    <row r="106" spans="11:11" x14ac:dyDescent="0.3">
      <c r="K106" s="60"/>
    </row>
    <row r="107" spans="11:11" x14ac:dyDescent="0.3">
      <c r="K107" s="60"/>
    </row>
    <row r="108" spans="11:11" x14ac:dyDescent="0.3">
      <c r="K108" s="60"/>
    </row>
    <row r="109" spans="11:11" x14ac:dyDescent="0.3">
      <c r="K109" s="60"/>
    </row>
    <row r="110" spans="11:11" x14ac:dyDescent="0.3">
      <c r="K110" s="60"/>
    </row>
    <row r="111" spans="11:11" x14ac:dyDescent="0.3">
      <c r="K111" s="60"/>
    </row>
    <row r="112" spans="11:11" x14ac:dyDescent="0.3">
      <c r="K112" s="60"/>
    </row>
    <row r="113" spans="11:11" x14ac:dyDescent="0.3">
      <c r="K113" s="60"/>
    </row>
    <row r="114" spans="11:11" x14ac:dyDescent="0.3">
      <c r="K114" s="60"/>
    </row>
    <row r="115" spans="11:11" x14ac:dyDescent="0.3">
      <c r="K115" s="60"/>
    </row>
    <row r="116" spans="11:11" x14ac:dyDescent="0.3">
      <c r="K116" s="60"/>
    </row>
    <row r="117" spans="11:11" x14ac:dyDescent="0.3">
      <c r="K117" s="60"/>
    </row>
    <row r="118" spans="11:11" x14ac:dyDescent="0.3">
      <c r="K118" s="60"/>
    </row>
    <row r="119" spans="11:11" x14ac:dyDescent="0.3">
      <c r="K119" s="60"/>
    </row>
    <row r="120" spans="11:11" x14ac:dyDescent="0.3">
      <c r="K120" s="60"/>
    </row>
    <row r="121" spans="11:11" x14ac:dyDescent="0.3">
      <c r="K121" s="60"/>
    </row>
    <row r="122" spans="11:11" x14ac:dyDescent="0.3">
      <c r="K122" s="60"/>
    </row>
    <row r="123" spans="11:11" x14ac:dyDescent="0.3">
      <c r="K123" s="60"/>
    </row>
    <row r="124" spans="11:11" x14ac:dyDescent="0.3">
      <c r="K124" s="60"/>
    </row>
    <row r="125" spans="11:11" x14ac:dyDescent="0.3">
      <c r="K125" s="60"/>
    </row>
    <row r="126" spans="11:11" x14ac:dyDescent="0.3">
      <c r="K126" s="60"/>
    </row>
    <row r="127" spans="11:11" x14ac:dyDescent="0.3">
      <c r="K127" s="60"/>
    </row>
    <row r="128" spans="11:11" x14ac:dyDescent="0.3">
      <c r="K128" s="60"/>
    </row>
    <row r="129" spans="11:11" x14ac:dyDescent="0.3">
      <c r="K129" s="60"/>
    </row>
    <row r="130" spans="11:11" x14ac:dyDescent="0.3">
      <c r="K130" s="60"/>
    </row>
    <row r="131" spans="11:11" x14ac:dyDescent="0.3">
      <c r="K131" s="60"/>
    </row>
    <row r="132" spans="11:11" x14ac:dyDescent="0.3">
      <c r="K132" s="60"/>
    </row>
    <row r="133" spans="11:11" x14ac:dyDescent="0.3">
      <c r="K133" s="60"/>
    </row>
    <row r="134" spans="11:11" x14ac:dyDescent="0.3">
      <c r="K134" s="60"/>
    </row>
  </sheetData>
  <sheetProtection algorithmName="SHA-512" hashValue="PW+civR+iC3EXrmDLVZxInpxQT8hTEFOxvwrdk9B8cpC3Nn9QFi9RD4oDrIEMSi8WogkB04jgYltu6jE/hnODw==" saltValue="nkZ7cZHVlzZ32P7/wUSvaQ==" spinCount="100000" sheet="1" selectLockedCells="1"/>
  <customSheetViews>
    <customSheetView guid="{83402344-CCA8-40B9-B57E-B9AC5DEAD45E}" scale="70" showPageBreaks="1" fitToPage="1" printArea="1">
      <selection activeCell="G25" sqref="G25"/>
      <pageMargins left="0.7" right="0.7" top="0.75" bottom="0.75" header="0.3" footer="0.3"/>
      <printOptions horizontalCentered="1" headings="1" gridLines="1"/>
      <pageSetup scale="85" orientation="landscape" r:id="rId1"/>
      <headerFooter>
        <oddFooter>&amp;CFile Version: &amp;F&amp;RCreated: &amp;D</oddFooter>
      </headerFooter>
    </customSheetView>
  </customSheetViews>
  <mergeCells count="15">
    <mergeCell ref="D11:G11"/>
    <mergeCell ref="D6:H6"/>
    <mergeCell ref="D9:E9"/>
    <mergeCell ref="D10:E10"/>
    <mergeCell ref="H9:I9"/>
    <mergeCell ref="H10:I10"/>
    <mergeCell ref="C29:D29"/>
    <mergeCell ref="C26:D26"/>
    <mergeCell ref="C24:D24"/>
    <mergeCell ref="C25:D25"/>
    <mergeCell ref="C14:D14"/>
    <mergeCell ref="C15:D15"/>
    <mergeCell ref="C17:D17"/>
    <mergeCell ref="C20:D20"/>
    <mergeCell ref="C21:D22"/>
  </mergeCells>
  <conditionalFormatting sqref="E27">
    <cfRule type="expression" dxfId="27" priority="24">
      <formula>$E$27&gt;30000</formula>
    </cfRule>
  </conditionalFormatting>
  <conditionalFormatting sqref="G27">
    <cfRule type="expression" dxfId="26" priority="23">
      <formula>$G$27&gt;30000</formula>
    </cfRule>
  </conditionalFormatting>
  <conditionalFormatting sqref="H27">
    <cfRule type="expression" dxfId="25" priority="22">
      <formula>$H$27&gt;30000</formula>
    </cfRule>
    <cfRule type="expression" dxfId="24" priority="3">
      <formula>$C$18=1</formula>
    </cfRule>
  </conditionalFormatting>
  <conditionalFormatting sqref="F27">
    <cfRule type="expression" dxfId="23" priority="19">
      <formula>$F$27&gt;30000</formula>
    </cfRule>
  </conditionalFormatting>
  <conditionalFormatting sqref="H28">
    <cfRule type="expression" dxfId="22" priority="32">
      <formula>$H$28&gt;$H$27</formula>
    </cfRule>
    <cfRule type="expression" dxfId="21" priority="33">
      <formula>$H$28&lt;$H$27</formula>
    </cfRule>
    <cfRule type="expression" dxfId="20" priority="1">
      <formula>$C$18=1</formula>
    </cfRule>
  </conditionalFormatting>
  <conditionalFormatting sqref="G28">
    <cfRule type="expression" dxfId="19" priority="9">
      <formula>$G$28&gt;$G$27</formula>
    </cfRule>
    <cfRule type="expression" dxfId="18" priority="10">
      <formula>$G$28&lt;$G$27</formula>
    </cfRule>
  </conditionalFormatting>
  <conditionalFormatting sqref="F28">
    <cfRule type="expression" dxfId="17" priority="7">
      <formula>$F$28&gt;$F$27</formula>
    </cfRule>
    <cfRule type="expression" dxfId="16" priority="8">
      <formula>$F$28&lt;$F$27</formula>
    </cfRule>
  </conditionalFormatting>
  <conditionalFormatting sqref="E28">
    <cfRule type="expression" dxfId="15" priority="5">
      <formula>$E$28&gt;$E$27</formula>
    </cfRule>
    <cfRule type="expression" dxfId="14" priority="6">
      <formula>$E$28&lt;$E$27</formula>
    </cfRule>
  </conditionalFormatting>
  <printOptions horizontalCentered="1" headings="1" gridLines="1"/>
  <pageMargins left="0.7" right="0.7" top="0.47" bottom="0.75" header="0.3" footer="0.3"/>
  <pageSetup scale="65" orientation="landscape" r:id="rId2"/>
  <headerFooter>
    <oddFooter>&amp;CFile Version: &amp;F&amp;RCreated: &amp;D</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4" r:id="rId5" name="Group Box 20">
              <controlPr defaultSize="0" autoFill="0" autoPict="0">
                <anchor moveWithCells="1">
                  <from>
                    <xdr:col>4</xdr:col>
                    <xdr:colOff>7620</xdr:colOff>
                    <xdr:row>20</xdr:row>
                    <xdr:rowOff>7620</xdr:rowOff>
                  </from>
                  <to>
                    <xdr:col>4</xdr:col>
                    <xdr:colOff>1318260</xdr:colOff>
                    <xdr:row>22</xdr:row>
                    <xdr:rowOff>60960</xdr:rowOff>
                  </to>
                </anchor>
              </controlPr>
            </control>
          </mc:Choice>
        </mc:AlternateContent>
        <mc:AlternateContent xmlns:mc="http://schemas.openxmlformats.org/markup-compatibility/2006">
          <mc:Choice Requires="x14">
            <control shapeId="1045" r:id="rId6" name="Option Button 21">
              <controlPr defaultSize="0" autoFill="0" autoLine="0" autoPict="0">
                <anchor moveWithCells="1">
                  <from>
                    <xdr:col>4</xdr:col>
                    <xdr:colOff>30480</xdr:colOff>
                    <xdr:row>20</xdr:row>
                    <xdr:rowOff>68580</xdr:rowOff>
                  </from>
                  <to>
                    <xdr:col>4</xdr:col>
                    <xdr:colOff>975360</xdr:colOff>
                    <xdr:row>20</xdr:row>
                    <xdr:rowOff>441960</xdr:rowOff>
                  </to>
                </anchor>
              </controlPr>
            </control>
          </mc:Choice>
        </mc:AlternateContent>
        <mc:AlternateContent xmlns:mc="http://schemas.openxmlformats.org/markup-compatibility/2006">
          <mc:Choice Requires="x14">
            <control shapeId="1046" r:id="rId7" name="Option Button 22">
              <controlPr defaultSize="0" autoFill="0" autoLine="0" autoPict="0" altText="Input sieve d10 data and determine through this calculator.">
                <anchor moveWithCells="1">
                  <from>
                    <xdr:col>4</xdr:col>
                    <xdr:colOff>22860</xdr:colOff>
                    <xdr:row>20</xdr:row>
                    <xdr:rowOff>419100</xdr:rowOff>
                  </from>
                  <to>
                    <xdr:col>4</xdr:col>
                    <xdr:colOff>975360</xdr:colOff>
                    <xdr:row>21</xdr:row>
                    <xdr:rowOff>365760</xdr:rowOff>
                  </to>
                </anchor>
              </controlPr>
            </control>
          </mc:Choice>
        </mc:AlternateContent>
        <mc:AlternateContent xmlns:mc="http://schemas.openxmlformats.org/markup-compatibility/2006">
          <mc:Choice Requires="x14">
            <control shapeId="1050" r:id="rId8" name="Group Box 26">
              <controlPr defaultSize="0" autoFill="0" autoPict="0">
                <anchor moveWithCells="1">
                  <from>
                    <xdr:col>6</xdr:col>
                    <xdr:colOff>15240</xdr:colOff>
                    <xdr:row>20</xdr:row>
                    <xdr:rowOff>7620</xdr:rowOff>
                  </from>
                  <to>
                    <xdr:col>6</xdr:col>
                    <xdr:colOff>1211580</xdr:colOff>
                    <xdr:row>22</xdr:row>
                    <xdr:rowOff>60960</xdr:rowOff>
                  </to>
                </anchor>
              </controlPr>
            </control>
          </mc:Choice>
        </mc:AlternateContent>
        <mc:AlternateContent xmlns:mc="http://schemas.openxmlformats.org/markup-compatibility/2006">
          <mc:Choice Requires="x14">
            <control shapeId="1051" r:id="rId9" name="Option Button 27">
              <controlPr defaultSize="0" autoFill="0" autoLine="0" autoPict="0">
                <anchor moveWithCells="1">
                  <from>
                    <xdr:col>6</xdr:col>
                    <xdr:colOff>53340</xdr:colOff>
                    <xdr:row>20</xdr:row>
                    <xdr:rowOff>68580</xdr:rowOff>
                  </from>
                  <to>
                    <xdr:col>6</xdr:col>
                    <xdr:colOff>1005840</xdr:colOff>
                    <xdr:row>20</xdr:row>
                    <xdr:rowOff>434340</xdr:rowOff>
                  </to>
                </anchor>
              </controlPr>
            </control>
          </mc:Choice>
        </mc:AlternateContent>
        <mc:AlternateContent xmlns:mc="http://schemas.openxmlformats.org/markup-compatibility/2006">
          <mc:Choice Requires="x14">
            <control shapeId="1052" r:id="rId10" name="Option Button 28">
              <controlPr defaultSize="0" autoFill="0" autoLine="0" autoPict="0" altText="Input sieve d10 data and determine through this calculator.">
                <anchor moveWithCells="1">
                  <from>
                    <xdr:col>6</xdr:col>
                    <xdr:colOff>60960</xdr:colOff>
                    <xdr:row>20</xdr:row>
                    <xdr:rowOff>411480</xdr:rowOff>
                  </from>
                  <to>
                    <xdr:col>6</xdr:col>
                    <xdr:colOff>1028700</xdr:colOff>
                    <xdr:row>21</xdr:row>
                    <xdr:rowOff>350520</xdr:rowOff>
                  </to>
                </anchor>
              </controlPr>
            </control>
          </mc:Choice>
        </mc:AlternateContent>
        <mc:AlternateContent xmlns:mc="http://schemas.openxmlformats.org/markup-compatibility/2006">
          <mc:Choice Requires="x14">
            <control shapeId="1053" r:id="rId11" name="Group Box 29">
              <controlPr defaultSize="0" autoFill="0" autoPict="0">
                <anchor moveWithCells="1">
                  <from>
                    <xdr:col>7</xdr:col>
                    <xdr:colOff>15240</xdr:colOff>
                    <xdr:row>20</xdr:row>
                    <xdr:rowOff>7620</xdr:rowOff>
                  </from>
                  <to>
                    <xdr:col>8</xdr:col>
                    <xdr:colOff>0</xdr:colOff>
                    <xdr:row>22</xdr:row>
                    <xdr:rowOff>60960</xdr:rowOff>
                  </to>
                </anchor>
              </controlPr>
            </control>
          </mc:Choice>
        </mc:AlternateContent>
        <mc:AlternateContent xmlns:mc="http://schemas.openxmlformats.org/markup-compatibility/2006">
          <mc:Choice Requires="x14">
            <control shapeId="1054" r:id="rId12" name="Option Button 30">
              <controlPr defaultSize="0" autoFill="0" autoLine="0" autoPict="0">
                <anchor moveWithCells="1">
                  <from>
                    <xdr:col>7</xdr:col>
                    <xdr:colOff>38100</xdr:colOff>
                    <xdr:row>20</xdr:row>
                    <xdr:rowOff>68580</xdr:rowOff>
                  </from>
                  <to>
                    <xdr:col>7</xdr:col>
                    <xdr:colOff>982980</xdr:colOff>
                    <xdr:row>20</xdr:row>
                    <xdr:rowOff>441960</xdr:rowOff>
                  </to>
                </anchor>
              </controlPr>
            </control>
          </mc:Choice>
        </mc:AlternateContent>
        <mc:AlternateContent xmlns:mc="http://schemas.openxmlformats.org/markup-compatibility/2006">
          <mc:Choice Requires="x14">
            <control shapeId="1055" r:id="rId13" name="Option Button 31">
              <controlPr defaultSize="0" autoFill="0" autoLine="0" autoPict="0" altText="Input sieve d10 data and determine through this calculator.">
                <anchor moveWithCells="1">
                  <from>
                    <xdr:col>7</xdr:col>
                    <xdr:colOff>22860</xdr:colOff>
                    <xdr:row>20</xdr:row>
                    <xdr:rowOff>419100</xdr:rowOff>
                  </from>
                  <to>
                    <xdr:col>7</xdr:col>
                    <xdr:colOff>982980</xdr:colOff>
                    <xdr:row>21</xdr:row>
                    <xdr:rowOff>365760</xdr:rowOff>
                  </to>
                </anchor>
              </controlPr>
            </control>
          </mc:Choice>
        </mc:AlternateContent>
        <mc:AlternateContent xmlns:mc="http://schemas.openxmlformats.org/markup-compatibility/2006">
          <mc:Choice Requires="x14">
            <control shapeId="1056" r:id="rId14" name="Group Box 32">
              <controlPr defaultSize="0" autoFill="0" autoPict="0">
                <anchor moveWithCells="1">
                  <from>
                    <xdr:col>5</xdr:col>
                    <xdr:colOff>7620</xdr:colOff>
                    <xdr:row>20</xdr:row>
                    <xdr:rowOff>7620</xdr:rowOff>
                  </from>
                  <to>
                    <xdr:col>6</xdr:col>
                    <xdr:colOff>0</xdr:colOff>
                    <xdr:row>22</xdr:row>
                    <xdr:rowOff>60960</xdr:rowOff>
                  </to>
                </anchor>
              </controlPr>
            </control>
          </mc:Choice>
        </mc:AlternateContent>
        <mc:AlternateContent xmlns:mc="http://schemas.openxmlformats.org/markup-compatibility/2006">
          <mc:Choice Requires="x14">
            <control shapeId="1057" r:id="rId15" name="Option Button 33">
              <controlPr defaultSize="0" autoFill="0" autoLine="0" autoPict="0">
                <anchor moveWithCells="1">
                  <from>
                    <xdr:col>5</xdr:col>
                    <xdr:colOff>30480</xdr:colOff>
                    <xdr:row>20</xdr:row>
                    <xdr:rowOff>68580</xdr:rowOff>
                  </from>
                  <to>
                    <xdr:col>5</xdr:col>
                    <xdr:colOff>975360</xdr:colOff>
                    <xdr:row>20</xdr:row>
                    <xdr:rowOff>441960</xdr:rowOff>
                  </to>
                </anchor>
              </controlPr>
            </control>
          </mc:Choice>
        </mc:AlternateContent>
        <mc:AlternateContent xmlns:mc="http://schemas.openxmlformats.org/markup-compatibility/2006">
          <mc:Choice Requires="x14">
            <control shapeId="1058" r:id="rId16" name="Option Button 34">
              <controlPr defaultSize="0" autoFill="0" autoLine="0" autoPict="0" altText="Input sieve d10 data and determine through this calculator.">
                <anchor moveWithCells="1">
                  <from>
                    <xdr:col>5</xdr:col>
                    <xdr:colOff>22860</xdr:colOff>
                    <xdr:row>20</xdr:row>
                    <xdr:rowOff>419100</xdr:rowOff>
                  </from>
                  <to>
                    <xdr:col>5</xdr:col>
                    <xdr:colOff>975360</xdr:colOff>
                    <xdr:row>21</xdr:row>
                    <xdr:rowOff>365760</xdr:rowOff>
                  </to>
                </anchor>
              </controlPr>
            </control>
          </mc:Choice>
        </mc:AlternateContent>
        <mc:AlternateContent xmlns:mc="http://schemas.openxmlformats.org/markup-compatibility/2006">
          <mc:Choice Requires="x14">
            <control shapeId="1059" r:id="rId17" name="Button 35">
              <controlPr defaultSize="0" print="0" autoFill="0" autoPict="0" macro="[0]!InstructionsClose">
                <anchor moveWithCells="1" sizeWithCells="1">
                  <from>
                    <xdr:col>18</xdr:col>
                    <xdr:colOff>7620</xdr:colOff>
                    <xdr:row>1</xdr:row>
                    <xdr:rowOff>68580</xdr:rowOff>
                  </from>
                  <to>
                    <xdr:col>20</xdr:col>
                    <xdr:colOff>533400</xdr:colOff>
                    <xdr:row>2</xdr:row>
                    <xdr:rowOff>152400</xdr:rowOff>
                  </to>
                </anchor>
              </controlPr>
            </control>
          </mc:Choice>
        </mc:AlternateContent>
        <mc:AlternateContent xmlns:mc="http://schemas.openxmlformats.org/markup-compatibility/2006">
          <mc:Choice Requires="x14">
            <control shapeId="1063" r:id="rId18" name="Group Box 39">
              <controlPr defaultSize="0" autoFill="0" autoPict="0">
                <anchor moveWithCells="1">
                  <from>
                    <xdr:col>4</xdr:col>
                    <xdr:colOff>0</xdr:colOff>
                    <xdr:row>15</xdr:row>
                    <xdr:rowOff>68580</xdr:rowOff>
                  </from>
                  <to>
                    <xdr:col>7</xdr:col>
                    <xdr:colOff>929640</xdr:colOff>
                    <xdr:row>17</xdr:row>
                    <xdr:rowOff>76200</xdr:rowOff>
                  </to>
                </anchor>
              </controlPr>
            </control>
          </mc:Choice>
        </mc:AlternateContent>
        <mc:AlternateContent xmlns:mc="http://schemas.openxmlformats.org/markup-compatibility/2006">
          <mc:Choice Requires="x14">
            <control shapeId="1065" r:id="rId19" name="Option Button 41">
              <controlPr defaultSize="0" autoFill="0" autoLine="0" autoPict="0">
                <anchor moveWithCells="1">
                  <from>
                    <xdr:col>4</xdr:col>
                    <xdr:colOff>198120</xdr:colOff>
                    <xdr:row>16</xdr:row>
                    <xdr:rowOff>99060</xdr:rowOff>
                  </from>
                  <to>
                    <xdr:col>5</xdr:col>
                    <xdr:colOff>769620</xdr:colOff>
                    <xdr:row>16</xdr:row>
                    <xdr:rowOff>601980</xdr:rowOff>
                  </to>
                </anchor>
              </controlPr>
            </control>
          </mc:Choice>
        </mc:AlternateContent>
        <mc:AlternateContent xmlns:mc="http://schemas.openxmlformats.org/markup-compatibility/2006">
          <mc:Choice Requires="x14">
            <control shapeId="1066" r:id="rId20" name="Option Button 42">
              <controlPr defaultSize="0" autoFill="0" autoLine="0" autoPict="0">
                <anchor moveWithCells="1">
                  <from>
                    <xdr:col>5</xdr:col>
                    <xdr:colOff>1173480</xdr:colOff>
                    <xdr:row>16</xdr:row>
                    <xdr:rowOff>91440</xdr:rowOff>
                  </from>
                  <to>
                    <xdr:col>7</xdr:col>
                    <xdr:colOff>632460</xdr:colOff>
                    <xdr:row>16</xdr:row>
                    <xdr:rowOff>601980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'Look-up Tables'!$B$3:$B$16</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A1FFFD"/>
    <pageSetUpPr fitToPage="1"/>
  </sheetPr>
  <dimension ref="A1:W49"/>
  <sheetViews>
    <sheetView topLeftCell="B1" zoomScale="70" zoomScaleNormal="70" workbookViewId="0">
      <selection activeCell="E10" sqref="E10"/>
    </sheetView>
  </sheetViews>
  <sheetFormatPr defaultColWidth="8.88671875" defaultRowHeight="14.4" x14ac:dyDescent="0.3"/>
  <cols>
    <col min="1" max="1" width="8.88671875" style="120"/>
    <col min="2" max="2" width="1.5546875" style="134" customWidth="1"/>
    <col min="3" max="3" width="9" style="129" customWidth="1"/>
    <col min="4" max="4" width="17" style="129" customWidth="1"/>
    <col min="5" max="5" width="17.5546875" style="129" customWidth="1"/>
    <col min="6" max="7" width="14.44140625" style="134" customWidth="1"/>
    <col min="8" max="8" width="3.6640625" style="134" customWidth="1"/>
    <col min="9" max="9" width="10.6640625" style="135" customWidth="1"/>
    <col min="10" max="10" width="16.33203125" style="129" customWidth="1"/>
    <col min="11" max="11" width="16.33203125" style="133" customWidth="1"/>
    <col min="12" max="12" width="16.33203125" style="134" customWidth="1"/>
    <col min="13" max="13" width="3.6640625" style="134" customWidth="1"/>
    <col min="14" max="14" width="10.6640625" style="135" customWidth="1"/>
    <col min="15" max="17" width="16.33203125" style="129" customWidth="1"/>
    <col min="18" max="18" width="3.6640625" style="134" customWidth="1"/>
    <col min="19" max="19" width="11.5546875" style="135" customWidth="1"/>
    <col min="20" max="23" width="16.33203125" style="129" customWidth="1"/>
    <col min="24" max="16384" width="8.88671875" style="129"/>
  </cols>
  <sheetData>
    <row r="1" spans="1:22" s="117" customFormat="1" ht="15" thickBot="1" x14ac:dyDescent="0.35">
      <c r="A1" s="115"/>
      <c r="B1" s="116"/>
      <c r="F1" s="116"/>
      <c r="G1" s="116"/>
      <c r="H1" s="116"/>
      <c r="I1" s="118"/>
      <c r="K1" s="119"/>
      <c r="L1" s="116"/>
      <c r="M1" s="116"/>
      <c r="N1" s="118"/>
      <c r="R1" s="116"/>
      <c r="S1" s="118"/>
    </row>
    <row r="2" spans="1:22" ht="21" x14ac:dyDescent="0.3">
      <c r="B2" s="121"/>
      <c r="C2" s="122"/>
      <c r="D2" s="123" t="s">
        <v>84</v>
      </c>
      <c r="E2" s="124"/>
      <c r="F2" s="124"/>
      <c r="G2" s="124"/>
      <c r="H2" s="124"/>
      <c r="I2" s="124"/>
      <c r="J2" s="124"/>
      <c r="K2" s="125"/>
      <c r="L2" s="126"/>
      <c r="M2" s="126"/>
      <c r="N2" s="127"/>
      <c r="O2" s="124"/>
      <c r="P2" s="124"/>
      <c r="Q2" s="124"/>
      <c r="R2" s="126"/>
      <c r="S2" s="127"/>
      <c r="T2" s="124"/>
      <c r="U2" s="124"/>
      <c r="V2" s="128"/>
    </row>
    <row r="3" spans="1:22" ht="20.399999999999999" x14ac:dyDescent="0.3">
      <c r="B3" s="130"/>
      <c r="C3" s="131"/>
      <c r="D3" s="132" t="s">
        <v>85</v>
      </c>
      <c r="F3" s="129"/>
      <c r="G3" s="129"/>
      <c r="H3" s="129"/>
      <c r="I3" s="129"/>
      <c r="V3" s="136"/>
    </row>
    <row r="4" spans="1:22" x14ac:dyDescent="0.3">
      <c r="B4" s="130"/>
      <c r="C4" s="131"/>
      <c r="F4" s="129"/>
      <c r="G4" s="129"/>
      <c r="H4" s="129"/>
      <c r="I4" s="129"/>
      <c r="V4" s="136"/>
    </row>
    <row r="5" spans="1:22" ht="18" customHeight="1" x14ac:dyDescent="0.3">
      <c r="B5" s="130"/>
      <c r="C5" s="131"/>
      <c r="D5" s="137" t="s">
        <v>222</v>
      </c>
      <c r="E5" s="137"/>
      <c r="F5" s="137"/>
      <c r="G5" s="137"/>
      <c r="H5" s="137"/>
      <c r="I5" s="137"/>
      <c r="V5" s="136"/>
    </row>
    <row r="6" spans="1:22" ht="15" thickBot="1" x14ac:dyDescent="0.35">
      <c r="B6" s="130"/>
      <c r="C6" s="212"/>
      <c r="D6" s="138" t="s">
        <v>236</v>
      </c>
      <c r="E6" s="138"/>
      <c r="F6" s="213"/>
      <c r="G6" s="175"/>
      <c r="H6" s="138"/>
      <c r="I6" s="206"/>
      <c r="J6" s="120"/>
      <c r="K6" s="207"/>
      <c r="L6" s="197"/>
      <c r="N6" s="200"/>
      <c r="O6" s="85"/>
      <c r="P6" s="205"/>
      <c r="Q6" s="205"/>
      <c r="S6" s="204"/>
      <c r="V6" s="136"/>
    </row>
    <row r="7" spans="1:22" s="191" customFormat="1" ht="15" thickBot="1" x14ac:dyDescent="0.35">
      <c r="A7" s="186"/>
      <c r="B7" s="321">
        <v>1</v>
      </c>
      <c r="C7" s="187"/>
      <c r="D7" s="214"/>
      <c r="E7" s="215"/>
      <c r="F7" s="188">
        <f>IF(B7=1,E10,E28)</f>
        <v>0</v>
      </c>
      <c r="G7" s="216"/>
      <c r="H7" s="192"/>
      <c r="I7" s="322">
        <v>1</v>
      </c>
      <c r="J7" s="208"/>
      <c r="K7" s="209"/>
      <c r="L7" s="189">
        <f>IF(I7=1,K10,K28)</f>
        <v>0</v>
      </c>
      <c r="M7" s="190"/>
      <c r="N7" s="323">
        <v>1</v>
      </c>
      <c r="O7" s="201"/>
      <c r="P7" s="203"/>
      <c r="Q7" s="189">
        <f>IF(N7=1,P10,P28)</f>
        <v>0</v>
      </c>
      <c r="R7" s="190"/>
      <c r="S7" s="323">
        <v>1</v>
      </c>
      <c r="T7" s="201"/>
      <c r="U7" s="203"/>
      <c r="V7" s="189">
        <f>IF(S7=1,U10,U28)</f>
        <v>0</v>
      </c>
    </row>
    <row r="8" spans="1:22" ht="28.2" customHeight="1" x14ac:dyDescent="0.3">
      <c r="B8" s="139"/>
      <c r="C8" s="349" t="s">
        <v>50</v>
      </c>
      <c r="D8" s="349"/>
      <c r="E8" s="349"/>
      <c r="F8" s="349"/>
      <c r="G8" s="350"/>
      <c r="H8" s="165"/>
      <c r="I8" s="351" t="s">
        <v>51</v>
      </c>
      <c r="J8" s="352"/>
      <c r="K8" s="352"/>
      <c r="L8" s="353"/>
      <c r="M8" s="167"/>
      <c r="N8" s="351" t="s">
        <v>52</v>
      </c>
      <c r="O8" s="352"/>
      <c r="P8" s="352"/>
      <c r="Q8" s="353"/>
      <c r="R8" s="167"/>
      <c r="S8" s="351" t="s">
        <v>53</v>
      </c>
      <c r="T8" s="352"/>
      <c r="U8" s="352"/>
      <c r="V8" s="353"/>
    </row>
    <row r="9" spans="1:22" ht="28.2" customHeight="1" x14ac:dyDescent="0.3">
      <c r="B9" s="217"/>
      <c r="D9" s="140" t="s">
        <v>109</v>
      </c>
      <c r="E9" s="316">
        <f>'Summary Sheet'!$E$20</f>
        <v>0</v>
      </c>
      <c r="F9" s="193"/>
      <c r="G9" s="141"/>
      <c r="H9" s="165"/>
      <c r="I9" s="103"/>
      <c r="J9" s="202" t="s">
        <v>109</v>
      </c>
      <c r="K9" s="317">
        <f>'Summary Sheet'!$F$20</f>
        <v>0</v>
      </c>
      <c r="L9" s="141"/>
      <c r="M9" s="167"/>
      <c r="N9" s="130"/>
      <c r="O9" s="140" t="s">
        <v>109</v>
      </c>
      <c r="P9" s="318">
        <f>'Summary Sheet'!$G$20</f>
        <v>0</v>
      </c>
      <c r="Q9" s="141"/>
      <c r="R9" s="167"/>
      <c r="S9" s="130"/>
      <c r="T9" s="140" t="s">
        <v>109</v>
      </c>
      <c r="U9" s="318">
        <f>'Summary Sheet'!$H$20</f>
        <v>0</v>
      </c>
      <c r="V9" s="141"/>
    </row>
    <row r="10" spans="1:22" s="134" customFormat="1" ht="42" customHeight="1" x14ac:dyDescent="0.3">
      <c r="A10" s="142"/>
      <c r="B10" s="87"/>
      <c r="C10" s="198"/>
      <c r="D10" s="166" t="s">
        <v>186</v>
      </c>
      <c r="E10" s="319"/>
      <c r="F10" s="199" t="s">
        <v>21</v>
      </c>
      <c r="G10" s="218"/>
      <c r="H10" s="165"/>
      <c r="I10" s="87"/>
      <c r="J10" s="194" t="s">
        <v>186</v>
      </c>
      <c r="K10" s="320"/>
      <c r="L10" s="210" t="s">
        <v>21</v>
      </c>
      <c r="M10" s="167"/>
      <c r="N10" s="143"/>
      <c r="O10" s="166" t="s">
        <v>186</v>
      </c>
      <c r="P10" s="319"/>
      <c r="Q10" s="170" t="s">
        <v>21</v>
      </c>
      <c r="R10" s="167"/>
      <c r="S10" s="143"/>
      <c r="T10" s="166" t="s">
        <v>186</v>
      </c>
      <c r="U10" s="319"/>
      <c r="V10" s="172" t="s">
        <v>21</v>
      </c>
    </row>
    <row r="11" spans="1:22" s="134" customFormat="1" ht="57.6" x14ac:dyDescent="0.3">
      <c r="A11" s="142"/>
      <c r="B11" s="219"/>
      <c r="D11" s="135"/>
      <c r="E11" s="135" t="s">
        <v>110</v>
      </c>
      <c r="F11" s="135" t="s">
        <v>178</v>
      </c>
      <c r="G11" s="144" t="s">
        <v>111</v>
      </c>
      <c r="H11" s="165"/>
      <c r="I11" s="211"/>
      <c r="J11" s="135" t="s">
        <v>110</v>
      </c>
      <c r="K11" s="135" t="s">
        <v>178</v>
      </c>
      <c r="L11" s="144" t="s">
        <v>111</v>
      </c>
      <c r="M11" s="167"/>
      <c r="N11" s="145"/>
      <c r="O11" s="135" t="s">
        <v>110</v>
      </c>
      <c r="P11" s="135" t="s">
        <v>178</v>
      </c>
      <c r="Q11" s="144" t="s">
        <v>111</v>
      </c>
      <c r="R11" s="167"/>
      <c r="S11" s="145"/>
      <c r="T11" s="135" t="s">
        <v>110</v>
      </c>
      <c r="U11" s="135" t="s">
        <v>178</v>
      </c>
      <c r="V11" s="144" t="s">
        <v>111</v>
      </c>
    </row>
    <row r="12" spans="1:22" x14ac:dyDescent="0.3">
      <c r="B12" s="220"/>
      <c r="C12" s="195"/>
      <c r="D12" s="196"/>
      <c r="E12" s="196"/>
      <c r="F12" s="195"/>
      <c r="G12" s="221"/>
      <c r="H12" s="165"/>
      <c r="I12" s="145"/>
      <c r="L12" s="141"/>
      <c r="M12" s="167"/>
      <c r="N12" s="145"/>
      <c r="P12" s="134"/>
      <c r="Q12" s="141"/>
      <c r="R12" s="167"/>
      <c r="S12" s="145"/>
      <c r="U12" s="134"/>
      <c r="V12" s="141"/>
    </row>
    <row r="13" spans="1:22" s="138" customFormat="1" ht="18.600000000000001" customHeight="1" x14ac:dyDescent="0.3">
      <c r="A13" s="120"/>
      <c r="B13" s="143"/>
      <c r="C13" s="134"/>
      <c r="D13" s="146"/>
      <c r="E13" s="314"/>
      <c r="F13" s="315"/>
      <c r="G13" s="147">
        <f t="shared" ref="G13:G27" si="0">1-F13</f>
        <v>1</v>
      </c>
      <c r="H13" s="165"/>
      <c r="I13" s="145"/>
      <c r="J13" s="314"/>
      <c r="K13" s="315"/>
      <c r="L13" s="147">
        <f>1-K13</f>
        <v>1</v>
      </c>
      <c r="M13" s="167"/>
      <c r="N13" s="145"/>
      <c r="O13" s="314"/>
      <c r="P13" s="315"/>
      <c r="Q13" s="147">
        <f>1-P13</f>
        <v>1</v>
      </c>
      <c r="R13" s="167"/>
      <c r="S13" s="145"/>
      <c r="T13" s="314"/>
      <c r="U13" s="315"/>
      <c r="V13" s="147">
        <f>1-U13</f>
        <v>1</v>
      </c>
    </row>
    <row r="14" spans="1:22" s="138" customFormat="1" ht="18.600000000000001" customHeight="1" x14ac:dyDescent="0.3">
      <c r="A14" s="120"/>
      <c r="B14" s="143"/>
      <c r="C14" s="134"/>
      <c r="D14" s="146"/>
      <c r="E14" s="314"/>
      <c r="F14" s="315"/>
      <c r="G14" s="147">
        <f t="shared" si="0"/>
        <v>1</v>
      </c>
      <c r="H14" s="165"/>
      <c r="I14" s="145"/>
      <c r="J14" s="314"/>
      <c r="K14" s="315"/>
      <c r="L14" s="147">
        <f t="shared" ref="L14:L27" si="1">1-K14</f>
        <v>1</v>
      </c>
      <c r="M14" s="167"/>
      <c r="N14" s="145"/>
      <c r="O14" s="314"/>
      <c r="P14" s="315"/>
      <c r="Q14" s="147">
        <f t="shared" ref="Q14:Q27" si="2">1-P14</f>
        <v>1</v>
      </c>
      <c r="R14" s="167"/>
      <c r="S14" s="145"/>
      <c r="T14" s="314"/>
      <c r="U14" s="315"/>
      <c r="V14" s="147">
        <f t="shared" ref="V14:V27" si="3">1-U14</f>
        <v>1</v>
      </c>
    </row>
    <row r="15" spans="1:22" s="138" customFormat="1" ht="18.600000000000001" customHeight="1" x14ac:dyDescent="0.3">
      <c r="A15" s="120"/>
      <c r="B15" s="143"/>
      <c r="C15" s="134"/>
      <c r="D15" s="146"/>
      <c r="E15" s="314"/>
      <c r="F15" s="315"/>
      <c r="G15" s="147">
        <f t="shared" si="0"/>
        <v>1</v>
      </c>
      <c r="H15" s="165"/>
      <c r="I15" s="145"/>
      <c r="J15" s="314"/>
      <c r="K15" s="315"/>
      <c r="L15" s="147">
        <f t="shared" si="1"/>
        <v>1</v>
      </c>
      <c r="M15" s="167"/>
      <c r="N15" s="145"/>
      <c r="O15" s="314"/>
      <c r="P15" s="315"/>
      <c r="Q15" s="147">
        <f t="shared" si="2"/>
        <v>1</v>
      </c>
      <c r="R15" s="167"/>
      <c r="S15" s="145"/>
      <c r="T15" s="314"/>
      <c r="U15" s="315"/>
      <c r="V15" s="147">
        <f t="shared" si="3"/>
        <v>1</v>
      </c>
    </row>
    <row r="16" spans="1:22" s="138" customFormat="1" ht="18.600000000000001" customHeight="1" x14ac:dyDescent="0.3">
      <c r="A16" s="120"/>
      <c r="B16" s="143"/>
      <c r="C16" s="134"/>
      <c r="D16" s="146"/>
      <c r="E16" s="314"/>
      <c r="F16" s="315"/>
      <c r="G16" s="147">
        <f t="shared" si="0"/>
        <v>1</v>
      </c>
      <c r="H16" s="165"/>
      <c r="I16" s="145"/>
      <c r="J16" s="314"/>
      <c r="K16" s="315"/>
      <c r="L16" s="147">
        <f t="shared" si="1"/>
        <v>1</v>
      </c>
      <c r="M16" s="167"/>
      <c r="N16" s="145"/>
      <c r="O16" s="314"/>
      <c r="P16" s="315"/>
      <c r="Q16" s="147">
        <f t="shared" si="2"/>
        <v>1</v>
      </c>
      <c r="R16" s="167"/>
      <c r="S16" s="145"/>
      <c r="T16" s="314"/>
      <c r="U16" s="315"/>
      <c r="V16" s="147">
        <f t="shared" si="3"/>
        <v>1</v>
      </c>
    </row>
    <row r="17" spans="1:23" s="138" customFormat="1" ht="18.600000000000001" customHeight="1" x14ac:dyDescent="0.3">
      <c r="A17" s="120"/>
      <c r="B17" s="143"/>
      <c r="C17" s="134"/>
      <c r="D17" s="146"/>
      <c r="E17" s="314"/>
      <c r="F17" s="315"/>
      <c r="G17" s="147">
        <f t="shared" si="0"/>
        <v>1</v>
      </c>
      <c r="H17" s="165"/>
      <c r="I17" s="145"/>
      <c r="J17" s="314"/>
      <c r="K17" s="315"/>
      <c r="L17" s="147">
        <f t="shared" si="1"/>
        <v>1</v>
      </c>
      <c r="M17" s="167"/>
      <c r="N17" s="145"/>
      <c r="O17" s="314">
        <v>4.75</v>
      </c>
      <c r="P17" s="315"/>
      <c r="Q17" s="147">
        <f t="shared" si="2"/>
        <v>1</v>
      </c>
      <c r="R17" s="167"/>
      <c r="S17" s="145"/>
      <c r="T17" s="314"/>
      <c r="U17" s="315"/>
      <c r="V17" s="147">
        <f t="shared" si="3"/>
        <v>1</v>
      </c>
    </row>
    <row r="18" spans="1:23" s="138" customFormat="1" ht="18.600000000000001" customHeight="1" x14ac:dyDescent="0.3">
      <c r="A18" s="120"/>
      <c r="B18" s="143"/>
      <c r="C18" s="134"/>
      <c r="D18" s="146"/>
      <c r="E18" s="314"/>
      <c r="F18" s="315"/>
      <c r="G18" s="147">
        <f t="shared" si="0"/>
        <v>1</v>
      </c>
      <c r="H18" s="165"/>
      <c r="I18" s="145"/>
      <c r="J18" s="314"/>
      <c r="K18" s="315"/>
      <c r="L18" s="147">
        <f t="shared" si="1"/>
        <v>1</v>
      </c>
      <c r="M18" s="167"/>
      <c r="N18" s="145"/>
      <c r="O18" s="314">
        <v>2.36</v>
      </c>
      <c r="P18" s="315"/>
      <c r="Q18" s="147">
        <f t="shared" si="2"/>
        <v>1</v>
      </c>
      <c r="R18" s="167"/>
      <c r="S18" s="145"/>
      <c r="T18" s="314"/>
      <c r="U18" s="315"/>
      <c r="V18" s="147">
        <f t="shared" si="3"/>
        <v>1</v>
      </c>
    </row>
    <row r="19" spans="1:23" s="138" customFormat="1" ht="18.600000000000001" customHeight="1" x14ac:dyDescent="0.3">
      <c r="A19" s="120"/>
      <c r="B19" s="143"/>
      <c r="C19" s="134"/>
      <c r="D19" s="146"/>
      <c r="E19" s="314"/>
      <c r="F19" s="315"/>
      <c r="G19" s="147">
        <f t="shared" si="0"/>
        <v>1</v>
      </c>
      <c r="H19" s="165"/>
      <c r="I19" s="145"/>
      <c r="J19" s="314"/>
      <c r="K19" s="315"/>
      <c r="L19" s="147">
        <f t="shared" si="1"/>
        <v>1</v>
      </c>
      <c r="M19" s="167"/>
      <c r="N19" s="145"/>
      <c r="O19" s="314">
        <v>2</v>
      </c>
      <c r="P19" s="315"/>
      <c r="Q19" s="147">
        <f t="shared" si="2"/>
        <v>1</v>
      </c>
      <c r="R19" s="167"/>
      <c r="S19" s="145"/>
      <c r="T19" s="314"/>
      <c r="U19" s="315"/>
      <c r="V19" s="147">
        <f t="shared" si="3"/>
        <v>1</v>
      </c>
    </row>
    <row r="20" spans="1:23" s="138" customFormat="1" ht="18.600000000000001" customHeight="1" x14ac:dyDescent="0.3">
      <c r="A20" s="120"/>
      <c r="B20" s="143"/>
      <c r="C20" s="134"/>
      <c r="D20" s="146"/>
      <c r="E20" s="314"/>
      <c r="F20" s="315"/>
      <c r="G20" s="147">
        <f t="shared" si="0"/>
        <v>1</v>
      </c>
      <c r="H20" s="165"/>
      <c r="I20" s="145"/>
      <c r="J20" s="314"/>
      <c r="K20" s="315"/>
      <c r="L20" s="147">
        <f t="shared" si="1"/>
        <v>1</v>
      </c>
      <c r="M20" s="167"/>
      <c r="N20" s="145"/>
      <c r="O20" s="314">
        <v>1.18</v>
      </c>
      <c r="P20" s="315"/>
      <c r="Q20" s="147">
        <f t="shared" si="2"/>
        <v>1</v>
      </c>
      <c r="R20" s="167"/>
      <c r="S20" s="145"/>
      <c r="T20" s="314"/>
      <c r="U20" s="315"/>
      <c r="V20" s="147">
        <f t="shared" si="3"/>
        <v>1</v>
      </c>
    </row>
    <row r="21" spans="1:23" s="138" customFormat="1" ht="18.600000000000001" customHeight="1" x14ac:dyDescent="0.3">
      <c r="A21" s="120"/>
      <c r="B21" s="143"/>
      <c r="C21" s="134"/>
      <c r="D21" s="146"/>
      <c r="E21" s="314"/>
      <c r="F21" s="315"/>
      <c r="G21" s="147">
        <f t="shared" si="0"/>
        <v>1</v>
      </c>
      <c r="H21" s="165"/>
      <c r="I21" s="145"/>
      <c r="J21" s="314"/>
      <c r="K21" s="315"/>
      <c r="L21" s="147">
        <f t="shared" si="1"/>
        <v>1</v>
      </c>
      <c r="M21" s="167"/>
      <c r="N21" s="145"/>
      <c r="O21" s="314">
        <v>0.6</v>
      </c>
      <c r="P21" s="315"/>
      <c r="Q21" s="147">
        <f t="shared" si="2"/>
        <v>1</v>
      </c>
      <c r="R21" s="167"/>
      <c r="S21" s="145"/>
      <c r="T21" s="314"/>
      <c r="U21" s="315"/>
      <c r="V21" s="147">
        <f t="shared" si="3"/>
        <v>1</v>
      </c>
    </row>
    <row r="22" spans="1:23" s="138" customFormat="1" ht="18.600000000000001" customHeight="1" x14ac:dyDescent="0.3">
      <c r="A22" s="120"/>
      <c r="B22" s="143"/>
      <c r="C22" s="134"/>
      <c r="D22" s="146"/>
      <c r="E22" s="314"/>
      <c r="F22" s="315"/>
      <c r="G22" s="147">
        <f t="shared" si="0"/>
        <v>1</v>
      </c>
      <c r="H22" s="165"/>
      <c r="I22" s="145"/>
      <c r="J22" s="314"/>
      <c r="K22" s="315"/>
      <c r="L22" s="147">
        <f t="shared" si="1"/>
        <v>1</v>
      </c>
      <c r="M22" s="167"/>
      <c r="N22" s="145"/>
      <c r="O22" s="314">
        <v>0.3</v>
      </c>
      <c r="P22" s="315"/>
      <c r="Q22" s="147">
        <f t="shared" si="2"/>
        <v>1</v>
      </c>
      <c r="R22" s="167"/>
      <c r="S22" s="145"/>
      <c r="T22" s="314"/>
      <c r="U22" s="315"/>
      <c r="V22" s="147">
        <f t="shared" si="3"/>
        <v>1</v>
      </c>
    </row>
    <row r="23" spans="1:23" s="138" customFormat="1" ht="18.600000000000001" customHeight="1" x14ac:dyDescent="0.3">
      <c r="A23" s="120"/>
      <c r="B23" s="143"/>
      <c r="C23" s="134"/>
      <c r="D23" s="146"/>
      <c r="E23" s="314"/>
      <c r="F23" s="315"/>
      <c r="G23" s="147">
        <f t="shared" si="0"/>
        <v>1</v>
      </c>
      <c r="H23" s="165"/>
      <c r="I23" s="145"/>
      <c r="J23" s="314"/>
      <c r="K23" s="315"/>
      <c r="L23" s="147">
        <f t="shared" si="1"/>
        <v>1</v>
      </c>
      <c r="M23" s="167"/>
      <c r="N23" s="145"/>
      <c r="O23" s="314">
        <v>0.15</v>
      </c>
      <c r="P23" s="315"/>
      <c r="Q23" s="147">
        <f t="shared" si="2"/>
        <v>1</v>
      </c>
      <c r="R23" s="167"/>
      <c r="S23" s="145"/>
      <c r="T23" s="314"/>
      <c r="U23" s="315"/>
      <c r="V23" s="147">
        <f t="shared" si="3"/>
        <v>1</v>
      </c>
    </row>
    <row r="24" spans="1:23" s="138" customFormat="1" ht="18.600000000000001" customHeight="1" x14ac:dyDescent="0.3">
      <c r="A24" s="120"/>
      <c r="B24" s="143"/>
      <c r="C24" s="134"/>
      <c r="D24" s="146"/>
      <c r="E24" s="314"/>
      <c r="F24" s="315"/>
      <c r="G24" s="147">
        <f t="shared" si="0"/>
        <v>1</v>
      </c>
      <c r="H24" s="165"/>
      <c r="I24" s="145"/>
      <c r="J24" s="314"/>
      <c r="K24" s="315"/>
      <c r="L24" s="147">
        <f t="shared" si="1"/>
        <v>1</v>
      </c>
      <c r="M24" s="167"/>
      <c r="N24" s="145"/>
      <c r="O24" s="314">
        <v>7.4999999999999997E-2</v>
      </c>
      <c r="P24" s="315"/>
      <c r="Q24" s="147">
        <f t="shared" si="2"/>
        <v>1</v>
      </c>
      <c r="R24" s="167"/>
      <c r="S24" s="145"/>
      <c r="T24" s="314"/>
      <c r="U24" s="315"/>
      <c r="V24" s="147">
        <f t="shared" si="3"/>
        <v>1</v>
      </c>
    </row>
    <row r="25" spans="1:23" s="138" customFormat="1" ht="18.600000000000001" customHeight="1" x14ac:dyDescent="0.3">
      <c r="A25" s="120"/>
      <c r="B25" s="143"/>
      <c r="C25" s="134"/>
      <c r="D25" s="146"/>
      <c r="E25" s="314"/>
      <c r="F25" s="315"/>
      <c r="G25" s="147">
        <f t="shared" si="0"/>
        <v>1</v>
      </c>
      <c r="H25" s="165"/>
      <c r="I25" s="145"/>
      <c r="J25" s="314"/>
      <c r="K25" s="315"/>
      <c r="L25" s="147">
        <f t="shared" si="1"/>
        <v>1</v>
      </c>
      <c r="M25" s="167"/>
      <c r="N25" s="145"/>
      <c r="O25" s="314">
        <v>0.03</v>
      </c>
      <c r="P25" s="315"/>
      <c r="Q25" s="147">
        <f>1-P25</f>
        <v>1</v>
      </c>
      <c r="R25" s="167"/>
      <c r="S25" s="145"/>
      <c r="T25" s="314"/>
      <c r="U25" s="315"/>
      <c r="V25" s="147">
        <f t="shared" si="3"/>
        <v>1</v>
      </c>
    </row>
    <row r="26" spans="1:23" s="138" customFormat="1" ht="18.600000000000001" customHeight="1" x14ac:dyDescent="0.3">
      <c r="A26" s="120"/>
      <c r="B26" s="143"/>
      <c r="C26" s="134"/>
      <c r="D26" s="146"/>
      <c r="E26" s="314"/>
      <c r="F26" s="315"/>
      <c r="G26" s="147">
        <f t="shared" si="0"/>
        <v>1</v>
      </c>
      <c r="H26" s="165"/>
      <c r="I26" s="145"/>
      <c r="J26" s="314"/>
      <c r="K26" s="315"/>
      <c r="L26" s="147">
        <f t="shared" si="1"/>
        <v>1</v>
      </c>
      <c r="M26" s="167"/>
      <c r="N26" s="145"/>
      <c r="O26" s="314">
        <v>5.0000000000000001E-3</v>
      </c>
      <c r="P26" s="315"/>
      <c r="Q26" s="147">
        <f t="shared" si="2"/>
        <v>1</v>
      </c>
      <c r="R26" s="167"/>
      <c r="S26" s="145"/>
      <c r="T26" s="314"/>
      <c r="U26" s="315"/>
      <c r="V26" s="147">
        <f t="shared" si="3"/>
        <v>1</v>
      </c>
    </row>
    <row r="27" spans="1:23" s="138" customFormat="1" ht="18.600000000000001" customHeight="1" x14ac:dyDescent="0.3">
      <c r="A27" s="120"/>
      <c r="B27" s="143"/>
      <c r="C27" s="134"/>
      <c r="D27" s="146"/>
      <c r="E27" s="314"/>
      <c r="F27" s="315"/>
      <c r="G27" s="147">
        <f t="shared" si="0"/>
        <v>1</v>
      </c>
      <c r="H27" s="165"/>
      <c r="I27" s="145"/>
      <c r="J27" s="314"/>
      <c r="K27" s="315"/>
      <c r="L27" s="147">
        <f t="shared" si="1"/>
        <v>1</v>
      </c>
      <c r="M27" s="167"/>
      <c r="N27" s="145"/>
      <c r="O27" s="314">
        <v>1.5E-3</v>
      </c>
      <c r="P27" s="315"/>
      <c r="Q27" s="147">
        <f t="shared" si="2"/>
        <v>1</v>
      </c>
      <c r="R27" s="167"/>
      <c r="S27" s="145"/>
      <c r="T27" s="314"/>
      <c r="U27" s="315"/>
      <c r="V27" s="147">
        <f t="shared" si="3"/>
        <v>1</v>
      </c>
    </row>
    <row r="28" spans="1:23" s="138" customFormat="1" ht="43.2" customHeight="1" thickBot="1" x14ac:dyDescent="0.35">
      <c r="A28" s="120"/>
      <c r="B28" s="148"/>
      <c r="C28" s="173"/>
      <c r="D28" s="168" t="s">
        <v>194</v>
      </c>
      <c r="E28" s="169">
        <f>+MAX(F32:F46)</f>
        <v>1.5E-3</v>
      </c>
      <c r="F28" s="36" t="s">
        <v>21</v>
      </c>
      <c r="G28" s="149"/>
      <c r="H28" s="178"/>
      <c r="I28" s="171"/>
      <c r="J28" s="168" t="s">
        <v>194</v>
      </c>
      <c r="K28" s="169">
        <f>+MAX(K32:K46)</f>
        <v>1.5E-3</v>
      </c>
      <c r="L28" s="229" t="s">
        <v>21</v>
      </c>
      <c r="M28" s="178"/>
      <c r="N28" s="171"/>
      <c r="O28" s="168" t="s">
        <v>194</v>
      </c>
      <c r="P28" s="169">
        <f>+MAX(P32:P46)</f>
        <v>1.5E-3</v>
      </c>
      <c r="Q28" s="230" t="s">
        <v>21</v>
      </c>
      <c r="R28" s="178"/>
      <c r="S28" s="171"/>
      <c r="T28" s="168" t="s">
        <v>194</v>
      </c>
      <c r="U28" s="169">
        <f>+MAX(U32:U46)</f>
        <v>1.5E-3</v>
      </c>
      <c r="V28" s="230" t="s">
        <v>21</v>
      </c>
    </row>
    <row r="29" spans="1:23" s="151" customFormat="1" ht="267" customHeight="1" x14ac:dyDescent="0.3">
      <c r="A29" s="150"/>
      <c r="B29" s="180"/>
      <c r="C29" s="180"/>
      <c r="D29" s="181"/>
      <c r="E29" s="180"/>
      <c r="F29" s="182"/>
      <c r="G29" s="183"/>
      <c r="H29" s="184"/>
      <c r="I29" s="185"/>
      <c r="J29" s="181"/>
      <c r="K29" s="182"/>
      <c r="L29" s="183"/>
      <c r="M29" s="184"/>
      <c r="N29" s="185"/>
      <c r="O29" s="181"/>
      <c r="P29" s="182"/>
      <c r="Q29" s="183"/>
      <c r="R29" s="184"/>
      <c r="S29" s="185"/>
      <c r="T29" s="181"/>
      <c r="U29" s="182"/>
      <c r="V29" s="183"/>
      <c r="W29" s="179"/>
    </row>
    <row r="30" spans="1:23" s="252" customFormat="1" ht="358.8" customHeight="1" thickBot="1" x14ac:dyDescent="0.35">
      <c r="A30" s="250"/>
      <c r="B30" s="354" t="s">
        <v>112</v>
      </c>
      <c r="C30" s="354"/>
      <c r="D30" s="354"/>
      <c r="E30" s="354"/>
      <c r="F30" s="354"/>
      <c r="G30" s="354"/>
      <c r="H30" s="354"/>
      <c r="I30" s="354"/>
      <c r="J30" s="354"/>
      <c r="K30" s="354"/>
      <c r="L30" s="354"/>
      <c r="M30" s="354"/>
      <c r="N30" s="354"/>
      <c r="O30" s="354"/>
      <c r="P30" s="354"/>
      <c r="Q30" s="354"/>
      <c r="R30" s="354"/>
      <c r="S30" s="354"/>
      <c r="T30" s="354"/>
      <c r="U30" s="354"/>
      <c r="V30" s="354"/>
      <c r="W30" s="251"/>
    </row>
    <row r="31" spans="1:23" s="264" customFormat="1" ht="76.2" customHeight="1" x14ac:dyDescent="0.3">
      <c r="A31" s="253"/>
      <c r="B31" s="254"/>
      <c r="C31" s="255"/>
      <c r="D31" s="255"/>
      <c r="E31" s="256" t="str">
        <f>E11</f>
        <v>Grain Size from Sieve (mm of Sieve)</v>
      </c>
      <c r="F31" s="257" t="s">
        <v>235</v>
      </c>
      <c r="G31" s="258"/>
      <c r="H31" s="259"/>
      <c r="I31" s="260"/>
      <c r="J31" s="261" t="str">
        <f>J11</f>
        <v>Grain Size from Sieve (mm of Sieve)</v>
      </c>
      <c r="K31" s="257" t="s">
        <v>235</v>
      </c>
      <c r="L31" s="258"/>
      <c r="M31" s="259"/>
      <c r="N31" s="260"/>
      <c r="O31" s="261" t="str">
        <f>O11</f>
        <v>Grain Size from Sieve (mm of Sieve)</v>
      </c>
      <c r="P31" s="257" t="s">
        <v>235</v>
      </c>
      <c r="Q31" s="258"/>
      <c r="R31" s="259"/>
      <c r="S31" s="260"/>
      <c r="T31" s="261" t="str">
        <f>T11</f>
        <v>Grain Size from Sieve (mm of Sieve)</v>
      </c>
      <c r="U31" s="257" t="s">
        <v>235</v>
      </c>
      <c r="V31" s="262"/>
      <c r="W31" s="263"/>
    </row>
    <row r="32" spans="1:23" s="264" customFormat="1" ht="22.2" customHeight="1" x14ac:dyDescent="0.3">
      <c r="A32" s="253"/>
      <c r="B32" s="265"/>
      <c r="C32" s="266"/>
      <c r="D32" s="266"/>
      <c r="E32" s="267">
        <f>+IF(AND(F13&gt;=10%,F14&lt;=10%),E13,IF(AND(F13&lt;=10%,F12&gt;=10%),E13,0))</f>
        <v>0</v>
      </c>
      <c r="F32" s="268">
        <f t="shared" ref="F32:F45" si="4">+IF(E32*E33&gt;0,E13-(F13-10%)/(F13-F14)*(E13-E14),0)</f>
        <v>0</v>
      </c>
      <c r="G32" s="269"/>
      <c r="H32" s="270"/>
      <c r="I32" s="266"/>
      <c r="J32" s="268">
        <f>+IF(AND(K13&gt;=10%,K14&lt;=10%),J13,IF(AND(K13&lt;=10%,K12&gt;=10%),J13,0))</f>
        <v>0</v>
      </c>
      <c r="K32" s="268">
        <f t="shared" ref="K32:K45" si="5">+IF(J32*J33&gt;0,J13-(K13-10%)/(K13-K14)*(J13-J14),0)</f>
        <v>0</v>
      </c>
      <c r="L32" s="269"/>
      <c r="M32" s="270"/>
      <c r="N32" s="266"/>
      <c r="O32" s="268">
        <f>+IF(AND(P13&gt;=10%,P14&lt;=10%),O13,IF(AND(P13&lt;=10%,P12&gt;=10%),O13,0))</f>
        <v>0</v>
      </c>
      <c r="P32" s="268">
        <f>+IF(O32*O33&gt;0,O13-(P13-10%)/(P13-P14)*(O13-O14),0)</f>
        <v>0</v>
      </c>
      <c r="Q32" s="269"/>
      <c r="R32" s="270"/>
      <c r="S32" s="266"/>
      <c r="T32" s="268">
        <f t="shared" ref="T32:T45" si="6">+IF(AND(U13&gt;10%,U14&lt;10%),T13,IF(AND(U13&lt;10%,U12&gt;10%),T13,0))</f>
        <v>0</v>
      </c>
      <c r="U32" s="268">
        <f t="shared" ref="U32:U45" si="7">+IF(T32*T33&gt;0,T13-(U13-10%)/(U13-U14)*(T13-T14),0)</f>
        <v>0</v>
      </c>
      <c r="V32" s="271"/>
      <c r="W32" s="263"/>
    </row>
    <row r="33" spans="1:23" s="264" customFormat="1" ht="22.2" customHeight="1" x14ac:dyDescent="0.3">
      <c r="A33" s="253"/>
      <c r="B33" s="265"/>
      <c r="C33" s="266"/>
      <c r="D33" s="266"/>
      <c r="E33" s="267">
        <f t="shared" ref="E33:E46" si="8">+IF(AND(F14&gt;=10%,F15&lt;=10%),E14,IF(AND(F14&lt;=10%,F13&gt;=10%),E14,0))</f>
        <v>0</v>
      </c>
      <c r="F33" s="268">
        <f t="shared" si="4"/>
        <v>0</v>
      </c>
      <c r="G33" s="269"/>
      <c r="H33" s="270"/>
      <c r="I33" s="266"/>
      <c r="J33" s="268">
        <f t="shared" ref="J33:J45" si="9">+IF(AND(K14&gt;=10%,K15&lt;=10%),J14,IF(AND(K14&lt;=10%,K13&gt;=10%),J14,0))</f>
        <v>0</v>
      </c>
      <c r="K33" s="268">
        <f>+IF(J33*J34&gt;0,J14-(K14-10%)/(K14-K15)*(J14-J15),0)</f>
        <v>0</v>
      </c>
      <c r="L33" s="269"/>
      <c r="M33" s="270"/>
      <c r="N33" s="266"/>
      <c r="O33" s="268">
        <f t="shared" ref="O33:O45" si="10">+IF(AND(P14&gt;=10%,P15&lt;=10%),O14,IF(AND(P14&lt;=10%,P13&gt;=10%),O14,0))</f>
        <v>0</v>
      </c>
      <c r="P33" s="268">
        <f>+IF(O33*O34&gt;0,O14-(P14-10%)/(P14-P15)*(O14-O15),0)</f>
        <v>0</v>
      </c>
      <c r="Q33" s="269"/>
      <c r="R33" s="270"/>
      <c r="S33" s="266"/>
      <c r="T33" s="268">
        <f t="shared" si="6"/>
        <v>0</v>
      </c>
      <c r="U33" s="268">
        <f>+IF(T33*T34&gt;0,T14-(U14-10%)/(U14-U15)*(T14-T15),0)</f>
        <v>0</v>
      </c>
      <c r="V33" s="271"/>
      <c r="W33" s="263"/>
    </row>
    <row r="34" spans="1:23" s="264" customFormat="1" ht="22.2" customHeight="1" x14ac:dyDescent="0.3">
      <c r="A34" s="253"/>
      <c r="B34" s="265"/>
      <c r="C34" s="266"/>
      <c r="D34" s="266"/>
      <c r="E34" s="267">
        <f t="shared" si="8"/>
        <v>0</v>
      </c>
      <c r="F34" s="268">
        <f t="shared" si="4"/>
        <v>0</v>
      </c>
      <c r="G34" s="269"/>
      <c r="H34" s="270"/>
      <c r="I34" s="266"/>
      <c r="J34" s="268">
        <f t="shared" si="9"/>
        <v>0</v>
      </c>
      <c r="K34" s="268">
        <f t="shared" si="5"/>
        <v>0</v>
      </c>
      <c r="L34" s="269"/>
      <c r="M34" s="270"/>
      <c r="N34" s="266"/>
      <c r="O34" s="268">
        <f t="shared" si="10"/>
        <v>0</v>
      </c>
      <c r="P34" s="268">
        <f t="shared" ref="P34:P45" si="11">+IF(O34*O35&gt;0,O15-(P15-10%)/(P15-P16)*(O15-O16),0)</f>
        <v>0</v>
      </c>
      <c r="Q34" s="269"/>
      <c r="R34" s="270"/>
      <c r="S34" s="266"/>
      <c r="T34" s="268">
        <f t="shared" si="6"/>
        <v>0</v>
      </c>
      <c r="U34" s="268">
        <f t="shared" si="7"/>
        <v>0</v>
      </c>
      <c r="V34" s="271"/>
      <c r="W34" s="263"/>
    </row>
    <row r="35" spans="1:23" s="279" customFormat="1" ht="22.2" customHeight="1" x14ac:dyDescent="0.3">
      <c r="A35" s="272"/>
      <c r="B35" s="265"/>
      <c r="C35" s="273"/>
      <c r="D35" s="273"/>
      <c r="E35" s="267">
        <f t="shared" si="8"/>
        <v>0</v>
      </c>
      <c r="F35" s="268">
        <f t="shared" si="4"/>
        <v>0</v>
      </c>
      <c r="G35" s="274"/>
      <c r="H35" s="275"/>
      <c r="I35" s="266"/>
      <c r="J35" s="268">
        <f t="shared" si="9"/>
        <v>0</v>
      </c>
      <c r="K35" s="268">
        <f t="shared" si="5"/>
        <v>0</v>
      </c>
      <c r="L35" s="274"/>
      <c r="M35" s="275"/>
      <c r="N35" s="266"/>
      <c r="O35" s="268">
        <f t="shared" si="10"/>
        <v>0</v>
      </c>
      <c r="P35" s="268">
        <f t="shared" si="11"/>
        <v>0</v>
      </c>
      <c r="Q35" s="276"/>
      <c r="R35" s="275"/>
      <c r="S35" s="266"/>
      <c r="T35" s="268">
        <f t="shared" si="6"/>
        <v>0</v>
      </c>
      <c r="U35" s="268">
        <f t="shared" si="7"/>
        <v>0</v>
      </c>
      <c r="V35" s="277"/>
      <c r="W35" s="278"/>
    </row>
    <row r="36" spans="1:23" s="279" customFormat="1" ht="22.2" customHeight="1" x14ac:dyDescent="0.3">
      <c r="A36" s="272"/>
      <c r="B36" s="265"/>
      <c r="C36" s="273"/>
      <c r="D36" s="273"/>
      <c r="E36" s="267">
        <f t="shared" si="8"/>
        <v>0</v>
      </c>
      <c r="F36" s="268">
        <f t="shared" si="4"/>
        <v>0</v>
      </c>
      <c r="G36" s="269"/>
      <c r="H36" s="275"/>
      <c r="I36" s="266"/>
      <c r="J36" s="268">
        <f t="shared" si="9"/>
        <v>0</v>
      </c>
      <c r="K36" s="268">
        <f t="shared" si="5"/>
        <v>0</v>
      </c>
      <c r="L36" s="274"/>
      <c r="M36" s="275"/>
      <c r="N36" s="266"/>
      <c r="O36" s="268">
        <f t="shared" si="10"/>
        <v>0</v>
      </c>
      <c r="P36" s="268">
        <f t="shared" si="11"/>
        <v>0</v>
      </c>
      <c r="Q36" s="276"/>
      <c r="R36" s="275"/>
      <c r="S36" s="266"/>
      <c r="T36" s="268">
        <f t="shared" si="6"/>
        <v>0</v>
      </c>
      <c r="U36" s="268">
        <f t="shared" si="7"/>
        <v>0</v>
      </c>
      <c r="V36" s="277"/>
      <c r="W36" s="278"/>
    </row>
    <row r="37" spans="1:23" s="279" customFormat="1" ht="22.2" customHeight="1" x14ac:dyDescent="0.3">
      <c r="A37" s="272"/>
      <c r="B37" s="265"/>
      <c r="C37" s="273"/>
      <c r="D37" s="273"/>
      <c r="E37" s="267">
        <f t="shared" si="8"/>
        <v>0</v>
      </c>
      <c r="F37" s="268">
        <f t="shared" si="4"/>
        <v>0</v>
      </c>
      <c r="G37" s="269"/>
      <c r="H37" s="275"/>
      <c r="I37" s="266"/>
      <c r="J37" s="268">
        <f t="shared" si="9"/>
        <v>0</v>
      </c>
      <c r="K37" s="268">
        <f t="shared" si="5"/>
        <v>0</v>
      </c>
      <c r="L37" s="274"/>
      <c r="M37" s="275"/>
      <c r="N37" s="266"/>
      <c r="O37" s="268">
        <f t="shared" si="10"/>
        <v>0</v>
      </c>
      <c r="P37" s="268">
        <f t="shared" si="11"/>
        <v>0</v>
      </c>
      <c r="Q37" s="276"/>
      <c r="R37" s="275"/>
      <c r="S37" s="266"/>
      <c r="T37" s="268">
        <f t="shared" si="6"/>
        <v>0</v>
      </c>
      <c r="U37" s="268">
        <f t="shared" si="7"/>
        <v>0</v>
      </c>
      <c r="V37" s="277"/>
      <c r="W37" s="278"/>
    </row>
    <row r="38" spans="1:23" s="279" customFormat="1" ht="22.2" customHeight="1" x14ac:dyDescent="0.3">
      <c r="A38" s="272"/>
      <c r="B38" s="265"/>
      <c r="C38" s="273"/>
      <c r="D38" s="273"/>
      <c r="E38" s="267">
        <f t="shared" si="8"/>
        <v>0</v>
      </c>
      <c r="F38" s="268">
        <f t="shared" si="4"/>
        <v>0</v>
      </c>
      <c r="G38" s="269"/>
      <c r="H38" s="275"/>
      <c r="I38" s="266"/>
      <c r="J38" s="268">
        <f t="shared" si="9"/>
        <v>0</v>
      </c>
      <c r="K38" s="268">
        <f t="shared" si="5"/>
        <v>0</v>
      </c>
      <c r="L38" s="274"/>
      <c r="M38" s="275"/>
      <c r="N38" s="266"/>
      <c r="O38" s="268">
        <f t="shared" si="10"/>
        <v>0</v>
      </c>
      <c r="P38" s="268">
        <f t="shared" si="11"/>
        <v>0</v>
      </c>
      <c r="Q38" s="276"/>
      <c r="R38" s="275"/>
      <c r="S38" s="266"/>
      <c r="T38" s="268">
        <f t="shared" si="6"/>
        <v>0</v>
      </c>
      <c r="U38" s="268">
        <f t="shared" si="7"/>
        <v>0</v>
      </c>
      <c r="V38" s="277"/>
      <c r="W38" s="278"/>
    </row>
    <row r="39" spans="1:23" s="279" customFormat="1" ht="22.2" customHeight="1" x14ac:dyDescent="0.3">
      <c r="A39" s="272"/>
      <c r="B39" s="265"/>
      <c r="C39" s="273"/>
      <c r="D39" s="273"/>
      <c r="E39" s="267">
        <f t="shared" si="8"/>
        <v>0</v>
      </c>
      <c r="F39" s="268">
        <f t="shared" si="4"/>
        <v>0</v>
      </c>
      <c r="G39" s="269"/>
      <c r="H39" s="275"/>
      <c r="I39" s="266"/>
      <c r="J39" s="268">
        <f t="shared" si="9"/>
        <v>0</v>
      </c>
      <c r="K39" s="268">
        <f t="shared" si="5"/>
        <v>0</v>
      </c>
      <c r="L39" s="274"/>
      <c r="M39" s="275"/>
      <c r="N39" s="266"/>
      <c r="O39" s="268">
        <f t="shared" si="10"/>
        <v>0</v>
      </c>
      <c r="P39" s="268">
        <f t="shared" si="11"/>
        <v>0</v>
      </c>
      <c r="Q39" s="276"/>
      <c r="R39" s="275"/>
      <c r="S39" s="266"/>
      <c r="T39" s="268">
        <f t="shared" si="6"/>
        <v>0</v>
      </c>
      <c r="U39" s="268">
        <f t="shared" si="7"/>
        <v>0</v>
      </c>
      <c r="V39" s="277"/>
      <c r="W39" s="278"/>
    </row>
    <row r="40" spans="1:23" s="279" customFormat="1" ht="22.2" customHeight="1" x14ac:dyDescent="0.3">
      <c r="A40" s="272"/>
      <c r="B40" s="265"/>
      <c r="C40" s="273"/>
      <c r="D40" s="273"/>
      <c r="E40" s="267">
        <f t="shared" si="8"/>
        <v>0</v>
      </c>
      <c r="F40" s="268">
        <f t="shared" si="4"/>
        <v>0</v>
      </c>
      <c r="G40" s="269"/>
      <c r="H40" s="275"/>
      <c r="I40" s="266"/>
      <c r="J40" s="268">
        <f t="shared" si="9"/>
        <v>0</v>
      </c>
      <c r="K40" s="268">
        <f t="shared" si="5"/>
        <v>0</v>
      </c>
      <c r="L40" s="274"/>
      <c r="M40" s="275"/>
      <c r="N40" s="266"/>
      <c r="O40" s="268">
        <f t="shared" si="10"/>
        <v>0</v>
      </c>
      <c r="P40" s="268">
        <f t="shared" si="11"/>
        <v>0</v>
      </c>
      <c r="Q40" s="276"/>
      <c r="R40" s="275"/>
      <c r="S40" s="266"/>
      <c r="T40" s="268">
        <f t="shared" si="6"/>
        <v>0</v>
      </c>
      <c r="U40" s="268">
        <f t="shared" si="7"/>
        <v>0</v>
      </c>
      <c r="V40" s="277"/>
      <c r="W40" s="278"/>
    </row>
    <row r="41" spans="1:23" s="279" customFormat="1" ht="22.2" customHeight="1" x14ac:dyDescent="0.3">
      <c r="A41" s="272"/>
      <c r="B41" s="265"/>
      <c r="C41" s="273"/>
      <c r="D41" s="273"/>
      <c r="E41" s="267">
        <f t="shared" si="8"/>
        <v>0</v>
      </c>
      <c r="F41" s="268">
        <f>+IF(E41*E42&gt;0,E22-(F22-10%)/(F22-F23)*(E22-E23),0)</f>
        <v>0</v>
      </c>
      <c r="G41" s="269"/>
      <c r="H41" s="275"/>
      <c r="I41" s="266"/>
      <c r="J41" s="268">
        <f t="shared" si="9"/>
        <v>0</v>
      </c>
      <c r="K41" s="268">
        <f t="shared" si="5"/>
        <v>0</v>
      </c>
      <c r="L41" s="274"/>
      <c r="M41" s="275"/>
      <c r="N41" s="266"/>
      <c r="O41" s="268">
        <f t="shared" si="10"/>
        <v>0</v>
      </c>
      <c r="P41" s="268">
        <f t="shared" si="11"/>
        <v>0</v>
      </c>
      <c r="Q41" s="276"/>
      <c r="R41" s="275"/>
      <c r="S41" s="266"/>
      <c r="T41" s="268">
        <f t="shared" si="6"/>
        <v>0</v>
      </c>
      <c r="U41" s="268">
        <f t="shared" si="7"/>
        <v>0</v>
      </c>
      <c r="V41" s="277"/>
      <c r="W41" s="278"/>
    </row>
    <row r="42" spans="1:23" s="279" customFormat="1" ht="22.2" customHeight="1" x14ac:dyDescent="0.3">
      <c r="A42" s="272"/>
      <c r="B42" s="265"/>
      <c r="C42" s="273"/>
      <c r="D42" s="273"/>
      <c r="E42" s="267">
        <f t="shared" si="8"/>
        <v>0</v>
      </c>
      <c r="F42" s="268">
        <f t="shared" si="4"/>
        <v>0</v>
      </c>
      <c r="G42" s="269"/>
      <c r="H42" s="275"/>
      <c r="I42" s="266"/>
      <c r="J42" s="268">
        <f t="shared" si="9"/>
        <v>0</v>
      </c>
      <c r="K42" s="268">
        <f t="shared" si="5"/>
        <v>0</v>
      </c>
      <c r="L42" s="274"/>
      <c r="M42" s="275"/>
      <c r="N42" s="266"/>
      <c r="O42" s="268">
        <f t="shared" si="10"/>
        <v>0</v>
      </c>
      <c r="P42" s="268">
        <f t="shared" si="11"/>
        <v>0</v>
      </c>
      <c r="Q42" s="276"/>
      <c r="R42" s="275"/>
      <c r="S42" s="266"/>
      <c r="T42" s="268">
        <f t="shared" si="6"/>
        <v>0</v>
      </c>
      <c r="U42" s="268">
        <f t="shared" si="7"/>
        <v>0</v>
      </c>
      <c r="V42" s="277"/>
      <c r="W42" s="278"/>
    </row>
    <row r="43" spans="1:23" s="279" customFormat="1" ht="22.2" customHeight="1" x14ac:dyDescent="0.3">
      <c r="A43" s="272"/>
      <c r="B43" s="265"/>
      <c r="C43" s="273"/>
      <c r="D43" s="273"/>
      <c r="E43" s="267">
        <f t="shared" si="8"/>
        <v>0</v>
      </c>
      <c r="F43" s="268">
        <f t="shared" si="4"/>
        <v>0</v>
      </c>
      <c r="G43" s="269"/>
      <c r="H43" s="275"/>
      <c r="I43" s="266"/>
      <c r="J43" s="268">
        <f t="shared" si="9"/>
        <v>0</v>
      </c>
      <c r="K43" s="268">
        <f t="shared" si="5"/>
        <v>0</v>
      </c>
      <c r="L43" s="274"/>
      <c r="M43" s="275"/>
      <c r="N43" s="266"/>
      <c r="O43" s="268">
        <f t="shared" si="10"/>
        <v>0</v>
      </c>
      <c r="P43" s="268">
        <f t="shared" si="11"/>
        <v>0</v>
      </c>
      <c r="Q43" s="276"/>
      <c r="R43" s="275"/>
      <c r="S43" s="266"/>
      <c r="T43" s="268">
        <f t="shared" si="6"/>
        <v>0</v>
      </c>
      <c r="U43" s="268">
        <f t="shared" si="7"/>
        <v>0</v>
      </c>
      <c r="V43" s="277"/>
      <c r="W43" s="278"/>
    </row>
    <row r="44" spans="1:23" s="279" customFormat="1" ht="22.2" customHeight="1" x14ac:dyDescent="0.3">
      <c r="A44" s="272"/>
      <c r="B44" s="265"/>
      <c r="C44" s="273"/>
      <c r="D44" s="273"/>
      <c r="E44" s="267">
        <f t="shared" si="8"/>
        <v>0</v>
      </c>
      <c r="F44" s="268">
        <f t="shared" si="4"/>
        <v>0</v>
      </c>
      <c r="G44" s="269"/>
      <c r="H44" s="275"/>
      <c r="I44" s="266"/>
      <c r="J44" s="268">
        <f t="shared" si="9"/>
        <v>0</v>
      </c>
      <c r="K44" s="268">
        <f t="shared" si="5"/>
        <v>0</v>
      </c>
      <c r="L44" s="274"/>
      <c r="M44" s="275"/>
      <c r="N44" s="266"/>
      <c r="O44" s="268">
        <f t="shared" si="10"/>
        <v>0</v>
      </c>
      <c r="P44" s="268">
        <f t="shared" si="11"/>
        <v>0</v>
      </c>
      <c r="Q44" s="276"/>
      <c r="R44" s="275"/>
      <c r="S44" s="266"/>
      <c r="T44" s="268">
        <f t="shared" si="6"/>
        <v>0</v>
      </c>
      <c r="U44" s="268">
        <f t="shared" si="7"/>
        <v>0</v>
      </c>
      <c r="V44" s="277"/>
      <c r="W44" s="278"/>
    </row>
    <row r="45" spans="1:23" s="279" customFormat="1" ht="22.2" customHeight="1" x14ac:dyDescent="0.3">
      <c r="A45" s="272"/>
      <c r="B45" s="265"/>
      <c r="C45" s="273"/>
      <c r="D45" s="273"/>
      <c r="E45" s="267">
        <f t="shared" si="8"/>
        <v>0</v>
      </c>
      <c r="F45" s="280">
        <f t="shared" si="4"/>
        <v>0</v>
      </c>
      <c r="G45" s="269"/>
      <c r="H45" s="275"/>
      <c r="I45" s="266"/>
      <c r="J45" s="268">
        <f t="shared" si="9"/>
        <v>0</v>
      </c>
      <c r="K45" s="280">
        <f t="shared" si="5"/>
        <v>0</v>
      </c>
      <c r="L45" s="274"/>
      <c r="M45" s="275"/>
      <c r="N45" s="266"/>
      <c r="O45" s="268">
        <f t="shared" si="10"/>
        <v>0</v>
      </c>
      <c r="P45" s="280">
        <f t="shared" si="11"/>
        <v>0</v>
      </c>
      <c r="Q45" s="276"/>
      <c r="R45" s="275"/>
      <c r="S45" s="266"/>
      <c r="T45" s="268">
        <f t="shared" si="6"/>
        <v>0</v>
      </c>
      <c r="U45" s="280">
        <f t="shared" si="7"/>
        <v>0</v>
      </c>
      <c r="V45" s="277"/>
      <c r="W45" s="278"/>
    </row>
    <row r="46" spans="1:23" s="284" customFormat="1" ht="22.2" customHeight="1" x14ac:dyDescent="0.3">
      <c r="A46" s="253"/>
      <c r="B46" s="265"/>
      <c r="C46" s="273"/>
      <c r="D46" s="273"/>
      <c r="E46" s="267">
        <f t="shared" si="8"/>
        <v>0</v>
      </c>
      <c r="F46" s="281">
        <f>IF(SUM(F32:F45)&gt;0,0,0.0015)</f>
        <v>1.5E-3</v>
      </c>
      <c r="G46" s="269"/>
      <c r="H46" s="282"/>
      <c r="I46" s="266"/>
      <c r="J46" s="268">
        <f>+IF(AND(K27&gt;10%,K31&lt;10%),J27,IF(AND(K27&lt;10%,K26&gt;10%),J27,0))</f>
        <v>0</v>
      </c>
      <c r="K46" s="281">
        <f>IF(SUM(K32:K45)&gt;0,0,0.0015)</f>
        <v>1.5E-3</v>
      </c>
      <c r="L46" s="275"/>
      <c r="M46" s="275"/>
      <c r="N46" s="266"/>
      <c r="O46" s="268">
        <f>+IF(AND(P27&gt;10%,P31&lt;10%),O27,IF(AND(P27&lt;10%,P26&gt;10%),O27,0))</f>
        <v>0</v>
      </c>
      <c r="P46" s="281">
        <f>IF(SUM(P32:P45)&gt;0,0,0.0015)</f>
        <v>1.5E-3</v>
      </c>
      <c r="Q46" s="282"/>
      <c r="R46" s="275"/>
      <c r="S46" s="266"/>
      <c r="T46" s="268">
        <f>+IF(AND(U27&gt;10%,U31&lt;10%),T27,IF(AND(U27&lt;10%,U26&gt;10%),T27,0))</f>
        <v>0</v>
      </c>
      <c r="U46" s="281">
        <f>IF(SUM(U32:U45)&gt;0,0,0.0015)</f>
        <v>1.5E-3</v>
      </c>
      <c r="V46" s="277"/>
      <c r="W46" s="283"/>
    </row>
    <row r="47" spans="1:23" s="279" customFormat="1" ht="15" thickBot="1" x14ac:dyDescent="0.35">
      <c r="A47" s="272"/>
      <c r="B47" s="285"/>
      <c r="C47" s="286"/>
      <c r="D47" s="287"/>
      <c r="E47" s="286"/>
      <c r="F47" s="288"/>
      <c r="G47" s="289"/>
      <c r="H47" s="289"/>
      <c r="I47" s="290"/>
      <c r="J47" s="287"/>
      <c r="K47" s="291"/>
      <c r="L47" s="289"/>
      <c r="M47" s="289"/>
      <c r="N47" s="290"/>
      <c r="O47" s="287"/>
      <c r="P47" s="286"/>
      <c r="Q47" s="286"/>
      <c r="R47" s="289"/>
      <c r="S47" s="290"/>
      <c r="T47" s="287"/>
      <c r="U47" s="286"/>
      <c r="V47" s="292"/>
      <c r="W47" s="278"/>
    </row>
    <row r="48" spans="1:23" s="279" customFormat="1" x14ac:dyDescent="0.3">
      <c r="B48" s="293"/>
      <c r="C48" s="294"/>
      <c r="D48" s="294"/>
      <c r="E48" s="294"/>
      <c r="F48" s="293"/>
      <c r="G48" s="293"/>
      <c r="H48" s="293"/>
      <c r="I48" s="295"/>
      <c r="J48" s="294"/>
      <c r="K48" s="296"/>
      <c r="L48" s="293"/>
      <c r="M48" s="293"/>
      <c r="N48" s="295"/>
      <c r="O48" s="294"/>
      <c r="P48" s="294"/>
      <c r="Q48" s="294"/>
      <c r="R48" s="293"/>
      <c r="S48" s="295"/>
      <c r="T48" s="294"/>
      <c r="U48" s="294"/>
      <c r="V48" s="294"/>
    </row>
    <row r="49" spans="2:19" s="298" customFormat="1" x14ac:dyDescent="0.3">
      <c r="B49" s="297"/>
      <c r="F49" s="297"/>
      <c r="G49" s="297"/>
      <c r="H49" s="297"/>
      <c r="I49" s="299"/>
      <c r="K49" s="300"/>
      <c r="L49" s="297"/>
      <c r="M49" s="297"/>
      <c r="N49" s="299"/>
      <c r="R49" s="297"/>
      <c r="S49" s="299"/>
    </row>
  </sheetData>
  <sheetProtection algorithmName="SHA-512" hashValue="pXtSNoZJGgB33R/AOzXlXoNBmhrgZSKJzLpdp56jQbk3DA46yu3A1/HQBnzZdgBfx15kpGpkXba/3Em/l6vjzA==" saltValue="eAealUyI5LP7sFuOGp6JHQ==" spinCount="100000" sheet="1" selectLockedCells="1"/>
  <customSheetViews>
    <customSheetView guid="{83402344-CCA8-40B9-B57E-B9AC5DEAD45E}" scale="70" fitToPage="1" topLeftCell="A4">
      <selection activeCell="D10" sqref="D10"/>
      <pageMargins left="0.7" right="0.7" top="0.75" bottom="0.75" header="0.3" footer="0.3"/>
      <printOptions headings="1" gridLines="1"/>
      <pageSetup scale="41" orientation="landscape" r:id="rId1"/>
    </customSheetView>
  </customSheetViews>
  <mergeCells count="5">
    <mergeCell ref="C8:G8"/>
    <mergeCell ref="I8:L8"/>
    <mergeCell ref="N8:Q8"/>
    <mergeCell ref="S8:V8"/>
    <mergeCell ref="B30:V30"/>
  </mergeCells>
  <conditionalFormatting sqref="B11:G12 B28:G28 B13:D27 G13:G27">
    <cfRule type="expression" dxfId="13" priority="17">
      <formula>$B$7=1</formula>
    </cfRule>
  </conditionalFormatting>
  <conditionalFormatting sqref="B10:G10">
    <cfRule type="expression" dxfId="12" priority="16">
      <formula>$B$7=2</formula>
    </cfRule>
  </conditionalFormatting>
  <conditionalFormatting sqref="I10:L10">
    <cfRule type="expression" dxfId="11" priority="15">
      <formula>$I$7=2</formula>
    </cfRule>
  </conditionalFormatting>
  <conditionalFormatting sqref="N10:Q10">
    <cfRule type="expression" dxfId="10" priority="14">
      <formula>$N$7=2</formula>
    </cfRule>
  </conditionalFormatting>
  <conditionalFormatting sqref="I11:L12 I28:L28 I13:I27 L13:L27">
    <cfRule type="expression" dxfId="9" priority="13">
      <formula>$I$7=1</formula>
    </cfRule>
  </conditionalFormatting>
  <conditionalFormatting sqref="N11:Q12 N28:Q28 N13:N27 P13:Q27">
    <cfRule type="expression" dxfId="8" priority="12">
      <formula>$N$7=1</formula>
    </cfRule>
  </conditionalFormatting>
  <conditionalFormatting sqref="S11:V12 S28:V28 S13:S27 U13:V27">
    <cfRule type="expression" dxfId="7" priority="10">
      <formula>$S$7=1</formula>
    </cfRule>
  </conditionalFormatting>
  <conditionalFormatting sqref="S10:V10">
    <cfRule type="expression" dxfId="6" priority="9">
      <formula>$S$7=2</formula>
    </cfRule>
  </conditionalFormatting>
  <conditionalFormatting sqref="F13:F27">
    <cfRule type="expression" dxfId="5" priority="7">
      <formula>$B$7=1</formula>
    </cfRule>
  </conditionalFormatting>
  <conditionalFormatting sqref="K13:K27">
    <cfRule type="expression" dxfId="4" priority="6">
      <formula>$I$7=1</formula>
    </cfRule>
  </conditionalFormatting>
  <conditionalFormatting sqref="E13:E27">
    <cfRule type="expression" dxfId="3" priority="4">
      <formula>$B$7=1</formula>
    </cfRule>
  </conditionalFormatting>
  <conditionalFormatting sqref="J13:J27">
    <cfRule type="expression" dxfId="2" priority="3">
      <formula>$I$7=1</formula>
    </cfRule>
  </conditionalFormatting>
  <conditionalFormatting sqref="O13:O27">
    <cfRule type="expression" dxfId="1" priority="2">
      <formula>$N$7=1</formula>
    </cfRule>
  </conditionalFormatting>
  <conditionalFormatting sqref="T13:T27">
    <cfRule type="expression" dxfId="0" priority="1">
      <formula>$S$7=1</formula>
    </cfRule>
  </conditionalFormatting>
  <printOptions headings="1" gridLines="1"/>
  <pageMargins left="0.7" right="0.7" top="0.75" bottom="0.75" header="0.3" footer="0.3"/>
  <pageSetup scale="4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pageSetUpPr fitToPage="1"/>
  </sheetPr>
  <dimension ref="A1:L34"/>
  <sheetViews>
    <sheetView zoomScale="90" zoomScaleNormal="90" workbookViewId="0">
      <selection activeCell="D11" sqref="D11"/>
    </sheetView>
  </sheetViews>
  <sheetFormatPr defaultRowHeight="14.4" x14ac:dyDescent="0.3"/>
  <cols>
    <col min="1" max="1" width="41.6640625" customWidth="1"/>
    <col min="2" max="2" width="45" customWidth="1"/>
    <col min="3" max="3" width="19.6640625" customWidth="1"/>
    <col min="4" max="4" width="15.44140625" style="12" customWidth="1"/>
    <col min="5" max="5" width="13.109375" style="10" customWidth="1"/>
    <col min="6" max="6" width="28.109375" customWidth="1"/>
    <col min="7" max="7" width="17.88671875" customWidth="1"/>
    <col min="10" max="11" width="10.33203125" customWidth="1"/>
    <col min="12" max="12" width="18" customWidth="1"/>
    <col min="14" max="14" width="31.109375" customWidth="1"/>
  </cols>
  <sheetData>
    <row r="1" spans="1:12" x14ac:dyDescent="0.3">
      <c r="D1"/>
      <c r="E1"/>
      <c r="F1" s="12"/>
      <c r="G1" s="10"/>
    </row>
    <row r="2" spans="1:12" s="11" customFormat="1" ht="54.6" customHeight="1" x14ac:dyDescent="0.3">
      <c r="A2" s="53" t="s">
        <v>93</v>
      </c>
      <c r="B2" s="53" t="s">
        <v>225</v>
      </c>
      <c r="C2" s="54" t="s">
        <v>41</v>
      </c>
      <c r="D2" s="54" t="s">
        <v>114</v>
      </c>
      <c r="E2" s="54" t="s">
        <v>220</v>
      </c>
      <c r="F2" s="97"/>
      <c r="G2" s="162" t="s">
        <v>39</v>
      </c>
      <c r="H2" s="163" t="s">
        <v>41</v>
      </c>
      <c r="I2" s="163" t="s">
        <v>114</v>
      </c>
      <c r="J2" s="163" t="s">
        <v>221</v>
      </c>
      <c r="K2" s="163" t="s">
        <v>179</v>
      </c>
      <c r="L2" s="163" t="s">
        <v>223</v>
      </c>
    </row>
    <row r="3" spans="1:12" x14ac:dyDescent="0.3">
      <c r="A3" t="s">
        <v>207</v>
      </c>
      <c r="B3" s="13" t="s">
        <v>207</v>
      </c>
      <c r="C3" s="8" t="s">
        <v>184</v>
      </c>
      <c r="D3" s="8">
        <v>0.02</v>
      </c>
      <c r="E3" s="8">
        <v>0.82450000000000001</v>
      </c>
      <c r="F3" s="97"/>
      <c r="G3" s="161">
        <f>'Summary Sheet'!$D$13</f>
        <v>0</v>
      </c>
      <c r="H3" s="157" t="e">
        <f>VLOOKUP(G3,B3:C16,2,FALSE)</f>
        <v>#N/A</v>
      </c>
      <c r="I3" s="157" t="e">
        <f>VLOOKUP(G3,B3:D16,3,FALSE)</f>
        <v>#N/A</v>
      </c>
      <c r="J3" s="157" t="e">
        <f>VLOOKUP(G3,B3:E16,4,FALSE)</f>
        <v>#N/A</v>
      </c>
      <c r="K3" s="243" t="e">
        <f>VLOOKUP(H3,B19:C21,2,FALSE)</f>
        <v>#N/A</v>
      </c>
      <c r="L3" s="243" t="e">
        <f>VLOOKUP(H3,B19:D21,3,FALSE)</f>
        <v>#N/A</v>
      </c>
    </row>
    <row r="4" spans="1:12" s="52" customFormat="1" ht="20.399999999999999" customHeight="1" x14ac:dyDescent="0.3">
      <c r="A4" s="52" t="s">
        <v>40</v>
      </c>
      <c r="B4" s="13" t="s">
        <v>40</v>
      </c>
      <c r="C4" s="8" t="s">
        <v>184</v>
      </c>
      <c r="D4" s="8">
        <v>0.02</v>
      </c>
      <c r="E4" s="8">
        <v>0.82450000000000001</v>
      </c>
      <c r="F4" s="97"/>
      <c r="G4" s="8"/>
      <c r="H4" s="8"/>
      <c r="I4" s="8"/>
      <c r="J4" s="8"/>
    </row>
    <row r="5" spans="1:12" s="52" customFormat="1" ht="20.399999999999999" customHeight="1" x14ac:dyDescent="0.3">
      <c r="A5" s="52" t="s">
        <v>208</v>
      </c>
      <c r="B5" s="13" t="s">
        <v>208</v>
      </c>
      <c r="C5" s="8" t="s">
        <v>185</v>
      </c>
      <c r="D5" s="8">
        <v>0.23</v>
      </c>
      <c r="E5" s="8">
        <v>0.92500000000000004</v>
      </c>
      <c r="F5" s="97"/>
      <c r="G5" s="8"/>
      <c r="I5" s="8"/>
      <c r="J5" s="8"/>
    </row>
    <row r="6" spans="1:12" s="52" customFormat="1" ht="20.399999999999999" customHeight="1" x14ac:dyDescent="0.3">
      <c r="A6" s="52" t="s">
        <v>209</v>
      </c>
      <c r="B6" s="13" t="s">
        <v>209</v>
      </c>
      <c r="C6" s="8" t="s">
        <v>185</v>
      </c>
      <c r="D6" s="8">
        <v>403.4</v>
      </c>
      <c r="E6" s="8">
        <v>0.9879</v>
      </c>
      <c r="F6" s="97"/>
      <c r="G6" s="8"/>
      <c r="H6" s="8"/>
      <c r="I6" s="8"/>
      <c r="J6" s="8"/>
    </row>
    <row r="7" spans="1:12" s="52" customFormat="1" ht="20.399999999999999" customHeight="1" x14ac:dyDescent="0.3">
      <c r="A7" s="52" t="s">
        <v>88</v>
      </c>
      <c r="B7" s="13" t="s">
        <v>88</v>
      </c>
      <c r="C7" s="8" t="s">
        <v>185</v>
      </c>
      <c r="D7" s="8">
        <v>1.02</v>
      </c>
      <c r="E7" s="8">
        <v>0.87270000000000003</v>
      </c>
      <c r="F7" s="97"/>
      <c r="G7" s="8"/>
      <c r="H7" s="8"/>
      <c r="I7" s="8"/>
      <c r="J7" s="8"/>
    </row>
    <row r="8" spans="1:12" s="52" customFormat="1" ht="20.399999999999999" customHeight="1" x14ac:dyDescent="0.3">
      <c r="A8" s="52" t="s">
        <v>210</v>
      </c>
      <c r="B8" s="13" t="s">
        <v>210</v>
      </c>
      <c r="C8" s="8" t="s">
        <v>214</v>
      </c>
      <c r="D8" s="8">
        <v>0.02</v>
      </c>
      <c r="E8" s="8">
        <v>0.82450000000000001</v>
      </c>
      <c r="F8" s="97"/>
      <c r="G8" s="8"/>
      <c r="H8" s="8"/>
      <c r="I8" s="8"/>
      <c r="J8" s="8"/>
    </row>
    <row r="9" spans="1:12" s="52" customFormat="1" ht="20.399999999999999" customHeight="1" x14ac:dyDescent="0.3">
      <c r="A9" s="52" t="s">
        <v>89</v>
      </c>
      <c r="B9" s="13" t="s">
        <v>89</v>
      </c>
      <c r="C9" s="8" t="s">
        <v>185</v>
      </c>
      <c r="D9" s="8">
        <v>1.4217</v>
      </c>
      <c r="E9" s="8">
        <v>0.8498</v>
      </c>
      <c r="F9" s="97"/>
      <c r="G9" s="8"/>
      <c r="H9" s="8"/>
      <c r="I9" s="8"/>
      <c r="J9" s="8"/>
    </row>
    <row r="10" spans="1:12" s="52" customFormat="1" ht="20.399999999999999" customHeight="1" x14ac:dyDescent="0.3">
      <c r="A10" s="52" t="s">
        <v>90</v>
      </c>
      <c r="B10" s="13" t="s">
        <v>229</v>
      </c>
      <c r="C10" s="8" t="s">
        <v>230</v>
      </c>
      <c r="D10" s="13" t="s">
        <v>231</v>
      </c>
      <c r="E10" s="13" t="s">
        <v>231</v>
      </c>
      <c r="F10" s="97"/>
      <c r="G10" s="8"/>
      <c r="H10" s="8"/>
      <c r="I10" s="8"/>
      <c r="J10" s="8"/>
    </row>
    <row r="11" spans="1:12" s="52" customFormat="1" ht="20.399999999999999" customHeight="1" x14ac:dyDescent="0.3">
      <c r="A11" s="52" t="s">
        <v>211</v>
      </c>
      <c r="B11" s="13" t="s">
        <v>213</v>
      </c>
      <c r="C11" s="8" t="s">
        <v>214</v>
      </c>
      <c r="D11" s="8">
        <v>0.02</v>
      </c>
      <c r="E11" s="8">
        <v>0.82450000000000001</v>
      </c>
      <c r="F11" s="97"/>
      <c r="G11" s="8"/>
      <c r="H11" s="8"/>
      <c r="I11" s="8"/>
      <c r="J11" s="8"/>
    </row>
    <row r="12" spans="1:12" s="52" customFormat="1" ht="20.399999999999999" customHeight="1" x14ac:dyDescent="0.3">
      <c r="A12" s="52" t="s">
        <v>92</v>
      </c>
      <c r="B12" s="13" t="s">
        <v>92</v>
      </c>
      <c r="C12" s="8" t="s">
        <v>185</v>
      </c>
      <c r="D12" s="237">
        <v>1.75</v>
      </c>
      <c r="E12" s="237">
        <v>0.88480000000000003</v>
      </c>
      <c r="F12" s="97"/>
      <c r="G12" s="8"/>
      <c r="H12" s="8"/>
      <c r="I12" s="8"/>
      <c r="J12" s="8"/>
    </row>
    <row r="13" spans="1:12" s="52" customFormat="1" ht="20.399999999999999" customHeight="1" x14ac:dyDescent="0.3">
      <c r="A13" s="52" t="s">
        <v>91</v>
      </c>
      <c r="B13" s="13" t="s">
        <v>91</v>
      </c>
      <c r="C13" s="8" t="s">
        <v>185</v>
      </c>
      <c r="D13" s="8">
        <v>0.19</v>
      </c>
      <c r="E13" s="8">
        <v>0.86729999999999996</v>
      </c>
      <c r="F13" s="97"/>
      <c r="G13" s="8"/>
      <c r="H13" s="8"/>
      <c r="I13" s="8"/>
      <c r="J13" s="8"/>
    </row>
    <row r="14" spans="1:12" s="52" customFormat="1" ht="20.399999999999999" customHeight="1" x14ac:dyDescent="0.3">
      <c r="A14" s="52" t="s">
        <v>212</v>
      </c>
      <c r="B14" s="13" t="s">
        <v>212</v>
      </c>
      <c r="C14" s="8" t="s">
        <v>185</v>
      </c>
      <c r="D14" s="8">
        <v>0.19</v>
      </c>
      <c r="E14" s="8">
        <v>0.86729999999999996</v>
      </c>
      <c r="F14" s="97"/>
      <c r="G14" s="8"/>
      <c r="H14" s="8"/>
      <c r="I14" s="8"/>
      <c r="J14" s="8"/>
    </row>
    <row r="15" spans="1:12" s="52" customFormat="1" ht="20.399999999999999" customHeight="1" x14ac:dyDescent="0.3">
      <c r="B15" s="13" t="s">
        <v>215</v>
      </c>
      <c r="C15" s="8" t="s">
        <v>216</v>
      </c>
      <c r="D15" s="13" t="s">
        <v>216</v>
      </c>
      <c r="E15" s="13" t="s">
        <v>218</v>
      </c>
      <c r="F15" s="97"/>
      <c r="G15" s="8"/>
      <c r="H15" s="8"/>
      <c r="I15" s="8"/>
      <c r="J15" s="8"/>
    </row>
    <row r="16" spans="1:12" s="52" customFormat="1" ht="20.399999999999999" customHeight="1" x14ac:dyDescent="0.3">
      <c r="B16" s="13" t="s">
        <v>217</v>
      </c>
      <c r="C16" s="8" t="s">
        <v>216</v>
      </c>
      <c r="D16" s="13" t="s">
        <v>216</v>
      </c>
      <c r="E16" s="13" t="s">
        <v>218</v>
      </c>
      <c r="F16" s="97"/>
      <c r="G16" s="8"/>
      <c r="H16" s="8"/>
      <c r="I16" s="8"/>
      <c r="J16" s="8"/>
    </row>
    <row r="17" spans="1:10" x14ac:dyDescent="0.3">
      <c r="D17"/>
      <c r="E17"/>
      <c r="G17" s="10"/>
    </row>
    <row r="18" spans="1:10" ht="57.6" x14ac:dyDescent="0.3">
      <c r="B18" s="13" t="s">
        <v>108</v>
      </c>
      <c r="D18" s="15" t="s">
        <v>223</v>
      </c>
      <c r="E18" s="12"/>
    </row>
    <row r="19" spans="1:10" x14ac:dyDescent="0.3">
      <c r="B19" s="8" t="s">
        <v>184</v>
      </c>
      <c r="C19" s="164">
        <v>30000</v>
      </c>
      <c r="D19" s="246">
        <v>8000</v>
      </c>
    </row>
    <row r="20" spans="1:10" x14ac:dyDescent="0.3">
      <c r="B20" s="8" t="s">
        <v>185</v>
      </c>
      <c r="C20" s="164">
        <v>30000</v>
      </c>
      <c r="D20" s="246">
        <v>17000</v>
      </c>
    </row>
    <row r="21" spans="1:10" x14ac:dyDescent="0.3">
      <c r="B21" s="8" t="s">
        <v>214</v>
      </c>
      <c r="C21" s="164">
        <v>30000</v>
      </c>
      <c r="D21" s="246">
        <v>8000</v>
      </c>
    </row>
    <row r="22" spans="1:10" x14ac:dyDescent="0.3">
      <c r="D22" s="97"/>
      <c r="F22" s="10"/>
    </row>
    <row r="23" spans="1:10" x14ac:dyDescent="0.3">
      <c r="D23"/>
      <c r="E23" s="12"/>
      <c r="F23" s="97" t="s">
        <v>203</v>
      </c>
    </row>
    <row r="24" spans="1:10" ht="22.95" customHeight="1" x14ac:dyDescent="0.3">
      <c r="A24" s="234" t="s">
        <v>198</v>
      </c>
      <c r="B24" s="234"/>
      <c r="C24" s="234"/>
      <c r="D24"/>
      <c r="E24" s="12" t="s">
        <v>202</v>
      </c>
      <c r="F24" s="10">
        <v>1440</v>
      </c>
      <c r="G24" s="97" t="s">
        <v>204</v>
      </c>
      <c r="H24" s="97"/>
      <c r="I24" s="97"/>
      <c r="J24" s="97"/>
    </row>
    <row r="25" spans="1:10" x14ac:dyDescent="0.3">
      <c r="B25" s="231">
        <v>1E-10</v>
      </c>
      <c r="C25" s="232" t="s">
        <v>129</v>
      </c>
      <c r="D25" s="232"/>
      <c r="E25" s="9">
        <v>365</v>
      </c>
      <c r="F25" s="10"/>
      <c r="G25" s="10">
        <v>60</v>
      </c>
      <c r="H25" s="236">
        <f>B25*E25*F24*F24</f>
        <v>7.5686400000000001E-2</v>
      </c>
      <c r="I25" t="s">
        <v>201</v>
      </c>
    </row>
    <row r="26" spans="1:10" x14ac:dyDescent="0.3">
      <c r="B26" s="232">
        <v>3.35</v>
      </c>
      <c r="C26" s="232" t="s">
        <v>135</v>
      </c>
      <c r="D26" s="232"/>
      <c r="E26" s="9"/>
      <c r="F26" s="10"/>
      <c r="G26" s="10"/>
      <c r="H26" s="10"/>
    </row>
    <row r="27" spans="1:10" x14ac:dyDescent="0.3">
      <c r="B27" s="231">
        <f>B25*B26</f>
        <v>3.3500000000000003E-10</v>
      </c>
      <c r="C27" s="232" t="s">
        <v>136</v>
      </c>
      <c r="D27" s="232"/>
      <c r="E27" s="9"/>
      <c r="F27" s="10"/>
      <c r="G27" s="10"/>
      <c r="H27" s="10"/>
    </row>
    <row r="28" spans="1:10" x14ac:dyDescent="0.3">
      <c r="B28" s="232">
        <v>60</v>
      </c>
      <c r="C28" s="232" t="s">
        <v>137</v>
      </c>
      <c r="D28" s="232"/>
      <c r="E28" s="9"/>
      <c r="F28" s="10"/>
      <c r="G28" s="10"/>
      <c r="H28" s="10"/>
    </row>
    <row r="29" spans="1:10" x14ac:dyDescent="0.3">
      <c r="B29" s="232">
        <v>1440</v>
      </c>
      <c r="C29" s="232" t="s">
        <v>103</v>
      </c>
      <c r="D29" s="232"/>
      <c r="E29" s="9"/>
      <c r="F29" s="10"/>
      <c r="G29" s="10"/>
      <c r="H29" s="10"/>
    </row>
    <row r="30" spans="1:10" x14ac:dyDescent="0.3">
      <c r="B30" s="232">
        <v>365</v>
      </c>
      <c r="C30" s="232" t="s">
        <v>134</v>
      </c>
      <c r="D30" s="232"/>
      <c r="E30" s="9"/>
      <c r="F30" s="10"/>
      <c r="G30" s="10"/>
      <c r="H30" s="10"/>
    </row>
    <row r="31" spans="1:10" x14ac:dyDescent="0.3">
      <c r="B31" s="233">
        <f>B27*B28*B29*B30</f>
        <v>1.0564560000000001E-2</v>
      </c>
      <c r="C31" s="232" t="s">
        <v>133</v>
      </c>
      <c r="D31" s="232"/>
      <c r="E31" s="9"/>
      <c r="F31" s="10"/>
      <c r="G31" s="10"/>
      <c r="H31" s="10"/>
    </row>
    <row r="32" spans="1:10" x14ac:dyDescent="0.3">
      <c r="B32" s="8">
        <f>B31*100</f>
        <v>1.0564560000000001</v>
      </c>
      <c r="C32" s="235" t="s">
        <v>200</v>
      </c>
      <c r="D32" s="235"/>
      <c r="E32" s="9"/>
      <c r="F32" s="10"/>
      <c r="G32" s="10"/>
      <c r="H32" s="10"/>
    </row>
    <row r="33" spans="4:6" x14ac:dyDescent="0.3">
      <c r="D33"/>
      <c r="E33" s="12"/>
      <c r="F33" s="10"/>
    </row>
    <row r="34" spans="4:6" x14ac:dyDescent="0.3">
      <c r="D34"/>
      <c r="E34" s="12"/>
    </row>
  </sheetData>
  <customSheetViews>
    <customSheetView guid="{83402344-CCA8-40B9-B57E-B9AC5DEAD45E}" scale="90" fitToPage="1" topLeftCell="A3">
      <selection activeCell="B15" sqref="B15"/>
      <pageMargins left="0.7" right="0.7" top="0.75" bottom="0.75" header="0.3" footer="0.3"/>
      <printOptions headings="1" gridLines="1"/>
      <pageSetup scale="41" orientation="landscape" r:id="rId1"/>
    </customSheetView>
  </customSheetViews>
  <printOptions headings="1" gridLines="1"/>
  <pageMargins left="0.7" right="0.7" top="0.75" bottom="0.75" header="0.3" footer="0.3"/>
  <pageSetup paperSize="5" scale="5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R122"/>
  <sheetViews>
    <sheetView topLeftCell="C58" zoomScale="80" zoomScaleNormal="80" zoomScaleSheetLayoutView="80" workbookViewId="0">
      <selection activeCell="Q63" sqref="Q63"/>
    </sheetView>
  </sheetViews>
  <sheetFormatPr defaultColWidth="8.88671875" defaultRowHeight="14.4" x14ac:dyDescent="0.3"/>
  <cols>
    <col min="1" max="1" width="4.6640625" style="1" customWidth="1"/>
    <col min="2" max="2" width="12.5546875" style="2" customWidth="1"/>
    <col min="3" max="3" width="70.6640625" style="1" customWidth="1"/>
    <col min="4" max="4" width="18.33203125" style="2" customWidth="1"/>
    <col min="5" max="5" width="16" style="2" customWidth="1"/>
    <col min="6" max="6" width="10.44140625" style="1" customWidth="1"/>
    <col min="7" max="7" width="12.6640625" style="1" customWidth="1"/>
    <col min="8" max="8" width="10.44140625" style="1" customWidth="1"/>
    <col min="9" max="9" width="25.109375" style="1" customWidth="1"/>
    <col min="10" max="10" width="8.88671875" style="1"/>
    <col min="11" max="11" width="4.33203125" style="1" customWidth="1"/>
    <col min="12" max="12" width="9.33203125" style="1" bestFit="1" customWidth="1"/>
    <col min="13" max="13" width="13" style="1" customWidth="1"/>
    <col min="14" max="14" width="11.44140625" style="1" customWidth="1"/>
    <col min="15" max="15" width="4.33203125" style="1" customWidth="1"/>
    <col min="16" max="16" width="12" style="1" bestFit="1" customWidth="1"/>
    <col min="17" max="17" width="13" style="1" customWidth="1"/>
    <col min="18" max="18" width="8.33203125" style="1" customWidth="1"/>
    <col min="19" max="19" width="10" style="1" customWidth="1"/>
    <col min="20" max="16384" width="8.88671875" style="1"/>
  </cols>
  <sheetData>
    <row r="1" spans="1:13" x14ac:dyDescent="0.3">
      <c r="F1" s="2"/>
      <c r="G1" s="2"/>
      <c r="H1" s="2"/>
    </row>
    <row r="2" spans="1:13" s="40" customFormat="1" ht="23.4" customHeight="1" x14ac:dyDescent="0.3">
      <c r="A2" s="356" t="s">
        <v>0</v>
      </c>
      <c r="B2" s="356"/>
      <c r="C2" s="356"/>
      <c r="D2" s="41"/>
      <c r="E2" s="41"/>
      <c r="F2" s="41"/>
      <c r="G2" s="41"/>
      <c r="H2" s="41"/>
      <c r="I2" s="42"/>
      <c r="J2" s="42"/>
      <c r="K2" s="42"/>
      <c r="L2" s="42"/>
      <c r="M2" s="42"/>
    </row>
    <row r="3" spans="1:13" s="7" customFormat="1" ht="31.2" x14ac:dyDescent="0.3">
      <c r="B3" s="7" t="s">
        <v>28</v>
      </c>
      <c r="C3" s="7" t="s">
        <v>26</v>
      </c>
      <c r="D3" s="7" t="s">
        <v>27</v>
      </c>
      <c r="E3" s="7" t="s">
        <v>29</v>
      </c>
      <c r="F3" s="7" t="s">
        <v>30</v>
      </c>
      <c r="G3" s="7" t="s">
        <v>33</v>
      </c>
      <c r="H3" s="7" t="s">
        <v>34</v>
      </c>
    </row>
    <row r="4" spans="1:13" ht="16.2" customHeight="1" x14ac:dyDescent="0.3">
      <c r="B4" s="2" t="s">
        <v>3</v>
      </c>
      <c r="C4" s="1" t="s">
        <v>205</v>
      </c>
      <c r="D4" s="2" t="s">
        <v>4</v>
      </c>
      <c r="E4" s="159"/>
      <c r="F4" s="2"/>
      <c r="G4" s="224"/>
      <c r="H4" s="2"/>
      <c r="J4" s="4"/>
    </row>
    <row r="5" spans="1:13" ht="16.2" customHeight="1" x14ac:dyDescent="0.3">
      <c r="B5" s="2" t="s">
        <v>22</v>
      </c>
      <c r="C5" s="1" t="s">
        <v>5</v>
      </c>
      <c r="D5" s="5" t="s">
        <v>6</v>
      </c>
      <c r="E5" s="159"/>
      <c r="F5" s="2"/>
      <c r="G5" s="224"/>
      <c r="H5" s="2"/>
      <c r="J5" s="4"/>
    </row>
    <row r="6" spans="1:13" ht="16.2" customHeight="1" x14ac:dyDescent="0.3">
      <c r="B6" s="2" t="s">
        <v>23</v>
      </c>
      <c r="C6" s="1" t="s">
        <v>7</v>
      </c>
      <c r="D6" s="5" t="s">
        <v>8</v>
      </c>
      <c r="E6" s="159"/>
      <c r="F6" s="2"/>
      <c r="G6" s="224"/>
      <c r="H6" s="2"/>
      <c r="J6" s="4"/>
    </row>
    <row r="7" spans="1:13" ht="16.2" customHeight="1" x14ac:dyDescent="0.3">
      <c r="B7" s="159" t="s">
        <v>155</v>
      </c>
      <c r="C7" s="1" t="s">
        <v>35</v>
      </c>
      <c r="D7" s="2" t="s">
        <v>55</v>
      </c>
      <c r="E7" s="159"/>
      <c r="F7" s="2"/>
      <c r="G7" s="224"/>
      <c r="H7" s="2"/>
      <c r="J7" s="4"/>
    </row>
    <row r="8" spans="1:13" ht="16.2" customHeight="1" x14ac:dyDescent="0.3">
      <c r="B8" s="159" t="s">
        <v>156</v>
      </c>
      <c r="C8" s="1" t="s">
        <v>36</v>
      </c>
      <c r="D8" s="2" t="s">
        <v>128</v>
      </c>
      <c r="E8" s="159"/>
      <c r="F8" s="153"/>
      <c r="G8" s="2">
        <v>0.84</v>
      </c>
      <c r="H8" s="2"/>
      <c r="I8" s="1" t="s">
        <v>226</v>
      </c>
      <c r="J8" s="4"/>
    </row>
    <row r="9" spans="1:13" ht="16.2" customHeight="1" x14ac:dyDescent="0.3">
      <c r="B9" s="159" t="s">
        <v>157</v>
      </c>
      <c r="C9" s="1" t="s">
        <v>117</v>
      </c>
      <c r="D9" s="2" t="s">
        <v>128</v>
      </c>
      <c r="E9" s="159"/>
      <c r="F9" s="2"/>
      <c r="G9" s="2">
        <v>2.54</v>
      </c>
      <c r="H9" s="2"/>
      <c r="I9" s="1" t="s">
        <v>37</v>
      </c>
      <c r="J9" s="6"/>
    </row>
    <row r="10" spans="1:13" ht="16.2" customHeight="1" x14ac:dyDescent="0.3">
      <c r="B10" s="159" t="s">
        <v>158</v>
      </c>
      <c r="C10" s="1" t="s">
        <v>9</v>
      </c>
      <c r="D10" s="2" t="s">
        <v>128</v>
      </c>
      <c r="E10" s="159"/>
      <c r="F10" s="2"/>
      <c r="G10" s="2">
        <v>1.5</v>
      </c>
      <c r="H10" s="2"/>
      <c r="I10" s="1" t="s">
        <v>37</v>
      </c>
      <c r="J10" s="6"/>
    </row>
    <row r="11" spans="1:13" ht="16.2" customHeight="1" x14ac:dyDescent="0.3">
      <c r="B11" s="159" t="s">
        <v>10</v>
      </c>
      <c r="C11" s="1" t="s">
        <v>118</v>
      </c>
      <c r="D11" s="2" t="s">
        <v>55</v>
      </c>
      <c r="E11" s="159"/>
      <c r="F11" s="2">
        <v>0.41</v>
      </c>
      <c r="G11" s="2">
        <v>0.41</v>
      </c>
      <c r="H11" s="2">
        <v>0.41</v>
      </c>
      <c r="I11" s="1" t="s">
        <v>37</v>
      </c>
    </row>
    <row r="12" spans="1:13" ht="16.2" customHeight="1" x14ac:dyDescent="0.3">
      <c r="B12" s="2" t="s">
        <v>2</v>
      </c>
      <c r="C12" s="1" t="s">
        <v>227</v>
      </c>
      <c r="D12" s="2" t="s">
        <v>55</v>
      </c>
      <c r="E12" s="159"/>
      <c r="F12" s="2"/>
      <c r="G12" s="224"/>
      <c r="H12" s="2"/>
      <c r="I12" s="1" t="s">
        <v>82</v>
      </c>
    </row>
    <row r="13" spans="1:13" ht="16.2" customHeight="1" x14ac:dyDescent="0.3">
      <c r="B13" s="2" t="s">
        <v>140</v>
      </c>
      <c r="C13" s="1" t="s">
        <v>11</v>
      </c>
      <c r="D13" s="2" t="s">
        <v>55</v>
      </c>
      <c r="E13" s="159"/>
      <c r="F13" s="27">
        <v>0.02</v>
      </c>
      <c r="G13" s="27">
        <v>0.02</v>
      </c>
      <c r="H13" s="27">
        <v>0.02</v>
      </c>
      <c r="I13" s="1" t="s">
        <v>83</v>
      </c>
    </row>
    <row r="14" spans="1:13" ht="16.2" customHeight="1" x14ac:dyDescent="0.3">
      <c r="B14" s="2" t="s">
        <v>141</v>
      </c>
      <c r="C14" s="1" t="s">
        <v>12</v>
      </c>
      <c r="D14" s="2" t="s">
        <v>55</v>
      </c>
      <c r="E14" s="159"/>
      <c r="F14" s="2"/>
      <c r="G14" s="224"/>
      <c r="H14" s="2"/>
      <c r="I14" s="1" t="s">
        <v>82</v>
      </c>
    </row>
    <row r="15" spans="1:13" ht="16.2" customHeight="1" x14ac:dyDescent="0.3">
      <c r="B15" s="2" t="s">
        <v>24</v>
      </c>
      <c r="C15" s="1" t="s">
        <v>13</v>
      </c>
      <c r="D15" s="2" t="s">
        <v>55</v>
      </c>
      <c r="E15" s="159"/>
      <c r="F15" s="2"/>
      <c r="G15" s="224"/>
      <c r="H15" s="2"/>
    </row>
    <row r="16" spans="1:13" ht="16.2" customHeight="1" x14ac:dyDescent="0.3">
      <c r="B16" s="2" t="s">
        <v>180</v>
      </c>
      <c r="C16" s="1" t="s">
        <v>181</v>
      </c>
      <c r="D16" s="2" t="s">
        <v>129</v>
      </c>
      <c r="E16" s="159"/>
      <c r="F16" s="2"/>
      <c r="G16" s="2">
        <v>9.6649999999999997E-11</v>
      </c>
      <c r="H16" s="2"/>
      <c r="I16" s="1" t="s">
        <v>182</v>
      </c>
    </row>
    <row r="17" spans="1:16" ht="16.2" customHeight="1" x14ac:dyDescent="0.3">
      <c r="B17" s="2" t="s">
        <v>14</v>
      </c>
      <c r="C17" s="1" t="s">
        <v>15</v>
      </c>
      <c r="D17" s="2" t="s">
        <v>129</v>
      </c>
      <c r="E17" s="159"/>
      <c r="F17" s="28"/>
      <c r="G17" s="28">
        <f>G16*G18</f>
        <v>9.6649999999999997E-11</v>
      </c>
      <c r="H17" s="28"/>
      <c r="I17" s="1" t="s">
        <v>183</v>
      </c>
      <c r="L17" s="1" t="s">
        <v>177</v>
      </c>
      <c r="M17" s="106">
        <f>G17*100</f>
        <v>9.6649999999999992E-9</v>
      </c>
      <c r="P17" s="176"/>
    </row>
    <row r="18" spans="1:16" ht="16.2" customHeight="1" x14ac:dyDescent="0.3">
      <c r="B18" s="2" t="s">
        <v>119</v>
      </c>
      <c r="C18" s="1" t="s">
        <v>100</v>
      </c>
      <c r="D18" s="2" t="s">
        <v>101</v>
      </c>
      <c r="E18" s="159"/>
      <c r="F18" s="28"/>
      <c r="G18" s="28">
        <v>1</v>
      </c>
      <c r="H18" s="28"/>
      <c r="M18" s="106"/>
    </row>
    <row r="19" spans="1:16" ht="16.2" customHeight="1" x14ac:dyDescent="0.3">
      <c r="B19" s="2" t="s">
        <v>16</v>
      </c>
      <c r="C19" s="1" t="s">
        <v>17</v>
      </c>
      <c r="D19" s="2" t="s">
        <v>130</v>
      </c>
      <c r="E19" s="159"/>
      <c r="F19" s="2">
        <v>9.81</v>
      </c>
      <c r="G19" s="2">
        <v>9.81</v>
      </c>
      <c r="H19" s="2">
        <v>9.81</v>
      </c>
      <c r="I19" s="1" t="s">
        <v>32</v>
      </c>
    </row>
    <row r="20" spans="1:16" s="40" customFormat="1" ht="16.2" customHeight="1" x14ac:dyDescent="0.3">
      <c r="B20" s="152" t="s">
        <v>105</v>
      </c>
      <c r="C20" s="40" t="s">
        <v>18</v>
      </c>
      <c r="D20" s="153" t="s">
        <v>25</v>
      </c>
      <c r="E20" s="177"/>
      <c r="F20" s="153"/>
      <c r="G20" s="154">
        <v>1.0999550000000001E-9</v>
      </c>
      <c r="H20" s="153"/>
      <c r="I20" s="40" t="s">
        <v>189</v>
      </c>
    </row>
    <row r="21" spans="1:16" ht="16.2" customHeight="1" x14ac:dyDescent="0.3">
      <c r="B21" s="159" t="s">
        <v>19</v>
      </c>
      <c r="C21" s="1" t="s">
        <v>120</v>
      </c>
      <c r="D21" s="2" t="s">
        <v>20</v>
      </c>
      <c r="E21" s="159"/>
      <c r="F21" s="2">
        <v>0.02</v>
      </c>
      <c r="G21" s="153">
        <v>0.02</v>
      </c>
      <c r="H21" s="2">
        <v>1.75</v>
      </c>
      <c r="I21" s="1" t="s">
        <v>122</v>
      </c>
    </row>
    <row r="22" spans="1:16" ht="16.2" customHeight="1" x14ac:dyDescent="0.3">
      <c r="B22" s="225" t="s">
        <v>188</v>
      </c>
      <c r="C22" s="1" t="s">
        <v>121</v>
      </c>
      <c r="D22" s="2" t="s">
        <v>21</v>
      </c>
      <c r="E22" s="159"/>
      <c r="F22" s="2"/>
      <c r="G22" s="224"/>
      <c r="H22" s="2"/>
      <c r="I22" s="1" t="s">
        <v>123</v>
      </c>
    </row>
    <row r="23" spans="1:16" ht="16.2" customHeight="1" x14ac:dyDescent="0.3">
      <c r="F23" s="2"/>
      <c r="G23" s="2"/>
      <c r="H23" s="2"/>
    </row>
    <row r="24" spans="1:16" s="40" customFormat="1" ht="23.4" customHeight="1" x14ac:dyDescent="0.3">
      <c r="A24" s="356" t="s">
        <v>80</v>
      </c>
      <c r="B24" s="356"/>
      <c r="C24" s="356"/>
      <c r="D24" s="41"/>
      <c r="E24" s="41"/>
      <c r="F24" s="41"/>
      <c r="G24" s="41"/>
      <c r="H24" s="41"/>
      <c r="I24" s="42"/>
      <c r="J24" s="42"/>
      <c r="K24" s="42"/>
      <c r="L24" s="42"/>
      <c r="M24" s="42"/>
    </row>
    <row r="25" spans="1:16" ht="16.95" customHeight="1" x14ac:dyDescent="0.3">
      <c r="B25" s="2" t="s">
        <v>3</v>
      </c>
      <c r="C25" s="21" t="s">
        <v>144</v>
      </c>
      <c r="D25" s="22" t="s">
        <v>62</v>
      </c>
      <c r="H25" s="21" t="s">
        <v>58</v>
      </c>
    </row>
    <row r="26" spans="1:16" ht="7.2" customHeight="1" x14ac:dyDescent="0.3"/>
    <row r="27" spans="1:16" ht="16.95" customHeight="1" x14ac:dyDescent="0.3">
      <c r="B27" s="159" t="s">
        <v>155</v>
      </c>
      <c r="C27" s="21" t="s">
        <v>56</v>
      </c>
      <c r="D27" s="23" t="s">
        <v>61</v>
      </c>
    </row>
    <row r="28" spans="1:16" ht="7.2" customHeight="1" x14ac:dyDescent="0.3"/>
    <row r="29" spans="1:16" ht="15.6" x14ac:dyDescent="0.3">
      <c r="B29" s="2" t="s">
        <v>3</v>
      </c>
      <c r="C29" s="4" t="s">
        <v>176</v>
      </c>
      <c r="D29" s="22" t="s">
        <v>63</v>
      </c>
      <c r="H29" s="21" t="s">
        <v>57</v>
      </c>
    </row>
    <row r="30" spans="1:16" ht="7.2" customHeight="1" x14ac:dyDescent="0.3">
      <c r="H30" s="21"/>
    </row>
    <row r="31" spans="1:16" x14ac:dyDescent="0.3">
      <c r="B31" s="2" t="s">
        <v>2</v>
      </c>
      <c r="C31" s="21" t="s">
        <v>59</v>
      </c>
      <c r="D31" s="24" t="s">
        <v>60</v>
      </c>
      <c r="H31" s="21"/>
    </row>
    <row r="32" spans="1:16" ht="7.2" customHeight="1" x14ac:dyDescent="0.3">
      <c r="H32" s="21"/>
    </row>
    <row r="33" spans="2:8" ht="15.6" x14ac:dyDescent="0.3">
      <c r="B33" s="2" t="s">
        <v>3</v>
      </c>
      <c r="C33" s="21" t="s">
        <v>175</v>
      </c>
      <c r="D33" s="22" t="s">
        <v>64</v>
      </c>
      <c r="H33" s="21" t="s">
        <v>67</v>
      </c>
    </row>
    <row r="34" spans="2:8" ht="7.2" customHeight="1" x14ac:dyDescent="0.3"/>
    <row r="35" spans="2:8" ht="16.2" x14ac:dyDescent="0.3">
      <c r="B35" s="2" t="s">
        <v>141</v>
      </c>
      <c r="C35" s="1" t="s">
        <v>12</v>
      </c>
      <c r="D35" s="25" t="s">
        <v>65</v>
      </c>
    </row>
    <row r="36" spans="2:8" ht="7.2" customHeight="1" x14ac:dyDescent="0.3"/>
    <row r="37" spans="2:8" ht="15.6" x14ac:dyDescent="0.3">
      <c r="B37" s="2" t="s">
        <v>3</v>
      </c>
      <c r="C37" s="21" t="s">
        <v>174</v>
      </c>
      <c r="D37" s="22" t="s">
        <v>66</v>
      </c>
    </row>
    <row r="38" spans="2:8" ht="7.2" customHeight="1" x14ac:dyDescent="0.3"/>
    <row r="39" spans="2:8" ht="28.8" x14ac:dyDescent="0.3">
      <c r="B39" s="2" t="s">
        <v>24</v>
      </c>
      <c r="C39" s="3" t="s">
        <v>68</v>
      </c>
      <c r="D39" s="26" t="s">
        <v>124</v>
      </c>
    </row>
    <row r="40" spans="2:8" ht="7.2" customHeight="1" x14ac:dyDescent="0.3"/>
    <row r="41" spans="2:8" ht="15.6" x14ac:dyDescent="0.3">
      <c r="B41" s="2" t="s">
        <v>141</v>
      </c>
      <c r="C41" s="1" t="s">
        <v>12</v>
      </c>
      <c r="D41" s="29" t="s">
        <v>125</v>
      </c>
    </row>
    <row r="42" spans="2:8" ht="7.2" customHeight="1" x14ac:dyDescent="0.3"/>
    <row r="43" spans="2:8" ht="18.600000000000001" customHeight="1" x14ac:dyDescent="0.3">
      <c r="B43" s="2" t="s">
        <v>3</v>
      </c>
      <c r="C43" s="21" t="s">
        <v>173</v>
      </c>
      <c r="D43" s="22" t="s">
        <v>126</v>
      </c>
    </row>
    <row r="44" spans="2:8" ht="7.2" customHeight="1" x14ac:dyDescent="0.3"/>
    <row r="45" spans="2:8" ht="13.95" customHeight="1" x14ac:dyDescent="0.3">
      <c r="C45" s="21" t="s">
        <v>145</v>
      </c>
      <c r="D45" s="27">
        <f>1-$G$13</f>
        <v>0.98</v>
      </c>
      <c r="E45" s="2" t="s">
        <v>55</v>
      </c>
    </row>
    <row r="46" spans="2:8" ht="13.95" customHeight="1" x14ac:dyDescent="0.3">
      <c r="C46" s="21" t="s">
        <v>69</v>
      </c>
      <c r="D46" s="2">
        <v>1.1349</v>
      </c>
      <c r="E46" s="2" t="s">
        <v>32</v>
      </c>
    </row>
    <row r="47" spans="2:8" ht="15.6" x14ac:dyDescent="0.3">
      <c r="C47" s="21" t="s">
        <v>146</v>
      </c>
      <c r="D47" s="2">
        <f>$D$45*$D$46</f>
        <v>1.1122019999999999</v>
      </c>
      <c r="E47" s="2" t="s">
        <v>55</v>
      </c>
    </row>
    <row r="48" spans="2:8" ht="16.2" x14ac:dyDescent="0.3">
      <c r="C48" s="21" t="s">
        <v>172</v>
      </c>
      <c r="D48" s="28">
        <f>$G$17*$G$21</f>
        <v>1.9329999999999999E-12</v>
      </c>
      <c r="E48" s="158" t="s">
        <v>131</v>
      </c>
    </row>
    <row r="49" spans="1:13" ht="16.2" x14ac:dyDescent="0.3">
      <c r="C49" s="21" t="s">
        <v>167</v>
      </c>
      <c r="D49" s="28">
        <f>G20*$G$8*$G$19</f>
        <v>9.0640691820000005E-9</v>
      </c>
      <c r="E49" s="158" t="s">
        <v>139</v>
      </c>
    </row>
    <row r="50" spans="1:13" ht="16.2" x14ac:dyDescent="0.3">
      <c r="C50" s="21" t="s">
        <v>147</v>
      </c>
      <c r="D50" s="28">
        <v>1</v>
      </c>
      <c r="E50" s="158" t="s">
        <v>154</v>
      </c>
    </row>
    <row r="51" spans="1:13" ht="15.6" x14ac:dyDescent="0.3">
      <c r="B51" s="2" t="s">
        <v>24</v>
      </c>
      <c r="C51" s="21" t="s">
        <v>171</v>
      </c>
      <c r="D51" s="28">
        <f>D48/(D49*D50)</f>
        <v>2.1325962558170597E-4</v>
      </c>
      <c r="E51" s="2" t="s">
        <v>55</v>
      </c>
    </row>
    <row r="52" spans="1:13" ht="15.6" x14ac:dyDescent="0.3">
      <c r="C52" s="21" t="s">
        <v>143</v>
      </c>
      <c r="D52" s="33">
        <f>D51^0.3095</f>
        <v>7.3079778912849905E-2</v>
      </c>
    </row>
    <row r="53" spans="1:13" ht="16.2" x14ac:dyDescent="0.3">
      <c r="B53" s="2" t="s">
        <v>141</v>
      </c>
      <c r="C53" s="21" t="s">
        <v>170</v>
      </c>
      <c r="D53" s="30">
        <f>D52*1.1349</f>
        <v>8.2938241088193365E-2</v>
      </c>
      <c r="E53" s="2" t="s">
        <v>55</v>
      </c>
    </row>
    <row r="54" spans="1:13" ht="16.95" customHeight="1" x14ac:dyDescent="0.3">
      <c r="B54" s="2" t="s">
        <v>2</v>
      </c>
      <c r="C54" s="21" t="s">
        <v>148</v>
      </c>
      <c r="D54" s="30">
        <f>(D45*D53)+G13</f>
        <v>0.1012794762664295</v>
      </c>
      <c r="E54" s="2" t="s">
        <v>55</v>
      </c>
    </row>
    <row r="55" spans="1:13" ht="15.6" x14ac:dyDescent="0.3">
      <c r="B55" s="159" t="s">
        <v>155</v>
      </c>
      <c r="C55" s="22" t="s">
        <v>169</v>
      </c>
      <c r="D55" s="31">
        <f>D54*$G$11</f>
        <v>4.1524585269236094E-2</v>
      </c>
      <c r="E55" s="2" t="s">
        <v>55</v>
      </c>
    </row>
    <row r="56" spans="1:13" ht="15.6" x14ac:dyDescent="0.3">
      <c r="B56" s="2" t="s">
        <v>22</v>
      </c>
      <c r="C56" s="21" t="s">
        <v>161</v>
      </c>
      <c r="D56" s="31">
        <f>D55*$G$8</f>
        <v>3.4880651626158318E-2</v>
      </c>
      <c r="E56" s="2" t="s">
        <v>6</v>
      </c>
    </row>
    <row r="57" spans="1:13" ht="7.2" customHeight="1" x14ac:dyDescent="0.3">
      <c r="C57" s="21"/>
      <c r="D57" s="31"/>
    </row>
    <row r="58" spans="1:13" ht="16.2" x14ac:dyDescent="0.3">
      <c r="B58" s="2" t="s">
        <v>23</v>
      </c>
      <c r="C58" s="21" t="s">
        <v>160</v>
      </c>
      <c r="D58" s="2">
        <f>(1-$G$11)*$G$9</f>
        <v>1.4986000000000002</v>
      </c>
      <c r="E58" s="2" t="s">
        <v>128</v>
      </c>
    </row>
    <row r="59" spans="1:13" ht="16.2" x14ac:dyDescent="0.3">
      <c r="B59" s="2" t="s">
        <v>23</v>
      </c>
      <c r="C59" s="21" t="s">
        <v>74</v>
      </c>
      <c r="D59" s="2">
        <f>D58/1000</f>
        <v>1.4986000000000001E-3</v>
      </c>
      <c r="E59" s="2" t="s">
        <v>132</v>
      </c>
    </row>
    <row r="60" spans="1:13" ht="7.2" customHeight="1" x14ac:dyDescent="0.3">
      <c r="C60" s="21"/>
    </row>
    <row r="61" spans="1:13" ht="15.6" x14ac:dyDescent="0.3">
      <c r="B61" s="2" t="s">
        <v>142</v>
      </c>
      <c r="C61" s="21" t="s">
        <v>144</v>
      </c>
      <c r="D61" s="32">
        <f>(D56/D58)*1000000</f>
        <v>23275.491542878895</v>
      </c>
      <c r="E61" s="2" t="s">
        <v>4</v>
      </c>
    </row>
    <row r="62" spans="1:13" ht="7.2" customHeight="1" x14ac:dyDescent="0.3"/>
    <row r="63" spans="1:13" s="40" customFormat="1" ht="23.4" customHeight="1" x14ac:dyDescent="0.3">
      <c r="A63" s="356" t="s">
        <v>96</v>
      </c>
      <c r="B63" s="356"/>
      <c r="C63" s="356"/>
      <c r="D63" s="41"/>
      <c r="E63" s="41"/>
      <c r="F63" s="41"/>
      <c r="G63" s="41"/>
      <c r="H63" s="41"/>
      <c r="I63" s="42"/>
      <c r="J63" s="42"/>
      <c r="K63" s="42"/>
      <c r="L63" s="42"/>
      <c r="M63" s="42"/>
    </row>
    <row r="64" spans="1:13" ht="7.2" customHeight="1" x14ac:dyDescent="0.3"/>
    <row r="65" spans="2:18" ht="16.2" x14ac:dyDescent="0.3">
      <c r="B65" s="2" t="s">
        <v>54</v>
      </c>
      <c r="C65" s="21" t="s">
        <v>168</v>
      </c>
      <c r="D65" s="22" t="s">
        <v>126</v>
      </c>
    </row>
    <row r="66" spans="2:18" x14ac:dyDescent="0.3">
      <c r="C66" s="21"/>
      <c r="D66" s="22"/>
    </row>
    <row r="67" spans="2:18" ht="18" x14ac:dyDescent="0.3">
      <c r="D67" s="355" t="s">
        <v>78</v>
      </c>
      <c r="E67" s="355"/>
      <c r="F67" s="355"/>
      <c r="G67" s="35"/>
      <c r="H67" s="355" t="s">
        <v>77</v>
      </c>
      <c r="I67" s="355"/>
      <c r="J67" s="355"/>
      <c r="K67" s="35"/>
      <c r="L67" s="355" t="s">
        <v>79</v>
      </c>
      <c r="M67" s="355"/>
      <c r="N67" s="355"/>
      <c r="O67" s="35"/>
      <c r="P67" s="355" t="s">
        <v>76</v>
      </c>
      <c r="Q67" s="355"/>
      <c r="R67" s="355"/>
    </row>
    <row r="68" spans="2:18" x14ac:dyDescent="0.3">
      <c r="B68" s="159" t="s">
        <v>81</v>
      </c>
      <c r="C68" s="12" t="str">
        <f>'Summary Sheet'!$C$14</f>
        <v>Dynamic Viscosity of the Petroleum Product (poise)</v>
      </c>
      <c r="D68" s="43" t="e">
        <f>'Summary Sheet'!$E$14</f>
        <v>#N/A</v>
      </c>
      <c r="E68" s="44" t="s">
        <v>42</v>
      </c>
      <c r="F68" s="1" t="s">
        <v>97</v>
      </c>
      <c r="G68" s="35"/>
      <c r="H68" s="43" t="e">
        <f>'Summary Sheet'!$E$14</f>
        <v>#N/A</v>
      </c>
      <c r="I68" s="44" t="s">
        <v>42</v>
      </c>
      <c r="J68" s="46"/>
      <c r="K68" s="35"/>
      <c r="L68" s="43" t="e">
        <f>'Summary Sheet'!$E$14</f>
        <v>#N/A</v>
      </c>
      <c r="M68" s="44" t="s">
        <v>42</v>
      </c>
      <c r="N68" s="46"/>
      <c r="O68" s="35"/>
      <c r="P68" s="43" t="e">
        <f>'Summary Sheet'!$E$14</f>
        <v>#N/A</v>
      </c>
      <c r="Q68" s="44" t="s">
        <v>42</v>
      </c>
      <c r="R68" s="46"/>
    </row>
    <row r="69" spans="2:18" ht="15.6" x14ac:dyDescent="0.3">
      <c r="B69" s="159" t="s">
        <v>156</v>
      </c>
      <c r="C69" s="12" t="str">
        <f>'Summary Sheet'!$C$15</f>
        <v>Density of the Petroleum Product  (gram/cm^3)</v>
      </c>
      <c r="D69" s="43" t="e">
        <f>'Summary Sheet'!$E$15*1000</f>
        <v>#N/A</v>
      </c>
      <c r="E69" s="44" t="s">
        <v>98</v>
      </c>
      <c r="G69" s="35"/>
      <c r="H69" s="43" t="e">
        <f>'Summary Sheet'!$E$15*1000</f>
        <v>#N/A</v>
      </c>
      <c r="I69" s="43">
        <f>'Summary Sheet'!D15</f>
        <v>0</v>
      </c>
      <c r="J69" s="46"/>
      <c r="K69" s="35"/>
      <c r="L69" s="43" t="e">
        <f>'Summary Sheet'!$E$15*1000</f>
        <v>#N/A</v>
      </c>
      <c r="M69" s="43">
        <f>'Summary Sheet'!D15</f>
        <v>0</v>
      </c>
      <c r="N69" s="46"/>
      <c r="O69" s="35"/>
      <c r="P69" s="43" t="e">
        <f>'Summary Sheet'!$E$15*1000</f>
        <v>#N/A</v>
      </c>
      <c r="Q69" s="43">
        <f>'Summary Sheet'!D15</f>
        <v>0</v>
      </c>
      <c r="R69" s="46"/>
    </row>
    <row r="70" spans="2:18" ht="15.6" x14ac:dyDescent="0.3">
      <c r="B70" s="225" t="s">
        <v>187</v>
      </c>
      <c r="C70" s="12" t="str">
        <f>'Summary Sheet'!$C$24</f>
        <v>Grain Size with 10% of Soil Passing through the Sieve (mm)</v>
      </c>
      <c r="D70" s="43">
        <f>'Grain Size Data Entry'!$F$7</f>
        <v>0</v>
      </c>
      <c r="E70" s="44" t="s">
        <v>21</v>
      </c>
      <c r="G70" s="35"/>
      <c r="H70" s="43">
        <f>'Grain Size Data Entry'!L7</f>
        <v>0</v>
      </c>
      <c r="I70" s="44" t="s">
        <v>21</v>
      </c>
      <c r="J70" s="46"/>
      <c r="K70" s="35"/>
      <c r="L70" s="43">
        <f>'Grain Size Data Entry'!Q7</f>
        <v>0</v>
      </c>
      <c r="M70" s="44" t="s">
        <v>21</v>
      </c>
      <c r="N70" s="46"/>
      <c r="O70" s="35"/>
      <c r="P70" s="43">
        <f>'Grain Size Data Entry'!V7</f>
        <v>0</v>
      </c>
      <c r="Q70" s="44" t="s">
        <v>21</v>
      </c>
      <c r="R70" s="46"/>
    </row>
    <row r="71" spans="2:18" x14ac:dyDescent="0.3">
      <c r="B71" s="2" t="s">
        <v>14</v>
      </c>
      <c r="C71" s="97" t="s">
        <v>127</v>
      </c>
      <c r="D71" s="45">
        <f>G17</f>
        <v>9.6649999999999997E-11</v>
      </c>
      <c r="E71" s="44" t="s">
        <v>99</v>
      </c>
      <c r="G71" s="35"/>
      <c r="H71" s="45">
        <f>G17</f>
        <v>9.6649999999999997E-11</v>
      </c>
      <c r="I71" s="44" t="s">
        <v>99</v>
      </c>
      <c r="J71" s="46"/>
      <c r="K71" s="35"/>
      <c r="L71" s="45">
        <f>G17</f>
        <v>9.6649999999999997E-11</v>
      </c>
      <c r="M71" s="44" t="s">
        <v>99</v>
      </c>
      <c r="N71" s="46"/>
      <c r="O71" s="35"/>
      <c r="P71" s="45">
        <f>G17</f>
        <v>9.6649999999999997E-11</v>
      </c>
      <c r="Q71" s="44" t="s">
        <v>99</v>
      </c>
      <c r="R71" s="46"/>
    </row>
    <row r="72" spans="2:18" ht="28.8" x14ac:dyDescent="0.3">
      <c r="B72" s="153" t="s">
        <v>105</v>
      </c>
      <c r="C72" s="155" t="str">
        <f>'Summary Sheet'!$C$25</f>
        <v>Intrinsic Permeability (m2) -calculated based on D10</v>
      </c>
      <c r="D72" s="45">
        <f>'Summary Sheet'!$E$25</f>
        <v>1.0999553129688145E-11</v>
      </c>
      <c r="E72" s="44" t="s">
        <v>45</v>
      </c>
      <c r="G72" s="35"/>
      <c r="H72" s="45">
        <f>'Summary Sheet'!$F$25</f>
        <v>1.0999553129688145E-11</v>
      </c>
      <c r="I72" s="44" t="s">
        <v>49</v>
      </c>
      <c r="J72" s="46"/>
      <c r="K72" s="35"/>
      <c r="L72" s="45">
        <f>'Summary Sheet'!$G$25</f>
        <v>1.0999553129688145E-11</v>
      </c>
      <c r="M72" s="44" t="s">
        <v>49</v>
      </c>
      <c r="N72" s="46"/>
      <c r="O72" s="35"/>
      <c r="P72" s="45">
        <f>'Summary Sheet'!$H$25</f>
        <v>1.0999553129688145E-11</v>
      </c>
      <c r="Q72" s="44" t="s">
        <v>49</v>
      </c>
      <c r="R72" s="46"/>
    </row>
    <row r="73" spans="2:18" ht="15.6" x14ac:dyDescent="0.3">
      <c r="B73" s="159" t="s">
        <v>157</v>
      </c>
      <c r="C73" s="12" t="str">
        <f>'Summary Sheet'!$C$14</f>
        <v>Dynamic Viscosity of the Petroleum Product (poise)</v>
      </c>
      <c r="D73" s="112">
        <f>$G$9*1000</f>
        <v>2540</v>
      </c>
      <c r="E73" s="44" t="s">
        <v>98</v>
      </c>
      <c r="G73" s="35"/>
      <c r="H73" s="112">
        <f>$G$9*1000</f>
        <v>2540</v>
      </c>
      <c r="I73" s="44" t="s">
        <v>98</v>
      </c>
      <c r="J73" s="46"/>
      <c r="K73" s="35"/>
      <c r="L73" s="112">
        <f>$G$9*1000</f>
        <v>2540</v>
      </c>
      <c r="M73" s="44" t="s">
        <v>98</v>
      </c>
      <c r="N73" s="46"/>
      <c r="O73" s="35"/>
      <c r="P73" s="112">
        <f>$G$9*1000</f>
        <v>2540</v>
      </c>
      <c r="Q73" s="44" t="s">
        <v>98</v>
      </c>
      <c r="R73" s="46"/>
    </row>
    <row r="74" spans="2:18" x14ac:dyDescent="0.3">
      <c r="C74" s="12"/>
      <c r="D74" s="18"/>
      <c r="E74" s="9"/>
      <c r="G74" s="35"/>
      <c r="H74" s="18"/>
      <c r="I74" s="9"/>
      <c r="K74" s="35"/>
      <c r="L74" s="18"/>
      <c r="M74" s="9"/>
      <c r="O74" s="35"/>
      <c r="P74" s="18"/>
      <c r="Q74" s="9"/>
    </row>
    <row r="75" spans="2:18" ht="15.6" x14ac:dyDescent="0.3">
      <c r="C75" s="21" t="s">
        <v>145</v>
      </c>
      <c r="D75" s="27">
        <f>1-$G$13</f>
        <v>0.98</v>
      </c>
      <c r="E75" s="2" t="s">
        <v>55</v>
      </c>
      <c r="G75" s="35"/>
      <c r="H75" s="27">
        <f>1-$G$13</f>
        <v>0.98</v>
      </c>
      <c r="I75" s="2" t="s">
        <v>55</v>
      </c>
      <c r="K75" s="35"/>
      <c r="L75" s="27">
        <f>1-$G$13</f>
        <v>0.98</v>
      </c>
      <c r="M75" s="2" t="s">
        <v>55</v>
      </c>
      <c r="O75" s="35"/>
      <c r="P75" s="27">
        <f>1-$G$13</f>
        <v>0.98</v>
      </c>
      <c r="Q75" s="2" t="s">
        <v>55</v>
      </c>
    </row>
    <row r="76" spans="2:18" x14ac:dyDescent="0.3">
      <c r="C76" s="21" t="s">
        <v>69</v>
      </c>
      <c r="D76" s="2">
        <v>1.1349</v>
      </c>
      <c r="E76" s="2" t="s">
        <v>32</v>
      </c>
      <c r="G76" s="35"/>
      <c r="H76" s="2">
        <v>1.1349</v>
      </c>
      <c r="I76" s="2" t="s">
        <v>32</v>
      </c>
      <c r="K76" s="35"/>
      <c r="L76" s="2">
        <v>1.1349</v>
      </c>
      <c r="M76" s="2" t="s">
        <v>32</v>
      </c>
      <c r="O76" s="35"/>
      <c r="P76" s="2">
        <v>1.1349</v>
      </c>
      <c r="Q76" s="2" t="s">
        <v>32</v>
      </c>
    </row>
    <row r="77" spans="2:18" ht="15.6" x14ac:dyDescent="0.3">
      <c r="C77" s="21" t="s">
        <v>146</v>
      </c>
      <c r="D77" s="2">
        <f>$D$45*$D$46</f>
        <v>1.1122019999999999</v>
      </c>
      <c r="E77" s="2" t="s">
        <v>55</v>
      </c>
      <c r="G77" s="35"/>
      <c r="H77" s="2">
        <f>$D$45*$D$46</f>
        <v>1.1122019999999999</v>
      </c>
      <c r="I77" s="2" t="s">
        <v>55</v>
      </c>
      <c r="K77" s="35"/>
      <c r="L77" s="2">
        <f>$D$45*$D$46</f>
        <v>1.1122019999999999</v>
      </c>
      <c r="M77" s="2" t="s">
        <v>55</v>
      </c>
      <c r="O77" s="35"/>
      <c r="P77" s="2">
        <f>$D$45*$D$46</f>
        <v>1.1122019999999999</v>
      </c>
      <c r="Q77" s="2" t="s">
        <v>55</v>
      </c>
    </row>
    <row r="78" spans="2:18" x14ac:dyDescent="0.3">
      <c r="C78" s="21" t="s">
        <v>166</v>
      </c>
      <c r="D78" s="28" t="e">
        <f>$G$17*$D$68</f>
        <v>#N/A</v>
      </c>
      <c r="E78" s="22" t="s">
        <v>72</v>
      </c>
      <c r="G78" s="35"/>
      <c r="H78" s="28" t="e">
        <f>$G$17*H68</f>
        <v>#N/A</v>
      </c>
      <c r="I78" s="22" t="s">
        <v>72</v>
      </c>
      <c r="K78" s="35"/>
      <c r="L78" s="28" t="e">
        <f>$G$17*L68</f>
        <v>#N/A</v>
      </c>
      <c r="M78" s="22" t="s">
        <v>72</v>
      </c>
      <c r="O78" s="35"/>
      <c r="P78" s="28" t="e">
        <f>$G$17*P68</f>
        <v>#N/A</v>
      </c>
      <c r="Q78" s="22" t="s">
        <v>72</v>
      </c>
    </row>
    <row r="79" spans="2:18" ht="15.6" x14ac:dyDescent="0.3">
      <c r="C79" s="21" t="s">
        <v>167</v>
      </c>
      <c r="D79" s="28" t="e">
        <f>$D$72*$D$69*$G$19</f>
        <v>#N/A</v>
      </c>
      <c r="E79" s="22" t="s">
        <v>73</v>
      </c>
      <c r="G79" s="35"/>
      <c r="H79" s="28" t="e">
        <f>H72*H69*$G$19</f>
        <v>#N/A</v>
      </c>
      <c r="I79" s="22" t="s">
        <v>73</v>
      </c>
      <c r="K79" s="35"/>
      <c r="L79" s="28" t="e">
        <f>L72*L69*$G$19</f>
        <v>#N/A</v>
      </c>
      <c r="M79" s="22" t="s">
        <v>73</v>
      </c>
      <c r="O79" s="35"/>
      <c r="P79" s="28" t="e">
        <f>P72*P69*$G$19</f>
        <v>#N/A</v>
      </c>
      <c r="Q79" s="22" t="s">
        <v>73</v>
      </c>
    </row>
    <row r="80" spans="2:18" ht="15.6" x14ac:dyDescent="0.3">
      <c r="B80" s="2" t="s">
        <v>24</v>
      </c>
      <c r="C80" s="21" t="s">
        <v>164</v>
      </c>
      <c r="D80" s="28" t="e">
        <f>$D$78/($D$79)</f>
        <v>#N/A</v>
      </c>
      <c r="E80" s="2" t="s">
        <v>55</v>
      </c>
      <c r="G80" s="35"/>
      <c r="H80" s="28" t="e">
        <f>H78/(H79)</f>
        <v>#N/A</v>
      </c>
      <c r="I80" s="2" t="s">
        <v>55</v>
      </c>
      <c r="K80" s="35"/>
      <c r="L80" s="28" t="e">
        <f>L78/(L79)</f>
        <v>#N/A</v>
      </c>
      <c r="M80" s="2" t="s">
        <v>55</v>
      </c>
      <c r="O80" s="35"/>
      <c r="P80" s="28" t="e">
        <f>P78/(P79)</f>
        <v>#N/A</v>
      </c>
      <c r="Q80" s="2" t="s">
        <v>55</v>
      </c>
    </row>
    <row r="81" spans="1:18" ht="16.2" x14ac:dyDescent="0.3">
      <c r="C81" s="21" t="s">
        <v>165</v>
      </c>
      <c r="D81" s="33" t="e">
        <f>$D$80^0.3095</f>
        <v>#N/A</v>
      </c>
      <c r="G81" s="35"/>
      <c r="H81" s="33" t="e">
        <f>H80^0.3095</f>
        <v>#N/A</v>
      </c>
      <c r="I81" s="2"/>
      <c r="K81" s="35"/>
      <c r="L81" s="33" t="e">
        <f>L80^0.3095</f>
        <v>#N/A</v>
      </c>
      <c r="M81" s="2"/>
      <c r="O81" s="35"/>
      <c r="P81" s="33" t="e">
        <f>P80^0.3095</f>
        <v>#N/A</v>
      </c>
      <c r="Q81" s="2"/>
    </row>
    <row r="82" spans="1:18" ht="16.2" x14ac:dyDescent="0.3">
      <c r="B82" s="2" t="s">
        <v>141</v>
      </c>
      <c r="C82" s="21" t="s">
        <v>163</v>
      </c>
      <c r="D82" s="107" t="e">
        <f>$D$81*1.1349</f>
        <v>#N/A</v>
      </c>
      <c r="E82" s="2" t="s">
        <v>55</v>
      </c>
      <c r="G82" s="35"/>
      <c r="H82" s="107" t="e">
        <f>H81*1.1349</f>
        <v>#N/A</v>
      </c>
      <c r="I82" s="2" t="s">
        <v>55</v>
      </c>
      <c r="K82" s="35"/>
      <c r="L82" s="107" t="e">
        <f>L81*1.1349</f>
        <v>#N/A</v>
      </c>
      <c r="M82" s="2" t="s">
        <v>55</v>
      </c>
      <c r="O82" s="35"/>
      <c r="P82" s="107" t="e">
        <f>P81*1.1349</f>
        <v>#N/A</v>
      </c>
      <c r="Q82" s="2" t="s">
        <v>55</v>
      </c>
    </row>
    <row r="83" spans="1:18" ht="15.6" x14ac:dyDescent="0.3">
      <c r="B83" s="2" t="s">
        <v>2</v>
      </c>
      <c r="C83" s="21" t="s">
        <v>148</v>
      </c>
      <c r="D83" s="107" t="e">
        <f>($D$75*$D$82)+$G$13</f>
        <v>#N/A</v>
      </c>
      <c r="E83" s="2" t="s">
        <v>55</v>
      </c>
      <c r="G83" s="35"/>
      <c r="H83" s="107" t="e">
        <f>(H75*H82)+$G$13</f>
        <v>#N/A</v>
      </c>
      <c r="I83" s="2" t="s">
        <v>55</v>
      </c>
      <c r="K83" s="35"/>
      <c r="L83" s="107" t="e">
        <f>(L75*L82)+$G$13</f>
        <v>#N/A</v>
      </c>
      <c r="M83" s="2" t="s">
        <v>55</v>
      </c>
      <c r="O83" s="35"/>
      <c r="P83" s="107" t="e">
        <f>(P75*P82)+$G$13</f>
        <v>#N/A</v>
      </c>
      <c r="Q83" s="2" t="s">
        <v>55</v>
      </c>
    </row>
    <row r="84" spans="1:18" ht="15.6" x14ac:dyDescent="0.3">
      <c r="B84" s="159" t="s">
        <v>155</v>
      </c>
      <c r="C84" s="22" t="s">
        <v>162</v>
      </c>
      <c r="D84" s="31" t="e">
        <f>D83*$G$11</f>
        <v>#N/A</v>
      </c>
      <c r="E84" s="2" t="s">
        <v>55</v>
      </c>
      <c r="G84" s="35"/>
      <c r="H84" s="31" t="e">
        <f>H83*$G$11</f>
        <v>#N/A</v>
      </c>
      <c r="I84" s="2" t="s">
        <v>55</v>
      </c>
      <c r="K84" s="35"/>
      <c r="L84" s="31" t="e">
        <f>L83*$G$11</f>
        <v>#N/A</v>
      </c>
      <c r="M84" s="2" t="s">
        <v>55</v>
      </c>
      <c r="O84" s="35"/>
      <c r="P84" s="31" t="e">
        <f>P83*$G$11</f>
        <v>#N/A</v>
      </c>
      <c r="Q84" s="2" t="s">
        <v>55</v>
      </c>
    </row>
    <row r="85" spans="1:18" ht="15.6" x14ac:dyDescent="0.3">
      <c r="B85" s="2" t="s">
        <v>22</v>
      </c>
      <c r="C85" s="21" t="s">
        <v>161</v>
      </c>
      <c r="D85" s="31" t="e">
        <f>$D$84*$D$69</f>
        <v>#N/A</v>
      </c>
      <c r="E85" s="2" t="s">
        <v>6</v>
      </c>
      <c r="G85" s="35"/>
      <c r="H85" s="31" t="e">
        <f>H84*H69</f>
        <v>#N/A</v>
      </c>
      <c r="I85" s="2" t="s">
        <v>6</v>
      </c>
      <c r="K85" s="35"/>
      <c r="L85" s="31" t="e">
        <f>L84*L69</f>
        <v>#N/A</v>
      </c>
      <c r="M85" s="2" t="s">
        <v>6</v>
      </c>
      <c r="O85" s="35"/>
      <c r="P85" s="31" t="e">
        <f>P84*P69</f>
        <v>#N/A</v>
      </c>
      <c r="Q85" s="2" t="s">
        <v>6</v>
      </c>
    </row>
    <row r="86" spans="1:18" ht="7.2" customHeight="1" x14ac:dyDescent="0.3">
      <c r="C86" s="21"/>
      <c r="D86" s="31"/>
      <c r="G86" s="35"/>
      <c r="H86" s="31"/>
      <c r="I86" s="2"/>
      <c r="K86" s="35"/>
      <c r="L86" s="31"/>
      <c r="M86" s="2"/>
      <c r="O86" s="35"/>
      <c r="P86" s="31"/>
      <c r="Q86" s="2"/>
    </row>
    <row r="87" spans="1:18" ht="16.2" x14ac:dyDescent="0.3">
      <c r="B87" s="2" t="s">
        <v>23</v>
      </c>
      <c r="C87" s="21" t="s">
        <v>160</v>
      </c>
      <c r="D87" s="28">
        <f>(1-$G$11)*$D$73</f>
        <v>1498.6000000000001</v>
      </c>
      <c r="E87" s="2" t="s">
        <v>128</v>
      </c>
      <c r="G87" s="35"/>
      <c r="H87" s="28">
        <f>(1-$G$11)*H73</f>
        <v>1498.6000000000001</v>
      </c>
      <c r="I87" s="2" t="s">
        <v>70</v>
      </c>
      <c r="K87" s="35"/>
      <c r="L87" s="28">
        <f>(1-$G$11)*L73</f>
        <v>1498.6000000000001</v>
      </c>
      <c r="M87" s="2" t="s">
        <v>70</v>
      </c>
      <c r="O87" s="35"/>
      <c r="P87" s="28">
        <f>(1-$G$11)*P73</f>
        <v>1498.6000000000001</v>
      </c>
      <c r="Q87" s="2" t="s">
        <v>70</v>
      </c>
    </row>
    <row r="88" spans="1:18" ht="16.2" x14ac:dyDescent="0.3">
      <c r="B88" s="2" t="s">
        <v>23</v>
      </c>
      <c r="C88" s="21" t="s">
        <v>74</v>
      </c>
      <c r="D88" s="2">
        <f>$D$87/1000</f>
        <v>1.4986000000000002</v>
      </c>
      <c r="E88" s="2" t="s">
        <v>138</v>
      </c>
      <c r="G88" s="35"/>
      <c r="H88" s="2">
        <f>H87/1000</f>
        <v>1.4986000000000002</v>
      </c>
      <c r="I88" s="2" t="s">
        <v>71</v>
      </c>
      <c r="K88" s="35"/>
      <c r="L88" s="2">
        <f>L87/1000</f>
        <v>1.4986000000000002</v>
      </c>
      <c r="M88" s="2" t="s">
        <v>71</v>
      </c>
      <c r="O88" s="35"/>
      <c r="P88" s="2">
        <f>P87/1000</f>
        <v>1.4986000000000002</v>
      </c>
      <c r="Q88" s="2" t="s">
        <v>71</v>
      </c>
    </row>
    <row r="89" spans="1:18" x14ac:dyDescent="0.3">
      <c r="C89" s="21"/>
      <c r="G89" s="35"/>
      <c r="H89" s="2"/>
      <c r="I89" s="2"/>
      <c r="K89" s="35"/>
      <c r="L89" s="2"/>
      <c r="M89" s="2"/>
      <c r="O89" s="35"/>
      <c r="P89" s="2"/>
      <c r="Q89" s="2"/>
    </row>
    <row r="90" spans="1:18" ht="15.6" x14ac:dyDescent="0.3">
      <c r="B90" s="2" t="s">
        <v>142</v>
      </c>
      <c r="C90" s="21" t="s">
        <v>144</v>
      </c>
      <c r="D90" s="32" t="e">
        <f>(D85/D87)*1000000</f>
        <v>#N/A</v>
      </c>
      <c r="E90" s="2" t="s">
        <v>4</v>
      </c>
      <c r="G90" s="35"/>
      <c r="H90" s="32" t="e">
        <f>(H85/H87)*1000000</f>
        <v>#N/A</v>
      </c>
      <c r="I90" s="2" t="s">
        <v>4</v>
      </c>
      <c r="K90" s="35"/>
      <c r="L90" s="32" t="e">
        <f>(L85/L87)*1000000</f>
        <v>#N/A</v>
      </c>
      <c r="M90" s="2" t="s">
        <v>4</v>
      </c>
      <c r="O90" s="35"/>
      <c r="P90" s="32" t="e">
        <f>(P85/P87)*1000000</f>
        <v>#N/A</v>
      </c>
      <c r="Q90" s="2" t="s">
        <v>4</v>
      </c>
    </row>
    <row r="91" spans="1:18" ht="7.2" customHeight="1" x14ac:dyDescent="0.3">
      <c r="G91" s="35"/>
      <c r="K91" s="35"/>
      <c r="O91" s="35"/>
    </row>
    <row r="92" spans="1:18" ht="7.2" customHeight="1" x14ac:dyDescent="0.3"/>
    <row r="93" spans="1:18" s="40" customFormat="1" ht="23.4" customHeight="1" x14ac:dyDescent="0.3">
      <c r="A93" s="356" t="s">
        <v>102</v>
      </c>
      <c r="B93" s="356"/>
      <c r="C93" s="356"/>
      <c r="D93" s="41"/>
      <c r="E93" s="41"/>
      <c r="F93" s="41"/>
      <c r="G93" s="41"/>
      <c r="H93" s="41"/>
      <c r="I93" s="42"/>
      <c r="J93" s="42"/>
      <c r="K93" s="42"/>
      <c r="L93" s="42"/>
      <c r="M93" s="42"/>
    </row>
    <row r="94" spans="1:18" ht="7.2" customHeight="1" thickBot="1" x14ac:dyDescent="0.35"/>
    <row r="95" spans="1:18" ht="18" x14ac:dyDescent="0.3">
      <c r="C95" s="49" t="s">
        <v>193</v>
      </c>
      <c r="D95" s="359" t="s">
        <v>48</v>
      </c>
      <c r="E95" s="359"/>
      <c r="F95" s="359"/>
      <c r="G95" s="34"/>
      <c r="H95" s="359" t="s">
        <v>48</v>
      </c>
      <c r="I95" s="359"/>
      <c r="J95" s="359"/>
      <c r="K95" s="34"/>
      <c r="L95" s="359" t="s">
        <v>48</v>
      </c>
      <c r="M95" s="359"/>
      <c r="N95" s="359"/>
      <c r="O95" s="34"/>
      <c r="P95" s="359" t="s">
        <v>48</v>
      </c>
      <c r="Q95" s="359"/>
      <c r="R95" s="359"/>
    </row>
    <row r="96" spans="1:18" ht="18" x14ac:dyDescent="0.3">
      <c r="C96" s="357" t="s">
        <v>31</v>
      </c>
      <c r="D96" s="355" t="s">
        <v>78</v>
      </c>
      <c r="E96" s="355"/>
      <c r="F96" s="355"/>
      <c r="G96" s="35"/>
      <c r="H96" s="355" t="s">
        <v>77</v>
      </c>
      <c r="I96" s="355"/>
      <c r="J96" s="355"/>
      <c r="K96" s="35"/>
      <c r="L96" s="355" t="s">
        <v>79</v>
      </c>
      <c r="M96" s="355"/>
      <c r="N96" s="355"/>
      <c r="O96" s="35"/>
      <c r="P96" s="355" t="s">
        <v>76</v>
      </c>
      <c r="Q96" s="355"/>
      <c r="R96" s="355"/>
    </row>
    <row r="97" spans="3:18" ht="47.4" thickBot="1" x14ac:dyDescent="0.35">
      <c r="C97" s="358"/>
      <c r="D97" s="36" t="s">
        <v>46</v>
      </c>
      <c r="E97" s="36" t="s">
        <v>47</v>
      </c>
      <c r="F97" s="36" t="s">
        <v>1</v>
      </c>
      <c r="G97" s="37"/>
      <c r="H97" s="36" t="s">
        <v>46</v>
      </c>
      <c r="I97" s="36" t="s">
        <v>47</v>
      </c>
      <c r="J97" s="36" t="s">
        <v>1</v>
      </c>
      <c r="K97" s="37"/>
      <c r="L97" s="36" t="s">
        <v>46</v>
      </c>
      <c r="M97" s="36" t="s">
        <v>47</v>
      </c>
      <c r="N97" s="36" t="s">
        <v>1</v>
      </c>
      <c r="O97" s="37"/>
      <c r="P97" s="36" t="s">
        <v>46</v>
      </c>
      <c r="Q97" s="36" t="s">
        <v>47</v>
      </c>
      <c r="R97" s="36" t="s">
        <v>1</v>
      </c>
    </row>
    <row r="98" spans="3:18" x14ac:dyDescent="0.3">
      <c r="C98" s="8" t="s">
        <v>43</v>
      </c>
      <c r="D98" s="47">
        <v>0.41</v>
      </c>
      <c r="E98" s="8"/>
      <c r="F98" s="8"/>
      <c r="G98" s="19"/>
      <c r="H98" s="47">
        <f>'Parameter Definition &amp; Calculat'!$G$11</f>
        <v>0.41</v>
      </c>
      <c r="I98" s="8"/>
      <c r="J98" s="8"/>
      <c r="K98" s="19"/>
      <c r="L98" s="47">
        <f>'Parameter Definition &amp; Calculat'!$G$11</f>
        <v>0.41</v>
      </c>
      <c r="M98" s="8"/>
      <c r="N98" s="8"/>
      <c r="O98" s="19"/>
      <c r="P98" s="47">
        <f>'Parameter Definition &amp; Calculat'!$G$11</f>
        <v>0.41</v>
      </c>
      <c r="Q98" s="8"/>
      <c r="R98" s="8"/>
    </row>
    <row r="99" spans="3:18" ht="16.2" x14ac:dyDescent="0.3">
      <c r="C99" s="8" t="s">
        <v>149</v>
      </c>
      <c r="D99" s="8"/>
      <c r="E99" s="50">
        <f>D98^3</f>
        <v>6.8920999999999982E-2</v>
      </c>
      <c r="F99" s="8"/>
      <c r="G99" s="19"/>
      <c r="H99" s="8"/>
      <c r="I99" s="50">
        <f>H98^3</f>
        <v>6.8920999999999982E-2</v>
      </c>
      <c r="J99" s="8"/>
      <c r="K99" s="19"/>
      <c r="L99" s="8"/>
      <c r="M99" s="50">
        <f>L98^3</f>
        <v>6.8920999999999982E-2</v>
      </c>
      <c r="N99" s="8"/>
      <c r="O99" s="19"/>
      <c r="P99" s="8"/>
      <c r="Q99" s="50">
        <f>P98^3</f>
        <v>6.8920999999999982E-2</v>
      </c>
      <c r="R99" s="8"/>
    </row>
    <row r="100" spans="3:18" ht="15.6" x14ac:dyDescent="0.3">
      <c r="C100" s="14" t="s">
        <v>192</v>
      </c>
      <c r="D100" s="48">
        <f>$D$70</f>
        <v>0</v>
      </c>
      <c r="E100" s="14"/>
      <c r="F100" s="14"/>
      <c r="G100" s="20"/>
      <c r="H100" s="48">
        <f>$H$70</f>
        <v>0</v>
      </c>
      <c r="I100" s="14"/>
      <c r="J100" s="14"/>
      <c r="K100" s="20"/>
      <c r="L100" s="48">
        <f>$L$70</f>
        <v>0</v>
      </c>
      <c r="M100" s="14"/>
      <c r="N100" s="14"/>
      <c r="O100" s="20"/>
      <c r="P100" s="48">
        <f>$P$70</f>
        <v>0</v>
      </c>
      <c r="Q100" s="14"/>
      <c r="R100" s="14"/>
    </row>
    <row r="101" spans="3:18" x14ac:dyDescent="0.3">
      <c r="C101" s="14"/>
      <c r="D101" s="48">
        <f>IF(D100=0,0.1,D100)</f>
        <v>0.1</v>
      </c>
      <c r="E101" s="14"/>
      <c r="F101" s="14"/>
      <c r="G101" s="20"/>
      <c r="H101" s="48">
        <f>IF(H100=0,0.1,H100)</f>
        <v>0.1</v>
      </c>
      <c r="I101" s="14"/>
      <c r="J101" s="14"/>
      <c r="K101" s="20"/>
      <c r="L101" s="48">
        <f>IF(L100=0,0.1,L100)</f>
        <v>0.1</v>
      </c>
      <c r="M101" s="14"/>
      <c r="N101" s="14"/>
      <c r="O101" s="20"/>
      <c r="P101" s="48">
        <f>IF(P100=0,0.1,P100)</f>
        <v>0.1</v>
      </c>
      <c r="Q101" s="14"/>
      <c r="R101" s="14"/>
    </row>
    <row r="102" spans="3:18" ht="16.2" x14ac:dyDescent="0.3">
      <c r="C102" s="8" t="s">
        <v>191</v>
      </c>
      <c r="D102" s="8"/>
      <c r="E102" s="51">
        <f>D101^2</f>
        <v>1.0000000000000002E-2</v>
      </c>
      <c r="F102" s="8"/>
      <c r="G102" s="19"/>
      <c r="H102" s="8"/>
      <c r="I102" s="51">
        <f>H101^2</f>
        <v>1.0000000000000002E-2</v>
      </c>
      <c r="J102" s="8"/>
      <c r="K102" s="19"/>
      <c r="L102" s="8"/>
      <c r="M102" s="51">
        <f>L101^2</f>
        <v>1.0000000000000002E-2</v>
      </c>
      <c r="N102" s="8"/>
      <c r="O102" s="19"/>
      <c r="P102" s="8"/>
      <c r="Q102" s="51">
        <f>P101^2</f>
        <v>1.0000000000000002E-2</v>
      </c>
      <c r="R102" s="8"/>
    </row>
    <row r="103" spans="3:18" x14ac:dyDescent="0.3">
      <c r="C103" s="8" t="s">
        <v>75</v>
      </c>
      <c r="D103" s="8">
        <v>180</v>
      </c>
      <c r="E103" s="8"/>
      <c r="F103" s="8"/>
      <c r="G103" s="19"/>
      <c r="H103" s="8">
        <v>180</v>
      </c>
      <c r="I103" s="8"/>
      <c r="J103" s="8"/>
      <c r="K103" s="19"/>
      <c r="L103" s="8">
        <v>180</v>
      </c>
      <c r="M103" s="8"/>
      <c r="N103" s="8"/>
      <c r="O103" s="19"/>
      <c r="P103" s="8">
        <v>180</v>
      </c>
      <c r="Q103" s="8"/>
      <c r="R103" s="8"/>
    </row>
    <row r="104" spans="3:18" x14ac:dyDescent="0.3">
      <c r="C104" s="8" t="s">
        <v>44</v>
      </c>
      <c r="D104" s="8"/>
      <c r="E104" s="8">
        <f>1-D98</f>
        <v>0.59000000000000008</v>
      </c>
      <c r="F104" s="8"/>
      <c r="G104" s="19"/>
      <c r="H104" s="8"/>
      <c r="I104" s="8">
        <f>1-H98</f>
        <v>0.59000000000000008</v>
      </c>
      <c r="J104" s="8"/>
      <c r="K104" s="19"/>
      <c r="L104" s="8"/>
      <c r="M104" s="8">
        <f>1-L98</f>
        <v>0.59000000000000008</v>
      </c>
      <c r="N104" s="8"/>
      <c r="O104" s="19"/>
      <c r="P104" s="8"/>
      <c r="Q104" s="8">
        <f>1-P98</f>
        <v>0.59000000000000008</v>
      </c>
      <c r="R104" s="8"/>
    </row>
    <row r="105" spans="3:18" ht="16.2" x14ac:dyDescent="0.3">
      <c r="C105" s="8" t="s">
        <v>150</v>
      </c>
      <c r="D105" s="8"/>
      <c r="E105" s="8">
        <f>E104^2</f>
        <v>0.34810000000000008</v>
      </c>
      <c r="F105" s="8"/>
      <c r="G105" s="19"/>
      <c r="H105" s="8"/>
      <c r="I105" s="8">
        <f>I104^2</f>
        <v>0.34810000000000008</v>
      </c>
      <c r="J105" s="8"/>
      <c r="K105" s="19"/>
      <c r="L105" s="8"/>
      <c r="M105" s="8">
        <f>M104^2</f>
        <v>0.34810000000000008</v>
      </c>
      <c r="N105" s="8"/>
      <c r="O105" s="19"/>
      <c r="P105" s="8"/>
      <c r="Q105" s="8">
        <f>Q104^2</f>
        <v>0.34810000000000008</v>
      </c>
      <c r="R105" s="8"/>
    </row>
    <row r="106" spans="3:18" ht="16.2" x14ac:dyDescent="0.3">
      <c r="C106" s="8" t="s">
        <v>190</v>
      </c>
      <c r="D106" s="8"/>
      <c r="E106" s="8">
        <f>E99*E102</f>
        <v>6.8921E-4</v>
      </c>
      <c r="F106" s="8"/>
      <c r="G106" s="19"/>
      <c r="H106" s="8"/>
      <c r="I106" s="8">
        <f>I99*I102</f>
        <v>6.8921E-4</v>
      </c>
      <c r="J106" s="8"/>
      <c r="K106" s="19"/>
      <c r="L106" s="8"/>
      <c r="M106" s="8">
        <f>M99*M102</f>
        <v>6.8921E-4</v>
      </c>
      <c r="N106" s="8"/>
      <c r="O106" s="19"/>
      <c r="P106" s="8"/>
      <c r="Q106" s="8">
        <f>Q99*Q102</f>
        <v>6.8921E-4</v>
      </c>
      <c r="R106" s="8"/>
    </row>
    <row r="107" spans="3:18" ht="9.6" customHeight="1" x14ac:dyDescent="0.3">
      <c r="C107" s="8"/>
      <c r="D107" s="8"/>
      <c r="E107" s="8"/>
      <c r="F107" s="8"/>
      <c r="G107" s="19"/>
      <c r="H107" s="8"/>
      <c r="I107" s="8"/>
      <c r="J107" s="8"/>
      <c r="K107" s="19"/>
      <c r="L107" s="8"/>
      <c r="M107" s="8"/>
      <c r="N107" s="8"/>
      <c r="O107" s="19"/>
      <c r="P107" s="8"/>
      <c r="Q107" s="8"/>
      <c r="R107" s="8"/>
    </row>
    <row r="108" spans="3:18" ht="18" customHeight="1" x14ac:dyDescent="0.3">
      <c r="C108" s="8" t="s">
        <v>151</v>
      </c>
      <c r="D108" s="8"/>
      <c r="E108" s="8">
        <f>D103*E105</f>
        <v>62.658000000000015</v>
      </c>
      <c r="F108" s="8"/>
      <c r="G108" s="19"/>
      <c r="H108" s="8"/>
      <c r="I108" s="8">
        <f>H103*I105</f>
        <v>62.658000000000015</v>
      </c>
      <c r="J108" s="8"/>
      <c r="K108" s="19"/>
      <c r="L108" s="8"/>
      <c r="M108" s="8">
        <f>L103*M105</f>
        <v>62.658000000000015</v>
      </c>
      <c r="N108" s="8"/>
      <c r="O108" s="19"/>
      <c r="P108" s="8"/>
      <c r="Q108" s="8">
        <f>P103*Q105</f>
        <v>62.658000000000015</v>
      </c>
      <c r="R108" s="8"/>
    </row>
    <row r="109" spans="3:18" ht="18" customHeight="1" x14ac:dyDescent="0.3">
      <c r="C109" s="160" t="s">
        <v>159</v>
      </c>
      <c r="D109" s="9"/>
      <c r="E109" s="17">
        <f>E106/E108</f>
        <v>1.0999553129688146E-5</v>
      </c>
      <c r="F109" s="9"/>
      <c r="G109" s="20"/>
      <c r="H109" s="9"/>
      <c r="I109" s="17">
        <f>I106/I108</f>
        <v>1.0999553129688146E-5</v>
      </c>
      <c r="J109" s="9"/>
      <c r="K109" s="20"/>
      <c r="L109" s="9"/>
      <c r="M109" s="17">
        <f>M106/M108</f>
        <v>1.0999553129688146E-5</v>
      </c>
      <c r="N109" s="9"/>
      <c r="O109" s="20"/>
      <c r="P109" s="9"/>
      <c r="Q109" s="17">
        <f>Q106/Q108</f>
        <v>1.0999553129688146E-5</v>
      </c>
      <c r="R109" s="9"/>
    </row>
    <row r="110" spans="3:18" ht="18" customHeight="1" x14ac:dyDescent="0.3">
      <c r="C110" s="9" t="s">
        <v>152</v>
      </c>
      <c r="D110" s="16">
        <v>1000000</v>
      </c>
      <c r="E110" s="16"/>
      <c r="F110" s="8"/>
      <c r="G110" s="19"/>
      <c r="H110" s="16">
        <v>1000000</v>
      </c>
      <c r="I110" s="16"/>
      <c r="J110" s="8"/>
      <c r="K110" s="19"/>
      <c r="L110" s="16">
        <v>1000000</v>
      </c>
      <c r="M110" s="16"/>
      <c r="N110" s="8"/>
      <c r="O110" s="19"/>
      <c r="P110" s="16">
        <v>1000000</v>
      </c>
      <c r="Q110" s="16"/>
      <c r="R110" s="8"/>
    </row>
    <row r="111" spans="3:18" ht="9.6" customHeight="1" x14ac:dyDescent="0.3">
      <c r="C111" s="8"/>
      <c r="D111" s="8"/>
      <c r="E111" s="8"/>
      <c r="F111" s="8"/>
      <c r="G111" s="19"/>
      <c r="H111" s="8"/>
      <c r="I111" s="8"/>
      <c r="J111" s="8"/>
      <c r="K111" s="19"/>
      <c r="L111" s="8"/>
      <c r="M111" s="8"/>
      <c r="N111" s="8"/>
      <c r="O111" s="19"/>
      <c r="P111" s="8"/>
      <c r="Q111" s="8"/>
      <c r="R111" s="8"/>
    </row>
    <row r="112" spans="3:18" ht="18" x14ac:dyDescent="0.3">
      <c r="C112" s="15" t="s">
        <v>153</v>
      </c>
      <c r="D112" s="8"/>
      <c r="E112" s="39">
        <f>E109/D110</f>
        <v>1.0999553129688145E-11</v>
      </c>
      <c r="F112" s="38" t="s">
        <v>45</v>
      </c>
      <c r="G112" s="19"/>
      <c r="H112" s="8"/>
      <c r="I112" s="39">
        <f>I109/H110</f>
        <v>1.0999553129688145E-11</v>
      </c>
      <c r="J112" s="38" t="s">
        <v>45</v>
      </c>
      <c r="K112" s="19"/>
      <c r="L112" s="8"/>
      <c r="M112" s="39">
        <f>M109/L110</f>
        <v>1.0999553129688145E-11</v>
      </c>
      <c r="N112" s="38" t="s">
        <v>45</v>
      </c>
      <c r="O112" s="19"/>
      <c r="P112" s="8"/>
      <c r="Q112" s="39">
        <f>Q109/P110</f>
        <v>1.0999553129688145E-11</v>
      </c>
      <c r="R112" s="38" t="s">
        <v>45</v>
      </c>
    </row>
    <row r="113" spans="3:18" x14ac:dyDescent="0.3">
      <c r="D113" s="8"/>
      <c r="E113" s="8"/>
      <c r="F113" s="8"/>
      <c r="G113" s="19"/>
      <c r="H113" s="8"/>
      <c r="I113" s="8"/>
      <c r="J113" s="8"/>
      <c r="K113" s="19"/>
      <c r="L113" s="8"/>
      <c r="M113" s="8"/>
      <c r="N113" s="8"/>
      <c r="O113" s="19"/>
      <c r="P113" s="8"/>
      <c r="Q113" s="8"/>
      <c r="R113" s="8"/>
    </row>
    <row r="114" spans="3:18" x14ac:dyDescent="0.3">
      <c r="D114" s="8"/>
      <c r="E114" s="8"/>
      <c r="F114" s="8"/>
      <c r="G114" s="19"/>
      <c r="H114" s="8"/>
      <c r="I114" s="8"/>
      <c r="J114" s="8"/>
      <c r="K114" s="19"/>
      <c r="L114" s="8"/>
      <c r="M114" s="8"/>
      <c r="N114" s="8"/>
      <c r="O114" s="19"/>
      <c r="P114" s="8"/>
      <c r="Q114" s="8"/>
      <c r="R114" s="8"/>
    </row>
    <row r="115" spans="3:18" x14ac:dyDescent="0.3">
      <c r="D115" s="8"/>
      <c r="E115" s="8"/>
      <c r="F115" s="8"/>
      <c r="G115" s="19"/>
      <c r="H115" s="8"/>
      <c r="I115" s="8"/>
      <c r="J115" s="8"/>
      <c r="K115" s="19"/>
      <c r="L115" s="8"/>
      <c r="M115" s="8"/>
      <c r="N115" s="8"/>
      <c r="O115" s="19"/>
      <c r="P115" s="8"/>
      <c r="Q115" s="8"/>
      <c r="R115" s="8"/>
    </row>
    <row r="116" spans="3:18" x14ac:dyDescent="0.3">
      <c r="C116" s="106"/>
    </row>
    <row r="118" spans="3:18" x14ac:dyDescent="0.3">
      <c r="C118" s="106"/>
    </row>
    <row r="122" spans="3:18" x14ac:dyDescent="0.3">
      <c r="C122" s="109"/>
    </row>
  </sheetData>
  <autoFilter ref="A3:I22" xr:uid="{00000000-0009-0000-0000-000003000000}"/>
  <customSheetViews>
    <customSheetView guid="{83402344-CCA8-40B9-B57E-B9AC5DEAD45E}" scale="80" showPageBreaks="1" printArea="1" showAutoFilter="1" view="pageBreakPreview" topLeftCell="D85">
      <selection activeCell="I21" sqref="I21"/>
      <rowBreaks count="1" manualBreakCount="1">
        <brk id="61" max="16383" man="1"/>
      </rowBreaks>
      <pageMargins left="0.35" right="0.22" top="0.39" bottom="0.34" header="0.3" footer="0.24"/>
      <printOptions horizontalCentered="1" headings="1" gridLines="1"/>
      <pageSetup scale="50" orientation="landscape" r:id="rId1"/>
      <autoFilter ref="A3:I21" xr:uid="{00000000-0000-0000-0000-000000000000}"/>
    </customSheetView>
  </customSheetViews>
  <mergeCells count="17">
    <mergeCell ref="A2:C2"/>
    <mergeCell ref="D95:F95"/>
    <mergeCell ref="H95:J95"/>
    <mergeCell ref="L95:N95"/>
    <mergeCell ref="D67:F67"/>
    <mergeCell ref="H67:J67"/>
    <mergeCell ref="L67:N67"/>
    <mergeCell ref="P67:R67"/>
    <mergeCell ref="A24:C24"/>
    <mergeCell ref="A63:C63"/>
    <mergeCell ref="C96:C97"/>
    <mergeCell ref="A93:C93"/>
    <mergeCell ref="P95:R95"/>
    <mergeCell ref="D96:F96"/>
    <mergeCell ref="H96:J96"/>
    <mergeCell ref="L96:N96"/>
    <mergeCell ref="P96:R96"/>
  </mergeCells>
  <printOptions horizontalCentered="1" headings="1" gridLines="1"/>
  <pageMargins left="0.35" right="0.22" top="0.39" bottom="0.34" header="0.3" footer="0.24"/>
  <pageSetup paperSize="5" scale="50" orientation="landscape" r:id="rId2"/>
  <rowBreaks count="1" manualBreakCount="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Summary Sheet</vt:lpstr>
      <vt:lpstr>Grain Size Data Entry</vt:lpstr>
      <vt:lpstr>'Grain Size Data Entry'!Print_Area</vt:lpstr>
      <vt:lpstr>'Parameter Definition &amp; Calculat'!Print_Area</vt:lpstr>
      <vt:lpstr>'Summary Sheet'!Print_Area</vt:lpstr>
      <vt:lpstr>Type_of_LNAPL_Source_Material</vt:lpstr>
      <vt:lpstr>Type_of_Oil_Product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EPH Values Indicative of NAPL</dc:title>
  <dc:creator>NJDEP EPH Subcommittee</dc:creator>
  <cp:keywords>DRAFT DOCUMENT -FOR REVIEW AND DISCUSSION ONLY -ATTORNEY WORK PRODUCT</cp:keywords>
  <cp:lastModifiedBy>Sanders, Paul</cp:lastModifiedBy>
  <cp:lastPrinted>2019-10-23T19:45:34Z</cp:lastPrinted>
  <dcterms:created xsi:type="dcterms:W3CDTF">2017-02-28T15:59:59Z</dcterms:created>
  <dcterms:modified xsi:type="dcterms:W3CDTF">2019-11-27T15:04:44Z</dcterms:modified>
  <cp:category>Password - is the password</cp:category>
</cp:coreProperties>
</file>