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0" yWindow="120" windowWidth="20916" windowHeight="9120" activeTab="0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</sheets>
  <definedNames>
    <definedName name="CAS_No">'VLOOKUP'!$A$25:$A$284</definedName>
    <definedName name="Chemical_Data">'VLOOKUP'!$A$25:$P$284</definedName>
    <definedName name="_xlnm.Print_Area" localSheetId="0">'DATENTER'!$A$1:$Q$60</definedName>
    <definedName name="Soil_Data">'VLOOKUP'!$A$3:$J$14</definedName>
    <definedName name="Soil_Type">'VLOOKUP'!$A$3:$A$14</definedName>
  </definedNames>
  <calcPr fullCalcOnLoad="1"/>
</workbook>
</file>

<file path=xl/sharedStrings.xml><?xml version="1.0" encoding="utf-8"?>
<sst xmlns="http://schemas.openxmlformats.org/spreadsheetml/2006/main" count="738" uniqueCount="389">
  <si>
    <t>CALCULATE RISK-BASED GROUNDWATER CONCENTRATION (enter "X" in "YES" box)</t>
  </si>
  <si>
    <t>YES</t>
  </si>
  <si>
    <t>OR</t>
  </si>
  <si>
    <t>CALCULATE INCREMENTAL RISKS FROM ACTUAL GROUNDWATER CONCENTRATION (enter "X" in "YES" box and initial groundwater conc. below)</t>
  </si>
  <si>
    <t>ENTER</t>
  </si>
  <si>
    <t>Initial</t>
  </si>
  <si>
    <t>Chemical</t>
  </si>
  <si>
    <t>groundwater</t>
  </si>
  <si>
    <t>CAS No.</t>
  </si>
  <si>
    <t>conc.,</t>
  </si>
  <si>
    <t>(numbers only,</t>
  </si>
  <si>
    <r>
      <t>C</t>
    </r>
    <r>
      <rPr>
        <vertAlign val="subscript"/>
        <sz val="10"/>
        <color indexed="8"/>
        <rFont val="MS Sans Serif"/>
        <family val="2"/>
      </rPr>
      <t>W</t>
    </r>
  </si>
  <si>
    <t>no dashes)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</si>
  <si>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g/L)</t>
    </r>
  </si>
  <si>
    <t>Depth</t>
  </si>
  <si>
    <t>Soil</t>
  </si>
  <si>
    <t>Average</t>
  </si>
  <si>
    <t>below grade</t>
  </si>
  <si>
    <t>Thickness</t>
  </si>
  <si>
    <t>stratum A</t>
  </si>
  <si>
    <t>User-defined</t>
  </si>
  <si>
    <t>soil/</t>
  </si>
  <si>
    <t>to bottom</t>
  </si>
  <si>
    <t>of soil</t>
  </si>
  <si>
    <t>SCS</t>
  </si>
  <si>
    <t>of enclosed</t>
  </si>
  <si>
    <t>stratum B,</t>
  </si>
  <si>
    <t>stratum C,</t>
  </si>
  <si>
    <t>stratum</t>
  </si>
  <si>
    <t>soil type</t>
  </si>
  <si>
    <t>soil vapor</t>
  </si>
  <si>
    <t>temperature,</t>
  </si>
  <si>
    <t>space floor,</t>
  </si>
  <si>
    <t>to water table,</t>
  </si>
  <si>
    <t>stratum A,</t>
  </si>
  <si>
    <t>(Enter value or 0)</t>
  </si>
  <si>
    <t>directly above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</si>
  <si>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</si>
  <si>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</si>
  <si>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</si>
  <si>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</si>
  <si>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L</t>
    </r>
    <r>
      <rPr>
        <vertAlign val="subscript"/>
        <sz val="10"/>
        <color indexed="8"/>
        <rFont val="MS Sans Serif"/>
        <family val="2"/>
      </rPr>
      <t>WT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</si>
  <si>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</si>
  <si>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</si>
  <si>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</si>
  <si>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t>water table,</t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</si>
  <si>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</si>
  <si>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</si>
  <si>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</si>
  <si>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(Enter A, B, or C)</t>
  </si>
  <si>
    <t>water table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</si>
  <si>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</si>
  <si>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</si>
  <si>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C</t>
  </si>
  <si>
    <t>SC</t>
  </si>
  <si>
    <t>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</si>
  <si>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</si>
  <si>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</si>
  <si>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</si>
  <si>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</si>
  <si>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</si>
  <si>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</si>
  <si>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</si>
  <si>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</si>
  <si>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</si>
  <si>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</si>
  <si>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</si>
  <si>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</si>
  <si>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</si>
  <si>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</si>
  <si>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</si>
  <si>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</si>
  <si>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</si>
  <si>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</si>
  <si>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</si>
  <si>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</si>
  <si>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</si>
  <si>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</si>
  <si>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</si>
  <si>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</si>
  <si>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</si>
  <si>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</si>
  <si>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</si>
  <si>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</si>
  <si>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</si>
  <si>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</si>
  <si>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</si>
  <si>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</si>
  <si>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</si>
  <si>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</si>
  <si>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</si>
  <si>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</si>
  <si>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color indexed="8"/>
        <rFont val="MS Sans Serif"/>
        <family val="2"/>
      </rPr>
      <t>P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</si>
  <si>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</si>
  <si>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</si>
  <si>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</si>
  <si>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</si>
  <si>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</si>
  <si>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r>
      <t>(g/cm-s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</si>
  <si>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(1/h)</t>
  </si>
  <si>
    <t>Averaging</t>
  </si>
  <si>
    <t>Target</t>
  </si>
  <si>
    <t>Target hazard</t>
  </si>
  <si>
    <t>time for</t>
  </si>
  <si>
    <t>Exposure</t>
  </si>
  <si>
    <t>risk for</t>
  </si>
  <si>
    <t>quotient for</t>
  </si>
  <si>
    <t>carcinogens,</t>
  </si>
  <si>
    <t>noncarcinogens,</t>
  </si>
  <si>
    <t>duration,</t>
  </si>
  <si>
    <t>frequency,</t>
  </si>
  <si>
    <r>
      <t>AT</t>
    </r>
    <r>
      <rPr>
        <vertAlign val="subscript"/>
        <sz val="10"/>
        <color indexed="8"/>
        <rFont val="MS Sans Serif"/>
        <family val="2"/>
      </rPr>
      <t>C</t>
    </r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</si>
  <si>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</si>
  <si>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t>ED</t>
  </si>
  <si>
    <t>EF</t>
  </si>
  <si>
    <t>TR</t>
  </si>
  <si>
    <t>THQ</t>
  </si>
  <si>
    <t>(yrs)</t>
  </si>
  <si>
    <t>(days/yr)</t>
  </si>
  <si>
    <t>Used to calculate risk-based</t>
  </si>
  <si>
    <t>groundwater concentration.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</si>
  <si>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</si>
  <si>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</si>
  <si>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</si>
  <si>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</si>
  <si>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</si>
  <si>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</si>
  <si>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</si>
  <si>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</si>
  <si>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</si>
  <si>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</si>
  <si>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</si>
  <si>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</si>
  <si>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</si>
  <si>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</si>
  <si>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</si>
  <si>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</si>
  <si>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</si>
  <si>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</si>
  <si>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</si>
  <si>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</si>
  <si>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</si>
  <si>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</si>
  <si>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</si>
  <si>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</si>
  <si>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</si>
  <si>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</si>
  <si>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</si>
  <si>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</si>
  <si>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</si>
  <si>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</si>
  <si>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</si>
  <si>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</si>
  <si>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</si>
  <si>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</si>
  <si>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r>
      <t>K</t>
    </r>
    <r>
      <rPr>
        <vertAlign val="subscript"/>
        <sz val="10"/>
        <color indexed="8"/>
        <rFont val="MS Sans Serif"/>
        <family val="2"/>
      </rPr>
      <t>oc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</si>
  <si>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</si>
  <si>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</si>
  <si>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</si>
  <si>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</si>
  <si>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</si>
  <si>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</si>
  <si>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</si>
  <si>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/g)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</si>
  <si>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</si>
  <si>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</si>
  <si>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</si>
  <si>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Total</t>
  </si>
  <si>
    <t>Air-filled</t>
  </si>
  <si>
    <t>Water-filled</t>
  </si>
  <si>
    <t>Floor-</t>
  </si>
  <si>
    <t>Source-</t>
  </si>
  <si>
    <t>soil</t>
  </si>
  <si>
    <t>effective</t>
  </si>
  <si>
    <t>Thickness of</t>
  </si>
  <si>
    <t>porosity in</t>
  </si>
  <si>
    <t>wall</t>
  </si>
  <si>
    <t>building</t>
  </si>
  <si>
    <t>air-filled</t>
  </si>
  <si>
    <t>total fluid</t>
  </si>
  <si>
    <t>intrinsic</t>
  </si>
  <si>
    <t>relative air</t>
  </si>
  <si>
    <t>effective vapor</t>
  </si>
  <si>
    <t>capillary</t>
  </si>
  <si>
    <t>seam</t>
  </si>
  <si>
    <t>separation,</t>
  </si>
  <si>
    <t>saturation,</t>
  </si>
  <si>
    <t>zone,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</si>
  <si>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</si>
  <si>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</si>
  <si>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</si>
  <si>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</si>
  <si>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</si>
  <si>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</si>
  <si>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</si>
  <si>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</si>
  <si>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</si>
  <si>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</si>
  <si>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L</t>
    </r>
    <r>
      <rPr>
        <vertAlign val="subscript"/>
        <sz val="10"/>
        <color indexed="8"/>
        <rFont val="MS Sans Serif"/>
        <family val="2"/>
      </rPr>
      <t>cz</t>
    </r>
  </si>
  <si>
    <r>
      <t>n</t>
    </r>
    <r>
      <rPr>
        <vertAlign val="subscript"/>
        <sz val="10"/>
        <color indexed="8"/>
        <rFont val="MS Sans Serif"/>
        <family val="2"/>
      </rPr>
      <t>cz</t>
    </r>
  </si>
  <si>
    <r>
      <t>q</t>
    </r>
    <r>
      <rPr>
        <vertAlign val="subscript"/>
        <sz val="10"/>
        <color indexed="8"/>
        <rFont val="MS Sans Serif"/>
        <family val="2"/>
      </rPr>
      <t>a,cz</t>
    </r>
  </si>
  <si>
    <r>
      <t>q</t>
    </r>
    <r>
      <rPr>
        <vertAlign val="subscript"/>
        <sz val="10"/>
        <color indexed="8"/>
        <rFont val="MS Sans Serif"/>
        <family val="2"/>
      </rPr>
      <t>w,cz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</si>
  <si>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</si>
  <si>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</si>
  <si>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</si>
  <si>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>Area of</t>
  </si>
  <si>
    <t>Stratum</t>
  </si>
  <si>
    <t>Capillary</t>
  </si>
  <si>
    <t>enclosed</t>
  </si>
  <si>
    <t>Crack-</t>
  </si>
  <si>
    <t>Crack</t>
  </si>
  <si>
    <t>Henry's law</t>
  </si>
  <si>
    <t>Vapor</t>
  </si>
  <si>
    <t>A</t>
  </si>
  <si>
    <t>B</t>
  </si>
  <si>
    <t>zone</t>
  </si>
  <si>
    <t>overall</t>
  </si>
  <si>
    <t>Bldg.</t>
  </si>
  <si>
    <t>to-total</t>
  </si>
  <si>
    <t>depth</t>
  </si>
  <si>
    <t>constant at</t>
  </si>
  <si>
    <t>viscosity at</t>
  </si>
  <si>
    <t>Diffusion</t>
  </si>
  <si>
    <t>ventilation</t>
  </si>
  <si>
    <t>below</t>
  </si>
  <si>
    <t>area</t>
  </si>
  <si>
    <t>ave. groundwater</t>
  </si>
  <si>
    <t>ave. soil</t>
  </si>
  <si>
    <t>diffusion</t>
  </si>
  <si>
    <t>path</t>
  </si>
  <si>
    <t>grade,</t>
  </si>
  <si>
    <t>ratio,</t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</si>
  <si>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</si>
  <si>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</si>
  <si>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</si>
  <si>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</si>
  <si>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</si>
  <si>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</si>
  <si>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</si>
  <si>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</si>
  <si>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</si>
  <si>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</si>
  <si>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</si>
  <si>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cz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</si>
  <si>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</si>
  <si>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</si>
  <si>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</si>
  <si>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(g/cm-s)</t>
  </si>
  <si>
    <t>Exponent of</t>
  </si>
  <si>
    <t>Infinite</t>
  </si>
  <si>
    <t>equivalent</t>
  </si>
  <si>
    <t>source</t>
  </si>
  <si>
    <t>Convection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</si>
  <si>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</si>
  <si>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</si>
  <si>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</si>
  <si>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</si>
  <si>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</si>
  <si>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</si>
  <si>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</si>
  <si>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</si>
  <si>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</si>
  <si>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</si>
  <si>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</si>
  <si>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</si>
  <si>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L</t>
    </r>
    <r>
      <rPr>
        <vertAlign val="subscript"/>
        <sz val="10"/>
        <color indexed="8"/>
        <rFont val="MS Sans Serif"/>
        <family val="2"/>
      </rPr>
      <t>p</t>
    </r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</si>
  <si>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</si>
  <si>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</si>
  <si>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</si>
  <si>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</si>
  <si>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</si>
  <si>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</si>
  <si>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</si>
  <si>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</si>
  <si>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</si>
  <si>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RISK-BASED GROUNDWATER CONCENTRATION CALCULATIONS:</t>
  </si>
  <si>
    <t>INCREMENTAL RISK CALCULATIONS:</t>
  </si>
  <si>
    <t>Incremental</t>
  </si>
  <si>
    <t>Hazard</t>
  </si>
  <si>
    <t>Risk-based</t>
  </si>
  <si>
    <t>Final</t>
  </si>
  <si>
    <t>risk from</t>
  </si>
  <si>
    <t>quotient</t>
  </si>
  <si>
    <t>exposure</t>
  </si>
  <si>
    <t>from vapor</t>
  </si>
  <si>
    <t>intrusion to</t>
  </si>
  <si>
    <t>indoor air,</t>
  </si>
  <si>
    <t>carcinogen</t>
  </si>
  <si>
    <t>noncarcinogen</t>
  </si>
  <si>
    <t>SCS Soil Type</t>
  </si>
  <si>
    <r>
      <t>K</t>
    </r>
    <r>
      <rPr>
        <vertAlign val="subscript"/>
        <sz val="10"/>
        <rFont val="MS Sans Serif"/>
        <family val="2"/>
      </rPr>
      <t>s</t>
    </r>
    <r>
      <rPr>
        <sz val="10"/>
        <rFont val="MS Sans Serif"/>
        <family val="2"/>
      </rPr>
      <t xml:space="preserve"> (cm/h)</t>
    </r>
  </si>
  <si>
    <t>N (unitless)</t>
  </si>
  <si>
    <t>M (unitless)</t>
  </si>
  <si>
    <r>
      <t>q</t>
    </r>
    <r>
      <rPr>
        <vertAlign val="subscript"/>
        <sz val="10"/>
        <rFont val="MS Sans Serif"/>
        <family val="2"/>
      </rPr>
      <t>r</t>
    </r>
    <r>
      <rPr>
        <sz val="10"/>
        <rFont val="MS Sans Serif"/>
        <family val="2"/>
      </rPr>
      <t xml:space="preserve"> 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</si>
  <si>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>Mean Grain Diameter (cm)</t>
  </si>
  <si>
    <t>CL</t>
  </si>
  <si>
    <t>LS</t>
  </si>
  <si>
    <t>SCL</t>
  </si>
  <si>
    <t>SI</t>
  </si>
  <si>
    <t>SIC</t>
  </si>
  <si>
    <t>SICL</t>
  </si>
  <si>
    <t>SIL</t>
  </si>
  <si>
    <t>SL</t>
  </si>
  <si>
    <t>H'</t>
  </si>
  <si>
    <r>
      <t>T</t>
    </r>
    <r>
      <rPr>
        <vertAlign val="subscript"/>
        <sz val="10"/>
        <color indexed="8"/>
        <rFont val="MS Sans Serif"/>
        <family val="2"/>
      </rPr>
      <t>B</t>
    </r>
  </si>
  <si>
    <r>
      <t>T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</si>
  <si>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sz val="10"/>
        <color indexed="8"/>
        <rFont val="MS Sans Serif"/>
        <family val="2"/>
      </rPr>
      <t>H</t>
    </r>
    <r>
      <rPr>
        <vertAlign val="subscript"/>
        <sz val="10"/>
        <color indexed="8"/>
        <rFont val="MS Sans Serif"/>
        <family val="2"/>
      </rPr>
      <t>v,b</t>
    </r>
  </si>
  <si>
    <t>Carbon tetrachloride</t>
  </si>
  <si>
    <t>Chloroform</t>
  </si>
  <si>
    <t>Benzene</t>
  </si>
  <si>
    <t>1,1,1-Trichloroethane</t>
  </si>
  <si>
    <t>Carbon disulfide</t>
  </si>
  <si>
    <t>Bromoform</t>
  </si>
  <si>
    <t>1,1-Dichloroethane</t>
  </si>
  <si>
    <t>1,2-Dichloropropane</t>
  </si>
  <si>
    <t>1,1,2-Trichloroethane</t>
  </si>
  <si>
    <t>1,1,2,2-Tetrachloroethane</t>
  </si>
  <si>
    <t>Hexachloro-1,3-butadiene</t>
  </si>
  <si>
    <t>Naphthalene</t>
  </si>
  <si>
    <t>Ethylbenzene</t>
  </si>
  <si>
    <t>Styrene</t>
  </si>
  <si>
    <t>1,2-Dichloroethane</t>
  </si>
  <si>
    <t>Toluene</t>
  </si>
  <si>
    <t>Chlorobenzene</t>
  </si>
  <si>
    <t>1,2,4-Trichlorobenzene</t>
  </si>
  <si>
    <t>Mercury (elemental)</t>
  </si>
  <si>
    <t>MESSAGE AND ERROR SUMMARY BELOW: (DO NOT USE RESULTS IF ERRORS ARE PRESENT)</t>
  </si>
  <si>
    <t>Soil Properties Lookup Table</t>
  </si>
  <si>
    <t>MORE</t>
  </si>
  <si>
    <t>ê</t>
  </si>
  <si>
    <t>END</t>
  </si>
  <si>
    <t>SCROLL</t>
  </si>
  <si>
    <t>DOWN</t>
  </si>
  <si>
    <t>TO "END"</t>
  </si>
  <si>
    <t>Bulk Density</t>
  </si>
  <si>
    <r>
      <t>(g/cm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</si>
  <si>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>1,2,4-Trimethylbenzene</t>
  </si>
  <si>
    <t>Average vapor</t>
  </si>
  <si>
    <t>flow rate into bldg.</t>
  </si>
  <si>
    <t>Leave blank to calculate</t>
  </si>
  <si>
    <t>(L/m)</t>
  </si>
  <si>
    <r>
      <t>Totals must add up to value of L</t>
    </r>
    <r>
      <rPr>
        <vertAlign val="subscript"/>
        <sz val="10"/>
        <color indexed="8"/>
        <rFont val="MS Sans Serif"/>
        <family val="2"/>
      </rPr>
      <t>WT</t>
    </r>
    <r>
      <rPr>
        <sz val="10"/>
        <color indexed="8"/>
        <rFont val="MS Sans Serif"/>
        <family val="2"/>
      </rPr>
      <t xml:space="preserve"> (cell G28)</t>
    </r>
  </si>
  <si>
    <t>X</t>
  </si>
  <si>
    <r>
      <t>q</t>
    </r>
    <r>
      <rPr>
        <vertAlign val="subscript"/>
        <sz val="10"/>
        <rFont val="MS Sans Serif"/>
        <family val="2"/>
      </rPr>
      <t>w</t>
    </r>
    <r>
      <rPr>
        <sz val="10"/>
        <rFont val="MS Sans Serif"/>
        <family val="2"/>
      </rPr>
      <t xml:space="preserve"> 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</si>
  <si>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MS Sans Serif"/>
        <family val="2"/>
      </rPr>
      <t xml:space="preserve"> (1/cm)</t>
    </r>
  </si>
  <si>
    <r>
      <t>n 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</si>
  <si>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</si>
  <si>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</si>
  <si>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</si>
  <si>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</si>
  <si>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</si>
  <si>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</si>
  <si>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</si>
  <si>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</si>
  <si>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</si>
  <si>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</si>
  <si>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</si>
  <si>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</si>
  <si>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SCS Soil Name</t>
  </si>
  <si>
    <t>USEPA Version 3.1; 02/04</t>
  </si>
  <si>
    <t>Cyclohexane</t>
  </si>
  <si>
    <t>Acetone (2-Propanone)</t>
  </si>
  <si>
    <t>Bromomethane (Methyl bromide)</t>
  </si>
  <si>
    <t>Chloromethane (Methyl chloride)</t>
  </si>
  <si>
    <t>Chloroethane (Ethyl chloride)</t>
  </si>
  <si>
    <t>Vinyl chloride</t>
  </si>
  <si>
    <t>Methylene chloride (Dichloromethane)</t>
  </si>
  <si>
    <t>Bromodichloromethane (Dichlorobromomethane)</t>
  </si>
  <si>
    <t>1,1-Dichloroethene (1,1-Dichloroethylene)</t>
  </si>
  <si>
    <t>Trichlorofluoromethane (Freon 11)</t>
  </si>
  <si>
    <t>Dichlorodifluoromethane (Freon 12)</t>
  </si>
  <si>
    <t>1,1,2-Trichloro-1,2,2-trifluoroethane (Freon TF)</t>
  </si>
  <si>
    <t>2-Butanone (Methyl ethyl ketone) (MEK)</t>
  </si>
  <si>
    <t>Trichloroethene (TCE) (Trichloroethylene)</t>
  </si>
  <si>
    <t>1,2-Dichlorobenzene (o-Dichlorobenzene)</t>
  </si>
  <si>
    <t>1,4-Dichlorobenzene (p-Dichlorobenzene)</t>
  </si>
  <si>
    <t>1,2-Dibromoethane (Ethylene dibromide)</t>
  </si>
  <si>
    <t>4-Methyl-2-pentanone (MIBK)</t>
  </si>
  <si>
    <t>n-Hexane</t>
  </si>
  <si>
    <t>1,4-Dioxane</t>
  </si>
  <si>
    <t>Dibromochloromethane (Chlorodibromomethane)</t>
  </si>
  <si>
    <t>Tetrachloroethene (PCE) (Tetrachloroethylene)</t>
  </si>
  <si>
    <t>1,2-Dichloroethene (trans) (t-1,2-Dichloroethylene)</t>
  </si>
  <si>
    <t>1,3-Dichloropropene (total)</t>
  </si>
  <si>
    <t>Xylenes (total)</t>
  </si>
  <si>
    <t>Methyl tert-butyl ether (MTBE)</t>
  </si>
  <si>
    <t>2019 Chemical Properties Lookup Table</t>
  </si>
  <si>
    <t>1,2-Dichloroethene (cis) (c-1,2-Dichloroethylene)</t>
  </si>
  <si>
    <t>NJ-GW-ADV-2021-V1.0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</si>
</sst>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b/>
      <sz val="14"/>
      <color indexed="10"/>
      <name val="MS Sans Serif"/>
      <family val="2"/>
    </font>
    <font>
      <sz val="12"/>
      <color indexed="12"/>
      <name val="MS Sans Serif"/>
      <family val="2"/>
    </font>
    <font>
      <b/>
      <sz val="12"/>
      <color indexed="12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sz val="10"/>
      <color indexed="12"/>
      <name val="MS Sans Serif"/>
      <family val="2"/>
    </font>
    <font>
      <b/>
      <sz val="10"/>
      <name val="MS Sans Serif"/>
      <family val="2"/>
    </font>
    <font>
      <sz val="10"/>
      <name val="Wingdings"/>
      <family val="0"/>
    </font>
    <font>
      <sz val="12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20"/>
      <color indexed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1" fontId="4" fillId="0" borderId="13" xfId="0" applyNumberFormat="1" applyFont="1" applyFill="1" applyBorder="1" applyAlignment="1" applyProtection="1">
      <alignment horizontal="centerContinuous"/>
      <protection/>
    </xf>
    <xf numFmtId="0" fontId="4" fillId="0" borderId="14" xfId="0" applyNumberFormat="1" applyFont="1" applyFill="1" applyBorder="1" applyAlignment="1" applyProtection="1">
      <alignment horizontal="centerContinuous"/>
      <protection/>
    </xf>
    <xf numFmtId="11" fontId="4" fillId="0" borderId="14" xfId="0" applyNumberFormat="1" applyFont="1" applyFill="1" applyBorder="1" applyAlignment="1" applyProtection="1">
      <alignment horizontal="centerContinuous"/>
      <protection/>
    </xf>
    <xf numFmtId="1" fontId="4" fillId="0" borderId="15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right" vertical="top" wrapText="1"/>
      <protection locked="0"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1" fontId="9" fillId="0" borderId="0" xfId="0" applyNumberFormat="1" applyFont="1" applyAlignment="1">
      <alignment horizontal="center"/>
    </xf>
    <xf numFmtId="0" fontId="11" fillId="0" borderId="14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3" xfId="0" applyFont="1" applyBorder="1" applyAlignment="1" applyProtection="1">
      <alignment horizontal="centerContinuous"/>
      <protection/>
    </xf>
    <xf numFmtId="0" fontId="11" fillId="0" borderId="14" xfId="0" applyFont="1" applyBorder="1" applyAlignment="1" applyProtection="1">
      <alignment horizontal="centerContinuous"/>
      <protection/>
    </xf>
    <xf numFmtId="164" fontId="11" fillId="0" borderId="14" xfId="0" applyNumberFormat="1" applyFont="1" applyBorder="1" applyAlignment="1" applyProtection="1">
      <alignment horizontal="centerContinuous"/>
      <protection/>
    </xf>
    <xf numFmtId="2" fontId="11" fillId="0" borderId="14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center"/>
      <protection/>
    </xf>
    <xf numFmtId="2" fontId="11" fillId="0" borderId="10" xfId="0" applyNumberFormat="1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 quotePrefix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/>
      <protection/>
    </xf>
    <xf numFmtId="49" fontId="11" fillId="0" borderId="11" xfId="0" applyNumberFormat="1" applyFont="1" applyBorder="1" applyAlignment="1" applyProtection="1" quotePrefix="1">
      <alignment horizontal="left"/>
      <protection/>
    </xf>
    <xf numFmtId="2" fontId="11" fillId="0" borderId="0" xfId="0" applyNumberFormat="1" applyFont="1" applyBorder="1" applyAlignment="1" applyProtection="1">
      <alignment horizontal="right"/>
      <protection/>
    </xf>
    <xf numFmtId="164" fontId="11" fillId="0" borderId="0" xfId="0" applyNumberFormat="1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164" fontId="11" fillId="0" borderId="12" xfId="0" applyNumberFormat="1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/>
      <protection/>
    </xf>
    <xf numFmtId="11" fontId="4" fillId="0" borderId="14" xfId="0" applyNumberFormat="1" applyFont="1" applyBorder="1" applyAlignment="1" applyProtection="1">
      <alignment horizontal="centerContinuous"/>
      <protection/>
    </xf>
    <xf numFmtId="2" fontId="4" fillId="0" borderId="14" xfId="0" applyNumberFormat="1" applyFont="1" applyBorder="1" applyAlignment="1" applyProtection="1">
      <alignment horizontal="centerContinuous"/>
      <protection/>
    </xf>
    <xf numFmtId="3" fontId="4" fillId="0" borderId="14" xfId="0" applyNumberFormat="1" applyFont="1" applyBorder="1" applyAlignment="1" applyProtection="1">
      <alignment horizontal="centerContinuous"/>
      <protection/>
    </xf>
    <xf numFmtId="166" fontId="4" fillId="0" borderId="14" xfId="0" applyNumberFormat="1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2" fontId="20" fillId="0" borderId="0" xfId="0" applyNumberFormat="1" applyFont="1" applyAlignment="1">
      <alignment/>
    </xf>
    <xf numFmtId="2" fontId="20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right"/>
      <protection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21" fillId="0" borderId="0" xfId="0" applyFont="1" applyBorder="1" applyAlignment="1">
      <alignment horizontal="center"/>
    </xf>
    <xf numFmtId="0" fontId="15" fillId="0" borderId="27" xfId="0" applyFont="1" applyFill="1" applyBorder="1" applyAlignment="1" applyProtection="1">
      <alignment horizontal="center"/>
      <protection locked="0"/>
    </xf>
    <xf numFmtId="0" fontId="17" fillId="0" borderId="27" xfId="0" applyNumberFormat="1" applyFont="1" applyFill="1" applyBorder="1" applyAlignment="1" applyProtection="1">
      <alignment horizontal="centerContinuous" vertical="top" wrapText="1"/>
      <protection/>
    </xf>
    <xf numFmtId="0" fontId="18" fillId="0" borderId="28" xfId="0" applyFont="1" applyFill="1" applyBorder="1" applyAlignment="1">
      <alignment horizontal="centerContinuous"/>
    </xf>
    <xf numFmtId="0" fontId="18" fillId="0" borderId="29" xfId="0" applyFont="1" applyFill="1" applyBorder="1" applyAlignment="1">
      <alignment horizontal="centerContinuous"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10" fillId="0" borderId="0" xfId="0" applyNumberFormat="1" applyFont="1" applyBorder="1" applyAlignment="1" applyProtection="1">
      <alignment horizontal="centerContinuous"/>
      <protection/>
    </xf>
    <xf numFmtId="0" fontId="10" fillId="0" borderId="0" xfId="0" applyNumberFormat="1" applyFont="1" applyFill="1" applyBorder="1" applyAlignment="1" applyProtection="1">
      <alignment horizontal="centerContinuous" vertical="top" wrapText="1"/>
      <protection/>
    </xf>
    <xf numFmtId="0" fontId="10" fillId="0" borderId="0" xfId="0" applyFont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 locked="0"/>
    </xf>
    <xf numFmtId="0" fontId="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" fillId="0" borderId="33" xfId="0" applyNumberFormat="1" applyFont="1" applyFill="1" applyBorder="1" applyAlignment="1" applyProtection="1">
      <alignment horizontal="center" vertical="top" wrapText="1"/>
      <protection locked="0"/>
    </xf>
    <xf numFmtId="11" fontId="11" fillId="0" borderId="33" xfId="0" applyNumberFormat="1" applyFont="1" applyFill="1" applyBorder="1" applyAlignment="1" applyProtection="1">
      <alignment horizontal="center"/>
      <protection locked="0"/>
    </xf>
    <xf numFmtId="0" fontId="4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166" fontId="4" fillId="0" borderId="30" xfId="0" applyNumberFormat="1" applyFont="1" applyFill="1" applyBorder="1" applyAlignment="1" applyProtection="1">
      <alignment horizontal="center" vertical="top" wrapText="1"/>
      <protection locked="0"/>
    </xf>
    <xf numFmtId="11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3" fontId="4" fillId="0" borderId="30" xfId="0" applyNumberFormat="1" applyFont="1" applyFill="1" applyBorder="1" applyAlignment="1" applyProtection="1">
      <alignment horizontal="center" vertical="top" wrapText="1"/>
      <protection/>
    </xf>
    <xf numFmtId="2" fontId="4" fillId="0" borderId="30" xfId="0" applyNumberFormat="1" applyFont="1" applyFill="1" applyBorder="1" applyAlignment="1" applyProtection="1">
      <alignment horizontal="center" vertical="top" wrapText="1"/>
      <protection/>
    </xf>
    <xf numFmtId="11" fontId="4" fillId="0" borderId="30" xfId="0" applyNumberFormat="1" applyFont="1" applyFill="1" applyBorder="1" applyAlignment="1" applyProtection="1">
      <alignment horizontal="center"/>
      <protection/>
    </xf>
    <xf numFmtId="166" fontId="4" fillId="0" borderId="30" xfId="0" applyNumberFormat="1" applyFont="1" applyFill="1" applyBorder="1" applyAlignment="1" applyProtection="1">
      <alignment horizontal="center" vertical="top" wrapText="1"/>
      <protection/>
    </xf>
    <xf numFmtId="164" fontId="4" fillId="0" borderId="30" xfId="0" applyNumberFormat="1" applyFont="1" applyFill="1" applyBorder="1" applyAlignment="1" applyProtection="1">
      <alignment horizontal="center"/>
      <protection/>
    </xf>
    <xf numFmtId="11" fontId="11" fillId="0" borderId="30" xfId="0" applyNumberFormat="1" applyFont="1" applyFill="1" applyBorder="1" applyAlignment="1" applyProtection="1">
      <alignment horizontal="center"/>
      <protection/>
    </xf>
    <xf numFmtId="164" fontId="11" fillId="0" borderId="30" xfId="0" applyNumberFormat="1" applyFont="1" applyFill="1" applyBorder="1" applyAlignment="1" applyProtection="1">
      <alignment horizontal="center"/>
      <protection/>
    </xf>
    <xf numFmtId="2" fontId="11" fillId="0" borderId="30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11" fontId="11" fillId="0" borderId="30" xfId="0" applyNumberFormat="1" applyFont="1" applyBorder="1" applyAlignment="1" applyProtection="1">
      <alignment horizontal="center"/>
      <protection/>
    </xf>
    <xf numFmtId="2" fontId="4" fillId="0" borderId="30" xfId="0" applyNumberFormat="1" applyFont="1" applyFill="1" applyBorder="1" applyAlignment="1" applyProtection="1">
      <alignment horizontal="center"/>
      <protection/>
    </xf>
    <xf numFmtId="166" fontId="4" fillId="0" borderId="30" xfId="0" applyNumberFormat="1" applyFont="1" applyFill="1" applyBorder="1" applyAlignment="1" applyProtection="1">
      <alignment horizontal="center"/>
      <protection/>
    </xf>
    <xf numFmtId="11" fontId="4" fillId="0" borderId="30" xfId="0" applyNumberFormat="1" applyFont="1" applyFill="1" applyBorder="1" applyAlignment="1">
      <alignment horizontal="center"/>
    </xf>
    <xf numFmtId="166" fontId="11" fillId="0" borderId="30" xfId="0" applyNumberFormat="1" applyFont="1" applyFill="1" applyBorder="1" applyAlignment="1">
      <alignment horizontal="center"/>
    </xf>
    <xf numFmtId="11" fontId="4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>
      <alignment/>
    </xf>
    <xf numFmtId="0" fontId="22" fillId="0" borderId="0" xfId="0" applyFont="1" applyAlignment="1">
      <alignment horizontal="left"/>
    </xf>
    <xf numFmtId="167" fontId="11" fillId="0" borderId="0" xfId="0" applyNumberFormat="1" applyFont="1" applyBorder="1" applyAlignment="1" applyProtection="1">
      <alignment/>
      <protection/>
    </xf>
    <xf numFmtId="165" fontId="11" fillId="0" borderId="0" xfId="0" applyNumberFormat="1" applyFont="1" applyBorder="1" applyAlignment="1" applyProtection="1">
      <alignment/>
      <protection/>
    </xf>
    <xf numFmtId="167" fontId="11" fillId="0" borderId="0" xfId="0" applyNumberFormat="1" applyFont="1" applyBorder="1" applyAlignment="1" applyProtection="1">
      <alignment horizontal="right"/>
      <protection/>
    </xf>
    <xf numFmtId="167" fontId="11" fillId="0" borderId="12" xfId="0" applyNumberFormat="1" applyFont="1" applyBorder="1" applyAlignment="1" applyProtection="1">
      <alignment/>
      <protection/>
    </xf>
    <xf numFmtId="165" fontId="11" fillId="0" borderId="12" xfId="0" applyNumberFormat="1" applyFont="1" applyBorder="1" applyAlignment="1" applyProtection="1">
      <alignment/>
      <protection/>
    </xf>
    <xf numFmtId="0" fontId="24" fillId="0" borderId="34" xfId="0" applyFont="1" applyBorder="1" applyAlignment="1" applyProtection="1">
      <alignment horizontal="center"/>
      <protection/>
    </xf>
    <xf numFmtId="0" fontId="25" fillId="0" borderId="35" xfId="0" applyFont="1" applyBorder="1" applyAlignment="1" applyProtection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24" fillId="0" borderId="34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11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 applyProtection="1">
      <alignment/>
      <protection/>
    </xf>
    <xf numFmtId="11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1" fontId="11" fillId="0" borderId="0" xfId="0" applyNumberFormat="1" applyFont="1" applyFill="1" applyBorder="1" applyAlignment="1" applyProtection="1">
      <alignment horizontal="right"/>
      <protection/>
    </xf>
    <xf numFmtId="11" fontId="11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2" fontId="11" fillId="0" borderId="30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62" fillId="0" borderId="0" xfId="0" applyFont="1" applyFill="1" applyBorder="1" applyAlignment="1">
      <alignment/>
    </xf>
    <xf numFmtId="11" fontId="0" fillId="0" borderId="0" xfId="0" applyNumberFormat="1" applyBorder="1" applyAlignment="1">
      <alignment horizontal="center"/>
    </xf>
    <xf numFmtId="11" fontId="20" fillId="0" borderId="0" xfId="0" applyNumberFormat="1" applyFont="1" applyBorder="1" applyAlignment="1" applyProtection="1">
      <alignment horizontal="center"/>
      <protection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Fill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9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D60"/>
  <sheetViews>
    <sheetView showGridLines="0" tabSelected="1" zoomScale="60" zoomScaleNormal="60" zoomScalePageLayoutView="0" workbookViewId="0" topLeftCell="A1">
      <selection activeCell="E17" sqref="E17"/>
    </sheetView>
  </sheetViews>
  <sheetFormatPr defaultColWidth="9.140625" defaultRowHeight="12.75"/>
  <cols>
    <col min="1" max="1" width="3.140625" style="6" customWidth="1"/>
    <col min="2" max="2" width="12.421875" style="6" customWidth="1"/>
    <col min="3" max="3" width="14.8515625" style="6" customWidth="1"/>
    <col min="4" max="4" width="3.28125" style="6" customWidth="1"/>
    <col min="5" max="5" width="14.00390625" style="6" customWidth="1"/>
    <col min="6" max="6" width="15.140625" style="6" customWidth="1"/>
    <col min="7" max="7" width="14.421875" style="6" customWidth="1"/>
    <col min="8" max="8" width="11.8515625" style="6" customWidth="1"/>
    <col min="9" max="9" width="15.7109375" style="6" customWidth="1"/>
    <col min="10" max="10" width="16.421875" style="6" customWidth="1"/>
    <col min="11" max="11" width="18.00390625" style="6" customWidth="1"/>
    <col min="12" max="12" width="13.7109375" style="6" customWidth="1"/>
    <col min="13" max="13" width="16.28125" style="6" customWidth="1"/>
    <col min="14" max="14" width="13.28125" style="6" customWidth="1"/>
    <col min="15" max="15" width="13.7109375" style="6" customWidth="1"/>
    <col min="16" max="16" width="13.57421875" style="25" customWidth="1"/>
    <col min="17" max="17" width="9.28125" style="25" customWidth="1"/>
    <col min="18" max="18" width="9.28125" style="6" customWidth="1"/>
    <col min="19" max="19" width="13.57421875" style="25" customWidth="1"/>
    <col min="20" max="21" width="9.28125" style="25" customWidth="1"/>
    <col min="22" max="22" width="13.57421875" style="25" customWidth="1"/>
    <col min="23" max="24" width="10.00390625" style="6" customWidth="1"/>
    <col min="25" max="25" width="8.57421875" style="6" customWidth="1"/>
    <col min="26" max="26" width="10.57421875" style="6" customWidth="1"/>
    <col min="27" max="27" width="10.00390625" style="6" customWidth="1"/>
    <col min="28" max="28" width="6.7109375" style="6" customWidth="1"/>
    <col min="29" max="29" width="9.140625" style="29" customWidth="1"/>
    <col min="30" max="30" width="10.00390625" style="6" customWidth="1"/>
    <col min="31" max="31" width="9.00390625" style="6" customWidth="1"/>
    <col min="32" max="32" width="10.8515625" style="6" customWidth="1"/>
    <col min="33" max="33" width="10.28125" style="6" customWidth="1"/>
    <col min="34" max="34" width="10.00390625" style="6" customWidth="1"/>
    <col min="35" max="35" width="8.57421875" style="6" customWidth="1"/>
    <col min="36" max="36" width="10.00390625" style="6" customWidth="1"/>
    <col min="37" max="37" width="11.57421875" style="6" customWidth="1"/>
    <col min="38" max="38" width="13.7109375" style="6" customWidth="1"/>
    <col min="39" max="39" width="11.57421875" style="6" customWidth="1"/>
    <col min="40" max="40" width="10.421875" style="6" customWidth="1"/>
    <col min="41" max="41" width="11.00390625" style="6" customWidth="1"/>
    <col min="42" max="42" width="9.140625" style="6" customWidth="1"/>
    <col min="43" max="43" width="8.7109375" style="6" customWidth="1"/>
    <col min="44" max="44" width="5.57421875" style="6" customWidth="1"/>
    <col min="45" max="45" width="5.57421875" style="26" customWidth="1"/>
    <col min="46" max="46" width="4.57421875" style="32" customWidth="1"/>
    <col min="47" max="47" width="5.57421875" style="6" customWidth="1"/>
    <col min="48" max="48" width="4.57421875" style="32" customWidth="1"/>
    <col min="49" max="49" width="5.57421875" style="32" customWidth="1"/>
    <col min="50" max="50" width="6.57421875" style="26" customWidth="1"/>
    <col min="51" max="52" width="7.57421875" style="6" customWidth="1"/>
    <col min="53" max="53" width="4.140625" style="6" customWidth="1"/>
    <col min="54" max="56" width="5.57421875" style="6" customWidth="1"/>
    <col min="57" max="57" width="9.140625" style="6" customWidth="1"/>
    <col min="58" max="58" width="9.00390625" style="6" customWidth="1"/>
    <col min="59" max="59" width="24.421875" style="6" customWidth="1"/>
    <col min="60" max="60" width="10.00390625" style="6" customWidth="1"/>
    <col min="61" max="62" width="9.140625" style="6" customWidth="1"/>
    <col min="63" max="63" width="10.421875" style="6" customWidth="1"/>
    <col min="64" max="64" width="11.421875" style="6" customWidth="1"/>
    <col min="65" max="65" width="12.00390625" style="6" customWidth="1"/>
    <col min="66" max="66" width="11.421875" style="6" customWidth="1"/>
    <col min="67" max="67" width="7.28125" style="6" customWidth="1"/>
    <col min="68" max="68" width="11.421875" style="6" customWidth="1"/>
    <col min="69" max="69" width="13.421875" style="6" customWidth="1"/>
    <col min="70" max="70" width="8.7109375" style="6" customWidth="1"/>
    <col min="71" max="72" width="10.00390625" style="6" customWidth="1"/>
    <col min="73" max="16384" width="9.140625" style="6" customWidth="1"/>
  </cols>
  <sheetData>
    <row r="1" ht="12">
      <c r="A1" s="215"/>
    </row>
    <row r="2" spans="2:11" ht="15">
      <c r="B2" s="271" t="s">
        <v>388</v>
      </c>
      <c r="C2" s="272"/>
      <c r="E2" s="35" t="s">
        <v>0</v>
      </c>
      <c r="F2" s="18"/>
      <c r="G2" s="18"/>
      <c r="H2" s="18"/>
      <c r="I2" s="18"/>
      <c r="J2" s="18"/>
      <c r="K2" s="214"/>
    </row>
    <row r="3" spans="2:11" ht="15.75" thickBot="1">
      <c r="B3" s="273" t="s">
        <v>359</v>
      </c>
      <c r="C3" s="274"/>
      <c r="E3" s="35"/>
      <c r="F3" s="35"/>
      <c r="G3" s="35"/>
      <c r="H3" s="35"/>
      <c r="I3" s="35"/>
      <c r="J3" s="35"/>
      <c r="K3" s="214"/>
    </row>
    <row r="4" spans="6:9" ht="15.75" customHeight="1" thickBot="1">
      <c r="F4" s="19" t="s">
        <v>1</v>
      </c>
      <c r="G4" s="154" t="s">
        <v>342</v>
      </c>
      <c r="H4" s="36"/>
      <c r="I4" s="37"/>
    </row>
    <row r="5" spans="6:9" ht="18.75">
      <c r="F5" s="36"/>
      <c r="G5" s="38" t="s">
        <v>2</v>
      </c>
      <c r="H5"/>
      <c r="I5" s="37"/>
    </row>
    <row r="6" spans="5:13" ht="12.75">
      <c r="E6" s="35" t="s">
        <v>3</v>
      </c>
      <c r="F6" s="18"/>
      <c r="G6" s="18"/>
      <c r="H6" s="18"/>
      <c r="I6" s="18"/>
      <c r="J6" s="18"/>
      <c r="K6" s="18"/>
      <c r="L6" s="18"/>
      <c r="M6" s="18"/>
    </row>
    <row r="7" spans="5:12" ht="13.5" thickBot="1">
      <c r="E7" s="35"/>
      <c r="F7" s="18"/>
      <c r="G7" s="18"/>
      <c r="H7" s="18"/>
      <c r="I7" s="18"/>
      <c r="J7" s="18"/>
      <c r="K7" s="18"/>
      <c r="L7" s="18"/>
    </row>
    <row r="8" spans="6:9" ht="15.75" customHeight="1" thickBot="1">
      <c r="F8" s="19" t="s">
        <v>1</v>
      </c>
      <c r="G8" s="154"/>
      <c r="H8" s="36"/>
      <c r="I8" s="37"/>
    </row>
    <row r="10" spans="5:50" ht="12">
      <c r="E10" s="54" t="s">
        <v>4</v>
      </c>
      <c r="F10" s="55" t="s">
        <v>4</v>
      </c>
      <c r="G10" s="145">
        <f>IF(AND(G4="",G8=""),"Enter X in appropriate YES box.","")</f>
      </c>
      <c r="I10" s="252"/>
      <c r="P10" s="6"/>
      <c r="Q10" s="6"/>
      <c r="S10" s="6"/>
      <c r="T10" s="6"/>
      <c r="U10" s="6"/>
      <c r="V10" s="6"/>
      <c r="AC10" s="6"/>
      <c r="AS10" s="6"/>
      <c r="AT10" s="6"/>
      <c r="AV10" s="6"/>
      <c r="AW10" s="6"/>
      <c r="AX10" s="6"/>
    </row>
    <row r="11" spans="5:50" ht="12">
      <c r="E11" s="2"/>
      <c r="F11" s="20" t="s">
        <v>5</v>
      </c>
      <c r="G11" s="145">
        <f>IF(AND(G4="",G8="X",F17=""),"Enter initial groundwater concentration.","")</f>
      </c>
      <c r="I11" s="252"/>
      <c r="P11" s="6"/>
      <c r="Q11" s="6"/>
      <c r="S11" s="6"/>
      <c r="T11" s="6"/>
      <c r="U11" s="6"/>
      <c r="V11" s="6"/>
      <c r="AC11" s="6"/>
      <c r="AS11" s="6"/>
      <c r="AT11" s="6"/>
      <c r="AV11" s="6"/>
      <c r="AW11" s="6"/>
      <c r="AX11" s="6"/>
    </row>
    <row r="12" spans="5:50" ht="12">
      <c r="E12" s="2" t="s">
        <v>6</v>
      </c>
      <c r="F12" s="20" t="s">
        <v>7</v>
      </c>
      <c r="G12" s="145">
        <f>IF(AND(G4&gt;0,G8&gt;0),"Cannot calculate risk-based concentration and incremental risk simultaneously.","")</f>
      </c>
      <c r="I12" s="252"/>
      <c r="P12" s="6"/>
      <c r="Q12" s="6"/>
      <c r="S12" s="6"/>
      <c r="T12" s="6"/>
      <c r="U12" s="6"/>
      <c r="V12" s="6"/>
      <c r="AC12" s="6"/>
      <c r="AS12" s="6"/>
      <c r="AT12" s="6"/>
      <c r="AV12" s="6"/>
      <c r="AW12" s="6"/>
      <c r="AX12" s="6"/>
    </row>
    <row r="13" spans="5:54" ht="12">
      <c r="E13" s="39" t="s">
        <v>8</v>
      </c>
      <c r="F13" s="20" t="s">
        <v>9</v>
      </c>
      <c r="P13" s="6"/>
      <c r="Q13" s="6"/>
      <c r="S13" s="6"/>
      <c r="T13" s="6"/>
      <c r="U13" s="6"/>
      <c r="V13" s="6"/>
      <c r="AC13" s="6"/>
      <c r="AS13" s="6"/>
      <c r="AT13" s="6"/>
      <c r="AV13" s="6"/>
      <c r="AW13" s="6"/>
      <c r="AX13" s="6"/>
      <c r="BB13" s="19"/>
    </row>
    <row r="14" spans="5:50" ht="13.5">
      <c r="E14" s="2" t="s">
        <v>10</v>
      </c>
      <c r="F14" s="20" t="s">
        <v>11</v>
      </c>
      <c r="H14" s="18"/>
      <c r="I14" s="18"/>
      <c r="P14" s="6"/>
      <c r="Q14" s="6"/>
      <c r="S14" s="6"/>
      <c r="T14" s="6"/>
      <c r="U14" s="6"/>
      <c r="V14" s="6"/>
      <c r="AC14" s="6"/>
      <c r="AS14" s="6"/>
      <c r="AT14" s="6"/>
      <c r="AV14" s="6"/>
      <c r="AW14" s="6"/>
      <c r="AX14" s="6"/>
    </row>
    <row r="15" spans="5:50" ht="13.5" thickBot="1">
      <c r="E15" s="40" t="s">
        <v>12</v>
      </c>
      <c r="F15" s="23" t="s">
        <v>13</v>
      </c>
      <c r="H15" s="41" t="s">
        <v>6</v>
      </c>
      <c r="I15" s="42"/>
      <c r="J15" s="42"/>
      <c r="P15" s="6"/>
      <c r="Q15" s="6"/>
      <c r="S15" s="6"/>
      <c r="T15" s="6"/>
      <c r="U15" s="6"/>
      <c r="V15" s="6"/>
      <c r="AC15" s="6"/>
      <c r="AS15" s="6"/>
      <c r="AT15" s="6"/>
      <c r="AV15" s="6"/>
      <c r="AW15" s="6"/>
      <c r="AX15" s="6"/>
    </row>
    <row r="16" spans="6:50" ht="13.5" thickBot="1" thickTop="1">
      <c r="F16" s="25"/>
      <c r="H16" s="35"/>
      <c r="P16" s="6"/>
      <c r="Q16" s="6"/>
      <c r="S16" s="6"/>
      <c r="T16" s="6"/>
      <c r="U16" s="6"/>
      <c r="V16" s="6"/>
      <c r="AC16" s="6"/>
      <c r="AS16" s="6"/>
      <c r="AT16" s="6"/>
      <c r="AV16" s="6"/>
      <c r="AW16" s="6"/>
      <c r="AX16" s="6"/>
    </row>
    <row r="17" spans="5:56" ht="15.75" thickBot="1">
      <c r="E17" s="163">
        <v>71432</v>
      </c>
      <c r="F17" s="187"/>
      <c r="H17" s="155" t="str">
        <f>IF(ISERROR(MATCH(E17,CAS_No,0)),"CAS No. not found",VLOOKUP(E17,Chemical_Data,2,FALSE))</f>
        <v>Benzene</v>
      </c>
      <c r="I17" s="156"/>
      <c r="J17" s="157"/>
      <c r="P17" s="6"/>
      <c r="Q17" s="6"/>
      <c r="S17" s="6"/>
      <c r="T17" s="6"/>
      <c r="U17" s="6"/>
      <c r="V17" s="6"/>
      <c r="AC17" s="6"/>
      <c r="AP17" s="36"/>
      <c r="AS17" s="6"/>
      <c r="AT17" s="6"/>
      <c r="AV17" s="6"/>
      <c r="AW17" s="6"/>
      <c r="AX17" s="6"/>
      <c r="AY17" s="36"/>
      <c r="AZ17" s="36"/>
      <c r="BA17" s="36"/>
      <c r="BB17" s="36"/>
      <c r="BC17" s="36"/>
      <c r="BD17" s="36"/>
    </row>
    <row r="18" spans="45:50" ht="12.75" thickBot="1">
      <c r="AS18" s="6"/>
      <c r="AT18" s="6"/>
      <c r="AV18" s="6"/>
      <c r="AW18" s="6"/>
      <c r="AX18" s="6"/>
    </row>
    <row r="19" spans="5:27" ht="12">
      <c r="E19" s="54" t="s">
        <v>4</v>
      </c>
      <c r="F19" s="54" t="s">
        <v>4</v>
      </c>
      <c r="G19" s="54" t="s">
        <v>4</v>
      </c>
      <c r="H19" s="56" t="s">
        <v>4</v>
      </c>
      <c r="I19" s="57" t="s">
        <v>4</v>
      </c>
      <c r="J19" s="58" t="s">
        <v>4</v>
      </c>
      <c r="K19" s="54" t="s">
        <v>4</v>
      </c>
      <c r="L19" s="54" t="s">
        <v>4</v>
      </c>
      <c r="M19" s="56" t="s">
        <v>4</v>
      </c>
      <c r="N19" s="60"/>
      <c r="O19" s="58" t="s">
        <v>4</v>
      </c>
      <c r="P19" s="6"/>
      <c r="Q19" s="6"/>
      <c r="S19" s="6"/>
      <c r="T19" s="6"/>
      <c r="U19" s="6"/>
      <c r="V19" s="6"/>
      <c r="X19" s="27"/>
      <c r="AA19" s="34"/>
    </row>
    <row r="20" spans="5:46" ht="14.25" thickBot="1">
      <c r="E20" s="2"/>
      <c r="F20" s="20" t="s">
        <v>14</v>
      </c>
      <c r="G20" s="19"/>
      <c r="H20" s="43" t="s">
        <v>341</v>
      </c>
      <c r="I20" s="44"/>
      <c r="J20" s="45"/>
      <c r="K20" s="2"/>
      <c r="L20" s="2"/>
      <c r="M20" s="61" t="s">
        <v>15</v>
      </c>
      <c r="N20" s="9"/>
      <c r="O20" s="48"/>
      <c r="P20" s="6"/>
      <c r="Q20" s="6"/>
      <c r="S20" s="6"/>
      <c r="T20" s="6"/>
      <c r="U20" s="6"/>
      <c r="V20" s="6"/>
      <c r="AA20" s="29"/>
      <c r="AR20" s="19"/>
      <c r="AS20" s="21"/>
      <c r="AT20" s="31"/>
    </row>
    <row r="21" spans="3:22" ht="12">
      <c r="C21" s="195" t="s">
        <v>328</v>
      </c>
      <c r="D21" s="212"/>
      <c r="E21" s="2" t="s">
        <v>16</v>
      </c>
      <c r="F21" s="20" t="s">
        <v>17</v>
      </c>
      <c r="G21" s="19"/>
      <c r="H21" s="8"/>
      <c r="I21" s="2" t="s">
        <v>18</v>
      </c>
      <c r="J21" s="46" t="s">
        <v>18</v>
      </c>
      <c r="K21" s="19"/>
      <c r="L21" s="19"/>
      <c r="M21" s="61" t="s">
        <v>19</v>
      </c>
      <c r="N21" s="9"/>
      <c r="O21" s="48" t="s">
        <v>20</v>
      </c>
      <c r="P21" s="6"/>
      <c r="Q21" s="6"/>
      <c r="S21" s="6"/>
      <c r="T21" s="6"/>
      <c r="U21" s="6"/>
      <c r="V21" s="6"/>
    </row>
    <row r="22" spans="3:22" ht="12.75">
      <c r="C22" s="196" t="s">
        <v>329</v>
      </c>
      <c r="D22" s="213"/>
      <c r="E22" s="19" t="s">
        <v>21</v>
      </c>
      <c r="F22" s="3" t="s">
        <v>22</v>
      </c>
      <c r="G22" s="19" t="s">
        <v>14</v>
      </c>
      <c r="H22" s="47" t="s">
        <v>18</v>
      </c>
      <c r="I22" s="19" t="s">
        <v>23</v>
      </c>
      <c r="J22" s="48" t="s">
        <v>23</v>
      </c>
      <c r="K22" s="2" t="s">
        <v>15</v>
      </c>
      <c r="L22" s="2"/>
      <c r="M22" s="61" t="s">
        <v>24</v>
      </c>
      <c r="N22" s="9"/>
      <c r="O22" s="48" t="s">
        <v>19</v>
      </c>
      <c r="P22" s="6"/>
      <c r="Q22" s="6"/>
      <c r="S22" s="6"/>
      <c r="T22" s="6"/>
      <c r="U22" s="6"/>
      <c r="V22" s="6"/>
    </row>
    <row r="23" spans="5:22" ht="12">
      <c r="E23" s="2" t="s">
        <v>7</v>
      </c>
      <c r="F23" s="2" t="s">
        <v>25</v>
      </c>
      <c r="G23" s="2" t="s">
        <v>17</v>
      </c>
      <c r="H23" s="49" t="s">
        <v>23</v>
      </c>
      <c r="I23" s="2" t="s">
        <v>26</v>
      </c>
      <c r="J23" s="46" t="s">
        <v>27</v>
      </c>
      <c r="K23" s="2" t="s">
        <v>28</v>
      </c>
      <c r="L23" s="2" t="s">
        <v>24</v>
      </c>
      <c r="M23" s="61" t="s">
        <v>29</v>
      </c>
      <c r="N23" s="9"/>
      <c r="O23" s="48" t="s">
        <v>30</v>
      </c>
      <c r="P23" s="6"/>
      <c r="Q23" s="6"/>
      <c r="S23" s="6"/>
      <c r="T23" s="6"/>
      <c r="U23" s="6"/>
      <c r="V23" s="6"/>
    </row>
    <row r="24" spans="5:22" ht="12">
      <c r="E24" s="2" t="s">
        <v>31</v>
      </c>
      <c r="F24" s="20" t="s">
        <v>32</v>
      </c>
      <c r="G24" s="2" t="s">
        <v>33</v>
      </c>
      <c r="H24" s="47" t="s">
        <v>34</v>
      </c>
      <c r="I24" s="19" t="s">
        <v>35</v>
      </c>
      <c r="J24" s="48" t="s">
        <v>35</v>
      </c>
      <c r="K24" s="2" t="s">
        <v>36</v>
      </c>
      <c r="L24" s="19" t="s">
        <v>29</v>
      </c>
      <c r="M24" s="61" t="s">
        <v>37</v>
      </c>
      <c r="N24" s="153" t="s">
        <v>2</v>
      </c>
      <c r="O24" s="48" t="s">
        <v>38</v>
      </c>
      <c r="P24" s="6"/>
      <c r="Q24" s="6"/>
      <c r="S24" s="6"/>
      <c r="T24" s="6"/>
      <c r="U24" s="6"/>
      <c r="V24" s="6"/>
    </row>
    <row r="25" spans="5:22" ht="13.5">
      <c r="E25" s="2" t="s">
        <v>39</v>
      </c>
      <c r="F25" s="2" t="s">
        <v>40</v>
      </c>
      <c r="G25" s="2" t="s">
        <v>41</v>
      </c>
      <c r="H25" s="47" t="s">
        <v>42</v>
      </c>
      <c r="I25" s="2" t="s">
        <v>43</v>
      </c>
      <c r="J25" s="46" t="s">
        <v>44</v>
      </c>
      <c r="K25" s="19" t="s">
        <v>45</v>
      </c>
      <c r="L25" s="19" t="s">
        <v>36</v>
      </c>
      <c r="M25" s="61" t="s">
        <v>30</v>
      </c>
      <c r="N25" s="9"/>
      <c r="O25" s="48" t="s">
        <v>46</v>
      </c>
      <c r="P25" s="6"/>
      <c r="Q25" s="6"/>
      <c r="S25" s="6"/>
      <c r="T25" s="6"/>
      <c r="U25" s="6"/>
      <c r="V25" s="6"/>
    </row>
    <row r="26" spans="5:22" ht="15" thickBot="1">
      <c r="E26" s="15" t="s">
        <v>47</v>
      </c>
      <c r="F26" s="23" t="s">
        <v>48</v>
      </c>
      <c r="G26" s="15" t="s">
        <v>48</v>
      </c>
      <c r="H26" s="50" t="s">
        <v>48</v>
      </c>
      <c r="I26" s="15" t="s">
        <v>48</v>
      </c>
      <c r="J26" s="51" t="s">
        <v>48</v>
      </c>
      <c r="K26" s="15" t="s">
        <v>49</v>
      </c>
      <c r="L26" s="15" t="s">
        <v>50</v>
      </c>
      <c r="M26" s="63" t="s">
        <v>51</v>
      </c>
      <c r="N26" s="9"/>
      <c r="O26" s="62" t="s">
        <v>52</v>
      </c>
      <c r="P26" s="6"/>
      <c r="Q26" s="6"/>
      <c r="S26" s="6"/>
      <c r="T26" s="6"/>
      <c r="U26" s="6"/>
      <c r="V26" s="6"/>
    </row>
    <row r="27" spans="8:22" ht="12.75" thickTop="1">
      <c r="H27" s="8"/>
      <c r="J27" s="52"/>
      <c r="M27" s="8"/>
      <c r="N27" s="9"/>
      <c r="O27" s="52"/>
      <c r="P27" s="6"/>
      <c r="Q27" s="6"/>
      <c r="S27" s="6"/>
      <c r="T27" s="6"/>
      <c r="U27" s="6"/>
      <c r="V27" s="6"/>
    </row>
    <row r="28" spans="5:22" ht="12.75" thickBot="1">
      <c r="E28" s="163">
        <v>13</v>
      </c>
      <c r="F28" s="163">
        <v>200</v>
      </c>
      <c r="G28" s="163">
        <v>352.5</v>
      </c>
      <c r="H28" s="164">
        <v>252.5</v>
      </c>
      <c r="I28" s="165">
        <v>50</v>
      </c>
      <c r="J28" s="166">
        <v>50</v>
      </c>
      <c r="K28" s="163" t="s">
        <v>53</v>
      </c>
      <c r="L28" s="163" t="s">
        <v>156</v>
      </c>
      <c r="M28" s="164" t="s">
        <v>156</v>
      </c>
      <c r="N28" s="10"/>
      <c r="O28" s="167"/>
      <c r="P28" s="6"/>
      <c r="Q28" s="6"/>
      <c r="S28" s="6"/>
      <c r="T28" s="6"/>
      <c r="U28" s="6"/>
      <c r="V28" s="6"/>
    </row>
    <row r="29" spans="5:50" s="216" customFormat="1" ht="12">
      <c r="E29" s="138"/>
      <c r="F29" s="138"/>
      <c r="G29" s="138"/>
      <c r="H29" s="138"/>
      <c r="I29" s="138"/>
      <c r="J29" s="138"/>
      <c r="K29" s="138"/>
      <c r="L29" s="138"/>
      <c r="M29" s="138"/>
      <c r="N29" s="217"/>
      <c r="O29" s="218"/>
      <c r="AC29" s="219"/>
      <c r="AS29" s="220"/>
      <c r="AT29" s="221"/>
      <c r="AV29" s="221"/>
      <c r="AW29" s="221"/>
      <c r="AX29" s="220"/>
    </row>
    <row r="30" spans="5:50" s="68" customFormat="1" ht="12">
      <c r="E30" s="138"/>
      <c r="F30" s="138"/>
      <c r="G30" s="138"/>
      <c r="H30" s="138"/>
      <c r="I30" s="138"/>
      <c r="J30" s="138"/>
      <c r="K30" s="138"/>
      <c r="L30" s="138"/>
      <c r="M30" s="138"/>
      <c r="AC30" s="129"/>
      <c r="AS30" s="117"/>
      <c r="AT30" s="136"/>
      <c r="AV30" s="136"/>
      <c r="AW30" s="136"/>
      <c r="AX30" s="117"/>
    </row>
    <row r="31" spans="5:54" ht="12">
      <c r="E31" s="223" t="s">
        <v>4</v>
      </c>
      <c r="F31" s="223" t="s">
        <v>4</v>
      </c>
      <c r="G31" s="223" t="s">
        <v>4</v>
      </c>
      <c r="H31" s="223" t="s">
        <v>4</v>
      </c>
      <c r="I31" s="223" t="s">
        <v>4</v>
      </c>
      <c r="J31" s="54" t="s">
        <v>4</v>
      </c>
      <c r="K31" s="55" t="s">
        <v>4</v>
      </c>
      <c r="L31" s="55" t="s">
        <v>4</v>
      </c>
      <c r="M31" s="223" t="s">
        <v>4</v>
      </c>
      <c r="N31" s="55" t="s">
        <v>4</v>
      </c>
      <c r="O31" s="55" t="s">
        <v>4</v>
      </c>
      <c r="P31" s="55" t="s">
        <v>4</v>
      </c>
      <c r="S31" s="6"/>
      <c r="V31" s="6"/>
      <c r="W31" s="25"/>
      <c r="X31" s="25"/>
      <c r="Y31" s="25"/>
      <c r="Z31" s="25"/>
      <c r="AC31" s="6"/>
      <c r="AG31" s="29"/>
      <c r="AS31" s="6"/>
      <c r="AT31" s="6"/>
      <c r="AV31" s="6"/>
      <c r="AW31" s="26"/>
      <c r="AX31" s="32"/>
      <c r="AZ31" s="32"/>
      <c r="BA31" s="32"/>
      <c r="BB31" s="26"/>
    </row>
    <row r="32" spans="3:54" ht="12">
      <c r="C32" s="195" t="s">
        <v>328</v>
      </c>
      <c r="D32" s="212"/>
      <c r="E32" s="2" t="s">
        <v>56</v>
      </c>
      <c r="F32" s="2" t="s">
        <v>56</v>
      </c>
      <c r="G32" s="20" t="s">
        <v>56</v>
      </c>
      <c r="H32" s="20" t="s">
        <v>56</v>
      </c>
      <c r="I32" s="2" t="s">
        <v>57</v>
      </c>
      <c r="J32" s="2" t="s">
        <v>57</v>
      </c>
      <c r="K32" s="20" t="s">
        <v>57</v>
      </c>
      <c r="L32" s="20" t="s">
        <v>57</v>
      </c>
      <c r="M32" s="2" t="s">
        <v>58</v>
      </c>
      <c r="N32" s="20" t="s">
        <v>58</v>
      </c>
      <c r="O32" s="20" t="s">
        <v>58</v>
      </c>
      <c r="P32" s="20" t="s">
        <v>58</v>
      </c>
      <c r="S32" s="6"/>
      <c r="V32" s="6"/>
      <c r="W32" s="25"/>
      <c r="X32" s="25"/>
      <c r="Y32" s="25"/>
      <c r="Z32" s="25"/>
      <c r="AC32" s="6"/>
      <c r="AG32" s="29"/>
      <c r="AS32" s="6"/>
      <c r="AT32" s="6"/>
      <c r="AV32" s="6"/>
      <c r="AW32" s="26"/>
      <c r="AX32" s="32"/>
      <c r="AZ32" s="32"/>
      <c r="BA32" s="32"/>
      <c r="BB32" s="26"/>
    </row>
    <row r="33" spans="3:54" ht="12.75">
      <c r="C33" s="196" t="s">
        <v>329</v>
      </c>
      <c r="D33" s="213"/>
      <c r="E33" s="224" t="s">
        <v>24</v>
      </c>
      <c r="F33" s="2" t="s">
        <v>59</v>
      </c>
      <c r="G33" s="20" t="s">
        <v>60</v>
      </c>
      <c r="H33" s="20" t="s">
        <v>61</v>
      </c>
      <c r="I33" s="224" t="s">
        <v>24</v>
      </c>
      <c r="J33" s="2" t="s">
        <v>59</v>
      </c>
      <c r="K33" s="20" t="s">
        <v>60</v>
      </c>
      <c r="L33" s="20" t="s">
        <v>61</v>
      </c>
      <c r="M33" s="224" t="s">
        <v>24</v>
      </c>
      <c r="N33" s="2" t="s">
        <v>59</v>
      </c>
      <c r="O33" s="20" t="s">
        <v>60</v>
      </c>
      <c r="P33" s="20" t="s">
        <v>61</v>
      </c>
      <c r="S33" s="6"/>
      <c r="V33" s="6"/>
      <c r="W33" s="25"/>
      <c r="X33" s="25"/>
      <c r="Y33" s="25"/>
      <c r="Z33" s="25"/>
      <c r="AC33" s="6"/>
      <c r="AG33" s="29"/>
      <c r="AS33" s="6"/>
      <c r="AT33" s="6"/>
      <c r="AV33" s="6"/>
      <c r="AW33" s="26"/>
      <c r="AX33" s="32"/>
      <c r="AZ33" s="32"/>
      <c r="BA33" s="32"/>
      <c r="BB33" s="26"/>
    </row>
    <row r="34" spans="5:54" ht="12">
      <c r="E34" s="224" t="s">
        <v>29</v>
      </c>
      <c r="F34" s="2" t="s">
        <v>62</v>
      </c>
      <c r="G34" s="20" t="s">
        <v>63</v>
      </c>
      <c r="H34" s="20" t="s">
        <v>63</v>
      </c>
      <c r="I34" s="224" t="s">
        <v>29</v>
      </c>
      <c r="J34" s="2" t="s">
        <v>62</v>
      </c>
      <c r="K34" s="20" t="s">
        <v>63</v>
      </c>
      <c r="L34" s="20" t="s">
        <v>63</v>
      </c>
      <c r="M34" s="224" t="s">
        <v>29</v>
      </c>
      <c r="N34" s="2" t="s">
        <v>62</v>
      </c>
      <c r="O34" s="20" t="s">
        <v>63</v>
      </c>
      <c r="P34" s="20" t="s">
        <v>63</v>
      </c>
      <c r="S34" s="6"/>
      <c r="V34" s="6"/>
      <c r="W34" s="25"/>
      <c r="X34" s="25"/>
      <c r="Y34" s="25"/>
      <c r="Z34" s="25"/>
      <c r="AC34" s="6"/>
      <c r="AG34" s="29"/>
      <c r="AS34" s="6"/>
      <c r="AT34" s="6"/>
      <c r="AV34" s="6"/>
      <c r="AW34" s="26"/>
      <c r="AX34" s="32"/>
      <c r="AZ34" s="32"/>
      <c r="BA34" s="32"/>
      <c r="BB34" s="26"/>
    </row>
    <row r="35" spans="6:54" ht="15">
      <c r="F35" s="4" t="s">
        <v>64</v>
      </c>
      <c r="G35" s="20" t="s">
        <v>65</v>
      </c>
      <c r="H35" s="5" t="s">
        <v>66</v>
      </c>
      <c r="J35" s="4" t="s">
        <v>67</v>
      </c>
      <c r="K35" s="20" t="s">
        <v>68</v>
      </c>
      <c r="L35" s="5" t="s">
        <v>69</v>
      </c>
      <c r="N35" s="5" t="s">
        <v>70</v>
      </c>
      <c r="O35" s="20" t="s">
        <v>71</v>
      </c>
      <c r="P35" s="5" t="s">
        <v>72</v>
      </c>
      <c r="S35" s="6"/>
      <c r="V35" s="6"/>
      <c r="W35" s="25"/>
      <c r="X35" s="25"/>
      <c r="Y35" s="25"/>
      <c r="Z35" s="25"/>
      <c r="AC35" s="6"/>
      <c r="AG35" s="29"/>
      <c r="AS35" s="6"/>
      <c r="AT35" s="6"/>
      <c r="AV35" s="6"/>
      <c r="AW35" s="26"/>
      <c r="AX35" s="32"/>
      <c r="AZ35" s="32"/>
      <c r="BA35" s="32"/>
      <c r="BB35" s="26"/>
    </row>
    <row r="36" spans="5:54" ht="15.75" thickBot="1">
      <c r="E36" s="225"/>
      <c r="F36" s="15" t="s">
        <v>73</v>
      </c>
      <c r="G36" s="23" t="s">
        <v>74</v>
      </c>
      <c r="H36" s="23" t="s">
        <v>75</v>
      </c>
      <c r="I36" s="225"/>
      <c r="J36" s="15" t="s">
        <v>73</v>
      </c>
      <c r="K36" s="23" t="s">
        <v>74</v>
      </c>
      <c r="L36" s="23" t="s">
        <v>75</v>
      </c>
      <c r="M36" s="225"/>
      <c r="N36" s="23" t="s">
        <v>73</v>
      </c>
      <c r="O36" s="23" t="s">
        <v>74</v>
      </c>
      <c r="P36" s="23" t="s">
        <v>75</v>
      </c>
      <c r="S36" s="6"/>
      <c r="V36" s="6"/>
      <c r="W36" s="25"/>
      <c r="X36" s="25"/>
      <c r="Y36" s="25"/>
      <c r="Z36" s="25"/>
      <c r="AC36" s="6"/>
      <c r="AG36" s="29"/>
      <c r="AS36" s="6"/>
      <c r="AT36" s="6"/>
      <c r="AV36" s="6"/>
      <c r="AW36" s="26"/>
      <c r="AX36" s="32"/>
      <c r="AZ36" s="32"/>
      <c r="BA36" s="32"/>
      <c r="BB36" s="26"/>
    </row>
    <row r="37" spans="7:54" ht="12.75" thickTop="1">
      <c r="G37" s="25"/>
      <c r="H37" s="25"/>
      <c r="I37" s="25"/>
      <c r="K37" s="25"/>
      <c r="L37" s="25"/>
      <c r="M37" s="25"/>
      <c r="N37" s="25"/>
      <c r="O37" s="25"/>
      <c r="S37" s="6"/>
      <c r="V37" s="6"/>
      <c r="W37" s="25"/>
      <c r="X37" s="25"/>
      <c r="Y37" s="25"/>
      <c r="Z37" s="25"/>
      <c r="AC37" s="6"/>
      <c r="AG37" s="29"/>
      <c r="AS37" s="6"/>
      <c r="AT37" s="6"/>
      <c r="AV37" s="6"/>
      <c r="AW37" s="26"/>
      <c r="AX37" s="32"/>
      <c r="AZ37" s="32"/>
      <c r="BA37" s="32"/>
      <c r="BB37" s="26"/>
    </row>
    <row r="38" spans="5:54" ht="12">
      <c r="E38" s="226"/>
      <c r="F38" s="228">
        <v>1.66</v>
      </c>
      <c r="G38" s="229">
        <v>0.375</v>
      </c>
      <c r="H38" s="230">
        <v>0.054</v>
      </c>
      <c r="I38" s="168"/>
      <c r="J38" s="163">
        <v>1.66</v>
      </c>
      <c r="K38" s="168">
        <v>0.375</v>
      </c>
      <c r="L38" s="168">
        <v>0.054</v>
      </c>
      <c r="M38" s="227"/>
      <c r="N38" s="168">
        <v>1.66</v>
      </c>
      <c r="O38" s="222">
        <v>0.375</v>
      </c>
      <c r="P38" s="168">
        <v>0.054</v>
      </c>
      <c r="Q38" s="3"/>
      <c r="S38" s="6"/>
      <c r="V38" s="6"/>
      <c r="W38" s="25"/>
      <c r="X38" s="25"/>
      <c r="Y38" s="25"/>
      <c r="Z38" s="25"/>
      <c r="AC38" s="6"/>
      <c r="AG38" s="29"/>
      <c r="AS38" s="6"/>
      <c r="AT38" s="6"/>
      <c r="AV38" s="6"/>
      <c r="AW38" s="26"/>
      <c r="AX38" s="32"/>
      <c r="AZ38" s="32"/>
      <c r="BA38" s="32"/>
      <c r="BB38" s="26"/>
    </row>
    <row r="40" spans="5:13" ht="12">
      <c r="E40" s="54" t="s">
        <v>4</v>
      </c>
      <c r="F40" s="54" t="s">
        <v>4</v>
      </c>
      <c r="G40" s="54" t="s">
        <v>4</v>
      </c>
      <c r="H40" s="54" t="s">
        <v>4</v>
      </c>
      <c r="I40" s="54" t="s">
        <v>4</v>
      </c>
      <c r="J40" s="54" t="s">
        <v>4</v>
      </c>
      <c r="K40" s="54" t="s">
        <v>4</v>
      </c>
      <c r="M40" s="231" t="s">
        <v>4</v>
      </c>
    </row>
    <row r="41" spans="3:13" ht="12">
      <c r="C41" s="195" t="s">
        <v>328</v>
      </c>
      <c r="D41" s="212"/>
      <c r="E41" s="22" t="s">
        <v>76</v>
      </c>
      <c r="F41" s="2"/>
      <c r="G41" s="2" t="s">
        <v>76</v>
      </c>
      <c r="H41" s="2" t="s">
        <v>76</v>
      </c>
      <c r="I41" s="2"/>
      <c r="J41" s="19"/>
      <c r="K41" s="20"/>
      <c r="M41" s="105" t="s">
        <v>337</v>
      </c>
    </row>
    <row r="42" spans="3:13" ht="12.75">
      <c r="C42" s="196" t="s">
        <v>329</v>
      </c>
      <c r="D42" s="213"/>
      <c r="E42" s="22" t="s">
        <v>77</v>
      </c>
      <c r="F42" s="2" t="s">
        <v>78</v>
      </c>
      <c r="G42" s="2" t="s">
        <v>77</v>
      </c>
      <c r="H42" s="2" t="s">
        <v>77</v>
      </c>
      <c r="I42" s="2" t="s">
        <v>76</v>
      </c>
      <c r="J42" s="19" t="s">
        <v>79</v>
      </c>
      <c r="K42" s="2" t="s">
        <v>80</v>
      </c>
      <c r="M42" s="105" t="s">
        <v>338</v>
      </c>
    </row>
    <row r="43" spans="5:13" ht="12">
      <c r="E43" s="22" t="s">
        <v>81</v>
      </c>
      <c r="F43" s="2" t="s">
        <v>82</v>
      </c>
      <c r="G43" s="2" t="s">
        <v>81</v>
      </c>
      <c r="H43" s="2" t="s">
        <v>81</v>
      </c>
      <c r="I43" s="2" t="s">
        <v>77</v>
      </c>
      <c r="J43" s="19" t="s">
        <v>83</v>
      </c>
      <c r="K43" s="2" t="s">
        <v>84</v>
      </c>
      <c r="M43" s="19" t="s">
        <v>2</v>
      </c>
    </row>
    <row r="44" spans="5:13" ht="12">
      <c r="E44" s="22" t="s">
        <v>85</v>
      </c>
      <c r="F44" s="2" t="s">
        <v>86</v>
      </c>
      <c r="G44" s="2" t="s">
        <v>87</v>
      </c>
      <c r="H44" s="2" t="s">
        <v>88</v>
      </c>
      <c r="I44" s="2" t="s">
        <v>89</v>
      </c>
      <c r="J44" s="19" t="s">
        <v>88</v>
      </c>
      <c r="K44" s="2" t="s">
        <v>90</v>
      </c>
      <c r="M44" s="105" t="s">
        <v>339</v>
      </c>
    </row>
    <row r="45" spans="5:13" ht="13.5">
      <c r="E45" s="22" t="s">
        <v>91</v>
      </c>
      <c r="F45" s="4" t="s">
        <v>92</v>
      </c>
      <c r="G45" s="2" t="s">
        <v>93</v>
      </c>
      <c r="H45" s="2" t="s">
        <v>94</v>
      </c>
      <c r="I45" s="2" t="s">
        <v>95</v>
      </c>
      <c r="J45" s="19" t="s">
        <v>96</v>
      </c>
      <c r="K45" s="2" t="s">
        <v>97</v>
      </c>
      <c r="M45" s="105" t="s">
        <v>268</v>
      </c>
    </row>
    <row r="46" spans="5:13" ht="15" thickBot="1">
      <c r="E46" s="24" t="s">
        <v>48</v>
      </c>
      <c r="F46" s="15" t="s">
        <v>98</v>
      </c>
      <c r="G46" s="15" t="s">
        <v>48</v>
      </c>
      <c r="H46" s="15" t="s">
        <v>48</v>
      </c>
      <c r="I46" s="15" t="s">
        <v>48</v>
      </c>
      <c r="J46" s="7" t="s">
        <v>48</v>
      </c>
      <c r="K46" s="15" t="s">
        <v>99</v>
      </c>
      <c r="M46" s="95" t="s">
        <v>340</v>
      </c>
    </row>
    <row r="47" ht="12.75" thickTop="1">
      <c r="M47" s="120"/>
    </row>
    <row r="48" spans="5:13" ht="12">
      <c r="E48" s="163">
        <v>10</v>
      </c>
      <c r="F48" s="163">
        <v>40</v>
      </c>
      <c r="G48" s="163">
        <v>1000</v>
      </c>
      <c r="H48" s="163">
        <v>1000</v>
      </c>
      <c r="I48" s="163">
        <v>366</v>
      </c>
      <c r="J48" s="169">
        <v>0.1</v>
      </c>
      <c r="K48" s="163">
        <v>0.25</v>
      </c>
      <c r="M48" s="168">
        <v>5</v>
      </c>
    </row>
    <row r="50" spans="3:10" ht="12">
      <c r="C50" s="195" t="s">
        <v>328</v>
      </c>
      <c r="D50" s="212"/>
      <c r="E50" s="55" t="s">
        <v>4</v>
      </c>
      <c r="F50" s="55" t="s">
        <v>4</v>
      </c>
      <c r="G50" s="55" t="s">
        <v>4</v>
      </c>
      <c r="H50" s="55" t="s">
        <v>4</v>
      </c>
      <c r="I50" s="59" t="s">
        <v>4</v>
      </c>
      <c r="J50" s="55" t="s">
        <v>4</v>
      </c>
    </row>
    <row r="51" spans="3:10" ht="12.75">
      <c r="C51" s="196" t="s">
        <v>329</v>
      </c>
      <c r="D51" s="213"/>
      <c r="E51" s="20" t="s">
        <v>100</v>
      </c>
      <c r="F51" s="20" t="s">
        <v>100</v>
      </c>
      <c r="G51" s="53"/>
      <c r="H51" s="20"/>
      <c r="I51" s="1" t="s">
        <v>101</v>
      </c>
      <c r="J51" s="20" t="s">
        <v>102</v>
      </c>
    </row>
    <row r="52" spans="5:10" ht="12">
      <c r="E52" s="20" t="s">
        <v>103</v>
      </c>
      <c r="F52" s="20" t="s">
        <v>103</v>
      </c>
      <c r="G52" s="20" t="s">
        <v>104</v>
      </c>
      <c r="H52" s="20" t="s">
        <v>104</v>
      </c>
      <c r="I52" s="1" t="s">
        <v>105</v>
      </c>
      <c r="J52" s="53" t="s">
        <v>106</v>
      </c>
    </row>
    <row r="53" spans="5:10" ht="12">
      <c r="E53" s="20" t="s">
        <v>107</v>
      </c>
      <c r="F53" s="20" t="s">
        <v>108</v>
      </c>
      <c r="G53" s="20" t="s">
        <v>109</v>
      </c>
      <c r="H53" s="20" t="s">
        <v>110</v>
      </c>
      <c r="I53" s="19" t="s">
        <v>107</v>
      </c>
      <c r="J53" s="20" t="s">
        <v>108</v>
      </c>
    </row>
    <row r="54" spans="5:10" ht="13.5">
      <c r="E54" s="20" t="s">
        <v>111</v>
      </c>
      <c r="F54" s="20" t="s">
        <v>112</v>
      </c>
      <c r="G54" s="20" t="s">
        <v>113</v>
      </c>
      <c r="H54" s="20" t="s">
        <v>114</v>
      </c>
      <c r="I54" s="1" t="s">
        <v>115</v>
      </c>
      <c r="J54" s="53" t="s">
        <v>116</v>
      </c>
    </row>
    <row r="55" spans="5:10" ht="12.75" thickBot="1">
      <c r="E55" s="23" t="s">
        <v>117</v>
      </c>
      <c r="F55" s="23" t="s">
        <v>117</v>
      </c>
      <c r="G55" s="23" t="s">
        <v>117</v>
      </c>
      <c r="H55" s="23" t="s">
        <v>118</v>
      </c>
      <c r="I55" s="16" t="s">
        <v>74</v>
      </c>
      <c r="J55" s="23" t="s">
        <v>74</v>
      </c>
    </row>
    <row r="56" spans="5:10" ht="12.75" thickTop="1">
      <c r="E56" s="25"/>
      <c r="F56" s="25"/>
      <c r="G56" s="25"/>
      <c r="H56" s="25"/>
      <c r="I56" s="29"/>
      <c r="J56" s="25"/>
    </row>
    <row r="57" spans="5:10" ht="12">
      <c r="E57" s="163">
        <v>70</v>
      </c>
      <c r="F57" s="163">
        <v>26</v>
      </c>
      <c r="G57" s="163">
        <v>26</v>
      </c>
      <c r="H57" s="163">
        <v>350</v>
      </c>
      <c r="I57" s="170">
        <v>1E-06</v>
      </c>
      <c r="J57" s="163">
        <v>1</v>
      </c>
    </row>
    <row r="58" spans="9:10" ht="12">
      <c r="I58" s="147"/>
      <c r="J58" s="148"/>
    </row>
    <row r="59" spans="9:10" ht="12">
      <c r="I59" s="149" t="s">
        <v>119</v>
      </c>
      <c r="J59" s="150"/>
    </row>
    <row r="60" spans="2:10" ht="12">
      <c r="B60" s="215"/>
      <c r="C60" s="197" t="s">
        <v>330</v>
      </c>
      <c r="D60" s="212"/>
      <c r="I60" s="151" t="s">
        <v>120</v>
      </c>
      <c r="J60" s="152"/>
    </row>
  </sheetData>
  <sheetProtection password="CDDA" sheet="1" objects="1" scenarios="1"/>
  <mergeCells count="2">
    <mergeCell ref="B2:C2"/>
    <mergeCell ref="B3:C3"/>
  </mergeCells>
  <dataValidations count="2">
    <dataValidation type="list" allowBlank="1" showInputMessage="1" showErrorMessage="1" sqref="E17">
      <formula1>CAS_No</formula1>
    </dataValidation>
    <dataValidation type="list" allowBlank="1" showInputMessage="1" showErrorMessage="1" sqref="L28:M28 E38 I38 M38">
      <formula1>Soil_Type</formula1>
    </dataValidation>
  </dataValidations>
  <printOptions horizontalCentered="1"/>
  <pageMargins left="0.5" right="0.5" top="0.5" bottom="0.5" header="0.4" footer="0.4"/>
  <pageSetup fitToHeight="1" fitToWidth="1" horizontalDpi="300" verticalDpi="300" orientation="landscape" scale="62" r:id="rId2"/>
  <headerFooter alignWithMargins="0">
    <oddHeader>&amp;CDATA ENTRY SHEET</oddHeader>
    <oddFooter>&amp;C&amp;P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4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2" width="10.421875" style="29" customWidth="1"/>
    <col min="3" max="3" width="12.7109375" style="29" customWidth="1"/>
    <col min="4" max="4" width="12.28125" style="6" customWidth="1"/>
    <col min="5" max="5" width="14.421875" style="6" customWidth="1"/>
    <col min="6" max="6" width="7.7109375" style="32" customWidth="1"/>
    <col min="7" max="7" width="12.28125" style="32" customWidth="1"/>
    <col min="8" max="9" width="11.140625" style="29" customWidth="1"/>
    <col min="10" max="10" width="9.421875" style="29" customWidth="1"/>
    <col min="11" max="11" width="10.140625" style="6" customWidth="1"/>
    <col min="12" max="16384" width="9.140625" style="6" customWidth="1"/>
  </cols>
  <sheetData>
    <row r="1" spans="1:11" ht="12">
      <c r="A1" s="28"/>
      <c r="B1" s="28"/>
      <c r="C1" s="105"/>
      <c r="D1" s="105"/>
      <c r="E1" s="124"/>
      <c r="F1" s="135"/>
      <c r="G1" s="135"/>
      <c r="H1" s="105"/>
      <c r="I1" s="105"/>
      <c r="J1" s="105"/>
      <c r="K1" s="105"/>
    </row>
    <row r="2" spans="1:11" ht="12">
      <c r="A2" s="105"/>
      <c r="B2" s="105"/>
      <c r="C2" s="105" t="s">
        <v>121</v>
      </c>
      <c r="D2" s="108" t="s">
        <v>121</v>
      </c>
      <c r="E2" s="126" t="s">
        <v>122</v>
      </c>
      <c r="F2" s="131"/>
      <c r="G2" s="131"/>
      <c r="H2" s="105" t="s">
        <v>123</v>
      </c>
      <c r="I2" s="105" t="s">
        <v>124</v>
      </c>
      <c r="J2" s="105"/>
      <c r="K2" s="105"/>
    </row>
    <row r="3" spans="1:11" ht="12">
      <c r="A3" s="105"/>
      <c r="B3" s="105"/>
      <c r="C3" s="105" t="s">
        <v>125</v>
      </c>
      <c r="D3" s="108" t="s">
        <v>125</v>
      </c>
      <c r="E3" s="126" t="s">
        <v>126</v>
      </c>
      <c r="F3" s="131" t="s">
        <v>127</v>
      </c>
      <c r="G3" s="131"/>
      <c r="H3" s="105" t="s">
        <v>128</v>
      </c>
      <c r="I3" s="105" t="s">
        <v>129</v>
      </c>
      <c r="J3" s="105" t="s">
        <v>130</v>
      </c>
      <c r="K3" s="105"/>
    </row>
    <row r="4" spans="1:11" ht="12">
      <c r="A4" s="105" t="s">
        <v>131</v>
      </c>
      <c r="B4" s="105" t="s">
        <v>131</v>
      </c>
      <c r="C4" s="125" t="s">
        <v>132</v>
      </c>
      <c r="D4" s="109" t="s">
        <v>133</v>
      </c>
      <c r="E4" s="126" t="s">
        <v>134</v>
      </c>
      <c r="F4" s="131" t="s">
        <v>135</v>
      </c>
      <c r="G4" s="131" t="s">
        <v>136</v>
      </c>
      <c r="H4" s="105" t="s">
        <v>137</v>
      </c>
      <c r="I4" s="105" t="s">
        <v>138</v>
      </c>
      <c r="J4" s="105" t="s">
        <v>139</v>
      </c>
      <c r="K4" s="105" t="s">
        <v>140</v>
      </c>
    </row>
    <row r="5" spans="1:11" ht="12">
      <c r="A5" s="105" t="s">
        <v>141</v>
      </c>
      <c r="B5" s="105" t="s">
        <v>142</v>
      </c>
      <c r="C5" s="125" t="s">
        <v>31</v>
      </c>
      <c r="D5" s="109" t="s">
        <v>31</v>
      </c>
      <c r="E5" s="124" t="s">
        <v>143</v>
      </c>
      <c r="F5" s="135" t="s">
        <v>144</v>
      </c>
      <c r="G5" s="135" t="s">
        <v>31</v>
      </c>
      <c r="H5" s="105" t="s">
        <v>145</v>
      </c>
      <c r="I5" s="105" t="s">
        <v>146</v>
      </c>
      <c r="J5" s="105" t="s">
        <v>147</v>
      </c>
      <c r="K5" s="105" t="s">
        <v>9</v>
      </c>
    </row>
    <row r="6" spans="1:11" ht="13.5">
      <c r="A6" s="105" t="s">
        <v>148</v>
      </c>
      <c r="B6" s="105" t="s">
        <v>149</v>
      </c>
      <c r="C6" s="105" t="s">
        <v>150</v>
      </c>
      <c r="D6" s="105" t="s">
        <v>151</v>
      </c>
      <c r="E6" s="128" t="s">
        <v>152</v>
      </c>
      <c r="F6" s="135" t="s">
        <v>153</v>
      </c>
      <c r="G6" s="135" t="s">
        <v>154</v>
      </c>
      <c r="H6" s="105" t="s">
        <v>155</v>
      </c>
      <c r="I6" s="105" t="s">
        <v>156</v>
      </c>
      <c r="J6" s="105" t="s">
        <v>157</v>
      </c>
      <c r="K6" s="105" t="s">
        <v>158</v>
      </c>
    </row>
    <row r="7" spans="1:11" ht="15" thickBot="1">
      <c r="A7" s="95" t="s">
        <v>159</v>
      </c>
      <c r="B7" s="95" t="s">
        <v>159</v>
      </c>
      <c r="C7" s="95" t="s">
        <v>160</v>
      </c>
      <c r="D7" s="95" t="s">
        <v>47</v>
      </c>
      <c r="E7" s="97" t="s">
        <v>161</v>
      </c>
      <c r="F7" s="96" t="s">
        <v>162</v>
      </c>
      <c r="G7" s="96" t="s">
        <v>162</v>
      </c>
      <c r="H7" s="95" t="s">
        <v>163</v>
      </c>
      <c r="I7" s="95" t="s">
        <v>164</v>
      </c>
      <c r="J7" s="95" t="s">
        <v>165</v>
      </c>
      <c r="K7" s="95" t="s">
        <v>166</v>
      </c>
    </row>
    <row r="8" spans="1:11" ht="12.75" thickTop="1">
      <c r="A8" s="129"/>
      <c r="B8" s="129"/>
      <c r="C8" s="129"/>
      <c r="D8" s="68"/>
      <c r="E8" s="130"/>
      <c r="F8" s="136"/>
      <c r="G8" s="136"/>
      <c r="H8" s="129"/>
      <c r="I8" s="129"/>
      <c r="J8" s="129"/>
      <c r="K8" s="68"/>
    </row>
    <row r="9" spans="1:11" ht="12">
      <c r="A9" s="171">
        <f>VLOOKUP(DATENTER!E17,Chemical_Data,4,FALSE)</f>
        <v>0.089534</v>
      </c>
      <c r="B9" s="171">
        <f>VLOOKUP(DATENTER!E17,Chemical_Data,5,FALSE)</f>
        <v>1.0263E-05</v>
      </c>
      <c r="C9" s="171">
        <f>VLOOKUP(DATENTER!E17,Chemical_Data,8,FALSE)</f>
        <v>0.00555</v>
      </c>
      <c r="D9" s="172">
        <f>VLOOKUP(DATENTER!E17,Chemical_Data,9,FALSE)</f>
        <v>25</v>
      </c>
      <c r="E9" s="173">
        <f>VLOOKUP(DATENTER!E17,Chemical_Data,12,FALSE)</f>
        <v>7342</v>
      </c>
      <c r="F9" s="174">
        <f>VLOOKUP(DATENTER!E17,Chemical_Data,10,FALSE)</f>
        <v>353.15</v>
      </c>
      <c r="G9" s="174">
        <f>VLOOKUP(DATENTER!E17,Chemical_Data,11,FALSE)</f>
        <v>562</v>
      </c>
      <c r="H9" s="171">
        <f>VLOOKUP(DATENTER!E17,Chemical_Data,3,FALSE)</f>
        <v>145.8</v>
      </c>
      <c r="I9" s="175">
        <f>VLOOKUP(DATENTER!E17,Chemical_Data,6,FALSE)</f>
        <v>1790</v>
      </c>
      <c r="J9" s="176">
        <f>VLOOKUP(DATENTER!E17,Chemical_Data,13,FALSE)</f>
        <v>7.8E-06</v>
      </c>
      <c r="K9" s="176">
        <f>VLOOKUP(DATENTER!E17,Chemical_Data,14,FALSE)</f>
        <v>0.03</v>
      </c>
    </row>
    <row r="10" spans="1:11" ht="12">
      <c r="A10" s="129"/>
      <c r="B10" s="129"/>
      <c r="C10" s="129"/>
      <c r="D10" s="68"/>
      <c r="E10" s="68"/>
      <c r="F10" s="136"/>
      <c r="G10" s="136"/>
      <c r="H10" s="129"/>
      <c r="I10" s="129"/>
      <c r="J10" s="129"/>
      <c r="K10" s="68"/>
    </row>
    <row r="11" spans="1:12" ht="12">
      <c r="A11" s="197" t="s">
        <v>330</v>
      </c>
      <c r="B11" s="137"/>
      <c r="C11" s="137"/>
      <c r="D11" s="138"/>
      <c r="E11" s="139"/>
      <c r="F11" s="140"/>
      <c r="G11" s="140"/>
      <c r="H11" s="158">
        <f>IF(DATENTER!E17=7439976,"Listed value of Koc is actually value of Kd for mercury.","")</f>
      </c>
      <c r="I11" s="159"/>
      <c r="J11" s="158"/>
      <c r="K11" s="160"/>
      <c r="L11" s="161"/>
    </row>
    <row r="13" spans="1:6" ht="12">
      <c r="A13" s="1"/>
      <c r="B13" s="1"/>
      <c r="C13" s="1"/>
      <c r="D13" s="2"/>
      <c r="E13" s="2"/>
      <c r="F13" s="30"/>
    </row>
    <row r="14" spans="1:5" ht="12">
      <c r="A14" s="33"/>
      <c r="B14" s="33"/>
      <c r="C14" s="34"/>
      <c r="D14" s="26"/>
      <c r="E14" s="26"/>
    </row>
  </sheetData>
  <sheetProtection password="CDDA" sheet="1" objects="1" scenarios="1"/>
  <printOptions horizontalCentered="1"/>
  <pageMargins left="0.5" right="0.5" top="0.65" bottom="0.65" header="0.5" footer="0.5"/>
  <pageSetup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4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2.28125" style="6" customWidth="1"/>
    <col min="2" max="2" width="11.57421875" style="6" customWidth="1"/>
    <col min="3" max="4" width="10.7109375" style="6" customWidth="1"/>
    <col min="5" max="7" width="16.8515625" style="6" customWidth="1"/>
    <col min="8" max="8" width="12.8515625" style="6" customWidth="1"/>
    <col min="9" max="9" width="14.421875" style="6" customWidth="1"/>
    <col min="10" max="10" width="13.28125" style="6" customWidth="1"/>
    <col min="11" max="12" width="11.57421875" style="6" customWidth="1"/>
    <col min="13" max="13" width="12.421875" style="6" customWidth="1"/>
    <col min="14" max="14" width="10.421875" style="6" customWidth="1"/>
    <col min="15" max="15" width="9.57421875" style="6" customWidth="1"/>
    <col min="16" max="16" width="9.140625" style="6" customWidth="1"/>
    <col min="17" max="17" width="8.57421875" style="6" customWidth="1"/>
    <col min="18" max="18" width="6.57421875" style="6" customWidth="1"/>
    <col min="19" max="21" width="15.7109375" style="6" customWidth="1"/>
    <col min="22" max="22" width="11.7109375" style="6" customWidth="1"/>
    <col min="23" max="27" width="10.00390625" style="6" customWidth="1"/>
    <col min="28" max="28" width="8.57421875" style="6" customWidth="1"/>
    <col min="29" max="29" width="10.57421875" style="6" customWidth="1"/>
    <col min="30" max="30" width="10.00390625" style="6" customWidth="1"/>
    <col min="31" max="31" width="6.7109375" style="6" customWidth="1"/>
    <col min="32" max="32" width="9.140625" style="6" customWidth="1"/>
    <col min="33" max="33" width="10.00390625" style="6" customWidth="1"/>
    <col min="34" max="34" width="9.00390625" style="6" customWidth="1"/>
    <col min="35" max="35" width="10.8515625" style="6" customWidth="1"/>
    <col min="36" max="36" width="10.28125" style="6" customWidth="1"/>
    <col min="37" max="37" width="10.00390625" style="6" customWidth="1"/>
    <col min="38" max="38" width="8.57421875" style="6" customWidth="1"/>
    <col min="39" max="39" width="10.00390625" style="6" customWidth="1"/>
    <col min="40" max="16384" width="9.140625" style="6" customWidth="1"/>
  </cols>
  <sheetData>
    <row r="1" spans="1:14" ht="1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>
      <c r="A2" s="103"/>
      <c r="B2" s="103"/>
      <c r="C2" s="3"/>
      <c r="D2" s="3"/>
      <c r="E2" s="3"/>
      <c r="F2" s="104"/>
      <c r="G2" s="104"/>
      <c r="H2" s="104"/>
      <c r="I2" s="105"/>
      <c r="J2" s="106"/>
      <c r="K2"/>
      <c r="L2"/>
      <c r="M2"/>
      <c r="N2" s="108"/>
    </row>
    <row r="3" spans="1:14" ht="12.75">
      <c r="A3" s="103"/>
      <c r="B3" s="109"/>
      <c r="C3" s="107" t="s">
        <v>56</v>
      </c>
      <c r="D3" s="107" t="s">
        <v>57</v>
      </c>
      <c r="E3" s="107" t="s">
        <v>58</v>
      </c>
      <c r="F3" s="104" t="s">
        <v>56</v>
      </c>
      <c r="G3" s="104" t="s">
        <v>56</v>
      </c>
      <c r="H3" s="104" t="s">
        <v>56</v>
      </c>
      <c r="I3" s="104" t="s">
        <v>56</v>
      </c>
      <c r="J3"/>
      <c r="K3" s="103" t="s">
        <v>167</v>
      </c>
      <c r="L3" s="107" t="s">
        <v>168</v>
      </c>
      <c r="M3" s="103" t="s">
        <v>169</v>
      </c>
      <c r="N3" s="108" t="s">
        <v>170</v>
      </c>
    </row>
    <row r="4" spans="1:14" ht="12">
      <c r="A4" s="103"/>
      <c r="B4" s="103" t="s">
        <v>171</v>
      </c>
      <c r="C4" s="107" t="s">
        <v>172</v>
      </c>
      <c r="D4" s="107" t="s">
        <v>172</v>
      </c>
      <c r="E4" s="107" t="s">
        <v>172</v>
      </c>
      <c r="F4" s="104" t="s">
        <v>173</v>
      </c>
      <c r="G4" s="104" t="s">
        <v>172</v>
      </c>
      <c r="H4" s="109" t="s">
        <v>172</v>
      </c>
      <c r="I4" s="109" t="s">
        <v>172</v>
      </c>
      <c r="J4" s="106" t="s">
        <v>174</v>
      </c>
      <c r="K4" s="103" t="s">
        <v>175</v>
      </c>
      <c r="L4" s="107" t="s">
        <v>175</v>
      </c>
      <c r="M4" s="103" t="s">
        <v>175</v>
      </c>
      <c r="N4" s="108" t="s">
        <v>176</v>
      </c>
    </row>
    <row r="5" spans="1:14" ht="12">
      <c r="A5" s="108" t="s">
        <v>104</v>
      </c>
      <c r="B5" s="103" t="s">
        <v>177</v>
      </c>
      <c r="C5" s="107" t="s">
        <v>178</v>
      </c>
      <c r="D5" s="107" t="s">
        <v>178</v>
      </c>
      <c r="E5" s="107" t="s">
        <v>178</v>
      </c>
      <c r="F5" s="104" t="s">
        <v>179</v>
      </c>
      <c r="G5" s="104" t="s">
        <v>180</v>
      </c>
      <c r="H5" s="104" t="s">
        <v>181</v>
      </c>
      <c r="I5" s="105" t="s">
        <v>182</v>
      </c>
      <c r="J5" s="106" t="s">
        <v>183</v>
      </c>
      <c r="K5" s="103" t="s">
        <v>183</v>
      </c>
      <c r="L5" s="107" t="s">
        <v>183</v>
      </c>
      <c r="M5" s="103" t="s">
        <v>183</v>
      </c>
      <c r="N5" s="108" t="s">
        <v>184</v>
      </c>
    </row>
    <row r="6" spans="1:14" ht="12">
      <c r="A6" s="108" t="s">
        <v>109</v>
      </c>
      <c r="B6" s="103" t="s">
        <v>185</v>
      </c>
      <c r="C6" s="107" t="s">
        <v>63</v>
      </c>
      <c r="D6" s="107" t="s">
        <v>63</v>
      </c>
      <c r="E6" s="107" t="s">
        <v>63</v>
      </c>
      <c r="F6" s="104" t="s">
        <v>186</v>
      </c>
      <c r="G6" s="104" t="s">
        <v>38</v>
      </c>
      <c r="H6" s="104" t="s">
        <v>38</v>
      </c>
      <c r="I6" s="105" t="s">
        <v>38</v>
      </c>
      <c r="J6" s="106" t="s">
        <v>187</v>
      </c>
      <c r="K6" s="103" t="s">
        <v>187</v>
      </c>
      <c r="L6" s="103" t="s">
        <v>187</v>
      </c>
      <c r="M6" s="103" t="s">
        <v>187</v>
      </c>
      <c r="N6" s="108" t="s">
        <v>188</v>
      </c>
    </row>
    <row r="7" spans="1:14" ht="15">
      <c r="A7" s="110" t="s">
        <v>189</v>
      </c>
      <c r="B7" s="103" t="s">
        <v>190</v>
      </c>
      <c r="C7" s="110" t="s">
        <v>191</v>
      </c>
      <c r="D7" s="110" t="s">
        <v>192</v>
      </c>
      <c r="E7" s="110" t="s">
        <v>193</v>
      </c>
      <c r="F7" s="104" t="s">
        <v>194</v>
      </c>
      <c r="G7" s="104" t="s">
        <v>195</v>
      </c>
      <c r="H7" s="104" t="s">
        <v>196</v>
      </c>
      <c r="I7" s="105" t="s">
        <v>197</v>
      </c>
      <c r="J7" s="106" t="s">
        <v>198</v>
      </c>
      <c r="K7" s="103" t="s">
        <v>199</v>
      </c>
      <c r="L7" s="111" t="s">
        <v>200</v>
      </c>
      <c r="M7" s="110" t="s">
        <v>201</v>
      </c>
      <c r="N7" s="108" t="s">
        <v>202</v>
      </c>
    </row>
    <row r="8" spans="1:14" ht="15" thickBot="1">
      <c r="A8" s="95" t="s">
        <v>203</v>
      </c>
      <c r="B8" s="112" t="s">
        <v>48</v>
      </c>
      <c r="C8" s="40" t="s">
        <v>75</v>
      </c>
      <c r="D8" s="40" t="s">
        <v>75</v>
      </c>
      <c r="E8" s="40" t="s">
        <v>75</v>
      </c>
      <c r="F8" s="113" t="s">
        <v>204</v>
      </c>
      <c r="G8" s="95" t="s">
        <v>52</v>
      </c>
      <c r="H8" s="95" t="s">
        <v>52</v>
      </c>
      <c r="I8" s="95" t="s">
        <v>52</v>
      </c>
      <c r="J8" s="114" t="s">
        <v>48</v>
      </c>
      <c r="K8" s="112" t="s">
        <v>75</v>
      </c>
      <c r="L8" s="115" t="s">
        <v>75</v>
      </c>
      <c r="M8" s="40" t="s">
        <v>75</v>
      </c>
      <c r="N8" s="40" t="s">
        <v>48</v>
      </c>
    </row>
    <row r="9" spans="1:14" ht="12.75" thickTop="1">
      <c r="A9" s="116"/>
      <c r="B9" s="116"/>
      <c r="C9" s="68"/>
      <c r="D9" s="68"/>
      <c r="E9" s="68"/>
      <c r="F9" s="117"/>
      <c r="G9" s="117"/>
      <c r="H9" s="117"/>
      <c r="I9" s="68"/>
      <c r="J9" s="118"/>
      <c r="K9" s="116"/>
      <c r="L9" s="119"/>
      <c r="M9" s="116"/>
      <c r="N9" s="68"/>
    </row>
    <row r="10" spans="1:14" ht="12">
      <c r="A10" s="171">
        <f>DATENTER!G57*365*24*60*60</f>
        <v>819936000</v>
      </c>
      <c r="B10" s="172">
        <f>IF(DATENTER!G28-DATENTER!F28&lt;=0,1,DATENTER!G28-DATENTER!F28)</f>
        <v>152.5</v>
      </c>
      <c r="C10" s="177">
        <f>IF(OR(DATENTER!F38="",DATENTER!G38="",DATENTER!H38=""),"ERROR",DATENTER!G38-DATENTER!H38)</f>
        <v>0.321</v>
      </c>
      <c r="D10" s="177">
        <f>IF(OR(DATENTER!J38="",DATENTER!K38="",DATENTER!L38=""),"ERROR",DATENTER!K38-DATENTER!L38)</f>
        <v>0.321</v>
      </c>
      <c r="E10" s="177">
        <f>IF(OR(DATENTER!N38="",DATENTER!O38="",DATENTER!P38=""),"ERROR",DATENTER!O38-DATENTER!P38)</f>
        <v>0.321</v>
      </c>
      <c r="F10" s="177">
        <f>(DATENTER!H38-VLOOKUP(DATENTER!M28,Soil_Data,7,FALSE))/(DATENTER!G38-VLOOKUP(DATENTER!M28,Soil_Data,7,FALSE))</f>
        <v>0.003105590062111804</v>
      </c>
      <c r="G10" s="178">
        <f>((VLOOKUP(DATENTER!M28,Soil_Data,2,FALSE)*(1/3600)*(0.01307*((DATENTER!E28+273.15)/(283.15))^0.5))/(0.999*980.665))</f>
        <v>9.97668104048193E-08</v>
      </c>
      <c r="H10" s="179">
        <f>(1-F10)^0.5*(1-F10^(1/VLOOKUP(DATENTER!M28,Soil_Data,5,FALSE)))^(2*VLOOKUP(DATENTER!M28,Soil_Data,5,FALSE))</f>
        <v>0.9981466887006407</v>
      </c>
      <c r="I10" s="171">
        <f>IF(AND(DATENTER!M28&gt;0,DATENTER!O28&gt;0),"ERROR",IF(DATENTER!O28&gt;0,DATENTER!O28,G10*H10))</f>
        <v>9.958191144779501E-08</v>
      </c>
      <c r="J10" s="180">
        <f>0.15/(VLOOKUP(DATENTER!L28,Soil_Data,8,FALSE)*0.2)</f>
        <v>17.045454545454543</v>
      </c>
      <c r="K10" s="181">
        <f>IF(DATENTER!K28="A",DATENTER!G38,IF(DATENTER!K28="B",DATENTER!K38,DATENTER!O38))</f>
        <v>0.375</v>
      </c>
      <c r="L10" s="177">
        <f>K10-M10</f>
        <v>0.12174188741255254</v>
      </c>
      <c r="M10" s="179">
        <f>VLOOKUP(DATENTER!L28,Soil_Data,7,FALSE)+((VLOOKUP(DATENTER!L28,Soil_Data,6,FALSE)-VLOOKUP(DATENTER!L28,Soil_Data,7,FALSE))/(2^VLOOKUP(DATENTER!L28,Soil_Data,5,FALSE)))</f>
        <v>0.25325811258744746</v>
      </c>
      <c r="N10" s="173">
        <f>(2*DATENTER!G48)+(2*DATENTER!H48)</f>
        <v>4000</v>
      </c>
    </row>
    <row r="11" spans="1:14" ht="1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120"/>
      <c r="L11" s="76"/>
      <c r="M11" s="120"/>
      <c r="N11" s="68"/>
    </row>
    <row r="12" spans="1:14" ht="12">
      <c r="A12" s="121"/>
      <c r="B12" s="122"/>
      <c r="C12" s="122"/>
      <c r="D12" s="121"/>
      <c r="E12" s="123"/>
      <c r="F12" s="122"/>
      <c r="G12" s="105"/>
      <c r="H12" s="107"/>
      <c r="I12" s="3"/>
      <c r="J12" s="3"/>
      <c r="K12" s="3"/>
      <c r="L12" s="3"/>
      <c r="M12" s="28"/>
      <c r="N12" s="3"/>
    </row>
    <row r="13" spans="1:14" ht="12">
      <c r="A13" s="108"/>
      <c r="B13" s="108" t="s">
        <v>205</v>
      </c>
      <c r="C13" s="105"/>
      <c r="D13" s="108"/>
      <c r="E13" s="124"/>
      <c r="F13" s="125"/>
      <c r="G13" s="125"/>
      <c r="H13" s="3"/>
      <c r="I13" s="108" t="s">
        <v>206</v>
      </c>
      <c r="J13" s="108" t="s">
        <v>206</v>
      </c>
      <c r="K13" s="108" t="s">
        <v>206</v>
      </c>
      <c r="L13" s="108" t="s">
        <v>207</v>
      </c>
      <c r="M13" s="125" t="s">
        <v>167</v>
      </c>
      <c r="N13" s="103"/>
    </row>
    <row r="14" spans="1:14" ht="12">
      <c r="A14" s="108"/>
      <c r="B14" s="108" t="s">
        <v>208</v>
      </c>
      <c r="C14" s="105" t="s">
        <v>209</v>
      </c>
      <c r="D14" s="108" t="s">
        <v>210</v>
      </c>
      <c r="E14" s="126" t="s">
        <v>122</v>
      </c>
      <c r="F14" s="28" t="s">
        <v>211</v>
      </c>
      <c r="G14" s="28" t="s">
        <v>211</v>
      </c>
      <c r="H14" s="107" t="s">
        <v>212</v>
      </c>
      <c r="I14" s="108" t="s">
        <v>213</v>
      </c>
      <c r="J14" s="108" t="s">
        <v>214</v>
      </c>
      <c r="K14" s="108" t="s">
        <v>53</v>
      </c>
      <c r="L14" s="108" t="s">
        <v>215</v>
      </c>
      <c r="M14" s="105" t="s">
        <v>216</v>
      </c>
      <c r="N14" s="103"/>
    </row>
    <row r="15" spans="1:14" ht="12">
      <c r="A15" s="108" t="s">
        <v>217</v>
      </c>
      <c r="B15" s="108" t="s">
        <v>77</v>
      </c>
      <c r="C15" s="105" t="s">
        <v>218</v>
      </c>
      <c r="D15" s="108" t="s">
        <v>219</v>
      </c>
      <c r="E15" s="126" t="s">
        <v>126</v>
      </c>
      <c r="F15" s="105" t="s">
        <v>220</v>
      </c>
      <c r="G15" s="105" t="s">
        <v>220</v>
      </c>
      <c r="H15" s="107" t="s">
        <v>221</v>
      </c>
      <c r="I15" s="108" t="s">
        <v>173</v>
      </c>
      <c r="J15" s="108" t="s">
        <v>173</v>
      </c>
      <c r="K15" s="108" t="s">
        <v>173</v>
      </c>
      <c r="L15" s="108" t="s">
        <v>173</v>
      </c>
      <c r="M15" s="105" t="s">
        <v>173</v>
      </c>
      <c r="N15" s="103" t="s">
        <v>222</v>
      </c>
    </row>
    <row r="16" spans="1:14" ht="12">
      <c r="A16" s="108" t="s">
        <v>223</v>
      </c>
      <c r="B16" s="108" t="s">
        <v>224</v>
      </c>
      <c r="C16" s="105" t="s">
        <v>225</v>
      </c>
      <c r="D16" s="108" t="s">
        <v>224</v>
      </c>
      <c r="E16" s="105" t="s">
        <v>226</v>
      </c>
      <c r="F16" s="105" t="s">
        <v>226</v>
      </c>
      <c r="G16" s="105" t="s">
        <v>226</v>
      </c>
      <c r="H16" s="105" t="s">
        <v>227</v>
      </c>
      <c r="I16" s="108" t="s">
        <v>228</v>
      </c>
      <c r="J16" s="108" t="s">
        <v>228</v>
      </c>
      <c r="K16" s="108" t="s">
        <v>228</v>
      </c>
      <c r="L16" s="108" t="s">
        <v>228</v>
      </c>
      <c r="M16" s="105" t="s">
        <v>228</v>
      </c>
      <c r="N16" s="103" t="s">
        <v>229</v>
      </c>
    </row>
    <row r="17" spans="1:14" ht="12">
      <c r="A17" s="108" t="s">
        <v>90</v>
      </c>
      <c r="B17" s="108" t="s">
        <v>230</v>
      </c>
      <c r="C17" s="105" t="s">
        <v>231</v>
      </c>
      <c r="D17" s="108" t="s">
        <v>230</v>
      </c>
      <c r="E17" s="124" t="s">
        <v>31</v>
      </c>
      <c r="F17" s="105" t="s">
        <v>31</v>
      </c>
      <c r="G17" s="105" t="s">
        <v>31</v>
      </c>
      <c r="H17" s="107" t="s">
        <v>31</v>
      </c>
      <c r="I17" s="108" t="s">
        <v>145</v>
      </c>
      <c r="J17" s="108" t="s">
        <v>145</v>
      </c>
      <c r="K17" s="108" t="s">
        <v>145</v>
      </c>
      <c r="L17" s="108" t="s">
        <v>145</v>
      </c>
      <c r="M17" s="105" t="s">
        <v>145</v>
      </c>
      <c r="N17" s="103" t="s">
        <v>87</v>
      </c>
    </row>
    <row r="18" spans="1:14" ht="15">
      <c r="A18" s="108" t="s">
        <v>232</v>
      </c>
      <c r="B18" s="105" t="s">
        <v>233</v>
      </c>
      <c r="C18" s="127" t="s">
        <v>234</v>
      </c>
      <c r="D18" s="108" t="s">
        <v>235</v>
      </c>
      <c r="E18" s="128" t="s">
        <v>236</v>
      </c>
      <c r="F18" s="105" t="s">
        <v>237</v>
      </c>
      <c r="G18" s="105" t="s">
        <v>238</v>
      </c>
      <c r="H18" s="110" t="s">
        <v>239</v>
      </c>
      <c r="I18" s="108" t="s">
        <v>240</v>
      </c>
      <c r="J18" s="108" t="s">
        <v>241</v>
      </c>
      <c r="K18" s="108" t="s">
        <v>242</v>
      </c>
      <c r="L18" s="108" t="s">
        <v>243</v>
      </c>
      <c r="M18" s="105" t="s">
        <v>244</v>
      </c>
      <c r="N18" s="103" t="s">
        <v>245</v>
      </c>
    </row>
    <row r="19" spans="1:14" ht="15" thickBot="1">
      <c r="A19" s="40" t="s">
        <v>246</v>
      </c>
      <c r="B19" s="95" t="s">
        <v>52</v>
      </c>
      <c r="C19" s="95" t="s">
        <v>74</v>
      </c>
      <c r="D19" s="40" t="s">
        <v>48</v>
      </c>
      <c r="E19" s="97" t="s">
        <v>161</v>
      </c>
      <c r="F19" s="95" t="s">
        <v>160</v>
      </c>
      <c r="G19" s="95" t="s">
        <v>74</v>
      </c>
      <c r="H19" s="95" t="s">
        <v>247</v>
      </c>
      <c r="I19" s="95" t="s">
        <v>159</v>
      </c>
      <c r="J19" s="95" t="s">
        <v>159</v>
      </c>
      <c r="K19" s="95" t="s">
        <v>159</v>
      </c>
      <c r="L19" s="95" t="s">
        <v>159</v>
      </c>
      <c r="M19" s="95" t="s">
        <v>159</v>
      </c>
      <c r="N19" s="112" t="s">
        <v>48</v>
      </c>
    </row>
    <row r="20" spans="1:14" ht="12.75" thickTop="1">
      <c r="A20" s="68"/>
      <c r="B20" s="68"/>
      <c r="C20" s="129"/>
      <c r="D20" s="68"/>
      <c r="E20" s="130"/>
      <c r="F20" s="129"/>
      <c r="G20" s="129"/>
      <c r="H20" s="68"/>
      <c r="I20" s="68"/>
      <c r="J20" s="68"/>
      <c r="K20" s="68"/>
      <c r="L20" s="68"/>
      <c r="M20" s="129"/>
      <c r="N20" s="68"/>
    </row>
    <row r="21" spans="1:14" ht="12">
      <c r="A21" s="171">
        <f>(DATENTER!G48*DATENTER!H48*DATENTER!I48*DATENTER!K48)*1/(60*60)</f>
        <v>25416.666666666668</v>
      </c>
      <c r="B21" s="171">
        <f>IF(DATENTER!F28&gt;DATENTER!E48,(DATENTER!G48*DATENTER!H48)+(2*(DATENTER!F28*DATENTER!G48))+(2*(DATENTER!F28*DATENTER!H48)),(DATENTER!G48*DATENTER!H48))</f>
        <v>1800000</v>
      </c>
      <c r="C21" s="171">
        <f>(2*(DATENTER!G48*DATENTER!J48)+2*(DATENTER!H48*DATENTER!J48))/B21</f>
        <v>0.00022222222222222223</v>
      </c>
      <c r="D21" s="172">
        <f>DATENTER!F28</f>
        <v>200</v>
      </c>
      <c r="E21" s="173">
        <f>IF(CHEMPROPS!F9/CHEMPROPS!G9&lt;0.57,CHEMPROPS!E9*((1-((DATENTER!E28+273.15)/CHEMPROPS!G9))/(1-(CHEMPROPS!F9/CHEMPROPS!G9)))^0.3,IF(AND(CHEMPROPS!F9/CHEMPROPS!G9&gt;=0.57,CHEMPROPS!F9/CHEMPROPS!G9&lt;=0.71),CHEMPROPS!E9*((1-((DATENTER!E28+273.15)/CHEMPROPS!G9))/(1-(CHEMPROPS!F9/CHEMPROPS!G9)))^(0.74*(CHEMPROPS!F9/CHEMPROPS!G9)-0.116),CHEMPROPS!E9*((1-((DATENTER!E28+273.15)/CHEMPROPS!G9))/(1-(CHEMPROPS!F9/CHEMPROPS!G9)))^0.41))</f>
        <v>8090.72117650171</v>
      </c>
      <c r="F21" s="171">
        <f>EXP(-1*((E21/1.9872)*((1/(DATENTER!E28+273.15))-(1/(CHEMPROPS!D9+273.15)))))*CHEMPROPS!C9</f>
        <v>0.003130322279101943</v>
      </c>
      <c r="G21" s="175">
        <f>IF(DATENTER!E28="",0/0,F21/(0.00008206*(DATENTER!E28+273.15)))</f>
        <v>0.13331032564878897</v>
      </c>
      <c r="H21" s="175">
        <f>0.00018*((DATENTER!E28+273.15)/298.15)^0.5</f>
        <v>0.0001763404616365632</v>
      </c>
      <c r="I21" s="175">
        <f>(CHEMPROPS!A9*(C10^3.33/DATENTER!G38^2))+((CHEMPROPS!B9/G21)*(DATENTER!H38^3.33/DATENTER!G38^2))</f>
        <v>0.014473987627189688</v>
      </c>
      <c r="J21" s="175">
        <f>IF(DATENTER!I28=0,0,(CHEMPROPS!A9*(D10^3.33/DATENTER!K38^2))+((CHEMPROPS!B9/G21)*(DATENTER!L38^3.33/DATENTER!K38^2)))</f>
        <v>0.014473987627189688</v>
      </c>
      <c r="K21" s="175">
        <f>IF(DATENTER!J28=0,0,(CHEMPROPS!A9*(E10^3.33/DATENTER!O38^2))+((CHEMPROPS!B9/G21)*(DATENTER!P38^3.33/DATENTER!O38^2)))</f>
        <v>0.014473987627189688</v>
      </c>
      <c r="L21" s="175">
        <f>(CHEMPROPS!A9*(L10^3.33/K10^2))+((CHEMPROPS!B9/G21)*(M10^3.33/K10^2))</f>
        <v>0.0005790297953177309</v>
      </c>
      <c r="M21" s="182">
        <f>IF(AND(I21&gt;0,J21&gt;0,K21&gt;0),B10/(((IF(B10=1,1,DATENTER!H28-DATENTER!F28))/I21)+(DATENTER!I28/J21)+((DATENTER!J28-J10)/K21)+(J10/L21)),IF(AND(I21&gt;0,J21&gt;0,K21=0),B10/(((IF(B10=1,1,DATENTER!H28-DATENTER!F28))/I21)+((DATENTER!I28-J10)/J21)+(J10/L21)),IF(AND(I21&gt;0,J21=0,K21=0),B10/(((IF(B10=1,1,DATENTER!H28-DATENTER!F28)-J10)/I21)+(J10/L21)))))</f>
        <v>0.003930773123969188</v>
      </c>
      <c r="N21" s="172">
        <f>IF(DATENTER!G28-DATENTER!F28&lt;=0,1,DATENTER!G28-DATENTER!F28)</f>
        <v>152.5</v>
      </c>
    </row>
    <row r="22" spans="1:14" ht="12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/>
      <c r="N22" s="68"/>
    </row>
    <row r="23" spans="1:14" ht="12.75">
      <c r="A23" s="103"/>
      <c r="B23" s="108"/>
      <c r="C23" s="131"/>
      <c r="D23" s="105"/>
      <c r="E23" s="108"/>
      <c r="F23" s="105"/>
      <c r="G23" s="125" t="s">
        <v>248</v>
      </c>
      <c r="H23" s="108" t="s">
        <v>249</v>
      </c>
      <c r="I23"/>
      <c r="J23" s="132"/>
      <c r="K23" s="105"/>
      <c r="L23" s="68"/>
      <c r="M23" s="68"/>
      <c r="N23" s="68"/>
    </row>
    <row r="24" spans="1:14" ht="12.75">
      <c r="A24" s="103"/>
      <c r="B24"/>
      <c r="C24" s="131"/>
      <c r="D24" s="105" t="s">
        <v>16</v>
      </c>
      <c r="E24" s="108" t="s">
        <v>210</v>
      </c>
      <c r="F24" s="105"/>
      <c r="G24" s="105" t="s">
        <v>250</v>
      </c>
      <c r="H24" s="108" t="s">
        <v>251</v>
      </c>
      <c r="I24" s="108" t="s">
        <v>249</v>
      </c>
      <c r="J24" s="132"/>
      <c r="K24" s="105"/>
      <c r="L24" s="68"/>
      <c r="M24" s="68"/>
      <c r="N24" s="68"/>
    </row>
    <row r="25" spans="1:14" ht="12">
      <c r="A25" s="103" t="s">
        <v>252</v>
      </c>
      <c r="B25" s="109" t="s">
        <v>253</v>
      </c>
      <c r="C25" s="131"/>
      <c r="D25" s="105" t="s">
        <v>254</v>
      </c>
      <c r="E25" s="108" t="s">
        <v>173</v>
      </c>
      <c r="F25" s="105"/>
      <c r="G25" s="105" t="s">
        <v>255</v>
      </c>
      <c r="H25" s="108" t="s">
        <v>256</v>
      </c>
      <c r="I25" s="108" t="s">
        <v>251</v>
      </c>
      <c r="J25" s="132" t="s">
        <v>130</v>
      </c>
      <c r="K25" s="105"/>
      <c r="L25" s="68"/>
      <c r="M25" s="68"/>
      <c r="N25" s="68"/>
    </row>
    <row r="26" spans="1:14" ht="12">
      <c r="A26" s="103" t="s">
        <v>229</v>
      </c>
      <c r="B26" s="109" t="s">
        <v>254</v>
      </c>
      <c r="C26" s="131" t="s">
        <v>210</v>
      </c>
      <c r="D26" s="105" t="s">
        <v>257</v>
      </c>
      <c r="E26" s="108" t="s">
        <v>228</v>
      </c>
      <c r="F26" s="105" t="s">
        <v>205</v>
      </c>
      <c r="G26" s="105" t="s">
        <v>258</v>
      </c>
      <c r="H26" s="108" t="s">
        <v>259</v>
      </c>
      <c r="I26" s="108" t="s">
        <v>260</v>
      </c>
      <c r="J26" s="132" t="s">
        <v>139</v>
      </c>
      <c r="K26" s="105" t="s">
        <v>140</v>
      </c>
      <c r="L26" s="68"/>
      <c r="M26" s="68"/>
      <c r="N26" s="68"/>
    </row>
    <row r="27" spans="1:14" ht="12">
      <c r="A27" s="103" t="s">
        <v>87</v>
      </c>
      <c r="B27" s="109" t="s">
        <v>9</v>
      </c>
      <c r="C27" s="131" t="s">
        <v>261</v>
      </c>
      <c r="D27" s="105" t="s">
        <v>262</v>
      </c>
      <c r="E27" s="108" t="s">
        <v>145</v>
      </c>
      <c r="F27" s="105" t="s">
        <v>263</v>
      </c>
      <c r="G27" s="105" t="s">
        <v>264</v>
      </c>
      <c r="H27" s="108" t="s">
        <v>145</v>
      </c>
      <c r="I27" s="108" t="s">
        <v>9</v>
      </c>
      <c r="J27" s="132" t="s">
        <v>147</v>
      </c>
      <c r="K27" s="105" t="s">
        <v>9</v>
      </c>
      <c r="L27" s="68"/>
      <c r="M27" s="68"/>
      <c r="N27" s="68"/>
    </row>
    <row r="28" spans="1:14" ht="15">
      <c r="A28" s="103" t="s">
        <v>265</v>
      </c>
      <c r="B28" s="108" t="s">
        <v>266</v>
      </c>
      <c r="C28" s="131" t="s">
        <v>267</v>
      </c>
      <c r="D28" s="105" t="s">
        <v>268</v>
      </c>
      <c r="E28" s="108" t="s">
        <v>269</v>
      </c>
      <c r="F28" s="105" t="s">
        <v>270</v>
      </c>
      <c r="G28" s="105" t="s">
        <v>271</v>
      </c>
      <c r="H28" s="133" t="s">
        <v>272</v>
      </c>
      <c r="I28" s="108" t="s">
        <v>273</v>
      </c>
      <c r="J28" s="132" t="s">
        <v>157</v>
      </c>
      <c r="K28" s="105" t="s">
        <v>158</v>
      </c>
      <c r="L28" s="68"/>
      <c r="M28" s="68"/>
      <c r="N28" s="68"/>
    </row>
    <row r="29" spans="1:14" ht="15" thickBot="1">
      <c r="A29" s="112" t="s">
        <v>48</v>
      </c>
      <c r="B29" s="162" t="s">
        <v>274</v>
      </c>
      <c r="C29" s="96" t="s">
        <v>48</v>
      </c>
      <c r="D29" s="95" t="s">
        <v>246</v>
      </c>
      <c r="E29" s="40" t="s">
        <v>159</v>
      </c>
      <c r="F29" s="95" t="s">
        <v>52</v>
      </c>
      <c r="G29" s="95" t="s">
        <v>74</v>
      </c>
      <c r="H29" s="40" t="s">
        <v>74</v>
      </c>
      <c r="I29" s="162" t="s">
        <v>274</v>
      </c>
      <c r="J29" s="98" t="s">
        <v>165</v>
      </c>
      <c r="K29" s="95" t="s">
        <v>166</v>
      </c>
      <c r="L29" s="68"/>
      <c r="M29" s="68"/>
      <c r="N29" s="68"/>
    </row>
    <row r="30" spans="1:14" ht="12.75" thickTop="1">
      <c r="A30" s="68"/>
      <c r="B30" s="68"/>
      <c r="C30" s="68"/>
      <c r="D30" s="129"/>
      <c r="E30" s="68"/>
      <c r="F30" s="68"/>
      <c r="G30" s="68"/>
      <c r="H30" s="68"/>
      <c r="I30" s="68"/>
      <c r="J30" s="134"/>
      <c r="K30" s="68"/>
      <c r="L30" s="68"/>
      <c r="M30" s="68"/>
      <c r="N30" s="68"/>
    </row>
    <row r="31" spans="1:14" ht="12">
      <c r="A31" s="172">
        <f>D21</f>
        <v>200</v>
      </c>
      <c r="B31" s="175">
        <f>IF(AND(DATENTER!G4&gt;0,DATENTER!G8&gt;0),"ERROR",IF(DATENTER!G4&gt;0,G21*1000,IF(AND(DATENTER!G8&gt;0,DATENTER!F17&gt;0),MIN(DATENTER!F17,CHEMPROPS!I9*1000)*G21*1000,"ERRORS")))</f>
        <v>133.31032564878896</v>
      </c>
      <c r="C31" s="183">
        <f>C21*(B21/N10)</f>
        <v>0.1</v>
      </c>
      <c r="D31" s="175">
        <f>IF(ISBLANK(DATENTER!$M$48),(2*PI()*DATENTER!F48*I10*N10)/(H21*LN(2*D21/C31)),DATENTER!$M$48*(1000/60))</f>
        <v>83.33333333333334</v>
      </c>
      <c r="E31" s="171">
        <f>I21</f>
        <v>0.014473987627189688</v>
      </c>
      <c r="F31" s="171">
        <f>B21*C21</f>
        <v>400</v>
      </c>
      <c r="G31" s="175">
        <f>IF(DATENTER!E48="","ERROR",EXP((D31*DATENTER!E48)/(E31*F31)))</f>
        <v>3.241709413895994E+62</v>
      </c>
      <c r="H31" s="175">
        <f>IF(ISERROR(G31),((M21*B21)/(A21*B10))/(((M21*B21)/(D31*B10))+1),(((M21*B21)/(A21*B10))*EXP((D31*DATENTER!E48)/(E31*F31)))/(EXP((D31*DATENTER!E48)/(E31*F31))+((M21*B21)/(A21*B10))+((M21*B21)/(D31*B10))*(EXP((D31*DATENTER!E48)/(E31*F31))-1)))</f>
        <v>0.0011725802584103124</v>
      </c>
      <c r="I31" s="175">
        <f>H31*B31</f>
        <v>0.15631705609801985</v>
      </c>
      <c r="J31" s="184">
        <f>IF(CHEMPROPS!J9=0,"NA",CHEMPROPS!J9)</f>
        <v>7.8E-06</v>
      </c>
      <c r="K31" s="184">
        <f>IF(CHEMPROPS!K9=0,"NA",CHEMPROPS!K9)</f>
        <v>0.03</v>
      </c>
      <c r="L31" s="68"/>
      <c r="M31" s="68"/>
      <c r="N31" s="68"/>
    </row>
    <row r="32" spans="1:14" ht="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2">
      <c r="A33" s="197" t="s">
        <v>330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2">
      <c r="A34" s="68"/>
      <c r="B34" s="129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</sheetData>
  <sheetProtection password="CDDA" sheet="1" objects="1" scenarios="1"/>
  <printOptions horizontalCentered="1"/>
  <pageMargins left="0.5" right="0.5" top="0.65" bottom="0.65" header="0.5" footer="0.5"/>
  <pageSetup horizontalDpi="300" verticalDpi="300" orientation="landscape" scale="70" r:id="rId1"/>
  <headerFooter alignWithMargins="0">
    <oddHeader>&amp;CINTERMEDIATE CALCULATIONS SHEET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M36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3.00390625" style="6" bestFit="1" customWidth="1"/>
    <col min="2" max="2" width="13.57421875" style="6" customWidth="1"/>
    <col min="3" max="3" width="14.00390625" style="6" customWidth="1"/>
    <col min="4" max="4" width="12.57421875" style="6" customWidth="1"/>
    <col min="5" max="5" width="11.140625" style="6" customWidth="1"/>
    <col min="6" max="6" width="12.57421875" style="6" customWidth="1"/>
    <col min="7" max="7" width="9.140625" style="6" customWidth="1"/>
    <col min="8" max="8" width="14.7109375" style="6" customWidth="1"/>
    <col min="9" max="9" width="14.00390625" style="6" customWidth="1"/>
    <col min="10" max="16384" width="9.140625" style="6" customWidth="1"/>
  </cols>
  <sheetData>
    <row r="2" spans="2:8" ht="12">
      <c r="B2" s="18" t="s">
        <v>275</v>
      </c>
      <c r="C2" s="18"/>
      <c r="D2" s="18"/>
      <c r="E2" s="18"/>
      <c r="F2" s="18"/>
      <c r="H2" s="6" t="s">
        <v>276</v>
      </c>
    </row>
    <row r="4" spans="2:6" ht="12">
      <c r="B4" s="1"/>
      <c r="C4" s="1"/>
      <c r="D4" s="1"/>
      <c r="E4" s="2"/>
      <c r="F4" s="2"/>
    </row>
    <row r="5" spans="2:9" ht="12">
      <c r="B5" s="1"/>
      <c r="C5" s="1"/>
      <c r="D5" s="1"/>
      <c r="E5" s="1"/>
      <c r="H5" s="19" t="s">
        <v>277</v>
      </c>
      <c r="I5" s="19" t="s">
        <v>278</v>
      </c>
    </row>
    <row r="6" spans="2:9" ht="12">
      <c r="B6" s="2" t="s">
        <v>80</v>
      </c>
      <c r="C6" s="2" t="s">
        <v>80</v>
      </c>
      <c r="D6" s="1" t="s">
        <v>279</v>
      </c>
      <c r="E6" s="1" t="s">
        <v>124</v>
      </c>
      <c r="F6" s="2" t="s">
        <v>280</v>
      </c>
      <c r="H6" s="19" t="s">
        <v>281</v>
      </c>
      <c r="I6" s="19" t="s">
        <v>282</v>
      </c>
    </row>
    <row r="7" spans="2:9" ht="12">
      <c r="B7" s="2" t="s">
        <v>283</v>
      </c>
      <c r="C7" s="2" t="s">
        <v>283</v>
      </c>
      <c r="D7" s="3" t="s">
        <v>256</v>
      </c>
      <c r="E7" s="1" t="s">
        <v>129</v>
      </c>
      <c r="F7" s="2" t="s">
        <v>256</v>
      </c>
      <c r="H7" s="19" t="s">
        <v>254</v>
      </c>
      <c r="I7" s="19" t="s">
        <v>284</v>
      </c>
    </row>
    <row r="8" spans="2:9" ht="12">
      <c r="B8" s="2" t="s">
        <v>7</v>
      </c>
      <c r="C8" s="2" t="s">
        <v>7</v>
      </c>
      <c r="D8" s="1" t="s">
        <v>283</v>
      </c>
      <c r="E8" s="1" t="s">
        <v>138</v>
      </c>
      <c r="F8" s="1" t="s">
        <v>283</v>
      </c>
      <c r="H8" s="19" t="s">
        <v>285</v>
      </c>
      <c r="I8" s="19" t="s">
        <v>285</v>
      </c>
    </row>
    <row r="9" spans="2:9" ht="12">
      <c r="B9" s="2" t="s">
        <v>9</v>
      </c>
      <c r="C9" s="2" t="s">
        <v>9</v>
      </c>
      <c r="D9" s="2" t="s">
        <v>7</v>
      </c>
      <c r="E9" s="1" t="s">
        <v>146</v>
      </c>
      <c r="F9" s="2" t="s">
        <v>7</v>
      </c>
      <c r="H9" s="19" t="s">
        <v>286</v>
      </c>
      <c r="I9" s="19" t="s">
        <v>286</v>
      </c>
    </row>
    <row r="10" spans="2:9" ht="12">
      <c r="B10" s="1" t="s">
        <v>287</v>
      </c>
      <c r="C10" s="1" t="s">
        <v>288</v>
      </c>
      <c r="D10" s="2" t="s">
        <v>9</v>
      </c>
      <c r="E10" s="1" t="s">
        <v>156</v>
      </c>
      <c r="F10" s="2" t="s">
        <v>9</v>
      </c>
      <c r="H10" s="19" t="s">
        <v>287</v>
      </c>
      <c r="I10" s="19" t="s">
        <v>288</v>
      </c>
    </row>
    <row r="11" spans="2:9" ht="13.5" thickBot="1">
      <c r="B11" s="16" t="s">
        <v>13</v>
      </c>
      <c r="C11" s="16" t="s">
        <v>13</v>
      </c>
      <c r="D11" s="16" t="s">
        <v>13</v>
      </c>
      <c r="E11" s="16" t="s">
        <v>13</v>
      </c>
      <c r="F11" s="16" t="s">
        <v>13</v>
      </c>
      <c r="H11" s="7" t="s">
        <v>74</v>
      </c>
      <c r="I11" s="7" t="s">
        <v>74</v>
      </c>
    </row>
    <row r="12" ht="12.75" thickTop="1"/>
    <row r="13" spans="2:9" ht="12">
      <c r="B13" s="185">
        <f>IF(E13="ERROR","ERROR",IF(DATENTER!G4="","NA",IF(INTERCALCS!J31="NA","NA",(DATENTER!I57*DATENTER!E57*365)/(INTERCALCS!J31*DATENTER!H57*DATENTER!G57*INTERCALCS!I31))))</f>
        <v>2.3027592845820255</v>
      </c>
      <c r="C13" s="185">
        <f>IF(E13="ERROR","ERROR",IF(DATENTER!G4="","NA",IF(INTERCALCS!K31="NA","NA",(DATENTER!J57*DATENTER!F57*365)/(DATENTER!H57*DATENTER!G57*(1/INTERCALCS!K31)*INTERCALCS!I31*0.001))))</f>
        <v>200.14267839138628</v>
      </c>
      <c r="D13" s="185">
        <f>IF(E13="ERROR","ERROR",IF(DATENTER!G4="","NA",MIN(B13,C13)))</f>
        <v>2.3027592845820255</v>
      </c>
      <c r="E13" s="171">
        <f>IF(ISERROR(MATCH(DATENTER!E17,CAS_No,0)),"ERROR",CHEMPROPS!I9*1000)</f>
        <v>1790000</v>
      </c>
      <c r="F13" s="171">
        <f>IF(E13="ERROR","ERROR",IF(DATENTER!G4="","NA",IF(D13&gt;E13,"NOC",MIN(D13,E13))))</f>
        <v>2.3027592845820255</v>
      </c>
      <c r="H13" s="186" t="str">
        <f>IF(E13="ERROR","ERROR",IF(DATENTER!G8="","NA",IF(INTERCALCS!J31="NA","NA",(INTERCALCS!J31*DATENTER!H57*DATENTER!G57*INTERCALCS!I31)/(DATENTER!E57*365))))</f>
        <v>NA</v>
      </c>
      <c r="I13" s="186" t="str">
        <f>IF(E13="ERROR","ERROR",IF(DATENTER!G8="","NA",IF(INTERCALCS!K31="NA","NA",(DATENTER!H57*DATENTER!G57*(1/INTERCALCS!K31)*INTERCALCS!I31*0.001)/(DATENTER!F57*365))))</f>
        <v>NA</v>
      </c>
    </row>
    <row r="14" spans="2:13" ht="12.75">
      <c r="B14"/>
      <c r="C14"/>
      <c r="D14"/>
      <c r="E14"/>
      <c r="F14"/>
      <c r="G14"/>
      <c r="H14"/>
      <c r="I14"/>
      <c r="J14"/>
      <c r="K14"/>
      <c r="L14"/>
      <c r="M14"/>
    </row>
    <row r="15" spans="2:4" ht="12">
      <c r="B15" s="145" t="s">
        <v>326</v>
      </c>
      <c r="D15" s="145"/>
    </row>
    <row r="16" spans="2:6" ht="12">
      <c r="B16" s="201" t="str">
        <f>IF(E13="ERROR","MESSAGE: CAS No. not found.",IF(DATENTER!G4&gt;0,"MESSAGE: The values of Csource and Cbuilding on the INTERCALCS worksheet are based on unity and do not represent actual values.",""))</f>
        <v>MESSAGE: The values of Csource and Cbuilding on the INTERCALCS worksheet are based on unity and do not represent actual values.</v>
      </c>
      <c r="C16" s="35"/>
      <c r="D16" s="35"/>
      <c r="E16" s="35"/>
      <c r="F16" s="35"/>
    </row>
    <row r="17" spans="2:6" ht="12.75">
      <c r="B17" s="189">
        <f>IF(AND(ISNUMBER(D13),D13&gt;E13),"NOC = NOT OF CONCERN. The groundwater conc. at or above the solubility limit is not of concern for this pathway.",IF(DATENTER!F17&gt;CHEMPROPS!I9*1000,"MESSAGE: Groundwater concentration &gt;= solubility limit (S). Risk/HQ calculated at S.",""))</f>
      </c>
      <c r="C17" s="35"/>
      <c r="D17" s="35"/>
      <c r="E17" s="35"/>
      <c r="F17" s="35"/>
    </row>
    <row r="18" spans="2:6" ht="12.75">
      <c r="B18" s="189">
        <f>IF(E13="ERROR","",IF(OR(VLOOKUP(DATENTER!E17,Chemical_Data,15,FALSE)="X",VLOOKUP(DATENTER!E17,Chemical_Data,16,FALSE)="X"),"MESSAGE: Risk/HQ or risk-based groundwater concentration is based on a route-to-route extrapolation.",""))</f>
      </c>
      <c r="C18" s="35"/>
      <c r="D18" s="202"/>
      <c r="E18" s="202"/>
      <c r="F18" s="35"/>
    </row>
    <row r="19" spans="2:6" ht="12.75">
      <c r="B19" s="202"/>
      <c r="C19" s="203">
        <f>IF(AND(DATENTER!K28="A",DATENTER!H28&gt;INTERCALCS!J10),"",IF(AND(DATENTER!K28="B",DATENTER!H28+DATENTER!I28&gt;INTERCALCS!J10),"",IF(AND(DATENTER!K28="C",DATENTER!H28+DATENTER!I28+DATENTER!J28&gt;INTERCALCS!J10),"","ERROR: Combined thickness of soil strata above water table must be &gt; capillary fringe thickness.")))</f>
      </c>
      <c r="D19" s="202"/>
      <c r="E19" s="202"/>
      <c r="F19" s="202"/>
    </row>
    <row r="20" spans="2:6" ht="12.75">
      <c r="B20" s="202"/>
      <c r="C20" s="204">
        <f>IF(AND(DATENTER!K28="A",DATENTER!G28-INTERCALCS!J10&lt;DATENTER!F28),"ERROR: Enter correct soil stratum directly above water table, or depth to water table minus capillary fringe thickness must be &gt; depth to bottom of floor.",IF(AND(DATENTER!K28="B",DATENTER!G28-INTERCALCS!J10&lt;DATENTER!H28),"ERROR: Enter correct soil stratum directly above water table, or depth to water table minus capillary fringe thickness must be &gt; stratum A thickness.",IF(AND(DATENTER!K28="C",DATENTER!G28-INTERCALCS!J10&lt;DATENTER!H28+DATENTER!I28),"ERROR: Enter correct soil stratum directly above water table, or depth to water table minus capillary fringe thickness must be &gt; combined thickness of strata A+B.","")))</f>
      </c>
      <c r="D20" s="35"/>
      <c r="E20" s="35"/>
      <c r="F20" s="35"/>
    </row>
    <row r="21" spans="1:6" ht="12.75">
      <c r="A21" s="198" t="s">
        <v>331</v>
      </c>
      <c r="B21" s="204"/>
      <c r="C21" s="204">
        <f>IF(AND(DATENTER!K28="A",DATENTER!H28=DATENTER!G28),"",IF(AND(DATENTER!K28="B",DATENTER!H28+DATENTER!I28=DATENTER!G28),"",IF(AND(DATENTER!K28="C",DATENTER!H28+DATENTER!I28+DATENTER!J28=DATENTER!G28),"","ERROR: Combined thickness of all soil strata must be = depth below grade to water table, or enter correct soil stratum directly above water table.")))</f>
      </c>
      <c r="D21" s="35"/>
      <c r="E21" s="35"/>
      <c r="F21" s="35"/>
    </row>
    <row r="22" spans="1:6" ht="12.75">
      <c r="A22" s="199" t="s">
        <v>332</v>
      </c>
      <c r="B22" s="204"/>
      <c r="C22" s="204">
        <f>IF(DATENTER!H28&gt;=DATENTER!F28,"","ERROR: Thickness of soil stratum A must be &gt;= depth below grade to bottom of floor.")</f>
      </c>
      <c r="D22" s="35"/>
      <c r="E22" s="35"/>
      <c r="F22" s="35"/>
    </row>
    <row r="23" spans="1:6" ht="12.75">
      <c r="A23" s="200" t="s">
        <v>333</v>
      </c>
      <c r="B23" s="202"/>
      <c r="C23" s="204">
        <f>IF(AND(DATENTER!M28="",DATENTER!O28&gt;0),"",IF(OR(ISERROR(MATCH(DATENTER!L28,VLOOKUP!A3:A14,0)),ISERROR(MATCH(DATENTER!M28,VLOOKUP!A3:A14,0))),"ERROR: Enter correct SCS soil type directly above water table, and/or for soil stratum A.",""))</f>
      </c>
      <c r="D23" s="35"/>
      <c r="E23" s="35"/>
      <c r="F23" s="35"/>
    </row>
    <row r="24" spans="2:6" ht="12.75">
      <c r="B24" s="202"/>
      <c r="C24" s="204">
        <f>IF(OR(ISERROR(B13),ISERROR(C13),ISERROR(H13),ISERROR(I13),ISERROR(INTERCALCS!H31),ISERROR(INTERCALCS!I31)),"ERROR: Data entry/entries are missing, or entered data is out of range.","")</f>
      </c>
      <c r="D24" s="35"/>
      <c r="E24" s="35"/>
      <c r="F24" s="35"/>
    </row>
    <row r="25" spans="2:6" ht="12.75">
      <c r="B25" s="202"/>
      <c r="C25" s="205">
        <f>IF(OR(B13=0,C13=0,H13=0,I13=0),"ERROR: Data entry/entries are missing, or entered data is out of range.","")</f>
      </c>
      <c r="D25" s="35"/>
      <c r="E25" s="35"/>
      <c r="F25" s="35"/>
    </row>
    <row r="26" spans="2:6" ht="12.75">
      <c r="B26" s="202"/>
      <c r="C26" s="204">
        <f>IF(OR(DATENTER!E28="",DATENTER!F28="",DATENTER!G28="",DATENTER!H28="",DATENTER!K28="",DATENTER!L28="",DATENTER!F38="",DATENTER!G38="",DATENTER!H38="",DATENTER!E48="",DATENTER!F48="",DATENTER!G48="",DATENTER!H48="",DATENTER!I48="",DATENTER!J48="",DATENTER!K48="",DATENTER!G57="",DATENTER!H57=""),"ERROR: Data entry/entries missing, or entered data is out of range.","")</f>
      </c>
      <c r="D26" s="35"/>
      <c r="E26" s="35"/>
      <c r="F26" s="35"/>
    </row>
    <row r="27" spans="2:6" ht="12.75">
      <c r="B27" s="202"/>
      <c r="C27" s="204">
        <f>IF(INTERCALCS!I10="ERROR","ERROR: Enter either an SCS soil type for stratum A OR a user-defined permeability.","")</f>
      </c>
      <c r="D27" s="35"/>
      <c r="E27" s="35"/>
      <c r="F27" s="35"/>
    </row>
    <row r="28" spans="2:6" ht="12.75">
      <c r="B28" s="202"/>
      <c r="C28" s="204">
        <f>IF(INTERCALCS!L10&lt;0,"ERROR: Capillary zone soil water-filled porosity &gt; soil total porosity at top of water table; change applicable soil total porosity value.","")</f>
      </c>
      <c r="D28" s="35"/>
      <c r="E28" s="35"/>
      <c r="F28" s="35"/>
    </row>
    <row r="29" spans="2:6" ht="12.75">
      <c r="B29" s="35"/>
      <c r="C29" s="204">
        <f>IF(AND(DATENTER!K28="A",DATENTER!H28&gt;INTERCALCS!J10,DATENTER!G28-INTERCALCS!J10&gt;DATENTER!F28),"",IF(AND(DATENTER!K28="B",DATENTER!H28+DATENTER!I28&gt;INTERCALCS!J10,DATENTER!G28-INTERCALCS!J10&gt;DATENTER!H28),"",IF(AND(DATENTER!K28="C",DATENTER!H28+DATENTER!I28+DATENTER!J28&gt;INTERCALCS!J10,DATENTER!G28-INTERCALCS!J10&gt;DATENTER!H28+DATENTER!I28),"","Calculated capillary fringe thickness (cm) is:")))</f>
      </c>
      <c r="D29" s="35"/>
      <c r="E29" s="35"/>
      <c r="F29" s="206">
        <f>IF(C29="Calculated capillary fringe thickness (cm) is:",INTERCALCS!J10,"")</f>
      </c>
    </row>
    <row r="30" spans="1:6" ht="12.75">
      <c r="A30" s="197" t="s">
        <v>330</v>
      </c>
      <c r="B30" s="35"/>
      <c r="C30" s="202"/>
      <c r="D30" s="35"/>
      <c r="E30" s="35"/>
      <c r="F30" s="35"/>
    </row>
    <row r="31" spans="2:6" ht="12">
      <c r="B31" s="35"/>
      <c r="C31" s="35"/>
      <c r="D31" s="35"/>
      <c r="E31" s="35"/>
      <c r="F31" s="35"/>
    </row>
    <row r="32" spans="1:13" ht="129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</row>
    <row r="33" spans="1:13" ht="15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</row>
    <row r="34" spans="1:13" ht="15" customHeight="1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</row>
    <row r="35" spans="1:13" ht="13.5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</row>
    <row r="36" spans="1:13" ht="1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</sheetData>
  <sheetProtection password="CDDA" sheet="1" objects="1" scenarios="1"/>
  <mergeCells count="5">
    <mergeCell ref="A32:M32"/>
    <mergeCell ref="A33:M33"/>
    <mergeCell ref="A34:M34"/>
    <mergeCell ref="A35:M35"/>
    <mergeCell ref="A36:M36"/>
  </mergeCells>
  <printOptions horizontalCentered="1"/>
  <pageMargins left="0.5" right="0.5" top="0.65" bottom="0.65" header="0.5" footer="0.5"/>
  <pageSetup horizontalDpi="300" verticalDpi="300" orientation="landscape" scale="70" r:id="rId1"/>
  <headerFooter alignWithMargins="0">
    <oddHeader>&amp;CRESULTS SHEET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284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4.421875" style="6" customWidth="1"/>
    <col min="2" max="2" width="27.140625" style="6" customWidth="1"/>
    <col min="3" max="3" width="11.57421875" style="6" customWidth="1"/>
    <col min="4" max="4" width="11.8515625" style="6" customWidth="1"/>
    <col min="5" max="5" width="12.28125" style="6" customWidth="1"/>
    <col min="6" max="6" width="12.7109375" style="6" customWidth="1"/>
    <col min="7" max="7" width="12.8515625" style="6" customWidth="1"/>
    <col min="8" max="8" width="25.421875" style="6" customWidth="1"/>
    <col min="9" max="9" width="12.8515625" style="6" customWidth="1"/>
    <col min="10" max="10" width="12.140625" style="6" bestFit="1" customWidth="1"/>
    <col min="11" max="11" width="12.8515625" style="6" customWidth="1"/>
    <col min="12" max="12" width="14.8515625" style="6" customWidth="1"/>
    <col min="13" max="13" width="9.421875" style="6" customWidth="1"/>
    <col min="14" max="14" width="10.8515625" style="6" customWidth="1"/>
    <col min="15" max="16" width="12.00390625" style="6" bestFit="1" customWidth="1"/>
    <col min="17" max="16384" width="9.140625" style="6" customWidth="1"/>
  </cols>
  <sheetData>
    <row r="1" spans="1:14" ht="12" customHeight="1">
      <c r="A1" s="64" t="s">
        <v>327</v>
      </c>
      <c r="B1" s="65"/>
      <c r="C1" s="66"/>
      <c r="D1" s="67"/>
      <c r="E1" s="65"/>
      <c r="F1" s="67"/>
      <c r="G1" s="67"/>
      <c r="H1" s="66"/>
      <c r="I1" s="241" t="s">
        <v>334</v>
      </c>
      <c r="J1" s="243"/>
      <c r="K1" s="243"/>
      <c r="L1" s="242"/>
      <c r="M1" s="68"/>
      <c r="N1" s="68"/>
    </row>
    <row r="2" spans="1:14" ht="15.75" thickBot="1">
      <c r="A2" s="69" t="s">
        <v>289</v>
      </c>
      <c r="B2" s="146" t="s">
        <v>290</v>
      </c>
      <c r="C2" s="71" t="s">
        <v>344</v>
      </c>
      <c r="D2" s="72" t="s">
        <v>291</v>
      </c>
      <c r="E2" s="70" t="s">
        <v>292</v>
      </c>
      <c r="F2" s="72" t="s">
        <v>345</v>
      </c>
      <c r="G2" s="73" t="s">
        <v>293</v>
      </c>
      <c r="H2" s="113" t="s">
        <v>294</v>
      </c>
      <c r="I2" s="70" t="s">
        <v>335</v>
      </c>
      <c r="J2" s="244" t="s">
        <v>343</v>
      </c>
      <c r="K2" s="248" t="s">
        <v>358</v>
      </c>
      <c r="L2" s="249"/>
      <c r="M2" s="68"/>
      <c r="N2" s="68"/>
    </row>
    <row r="3" spans="1:14" ht="12.75" thickTop="1">
      <c r="A3" s="74" t="s">
        <v>53</v>
      </c>
      <c r="B3" s="75">
        <v>0.61</v>
      </c>
      <c r="C3" s="190">
        <v>0.01496</v>
      </c>
      <c r="D3" s="76">
        <v>1.253</v>
      </c>
      <c r="E3" s="191">
        <v>0.2019</v>
      </c>
      <c r="F3" s="76">
        <v>0.459</v>
      </c>
      <c r="G3" s="76">
        <v>0.098</v>
      </c>
      <c r="H3" s="191">
        <v>0.0092</v>
      </c>
      <c r="I3" s="75">
        <v>1.43</v>
      </c>
      <c r="J3" s="76">
        <v>0.215</v>
      </c>
      <c r="K3" s="81" t="s">
        <v>346</v>
      </c>
      <c r="L3" s="245"/>
      <c r="M3" s="68"/>
      <c r="N3" s="68"/>
    </row>
    <row r="4" spans="1:14" ht="12">
      <c r="A4" s="74" t="s">
        <v>295</v>
      </c>
      <c r="B4" s="75">
        <v>0.34</v>
      </c>
      <c r="C4" s="190">
        <v>0.01581</v>
      </c>
      <c r="D4" s="76">
        <v>1.416</v>
      </c>
      <c r="E4" s="191">
        <v>0.2938</v>
      </c>
      <c r="F4" s="76">
        <v>0.442</v>
      </c>
      <c r="G4" s="76">
        <v>0.079</v>
      </c>
      <c r="H4" s="76">
        <v>0.016</v>
      </c>
      <c r="I4" s="75">
        <v>1.48</v>
      </c>
      <c r="J4" s="76">
        <v>0.168</v>
      </c>
      <c r="K4" s="81" t="s">
        <v>347</v>
      </c>
      <c r="L4" s="245"/>
      <c r="M4" s="68"/>
      <c r="N4" s="68"/>
    </row>
    <row r="5" spans="1:14" ht="12">
      <c r="A5" s="74" t="s">
        <v>55</v>
      </c>
      <c r="B5" s="75">
        <v>0.5</v>
      </c>
      <c r="C5" s="190">
        <v>0.01112</v>
      </c>
      <c r="D5" s="76">
        <v>1.472</v>
      </c>
      <c r="E5" s="191">
        <v>0.3207</v>
      </c>
      <c r="F5" s="76">
        <v>0.399</v>
      </c>
      <c r="G5" s="76">
        <v>0.061</v>
      </c>
      <c r="H5" s="76">
        <v>0.02</v>
      </c>
      <c r="I5" s="75">
        <v>1.59</v>
      </c>
      <c r="J5" s="76">
        <v>0.148</v>
      </c>
      <c r="K5" s="81" t="s">
        <v>348</v>
      </c>
      <c r="L5" s="245"/>
      <c r="M5" s="68"/>
      <c r="N5" s="68"/>
    </row>
    <row r="6" spans="1:14" ht="12">
      <c r="A6" s="74" t="s">
        <v>296</v>
      </c>
      <c r="B6" s="75">
        <v>4.38</v>
      </c>
      <c r="C6" s="190">
        <v>0.03475</v>
      </c>
      <c r="D6" s="76">
        <v>1.746</v>
      </c>
      <c r="E6" s="191">
        <v>0.4273</v>
      </c>
      <c r="F6" s="76">
        <v>0.39</v>
      </c>
      <c r="G6" s="76">
        <v>0.049</v>
      </c>
      <c r="H6" s="76">
        <v>0.04</v>
      </c>
      <c r="I6" s="75">
        <v>1.62</v>
      </c>
      <c r="J6" s="76">
        <v>0.076</v>
      </c>
      <c r="K6" s="81" t="s">
        <v>349</v>
      </c>
      <c r="L6" s="245"/>
      <c r="M6" s="68"/>
      <c r="N6" s="68"/>
    </row>
    <row r="7" spans="1:14" ht="12">
      <c r="A7" s="74" t="s">
        <v>156</v>
      </c>
      <c r="B7" s="75">
        <v>26.78</v>
      </c>
      <c r="C7" s="190">
        <v>0.03524</v>
      </c>
      <c r="D7" s="76">
        <v>3.177</v>
      </c>
      <c r="E7" s="191">
        <v>0.6852</v>
      </c>
      <c r="F7" s="76">
        <v>0.375</v>
      </c>
      <c r="G7" s="76">
        <v>0.053</v>
      </c>
      <c r="H7" s="76">
        <v>0.044</v>
      </c>
      <c r="I7" s="75">
        <v>1.66</v>
      </c>
      <c r="J7" s="76">
        <v>0.054</v>
      </c>
      <c r="K7" s="81" t="s">
        <v>350</v>
      </c>
      <c r="L7" s="245"/>
      <c r="M7" s="68"/>
      <c r="N7" s="68"/>
    </row>
    <row r="8" spans="1:14" ht="12">
      <c r="A8" s="74" t="s">
        <v>54</v>
      </c>
      <c r="B8" s="75">
        <v>0.47</v>
      </c>
      <c r="C8" s="190">
        <v>0.03342</v>
      </c>
      <c r="D8" s="76">
        <v>1.208</v>
      </c>
      <c r="E8" s="191">
        <v>0.1722</v>
      </c>
      <c r="F8" s="76">
        <v>0.385</v>
      </c>
      <c r="G8" s="76">
        <v>0.117</v>
      </c>
      <c r="H8" s="76">
        <v>0.025</v>
      </c>
      <c r="I8" s="75">
        <v>1.63</v>
      </c>
      <c r="J8" s="76">
        <v>0.197</v>
      </c>
      <c r="K8" s="81" t="s">
        <v>351</v>
      </c>
      <c r="L8" s="245"/>
      <c r="M8" s="68"/>
      <c r="N8" s="68"/>
    </row>
    <row r="9" spans="1:14" ht="12">
      <c r="A9" s="74" t="s">
        <v>297</v>
      </c>
      <c r="B9" s="75">
        <v>0.55</v>
      </c>
      <c r="C9" s="190">
        <v>0.02109</v>
      </c>
      <c r="D9" s="76">
        <v>1.33</v>
      </c>
      <c r="E9" s="191">
        <v>0.2481</v>
      </c>
      <c r="F9" s="76">
        <v>0.384</v>
      </c>
      <c r="G9" s="76">
        <v>0.063</v>
      </c>
      <c r="H9" s="76">
        <v>0.029</v>
      </c>
      <c r="I9" s="75">
        <v>1.63</v>
      </c>
      <c r="J9" s="76">
        <v>0.146</v>
      </c>
      <c r="K9" s="81" t="s">
        <v>352</v>
      </c>
      <c r="L9" s="245"/>
      <c r="M9" s="68"/>
      <c r="N9" s="68"/>
    </row>
    <row r="10" spans="1:14" ht="12">
      <c r="A10" s="74" t="s">
        <v>298</v>
      </c>
      <c r="B10" s="75">
        <v>1.82</v>
      </c>
      <c r="C10" s="190">
        <v>0.00658</v>
      </c>
      <c r="D10" s="76">
        <v>1.679</v>
      </c>
      <c r="E10" s="191">
        <v>0.4044</v>
      </c>
      <c r="F10" s="76">
        <v>0.489</v>
      </c>
      <c r="G10" s="76">
        <v>0.05</v>
      </c>
      <c r="H10" s="191">
        <v>0.0046</v>
      </c>
      <c r="I10" s="75">
        <v>1.35</v>
      </c>
      <c r="J10" s="76">
        <v>0.167</v>
      </c>
      <c r="K10" s="81" t="s">
        <v>353</v>
      </c>
      <c r="L10" s="245"/>
      <c r="M10" s="68"/>
      <c r="N10" s="68"/>
    </row>
    <row r="11" spans="1:14" ht="12">
      <c r="A11" s="77" t="s">
        <v>299</v>
      </c>
      <c r="B11" s="78">
        <v>0.4</v>
      </c>
      <c r="C11" s="192">
        <v>0.01622</v>
      </c>
      <c r="D11" s="79">
        <v>1.321</v>
      </c>
      <c r="E11" s="191">
        <v>0.243</v>
      </c>
      <c r="F11" s="79">
        <v>0.481</v>
      </c>
      <c r="G11" s="79">
        <v>0.111</v>
      </c>
      <c r="H11" s="191">
        <v>0.0039</v>
      </c>
      <c r="I11" s="75">
        <v>1.38</v>
      </c>
      <c r="J11" s="79">
        <v>0.216</v>
      </c>
      <c r="K11" s="81" t="s">
        <v>354</v>
      </c>
      <c r="L11" s="245"/>
      <c r="M11" s="68"/>
      <c r="N11" s="68"/>
    </row>
    <row r="12" spans="1:14" ht="12">
      <c r="A12" s="80" t="s">
        <v>300</v>
      </c>
      <c r="B12" s="75">
        <v>0.46</v>
      </c>
      <c r="C12" s="190">
        <v>0.00839</v>
      </c>
      <c r="D12" s="76">
        <v>1.521</v>
      </c>
      <c r="E12" s="191">
        <v>0.3425</v>
      </c>
      <c r="F12" s="76">
        <v>0.482</v>
      </c>
      <c r="G12" s="76">
        <v>0.09</v>
      </c>
      <c r="H12" s="191">
        <v>0.0056</v>
      </c>
      <c r="I12" s="75">
        <v>1.37</v>
      </c>
      <c r="J12" s="76">
        <v>0.198</v>
      </c>
      <c r="K12" s="81" t="s">
        <v>355</v>
      </c>
      <c r="L12" s="245"/>
      <c r="M12" s="68"/>
      <c r="N12" s="68"/>
    </row>
    <row r="13" spans="1:14" ht="12">
      <c r="A13" s="80" t="s">
        <v>301</v>
      </c>
      <c r="B13" s="75">
        <v>0.76</v>
      </c>
      <c r="C13" s="190">
        <v>0.00506</v>
      </c>
      <c r="D13" s="76">
        <v>1.663</v>
      </c>
      <c r="E13" s="191">
        <v>0.3987</v>
      </c>
      <c r="F13" s="76">
        <v>0.439</v>
      </c>
      <c r="G13" s="76">
        <v>0.065</v>
      </c>
      <c r="H13" s="76">
        <v>0.011</v>
      </c>
      <c r="I13" s="75">
        <v>1.49</v>
      </c>
      <c r="J13" s="76">
        <v>0.18</v>
      </c>
      <c r="K13" s="81" t="s">
        <v>356</v>
      </c>
      <c r="L13" s="245"/>
      <c r="M13" s="68"/>
      <c r="N13" s="68"/>
    </row>
    <row r="14" spans="1:14" ht="12.75" thickBot="1">
      <c r="A14" s="82" t="s">
        <v>302</v>
      </c>
      <c r="B14" s="84">
        <v>1.6</v>
      </c>
      <c r="C14" s="193">
        <v>0.02667</v>
      </c>
      <c r="D14" s="83">
        <v>1.449</v>
      </c>
      <c r="E14" s="194">
        <v>0.3099</v>
      </c>
      <c r="F14" s="83">
        <v>0.387</v>
      </c>
      <c r="G14" s="83">
        <v>0.039</v>
      </c>
      <c r="H14" s="83">
        <v>0.03</v>
      </c>
      <c r="I14" s="84">
        <v>1.62</v>
      </c>
      <c r="J14" s="83">
        <v>0.103</v>
      </c>
      <c r="K14" s="246" t="s">
        <v>357</v>
      </c>
      <c r="L14" s="247"/>
      <c r="M14" s="68"/>
      <c r="N14" s="68"/>
    </row>
    <row r="15" spans="1:14" ht="1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2.75" thickBo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6" ht="12.75">
      <c r="A17" s="11" t="s">
        <v>386</v>
      </c>
      <c r="B17" s="12"/>
      <c r="C17" s="85"/>
      <c r="D17" s="13"/>
      <c r="E17" s="13"/>
      <c r="F17" s="85"/>
      <c r="G17" s="13"/>
      <c r="H17" s="85"/>
      <c r="I17" s="85"/>
      <c r="J17" s="86"/>
      <c r="K17" s="86"/>
      <c r="L17" s="87"/>
      <c r="M17" s="88"/>
      <c r="N17" s="88"/>
      <c r="O17" s="232"/>
      <c r="P17" s="233"/>
    </row>
    <row r="18" spans="1:16" ht="12.75">
      <c r="A18" s="17"/>
      <c r="B18" s="89"/>
      <c r="C18" s="90" t="s">
        <v>123</v>
      </c>
      <c r="D18" s="90"/>
      <c r="E18" s="90"/>
      <c r="F18" s="90" t="s">
        <v>124</v>
      </c>
      <c r="G18" s="90"/>
      <c r="H18" s="90" t="s">
        <v>121</v>
      </c>
      <c r="I18" s="39" t="s">
        <v>121</v>
      </c>
      <c r="J18" s="91"/>
      <c r="K18" s="91"/>
      <c r="L18" s="92" t="s">
        <v>122</v>
      </c>
      <c r="M18" s="93"/>
      <c r="N18" s="93"/>
      <c r="O18" s="234"/>
      <c r="P18" s="235"/>
    </row>
    <row r="19" spans="1:16" ht="12.75">
      <c r="A19" s="17"/>
      <c r="B19" s="39"/>
      <c r="C19" s="90" t="s">
        <v>128</v>
      </c>
      <c r="D19" s="90"/>
      <c r="E19" s="90"/>
      <c r="F19" s="90" t="s">
        <v>129</v>
      </c>
      <c r="G19" s="90"/>
      <c r="H19" s="90" t="s">
        <v>125</v>
      </c>
      <c r="I19" s="39" t="s">
        <v>125</v>
      </c>
      <c r="J19" s="91" t="s">
        <v>127</v>
      </c>
      <c r="K19" s="91"/>
      <c r="L19" s="92" t="s">
        <v>126</v>
      </c>
      <c r="M19" s="93" t="s">
        <v>130</v>
      </c>
      <c r="N19" s="93"/>
      <c r="O19" s="234"/>
      <c r="P19" s="235"/>
    </row>
    <row r="20" spans="1:16" ht="12.75">
      <c r="A20" s="17"/>
      <c r="B20" s="39"/>
      <c r="C20" s="90" t="s">
        <v>137</v>
      </c>
      <c r="D20" s="90" t="s">
        <v>131</v>
      </c>
      <c r="E20" s="90" t="s">
        <v>131</v>
      </c>
      <c r="F20" s="90" t="s">
        <v>138</v>
      </c>
      <c r="G20" s="90" t="s">
        <v>121</v>
      </c>
      <c r="H20" s="90" t="s">
        <v>132</v>
      </c>
      <c r="I20" s="39" t="s">
        <v>133</v>
      </c>
      <c r="J20" s="91" t="s">
        <v>135</v>
      </c>
      <c r="K20" s="91" t="s">
        <v>136</v>
      </c>
      <c r="L20" s="92" t="s">
        <v>134</v>
      </c>
      <c r="M20" s="93" t="s">
        <v>139</v>
      </c>
      <c r="N20" s="93" t="s">
        <v>140</v>
      </c>
      <c r="O20" s="234"/>
      <c r="P20" s="235"/>
    </row>
    <row r="21" spans="1:16" ht="12.75">
      <c r="A21" s="17"/>
      <c r="B21" s="39"/>
      <c r="C21" s="90" t="s">
        <v>145</v>
      </c>
      <c r="D21" s="90" t="s">
        <v>141</v>
      </c>
      <c r="E21" s="90" t="s">
        <v>142</v>
      </c>
      <c r="F21" s="90" t="s">
        <v>146</v>
      </c>
      <c r="G21" s="90" t="s">
        <v>125</v>
      </c>
      <c r="H21" s="90" t="s">
        <v>31</v>
      </c>
      <c r="I21" s="39" t="s">
        <v>31</v>
      </c>
      <c r="J21" s="91" t="s">
        <v>144</v>
      </c>
      <c r="K21" s="91" t="s">
        <v>31</v>
      </c>
      <c r="L21" s="92" t="s">
        <v>143</v>
      </c>
      <c r="M21" s="93" t="s">
        <v>147</v>
      </c>
      <c r="N21" s="93" t="s">
        <v>9</v>
      </c>
      <c r="O21" s="236"/>
      <c r="P21" s="237"/>
    </row>
    <row r="22" spans="1:16" ht="13.5">
      <c r="A22" s="17"/>
      <c r="B22" s="39"/>
      <c r="C22" s="90" t="s">
        <v>155</v>
      </c>
      <c r="D22" s="90" t="s">
        <v>148</v>
      </c>
      <c r="E22" s="90" t="s">
        <v>149</v>
      </c>
      <c r="F22" s="90" t="s">
        <v>156</v>
      </c>
      <c r="G22" s="90" t="s">
        <v>303</v>
      </c>
      <c r="H22" s="90" t="s">
        <v>150</v>
      </c>
      <c r="I22" s="90" t="s">
        <v>151</v>
      </c>
      <c r="J22" s="91" t="s">
        <v>304</v>
      </c>
      <c r="K22" s="91" t="s">
        <v>305</v>
      </c>
      <c r="L22" s="94" t="s">
        <v>306</v>
      </c>
      <c r="M22" s="93" t="s">
        <v>157</v>
      </c>
      <c r="N22" s="93" t="s">
        <v>158</v>
      </c>
      <c r="O22" s="236"/>
      <c r="P22" s="237"/>
    </row>
    <row r="23" spans="1:16" ht="15" thickBot="1">
      <c r="A23" s="14" t="s">
        <v>8</v>
      </c>
      <c r="B23" s="40" t="s">
        <v>6</v>
      </c>
      <c r="C23" s="95" t="s">
        <v>163</v>
      </c>
      <c r="D23" s="95" t="s">
        <v>159</v>
      </c>
      <c r="E23" s="95" t="s">
        <v>159</v>
      </c>
      <c r="F23" s="95" t="s">
        <v>164</v>
      </c>
      <c r="G23" s="95" t="s">
        <v>74</v>
      </c>
      <c r="H23" s="95" t="s">
        <v>160</v>
      </c>
      <c r="I23" s="95" t="s">
        <v>47</v>
      </c>
      <c r="J23" s="96" t="s">
        <v>162</v>
      </c>
      <c r="K23" s="96" t="s">
        <v>162</v>
      </c>
      <c r="L23" s="97" t="s">
        <v>161</v>
      </c>
      <c r="M23" s="98" t="s">
        <v>165</v>
      </c>
      <c r="N23" s="98" t="s">
        <v>166</v>
      </c>
      <c r="O23" s="238"/>
      <c r="P23" s="239"/>
    </row>
    <row r="24" spans="1:16" ht="12.75" thickTop="1">
      <c r="A24" s="17"/>
      <c r="B24" s="39"/>
      <c r="C24" s="90"/>
      <c r="D24" s="90"/>
      <c r="E24" s="90"/>
      <c r="F24" s="90"/>
      <c r="G24" s="90"/>
      <c r="H24" s="90"/>
      <c r="I24" s="90"/>
      <c r="J24" s="91"/>
      <c r="K24" s="91"/>
      <c r="L24" s="92"/>
      <c r="M24" s="93"/>
      <c r="N24" s="93"/>
      <c r="O24" s="9"/>
      <c r="P24" s="52"/>
    </row>
    <row r="25" spans="1:16" ht="12.75">
      <c r="A25" s="236">
        <v>56235</v>
      </c>
      <c r="B25" s="234" t="s">
        <v>307</v>
      </c>
      <c r="C25" s="253">
        <v>43.89</v>
      </c>
      <c r="D25" s="254">
        <v>0.057143</v>
      </c>
      <c r="E25" s="254">
        <v>9.7849E-06</v>
      </c>
      <c r="F25" s="254">
        <v>793</v>
      </c>
      <c r="G25" s="253">
        <v>1.1283729</v>
      </c>
      <c r="H25" s="255">
        <v>0.0276</v>
      </c>
      <c r="I25" s="100">
        <v>25</v>
      </c>
      <c r="J25" s="258">
        <v>349.95</v>
      </c>
      <c r="K25" s="262">
        <v>556.35</v>
      </c>
      <c r="L25" s="261">
        <v>7127</v>
      </c>
      <c r="M25" s="253">
        <v>6E-06</v>
      </c>
      <c r="N25" s="253">
        <v>0.1</v>
      </c>
      <c r="O25" s="240"/>
      <c r="P25" s="48"/>
    </row>
    <row r="26" spans="1:16" ht="12.75">
      <c r="A26" s="236">
        <v>67641</v>
      </c>
      <c r="B26" s="234" t="s">
        <v>361</v>
      </c>
      <c r="C26" s="253">
        <v>2.364</v>
      </c>
      <c r="D26" s="254">
        <v>0.10592</v>
      </c>
      <c r="E26" s="254">
        <v>1.1471E-05</v>
      </c>
      <c r="F26" s="254">
        <v>1000000</v>
      </c>
      <c r="G26" s="253">
        <v>0.0014309</v>
      </c>
      <c r="H26" s="255">
        <v>3.5E-05</v>
      </c>
      <c r="I26" s="100">
        <v>25</v>
      </c>
      <c r="J26" s="258">
        <v>328.65</v>
      </c>
      <c r="K26" s="262">
        <v>508.1</v>
      </c>
      <c r="L26" s="261">
        <v>6955</v>
      </c>
      <c r="M26" s="270">
        <v>0</v>
      </c>
      <c r="N26" s="270">
        <v>0</v>
      </c>
      <c r="O26" s="240"/>
      <c r="P26" s="48"/>
    </row>
    <row r="27" spans="1:16" ht="12.75">
      <c r="A27" s="236">
        <v>67663</v>
      </c>
      <c r="B27" s="234" t="s">
        <v>308</v>
      </c>
      <c r="C27" s="253">
        <v>31.82</v>
      </c>
      <c r="D27" s="254">
        <v>0.07692</v>
      </c>
      <c r="E27" s="254">
        <v>1.0891E-05</v>
      </c>
      <c r="F27" s="254">
        <v>7950</v>
      </c>
      <c r="G27" s="253">
        <v>0.1500409</v>
      </c>
      <c r="H27" s="253">
        <v>0.00367</v>
      </c>
      <c r="I27" s="100">
        <v>25</v>
      </c>
      <c r="J27" s="258">
        <v>334.25</v>
      </c>
      <c r="K27" s="262">
        <v>536.4</v>
      </c>
      <c r="L27" s="261">
        <v>6988</v>
      </c>
      <c r="M27" s="253">
        <v>0</v>
      </c>
      <c r="N27" s="253">
        <v>0.098</v>
      </c>
      <c r="O27" s="240"/>
      <c r="P27" s="48"/>
    </row>
    <row r="28" spans="1:16" ht="12.75">
      <c r="A28" s="236">
        <v>71432</v>
      </c>
      <c r="B28" s="234" t="s">
        <v>309</v>
      </c>
      <c r="C28" s="253">
        <v>145.8</v>
      </c>
      <c r="D28" s="254">
        <v>0.089534</v>
      </c>
      <c r="E28" s="254">
        <v>1.0263E-05</v>
      </c>
      <c r="F28" s="254">
        <v>1790</v>
      </c>
      <c r="G28" s="253">
        <v>0.2269011</v>
      </c>
      <c r="H28" s="253">
        <v>0.00555</v>
      </c>
      <c r="I28" s="100">
        <v>25</v>
      </c>
      <c r="J28" s="258">
        <v>353.15</v>
      </c>
      <c r="K28" s="262">
        <v>562</v>
      </c>
      <c r="L28" s="261">
        <v>7342</v>
      </c>
      <c r="M28" s="253">
        <v>7.8E-06</v>
      </c>
      <c r="N28" s="253">
        <v>0.03</v>
      </c>
      <c r="O28" s="240"/>
      <c r="P28" s="48"/>
    </row>
    <row r="29" spans="1:16" ht="12.75">
      <c r="A29" s="236">
        <v>71556</v>
      </c>
      <c r="B29" s="234" t="s">
        <v>310</v>
      </c>
      <c r="C29" s="253">
        <v>43.89</v>
      </c>
      <c r="D29" s="254">
        <v>0.064817</v>
      </c>
      <c r="E29" s="254">
        <v>9.599E-06</v>
      </c>
      <c r="F29" s="254">
        <v>1290</v>
      </c>
      <c r="G29" s="253">
        <v>0.7031889</v>
      </c>
      <c r="H29" s="253">
        <v>0.0172</v>
      </c>
      <c r="I29" s="100">
        <v>25</v>
      </c>
      <c r="J29" s="258">
        <v>347.15</v>
      </c>
      <c r="K29" s="262">
        <v>585</v>
      </c>
      <c r="L29" s="261">
        <v>7136</v>
      </c>
      <c r="M29" s="253">
        <v>0</v>
      </c>
      <c r="N29" s="253">
        <v>5</v>
      </c>
      <c r="O29" s="240"/>
      <c r="P29" s="48"/>
    </row>
    <row r="30" spans="1:16" ht="12.75">
      <c r="A30" s="236">
        <v>74839</v>
      </c>
      <c r="B30" s="234" t="s">
        <v>362</v>
      </c>
      <c r="C30" s="253">
        <v>13.22</v>
      </c>
      <c r="D30" s="254">
        <v>0.1005</v>
      </c>
      <c r="E30" s="254">
        <v>1.3468E-05</v>
      </c>
      <c r="F30" s="254">
        <v>15200</v>
      </c>
      <c r="G30" s="253">
        <v>0.3000818</v>
      </c>
      <c r="H30" s="253">
        <v>0.00734</v>
      </c>
      <c r="I30" s="100">
        <v>25</v>
      </c>
      <c r="J30" s="258">
        <v>276.65</v>
      </c>
      <c r="K30" s="262">
        <v>467.15</v>
      </c>
      <c r="L30" s="261">
        <v>5714</v>
      </c>
      <c r="M30" s="253">
        <v>0</v>
      </c>
      <c r="N30" s="253">
        <v>0.005</v>
      </c>
      <c r="O30" s="240"/>
      <c r="P30" s="48"/>
    </row>
    <row r="31" spans="1:16" ht="12.75">
      <c r="A31" s="236">
        <v>74873</v>
      </c>
      <c r="B31" s="234" t="s">
        <v>363</v>
      </c>
      <c r="C31" s="253">
        <v>13.22</v>
      </c>
      <c r="D31" s="254">
        <v>0.12396</v>
      </c>
      <c r="E31" s="254">
        <v>1.3648E-05</v>
      </c>
      <c r="F31" s="254">
        <v>5320</v>
      </c>
      <c r="G31" s="253">
        <v>0.3605887</v>
      </c>
      <c r="H31" s="253">
        <v>0.00882</v>
      </c>
      <c r="I31" s="100">
        <v>25</v>
      </c>
      <c r="J31" s="258">
        <v>249.14999999999998</v>
      </c>
      <c r="K31" s="262">
        <v>416.25</v>
      </c>
      <c r="L31" s="261">
        <v>5115</v>
      </c>
      <c r="M31" s="253">
        <v>0</v>
      </c>
      <c r="N31" s="253">
        <v>0.09</v>
      </c>
      <c r="O31" s="240"/>
      <c r="P31" s="48"/>
    </row>
    <row r="32" spans="1:16" ht="12.75">
      <c r="A32" s="236">
        <v>75003</v>
      </c>
      <c r="B32" s="234" t="s">
        <v>364</v>
      </c>
      <c r="C32" s="253">
        <v>21.73</v>
      </c>
      <c r="D32" s="254">
        <v>0.10376</v>
      </c>
      <c r="E32" s="254">
        <v>1.1619E-05</v>
      </c>
      <c r="F32" s="254">
        <v>6710</v>
      </c>
      <c r="G32" s="253">
        <v>0.4538021</v>
      </c>
      <c r="H32" s="253">
        <v>0.0111</v>
      </c>
      <c r="I32" s="100">
        <v>25</v>
      </c>
      <c r="J32" s="258">
        <v>285.45</v>
      </c>
      <c r="K32" s="262">
        <v>460.15</v>
      </c>
      <c r="L32" s="261">
        <v>5879</v>
      </c>
      <c r="M32" s="253">
        <v>0</v>
      </c>
      <c r="N32" s="253">
        <v>10</v>
      </c>
      <c r="O32" s="240"/>
      <c r="P32" s="48"/>
    </row>
    <row r="33" spans="1:16" ht="12.75">
      <c r="A33" s="236">
        <v>75014</v>
      </c>
      <c r="B33" s="234" t="s">
        <v>365</v>
      </c>
      <c r="C33" s="253">
        <v>21.73</v>
      </c>
      <c r="D33" s="254">
        <v>0.10712</v>
      </c>
      <c r="E33" s="254">
        <v>1.2004E-05</v>
      </c>
      <c r="F33" s="254">
        <v>8800</v>
      </c>
      <c r="G33" s="253">
        <v>1.1365495</v>
      </c>
      <c r="H33" s="253">
        <v>0.0278</v>
      </c>
      <c r="I33" s="100">
        <v>25</v>
      </c>
      <c r="J33" s="258">
        <v>259.84999999999997</v>
      </c>
      <c r="K33" s="262">
        <v>424.61</v>
      </c>
      <c r="L33" s="261">
        <v>5250</v>
      </c>
      <c r="M33" s="253">
        <v>4.4E-06</v>
      </c>
      <c r="N33" s="253">
        <v>0.1</v>
      </c>
      <c r="O33" s="240"/>
      <c r="P33" s="48"/>
    </row>
    <row r="34" spans="1:16" ht="12.75">
      <c r="A34" s="236">
        <v>75092</v>
      </c>
      <c r="B34" s="234" t="s">
        <v>366</v>
      </c>
      <c r="C34" s="253">
        <v>21.73</v>
      </c>
      <c r="D34" s="254">
        <v>0.099936</v>
      </c>
      <c r="E34" s="254">
        <v>1.2512E-05</v>
      </c>
      <c r="F34" s="254">
        <v>13000</v>
      </c>
      <c r="G34" s="253">
        <v>0.13287</v>
      </c>
      <c r="H34" s="253">
        <v>0.00325</v>
      </c>
      <c r="I34" s="100">
        <v>25</v>
      </c>
      <c r="J34" s="258">
        <v>313.15</v>
      </c>
      <c r="K34" s="262">
        <v>508.2</v>
      </c>
      <c r="L34" s="261">
        <v>6706</v>
      </c>
      <c r="M34" s="253">
        <v>1E-08</v>
      </c>
      <c r="N34" s="253">
        <v>0.6</v>
      </c>
      <c r="O34" s="240"/>
      <c r="P34" s="48"/>
    </row>
    <row r="35" spans="1:16" ht="12.75">
      <c r="A35" s="236">
        <v>75150</v>
      </c>
      <c r="B35" s="234" t="s">
        <v>311</v>
      </c>
      <c r="C35" s="253">
        <v>21.73</v>
      </c>
      <c r="D35" s="254">
        <v>0.10644</v>
      </c>
      <c r="E35" s="254">
        <v>1.2977E-05</v>
      </c>
      <c r="F35" s="254">
        <v>2160</v>
      </c>
      <c r="G35" s="253">
        <v>0.5887163</v>
      </c>
      <c r="H35" s="255">
        <v>0.0144</v>
      </c>
      <c r="I35" s="100">
        <v>25</v>
      </c>
      <c r="J35" s="258">
        <v>319.15</v>
      </c>
      <c r="K35" s="262">
        <v>553.15</v>
      </c>
      <c r="L35" s="261">
        <v>6402</v>
      </c>
      <c r="M35" s="253">
        <v>0</v>
      </c>
      <c r="N35" s="253">
        <v>0.7</v>
      </c>
      <c r="O35" s="240"/>
      <c r="P35" s="48"/>
    </row>
    <row r="36" spans="1:16" ht="12.75">
      <c r="A36" s="236">
        <v>75252</v>
      </c>
      <c r="B36" s="234" t="s">
        <v>312</v>
      </c>
      <c r="C36" s="253">
        <v>31.82</v>
      </c>
      <c r="D36" s="254">
        <v>0.035732</v>
      </c>
      <c r="E36" s="254">
        <v>1.0356E-05</v>
      </c>
      <c r="F36" s="254">
        <v>3100</v>
      </c>
      <c r="G36" s="253">
        <v>0.0218724</v>
      </c>
      <c r="H36" s="253">
        <v>0.000535</v>
      </c>
      <c r="I36" s="100">
        <v>25</v>
      </c>
      <c r="J36" s="258">
        <v>422.25</v>
      </c>
      <c r="K36" s="259">
        <v>633.38</v>
      </c>
      <c r="L36" s="261">
        <v>9479</v>
      </c>
      <c r="M36" s="270">
        <v>0</v>
      </c>
      <c r="N36" s="270">
        <v>0</v>
      </c>
      <c r="O36" s="240"/>
      <c r="P36" s="48"/>
    </row>
    <row r="37" spans="1:16" ht="12.75">
      <c r="A37" s="236">
        <v>75274</v>
      </c>
      <c r="B37" s="234" t="s">
        <v>367</v>
      </c>
      <c r="C37" s="253">
        <v>31.82</v>
      </c>
      <c r="D37" s="254">
        <v>0.056263</v>
      </c>
      <c r="E37" s="254">
        <v>1.0731E-05</v>
      </c>
      <c r="F37" s="254">
        <v>3032</v>
      </c>
      <c r="G37" s="253">
        <v>0.0866721</v>
      </c>
      <c r="H37" s="253">
        <v>0.00212</v>
      </c>
      <c r="I37" s="100">
        <v>25</v>
      </c>
      <c r="J37" s="258">
        <v>363.15</v>
      </c>
      <c r="K37" s="259">
        <v>585.85</v>
      </c>
      <c r="L37" s="261">
        <v>7800</v>
      </c>
      <c r="M37" s="270">
        <v>0</v>
      </c>
      <c r="N37" s="270">
        <v>0</v>
      </c>
      <c r="O37" s="240"/>
      <c r="P37" s="48"/>
    </row>
    <row r="38" spans="1:16" ht="12.75">
      <c r="A38" s="236">
        <v>75343</v>
      </c>
      <c r="B38" s="234" t="s">
        <v>313</v>
      </c>
      <c r="C38" s="253">
        <v>31.82</v>
      </c>
      <c r="D38" s="254">
        <v>0.083645</v>
      </c>
      <c r="E38" s="254">
        <v>1.0621E-05</v>
      </c>
      <c r="F38" s="254">
        <v>5040</v>
      </c>
      <c r="G38" s="253">
        <v>0.2297629</v>
      </c>
      <c r="H38" s="253">
        <v>0.00562</v>
      </c>
      <c r="I38" s="100">
        <v>25</v>
      </c>
      <c r="J38" s="258">
        <v>330.54999999999995</v>
      </c>
      <c r="K38" s="262">
        <v>523.4</v>
      </c>
      <c r="L38" s="261">
        <v>6895</v>
      </c>
      <c r="M38" s="253">
        <v>0</v>
      </c>
      <c r="N38" s="253">
        <v>0</v>
      </c>
      <c r="O38" s="240"/>
      <c r="P38" s="48"/>
    </row>
    <row r="39" spans="1:16" ht="12.75">
      <c r="A39" s="236">
        <v>75354</v>
      </c>
      <c r="B39" s="234" t="s">
        <v>368</v>
      </c>
      <c r="C39" s="253">
        <v>31.82</v>
      </c>
      <c r="D39" s="254">
        <v>0.086311</v>
      </c>
      <c r="E39" s="254">
        <v>1.0956E-05</v>
      </c>
      <c r="F39" s="254">
        <v>2420</v>
      </c>
      <c r="G39" s="253">
        <v>1.0670482</v>
      </c>
      <c r="H39" s="253">
        <v>0.0261</v>
      </c>
      <c r="I39" s="100">
        <v>25</v>
      </c>
      <c r="J39" s="258">
        <v>304.75</v>
      </c>
      <c r="K39" s="262">
        <v>493.95</v>
      </c>
      <c r="L39" s="261">
        <v>6247</v>
      </c>
      <c r="M39" s="253">
        <v>0</v>
      </c>
      <c r="N39" s="253">
        <v>0.02</v>
      </c>
      <c r="O39" s="240"/>
      <c r="P39" s="48"/>
    </row>
    <row r="40" spans="1:16" ht="12.75">
      <c r="A40" s="236">
        <v>75694</v>
      </c>
      <c r="B40" s="234" t="s">
        <v>369</v>
      </c>
      <c r="C40" s="253">
        <v>43.89</v>
      </c>
      <c r="D40" s="254">
        <v>0.065356</v>
      </c>
      <c r="E40" s="254">
        <v>1.0048E-05</v>
      </c>
      <c r="F40" s="254">
        <v>1100</v>
      </c>
      <c r="G40" s="253">
        <v>3.9657</v>
      </c>
      <c r="H40" s="253">
        <v>0.097</v>
      </c>
      <c r="I40" s="9">
        <v>25</v>
      </c>
      <c r="J40" s="258">
        <v>296.84999999999997</v>
      </c>
      <c r="K40" s="262">
        <v>471.15</v>
      </c>
      <c r="L40" s="261">
        <v>5999</v>
      </c>
      <c r="M40" s="270">
        <v>0</v>
      </c>
      <c r="N40" s="270">
        <v>0</v>
      </c>
      <c r="O40" s="240"/>
      <c r="P40" s="48"/>
    </row>
    <row r="41" spans="1:16" ht="12.75">
      <c r="A41" s="236">
        <v>75718</v>
      </c>
      <c r="B41" s="234" t="s">
        <v>370</v>
      </c>
      <c r="C41" s="253">
        <v>43.89</v>
      </c>
      <c r="D41" s="254">
        <v>0.076029</v>
      </c>
      <c r="E41" s="254">
        <v>1.0839E-05</v>
      </c>
      <c r="F41" s="254">
        <v>280</v>
      </c>
      <c r="G41" s="253">
        <v>14.022895</v>
      </c>
      <c r="H41" s="253">
        <v>0.343</v>
      </c>
      <c r="I41" s="100">
        <v>25</v>
      </c>
      <c r="J41" s="258">
        <v>243.34999999999997</v>
      </c>
      <c r="K41" s="262">
        <v>384.9</v>
      </c>
      <c r="L41" s="261">
        <v>4804</v>
      </c>
      <c r="M41" s="270">
        <v>0</v>
      </c>
      <c r="N41" s="270">
        <v>0</v>
      </c>
      <c r="O41" s="240"/>
      <c r="P41" s="48"/>
    </row>
    <row r="42" spans="1:16" ht="12.75">
      <c r="A42" s="236">
        <v>76131</v>
      </c>
      <c r="B42" s="234" t="s">
        <v>371</v>
      </c>
      <c r="C42" s="253">
        <v>196.8</v>
      </c>
      <c r="D42" s="254">
        <v>0.037566</v>
      </c>
      <c r="E42" s="254">
        <v>8.592E-06</v>
      </c>
      <c r="F42" s="254">
        <v>170</v>
      </c>
      <c r="G42" s="253">
        <v>21.504497</v>
      </c>
      <c r="H42" s="253">
        <v>0.526</v>
      </c>
      <c r="I42" s="100">
        <v>25</v>
      </c>
      <c r="J42" s="258">
        <v>320.84999999999997</v>
      </c>
      <c r="K42" s="262">
        <v>487.4</v>
      </c>
      <c r="L42" s="261">
        <v>6462.56</v>
      </c>
      <c r="M42" s="253">
        <v>0</v>
      </c>
      <c r="N42" s="253">
        <v>5</v>
      </c>
      <c r="O42" s="240"/>
      <c r="P42" s="48"/>
    </row>
    <row r="43" spans="1:16" ht="12.75">
      <c r="A43" s="236">
        <v>78875</v>
      </c>
      <c r="B43" s="234" t="s">
        <v>314</v>
      </c>
      <c r="C43" s="253">
        <v>60.7</v>
      </c>
      <c r="D43" s="254">
        <v>0.07334</v>
      </c>
      <c r="E43" s="254">
        <v>9.7252E-06</v>
      </c>
      <c r="F43" s="254">
        <v>2800</v>
      </c>
      <c r="G43" s="253">
        <v>0.1152903</v>
      </c>
      <c r="H43" s="253">
        <v>0.00282</v>
      </c>
      <c r="I43" s="100">
        <v>25</v>
      </c>
      <c r="J43" s="258">
        <v>368.65</v>
      </c>
      <c r="K43" s="259">
        <v>572</v>
      </c>
      <c r="L43" s="261">
        <v>7590</v>
      </c>
      <c r="M43" s="253">
        <v>3.7E-06</v>
      </c>
      <c r="N43" s="253">
        <v>0.004</v>
      </c>
      <c r="O43" s="240"/>
      <c r="P43" s="48"/>
    </row>
    <row r="44" spans="1:16" ht="12.75">
      <c r="A44" s="236">
        <v>78933</v>
      </c>
      <c r="B44" s="234" t="s">
        <v>372</v>
      </c>
      <c r="C44" s="253">
        <v>4.51</v>
      </c>
      <c r="D44" s="254">
        <v>0.091446</v>
      </c>
      <c r="E44" s="254">
        <v>1.0193E-05</v>
      </c>
      <c r="F44" s="254">
        <v>223000</v>
      </c>
      <c r="G44" s="253">
        <v>0.0023262</v>
      </c>
      <c r="H44" s="253">
        <v>5.69E-05</v>
      </c>
      <c r="I44" s="100">
        <v>25</v>
      </c>
      <c r="J44" s="258">
        <v>352.65</v>
      </c>
      <c r="K44" s="262">
        <v>536.7</v>
      </c>
      <c r="L44" s="261">
        <v>7481</v>
      </c>
      <c r="M44" s="253">
        <v>0</v>
      </c>
      <c r="N44" s="253">
        <v>5</v>
      </c>
      <c r="O44" s="240"/>
      <c r="P44" s="48"/>
    </row>
    <row r="45" spans="1:16" ht="12.75">
      <c r="A45" s="236">
        <v>79005</v>
      </c>
      <c r="B45" s="234" t="s">
        <v>315</v>
      </c>
      <c r="C45" s="253">
        <v>60.7</v>
      </c>
      <c r="D45" s="254">
        <v>0.06689</v>
      </c>
      <c r="E45" s="254">
        <v>1.0026E-05</v>
      </c>
      <c r="F45" s="254">
        <v>4590</v>
      </c>
      <c r="G45" s="253">
        <v>0.0336877</v>
      </c>
      <c r="H45" s="253">
        <v>0.000824</v>
      </c>
      <c r="I45" s="100">
        <v>25</v>
      </c>
      <c r="J45" s="258">
        <v>386.95</v>
      </c>
      <c r="K45" s="259">
        <v>602</v>
      </c>
      <c r="L45" s="261">
        <v>8322</v>
      </c>
      <c r="M45" s="270">
        <v>0</v>
      </c>
      <c r="N45" s="270">
        <v>0</v>
      </c>
      <c r="O45" s="240"/>
      <c r="P45" s="48"/>
    </row>
    <row r="46" spans="1:16" ht="12.75">
      <c r="A46" s="236">
        <v>79016</v>
      </c>
      <c r="B46" s="234" t="s">
        <v>373</v>
      </c>
      <c r="C46" s="253">
        <v>60.7</v>
      </c>
      <c r="D46" s="254">
        <v>0.068662</v>
      </c>
      <c r="E46" s="254">
        <v>1.0221E-05</v>
      </c>
      <c r="F46" s="254">
        <v>1280</v>
      </c>
      <c r="G46" s="253">
        <v>0.4026983</v>
      </c>
      <c r="H46" s="253">
        <v>0.00985</v>
      </c>
      <c r="I46" s="100">
        <v>25</v>
      </c>
      <c r="J46" s="258">
        <v>360.34999999999997</v>
      </c>
      <c r="K46" s="262">
        <v>544.2</v>
      </c>
      <c r="L46" s="261">
        <v>7505</v>
      </c>
      <c r="M46" s="253">
        <v>4.1E-06</v>
      </c>
      <c r="N46" s="253">
        <v>0.002</v>
      </c>
      <c r="O46" s="240"/>
      <c r="P46" s="48"/>
    </row>
    <row r="47" spans="1:16" ht="12.75">
      <c r="A47" s="236">
        <v>79345</v>
      </c>
      <c r="B47" s="234" t="s">
        <v>316</v>
      </c>
      <c r="C47" s="253">
        <v>94.94</v>
      </c>
      <c r="D47" s="254">
        <v>0.048921</v>
      </c>
      <c r="E47" s="254">
        <v>9.2902E-06</v>
      </c>
      <c r="F47" s="254">
        <v>2830</v>
      </c>
      <c r="G47" s="253">
        <v>0.0150041</v>
      </c>
      <c r="H47" s="253">
        <v>0.000367</v>
      </c>
      <c r="I47" s="100">
        <v>25</v>
      </c>
      <c r="J47" s="258">
        <v>419.65</v>
      </c>
      <c r="K47" s="262">
        <v>661.15</v>
      </c>
      <c r="L47" s="261">
        <v>8996</v>
      </c>
      <c r="M47" s="270">
        <v>0</v>
      </c>
      <c r="N47" s="270">
        <v>0</v>
      </c>
      <c r="O47" s="240"/>
      <c r="P47" s="48"/>
    </row>
    <row r="48" spans="1:16" ht="12.75">
      <c r="A48" s="236">
        <v>87683</v>
      </c>
      <c r="B48" s="234" t="s">
        <v>317</v>
      </c>
      <c r="C48" s="253">
        <v>845.2</v>
      </c>
      <c r="D48" s="254">
        <v>0.026744</v>
      </c>
      <c r="E48" s="254">
        <v>7.0264E-06</v>
      </c>
      <c r="F48" s="254">
        <v>3.2</v>
      </c>
      <c r="G48" s="253">
        <v>0.4210957</v>
      </c>
      <c r="H48" s="253">
        <v>0.0103</v>
      </c>
      <c r="I48" s="100">
        <v>25</v>
      </c>
      <c r="J48" s="258">
        <v>488.15</v>
      </c>
      <c r="K48" s="259">
        <v>732.23</v>
      </c>
      <c r="L48" s="261">
        <v>10206</v>
      </c>
      <c r="M48" s="270">
        <v>0</v>
      </c>
      <c r="N48" s="270">
        <v>0</v>
      </c>
      <c r="O48" s="240"/>
      <c r="P48" s="48"/>
    </row>
    <row r="49" spans="1:16" ht="12.75">
      <c r="A49" s="236">
        <v>91203</v>
      </c>
      <c r="B49" s="267" t="s">
        <v>318</v>
      </c>
      <c r="C49" s="253">
        <v>1544</v>
      </c>
      <c r="D49" s="255">
        <v>0.060499</v>
      </c>
      <c r="E49" s="255">
        <v>8.377E-06</v>
      </c>
      <c r="F49" s="255">
        <v>31</v>
      </c>
      <c r="G49" s="253">
        <v>0.017988</v>
      </c>
      <c r="H49" s="253">
        <v>0.00044</v>
      </c>
      <c r="I49" s="100">
        <v>25</v>
      </c>
      <c r="J49" s="258">
        <v>491.04999999999995</v>
      </c>
      <c r="K49" s="262">
        <v>748.4</v>
      </c>
      <c r="L49" s="263">
        <v>10373</v>
      </c>
      <c r="M49" s="253">
        <v>3.4E-05</v>
      </c>
      <c r="N49" s="253">
        <v>0.003</v>
      </c>
      <c r="O49" s="240"/>
      <c r="P49" s="48"/>
    </row>
    <row r="50" spans="1:16" ht="12.75">
      <c r="A50" s="236">
        <v>95501</v>
      </c>
      <c r="B50" s="234" t="s">
        <v>374</v>
      </c>
      <c r="C50" s="253">
        <v>382.9</v>
      </c>
      <c r="D50" s="254">
        <v>0.05617</v>
      </c>
      <c r="E50" s="254">
        <v>8.9213E-06</v>
      </c>
      <c r="F50" s="254">
        <v>156</v>
      </c>
      <c r="G50" s="253">
        <v>0.0784956</v>
      </c>
      <c r="H50" s="253">
        <v>0.00192</v>
      </c>
      <c r="I50" s="100">
        <v>25</v>
      </c>
      <c r="J50" s="258">
        <v>453.15</v>
      </c>
      <c r="K50" s="262">
        <v>690.35</v>
      </c>
      <c r="L50" s="261">
        <v>9700</v>
      </c>
      <c r="M50" s="253">
        <v>0</v>
      </c>
      <c r="N50" s="253">
        <v>0.2</v>
      </c>
      <c r="O50" s="240"/>
      <c r="P50" s="48"/>
    </row>
    <row r="51" spans="1:16" ht="12.75">
      <c r="A51" s="236">
        <v>95636</v>
      </c>
      <c r="B51" s="267" t="s">
        <v>336</v>
      </c>
      <c r="C51" s="253">
        <v>614.3</v>
      </c>
      <c r="D51" s="254">
        <v>0.060675</v>
      </c>
      <c r="E51" s="254">
        <v>7.9208E-06</v>
      </c>
      <c r="F51" s="254">
        <v>57</v>
      </c>
      <c r="G51" s="253">
        <v>0.2518397</v>
      </c>
      <c r="H51" s="253">
        <v>0.00616</v>
      </c>
      <c r="I51" s="100">
        <v>25</v>
      </c>
      <c r="J51" s="258">
        <v>442.45</v>
      </c>
      <c r="K51" s="262">
        <v>649.28</v>
      </c>
      <c r="L51" s="261">
        <v>9369</v>
      </c>
      <c r="M51" s="253">
        <v>0</v>
      </c>
      <c r="N51" s="253">
        <v>0.06</v>
      </c>
      <c r="O51" s="240"/>
      <c r="P51" s="48"/>
    </row>
    <row r="52" spans="1:16" ht="12.75">
      <c r="A52" s="236">
        <v>100414</v>
      </c>
      <c r="B52" s="234" t="s">
        <v>319</v>
      </c>
      <c r="C52" s="253">
        <v>446.1</v>
      </c>
      <c r="D52" s="254">
        <v>0.068465</v>
      </c>
      <c r="E52" s="254">
        <v>8.4558E-06</v>
      </c>
      <c r="F52" s="254">
        <v>169</v>
      </c>
      <c r="G52" s="253">
        <v>0.3221586</v>
      </c>
      <c r="H52" s="253">
        <v>0.00788</v>
      </c>
      <c r="I52" s="9">
        <v>25</v>
      </c>
      <c r="J52" s="258">
        <v>409.25</v>
      </c>
      <c r="K52" s="262">
        <v>617.1</v>
      </c>
      <c r="L52" s="261">
        <v>8501</v>
      </c>
      <c r="M52" s="253">
        <v>2.5E-06</v>
      </c>
      <c r="N52" s="253">
        <v>1</v>
      </c>
      <c r="O52" s="240"/>
      <c r="P52" s="48"/>
    </row>
    <row r="53" spans="1:16" ht="12.75">
      <c r="A53" s="236">
        <v>100425</v>
      </c>
      <c r="B53" s="234" t="s">
        <v>320</v>
      </c>
      <c r="C53" s="253">
        <v>446.1</v>
      </c>
      <c r="D53" s="254">
        <v>0.071114</v>
      </c>
      <c r="E53" s="254">
        <v>8.7838E-06</v>
      </c>
      <c r="F53" s="254">
        <v>310</v>
      </c>
      <c r="G53" s="253">
        <v>0.1124285</v>
      </c>
      <c r="H53" s="253">
        <v>0.00275</v>
      </c>
      <c r="I53" s="100">
        <v>25</v>
      </c>
      <c r="J53" s="258">
        <v>418.15</v>
      </c>
      <c r="K53" s="262">
        <v>636.85</v>
      </c>
      <c r="L53" s="261">
        <v>8737</v>
      </c>
      <c r="M53" s="253">
        <v>0</v>
      </c>
      <c r="N53" s="253">
        <v>1</v>
      </c>
      <c r="O53" s="240"/>
      <c r="P53" s="48"/>
    </row>
    <row r="54" spans="1:16" ht="12.75">
      <c r="A54" s="236">
        <v>106467</v>
      </c>
      <c r="B54" s="234" t="s">
        <v>375</v>
      </c>
      <c r="C54" s="253">
        <v>375.3</v>
      </c>
      <c r="D54" s="254">
        <v>0.055043</v>
      </c>
      <c r="E54" s="254">
        <v>8.6797E-06</v>
      </c>
      <c r="F54" s="254">
        <v>81.3</v>
      </c>
      <c r="G54" s="253">
        <v>0.0985282</v>
      </c>
      <c r="H54" s="253">
        <v>0.00241</v>
      </c>
      <c r="I54" s="100">
        <v>25</v>
      </c>
      <c r="J54" s="258">
        <v>447.15</v>
      </c>
      <c r="K54" s="262">
        <v>669</v>
      </c>
      <c r="L54" s="261">
        <v>9271</v>
      </c>
      <c r="M54" s="253">
        <v>0</v>
      </c>
      <c r="N54" s="253">
        <v>0.8</v>
      </c>
      <c r="O54" s="240"/>
      <c r="P54" s="48"/>
    </row>
    <row r="55" spans="1:16" ht="12.75">
      <c r="A55" s="236">
        <v>106934</v>
      </c>
      <c r="B55" s="234" t="s">
        <v>376</v>
      </c>
      <c r="C55" s="253">
        <v>39.6</v>
      </c>
      <c r="D55" s="254">
        <v>0.043035</v>
      </c>
      <c r="E55" s="254">
        <v>1.0439E-05</v>
      </c>
      <c r="F55" s="254">
        <v>3910</v>
      </c>
      <c r="G55" s="253">
        <v>0.026574</v>
      </c>
      <c r="H55" s="253">
        <v>0.00065</v>
      </c>
      <c r="I55" s="100">
        <v>25</v>
      </c>
      <c r="J55" s="258">
        <v>404.75</v>
      </c>
      <c r="K55" s="262">
        <v>582.95</v>
      </c>
      <c r="L55" s="261">
        <v>8310</v>
      </c>
      <c r="M55" s="253">
        <v>0.0006</v>
      </c>
      <c r="N55" s="253">
        <v>0.009</v>
      </c>
      <c r="O55" s="240"/>
      <c r="P55" s="48"/>
    </row>
    <row r="56" spans="1:16" ht="12.75">
      <c r="A56" s="236">
        <v>107062</v>
      </c>
      <c r="B56" s="234" t="s">
        <v>321</v>
      </c>
      <c r="C56" s="253">
        <v>39.6</v>
      </c>
      <c r="D56" s="254">
        <v>0.085722</v>
      </c>
      <c r="E56" s="254">
        <v>1.0995E-05</v>
      </c>
      <c r="F56" s="254">
        <v>8600</v>
      </c>
      <c r="G56" s="253">
        <v>0.048242</v>
      </c>
      <c r="H56" s="253">
        <v>0.00118</v>
      </c>
      <c r="I56" s="100">
        <v>25</v>
      </c>
      <c r="J56" s="258">
        <v>356.65</v>
      </c>
      <c r="K56" s="262">
        <v>563</v>
      </c>
      <c r="L56" s="261">
        <v>7643</v>
      </c>
      <c r="M56" s="253">
        <v>0</v>
      </c>
      <c r="N56" s="253">
        <v>0.007</v>
      </c>
      <c r="O56" s="240"/>
      <c r="P56" s="48"/>
    </row>
    <row r="57" spans="1:16" ht="12.75">
      <c r="A57" s="236">
        <v>108101</v>
      </c>
      <c r="B57" s="234" t="s">
        <v>377</v>
      </c>
      <c r="C57" s="253">
        <v>12.6</v>
      </c>
      <c r="D57" s="254">
        <v>0.06978</v>
      </c>
      <c r="E57" s="254">
        <v>8.3477E-06</v>
      </c>
      <c r="F57" s="254">
        <v>19000</v>
      </c>
      <c r="G57" s="253">
        <v>0.0056419</v>
      </c>
      <c r="H57" s="253">
        <v>0.000138</v>
      </c>
      <c r="I57" s="100">
        <v>25</v>
      </c>
      <c r="J57" s="258">
        <v>389.65</v>
      </c>
      <c r="K57" s="262">
        <v>575.4</v>
      </c>
      <c r="L57" s="261">
        <v>8243.11</v>
      </c>
      <c r="M57" s="253">
        <v>0</v>
      </c>
      <c r="N57" s="253">
        <v>3</v>
      </c>
      <c r="O57" s="240"/>
      <c r="P57" s="48"/>
    </row>
    <row r="58" spans="1:16" ht="12.75">
      <c r="A58" s="236">
        <v>108883</v>
      </c>
      <c r="B58" s="234" t="s">
        <v>322</v>
      </c>
      <c r="C58" s="253">
        <v>233.9</v>
      </c>
      <c r="D58" s="254">
        <v>0.077804</v>
      </c>
      <c r="E58" s="254">
        <v>9.2043E-06</v>
      </c>
      <c r="F58" s="254">
        <v>526</v>
      </c>
      <c r="G58" s="253">
        <v>0.2714636</v>
      </c>
      <c r="H58" s="253">
        <v>0.00664</v>
      </c>
      <c r="I58" s="100">
        <v>25</v>
      </c>
      <c r="J58" s="258">
        <v>383.75</v>
      </c>
      <c r="K58" s="262">
        <v>591.75</v>
      </c>
      <c r="L58" s="261">
        <v>7930</v>
      </c>
      <c r="M58" s="253">
        <v>0</v>
      </c>
      <c r="N58" s="253">
        <v>5</v>
      </c>
      <c r="O58" s="240"/>
      <c r="P58" s="48"/>
    </row>
    <row r="59" spans="1:16" ht="12.75">
      <c r="A59" s="236">
        <v>108907</v>
      </c>
      <c r="B59" s="234" t="s">
        <v>323</v>
      </c>
      <c r="C59" s="253">
        <v>233.9</v>
      </c>
      <c r="D59" s="254">
        <v>0.07213</v>
      </c>
      <c r="E59" s="254">
        <v>9.4765E-06</v>
      </c>
      <c r="F59" s="254">
        <v>498</v>
      </c>
      <c r="G59" s="253">
        <v>0.1271464</v>
      </c>
      <c r="H59" s="253">
        <v>0.00311</v>
      </c>
      <c r="I59" s="100">
        <v>25</v>
      </c>
      <c r="J59" s="258">
        <v>404.84999999999997</v>
      </c>
      <c r="K59" s="262">
        <v>632</v>
      </c>
      <c r="L59" s="261">
        <v>8410</v>
      </c>
      <c r="M59" s="253">
        <v>0</v>
      </c>
      <c r="N59" s="253">
        <v>0.05</v>
      </c>
      <c r="O59" s="240"/>
      <c r="P59" s="48"/>
    </row>
    <row r="60" spans="1:16" ht="12.75">
      <c r="A60" s="236">
        <v>110543</v>
      </c>
      <c r="B60" s="234" t="s">
        <v>378</v>
      </c>
      <c r="C60" s="253">
        <v>131.5</v>
      </c>
      <c r="D60" s="254">
        <v>0.073108</v>
      </c>
      <c r="E60" s="254">
        <v>8.1658E-06</v>
      </c>
      <c r="F60" s="254">
        <v>9.5</v>
      </c>
      <c r="G60" s="253">
        <v>73.589534</v>
      </c>
      <c r="H60" s="256">
        <v>1.8</v>
      </c>
      <c r="I60" s="9">
        <v>25</v>
      </c>
      <c r="J60" s="258">
        <v>341.84999999999997</v>
      </c>
      <c r="K60" s="262">
        <v>507.5</v>
      </c>
      <c r="L60" s="261">
        <v>6895.15</v>
      </c>
      <c r="M60" s="253">
        <v>0</v>
      </c>
      <c r="N60" s="253">
        <v>0.7</v>
      </c>
      <c r="O60" s="240"/>
      <c r="P60" s="48"/>
    </row>
    <row r="61" spans="1:16" ht="12.75">
      <c r="A61" s="236">
        <v>110827</v>
      </c>
      <c r="B61" s="234" t="s">
        <v>360</v>
      </c>
      <c r="C61" s="253">
        <v>145.8</v>
      </c>
      <c r="D61" s="255">
        <v>0.079973</v>
      </c>
      <c r="E61" s="255">
        <v>9.1077E-06</v>
      </c>
      <c r="F61" s="255">
        <v>55</v>
      </c>
      <c r="G61" s="253">
        <v>6.1325</v>
      </c>
      <c r="H61" s="253">
        <v>0.15</v>
      </c>
      <c r="I61" s="100">
        <v>25</v>
      </c>
      <c r="J61" s="258">
        <v>353.84999999999997</v>
      </c>
      <c r="K61" s="262">
        <v>553.45</v>
      </c>
      <c r="L61" s="262">
        <v>7164</v>
      </c>
      <c r="M61" s="253">
        <v>0</v>
      </c>
      <c r="N61" s="253">
        <v>6</v>
      </c>
      <c r="O61" s="240"/>
      <c r="P61" s="48"/>
    </row>
    <row r="62" spans="1:16" ht="12.75">
      <c r="A62" s="236">
        <v>120821</v>
      </c>
      <c r="B62" s="234" t="s">
        <v>324</v>
      </c>
      <c r="C62" s="253">
        <v>1356</v>
      </c>
      <c r="D62" s="254">
        <v>0.039599</v>
      </c>
      <c r="E62" s="254">
        <v>8.4033E-06</v>
      </c>
      <c r="F62" s="254">
        <v>49</v>
      </c>
      <c r="G62" s="253">
        <v>0.058054</v>
      </c>
      <c r="H62" s="253">
        <v>0.00142</v>
      </c>
      <c r="I62" s="100">
        <v>25</v>
      </c>
      <c r="J62" s="258">
        <v>486.65</v>
      </c>
      <c r="K62" s="262">
        <v>726.45</v>
      </c>
      <c r="L62" s="261">
        <v>10471</v>
      </c>
      <c r="M62" s="253">
        <v>0</v>
      </c>
      <c r="N62" s="253">
        <v>0.002</v>
      </c>
      <c r="O62" s="240"/>
      <c r="P62" s="48"/>
    </row>
    <row r="63" spans="1:16" ht="12.75">
      <c r="A63" s="236">
        <v>123911</v>
      </c>
      <c r="B63" s="267" t="s">
        <v>379</v>
      </c>
      <c r="C63" s="253">
        <v>2.633</v>
      </c>
      <c r="D63" s="255">
        <v>0.087374</v>
      </c>
      <c r="E63" s="255">
        <v>1.0541E-05</v>
      </c>
      <c r="F63" s="254">
        <v>1000000</v>
      </c>
      <c r="G63" s="253">
        <v>0.00019624</v>
      </c>
      <c r="H63" s="253">
        <v>4.8E-06</v>
      </c>
      <c r="I63" s="100">
        <v>25</v>
      </c>
      <c r="J63" s="258">
        <v>374.65</v>
      </c>
      <c r="K63" s="262">
        <v>585.15</v>
      </c>
      <c r="L63" s="262">
        <v>8162</v>
      </c>
      <c r="M63" s="253">
        <v>5E-06</v>
      </c>
      <c r="N63" s="253">
        <v>0.03</v>
      </c>
      <c r="O63" s="240"/>
      <c r="P63" s="48"/>
    </row>
    <row r="64" spans="1:16" ht="12.75">
      <c r="A64" s="236">
        <v>124481</v>
      </c>
      <c r="B64" s="234" t="s">
        <v>380</v>
      </c>
      <c r="C64" s="253">
        <v>31.82</v>
      </c>
      <c r="D64" s="254">
        <v>0.036636</v>
      </c>
      <c r="E64" s="254">
        <v>1.0561E-05</v>
      </c>
      <c r="F64" s="254">
        <v>2700</v>
      </c>
      <c r="G64" s="253">
        <v>0.0320114</v>
      </c>
      <c r="H64" s="253">
        <v>0.000783</v>
      </c>
      <c r="I64" s="100">
        <v>25</v>
      </c>
      <c r="J64" s="258">
        <v>393.15</v>
      </c>
      <c r="K64" s="259">
        <v>678.2</v>
      </c>
      <c r="L64" s="261">
        <v>5900</v>
      </c>
      <c r="M64" s="270">
        <v>0</v>
      </c>
      <c r="N64" s="270">
        <v>0</v>
      </c>
      <c r="O64" s="240"/>
      <c r="P64" s="48"/>
    </row>
    <row r="65" spans="1:16" ht="12.75">
      <c r="A65" s="236">
        <v>127184</v>
      </c>
      <c r="B65" s="234" t="s">
        <v>381</v>
      </c>
      <c r="C65" s="253">
        <v>94.94</v>
      </c>
      <c r="D65" s="254">
        <v>0.050466</v>
      </c>
      <c r="E65" s="254">
        <v>9.4551E-06</v>
      </c>
      <c r="F65" s="254">
        <v>206</v>
      </c>
      <c r="G65" s="253">
        <v>0.7236304</v>
      </c>
      <c r="H65" s="253">
        <v>0.0177</v>
      </c>
      <c r="I65" s="100">
        <v>25</v>
      </c>
      <c r="J65" s="258">
        <v>394.45</v>
      </c>
      <c r="K65" s="262">
        <v>620.25</v>
      </c>
      <c r="L65" s="261">
        <v>8288</v>
      </c>
      <c r="M65" s="253">
        <v>2.6E-07</v>
      </c>
      <c r="N65" s="253">
        <v>0.04</v>
      </c>
      <c r="O65" s="240"/>
      <c r="P65" s="48"/>
    </row>
    <row r="66" spans="1:16" ht="12.75">
      <c r="A66" s="236">
        <v>156592</v>
      </c>
      <c r="B66" s="234" t="s">
        <v>387</v>
      </c>
      <c r="C66" s="253">
        <v>39.6</v>
      </c>
      <c r="D66" s="254">
        <v>0.088406</v>
      </c>
      <c r="E66" s="254">
        <v>1.1335E-05</v>
      </c>
      <c r="F66" s="254">
        <v>6410</v>
      </c>
      <c r="G66" s="253">
        <v>0.1668029</v>
      </c>
      <c r="H66" s="253">
        <v>0.00408</v>
      </c>
      <c r="I66" s="9">
        <v>25</v>
      </c>
      <c r="J66" s="258">
        <v>328.15</v>
      </c>
      <c r="K66" s="262">
        <v>544.2</v>
      </c>
      <c r="L66" s="261">
        <v>7192</v>
      </c>
      <c r="M66" s="270">
        <v>0</v>
      </c>
      <c r="N66" s="270">
        <v>0</v>
      </c>
      <c r="O66" s="240"/>
      <c r="P66" s="48"/>
    </row>
    <row r="67" spans="1:16" ht="12.75">
      <c r="A67" s="236">
        <v>156605</v>
      </c>
      <c r="B67" s="234" t="s">
        <v>382</v>
      </c>
      <c r="C67" s="253">
        <v>39.6</v>
      </c>
      <c r="D67" s="255">
        <v>0.087609</v>
      </c>
      <c r="E67" s="255">
        <v>1.1191E-05</v>
      </c>
      <c r="F67" s="255">
        <v>4520</v>
      </c>
      <c r="G67" s="253">
        <v>0.38348</v>
      </c>
      <c r="H67" s="253">
        <v>0.00938</v>
      </c>
      <c r="I67" s="100">
        <v>25</v>
      </c>
      <c r="J67" s="258">
        <v>328.15</v>
      </c>
      <c r="K67" s="262">
        <v>516.5</v>
      </c>
      <c r="L67" s="263">
        <v>7144</v>
      </c>
      <c r="M67" s="270">
        <v>0</v>
      </c>
      <c r="N67" s="270">
        <v>0</v>
      </c>
      <c r="O67" s="240"/>
      <c r="P67" s="48"/>
    </row>
    <row r="68" spans="1:16" ht="12.75">
      <c r="A68" s="236">
        <v>542756</v>
      </c>
      <c r="B68" s="234" t="s">
        <v>383</v>
      </c>
      <c r="C68" s="253">
        <v>72.17</v>
      </c>
      <c r="D68" s="255">
        <v>0.076272</v>
      </c>
      <c r="E68" s="255">
        <v>1.0123E-05</v>
      </c>
      <c r="F68" s="255">
        <v>2800</v>
      </c>
      <c r="G68" s="253">
        <v>0.1451349</v>
      </c>
      <c r="H68" s="253">
        <v>0.00355</v>
      </c>
      <c r="I68" s="100">
        <v>25</v>
      </c>
      <c r="J68" s="258">
        <v>385.15</v>
      </c>
      <c r="K68" s="262">
        <v>587.38</v>
      </c>
      <c r="L68" s="263">
        <v>7900</v>
      </c>
      <c r="M68" s="253">
        <v>4E-06</v>
      </c>
      <c r="N68" s="253">
        <v>0.02</v>
      </c>
      <c r="O68" s="240"/>
      <c r="P68" s="48"/>
    </row>
    <row r="69" spans="1:16" ht="12.75">
      <c r="A69" s="236">
        <v>1330207</v>
      </c>
      <c r="B69" s="234" t="s">
        <v>384</v>
      </c>
      <c r="C69" s="253">
        <v>382.9</v>
      </c>
      <c r="D69" s="255">
        <v>0.068515</v>
      </c>
      <c r="E69" s="255">
        <v>8.464E-06</v>
      </c>
      <c r="F69" s="255">
        <v>106</v>
      </c>
      <c r="G69" s="253">
        <v>0.27105</v>
      </c>
      <c r="H69" s="253">
        <v>0.00663</v>
      </c>
      <c r="I69" s="100">
        <v>25</v>
      </c>
      <c r="J69" s="258">
        <v>411.65</v>
      </c>
      <c r="K69" s="262">
        <v>616.2</v>
      </c>
      <c r="L69" s="262">
        <v>8523</v>
      </c>
      <c r="M69" s="253">
        <v>0</v>
      </c>
      <c r="N69" s="253">
        <v>0.1</v>
      </c>
      <c r="O69" s="240"/>
      <c r="P69" s="48"/>
    </row>
    <row r="70" spans="1:16" ht="12.75">
      <c r="A70" s="236">
        <v>1634044</v>
      </c>
      <c r="B70" s="234" t="s">
        <v>385</v>
      </c>
      <c r="C70" s="253">
        <v>11.56</v>
      </c>
      <c r="D70" s="255">
        <v>0.075267</v>
      </c>
      <c r="E70" s="255">
        <v>8.5904E-06</v>
      </c>
      <c r="F70" s="255">
        <v>51000</v>
      </c>
      <c r="G70" s="253">
        <v>0.0239984</v>
      </c>
      <c r="H70" s="253">
        <v>0.000587</v>
      </c>
      <c r="I70" s="9">
        <v>25</v>
      </c>
      <c r="J70" s="258">
        <v>328.34999999999997</v>
      </c>
      <c r="K70" s="262">
        <v>497.1</v>
      </c>
      <c r="L70" s="263">
        <v>7101</v>
      </c>
      <c r="M70" s="253">
        <v>2.6E-07</v>
      </c>
      <c r="N70" s="253">
        <v>3</v>
      </c>
      <c r="O70" s="240"/>
      <c r="P70" s="48"/>
    </row>
    <row r="71" spans="1:16" ht="12.75">
      <c r="A71" s="236">
        <v>7439976</v>
      </c>
      <c r="B71" s="268" t="s">
        <v>325</v>
      </c>
      <c r="C71" s="253">
        <v>26000</v>
      </c>
      <c r="D71" s="269">
        <v>0.0307</v>
      </c>
      <c r="E71" s="269">
        <v>6.3E-06</v>
      </c>
      <c r="F71" s="269">
        <v>0.06</v>
      </c>
      <c r="G71" s="269">
        <v>0.352</v>
      </c>
      <c r="H71" s="269">
        <v>0.008622</v>
      </c>
      <c r="I71" s="9">
        <v>25</v>
      </c>
      <c r="J71" s="258">
        <v>629.75</v>
      </c>
      <c r="K71" s="262">
        <v>1735.15</v>
      </c>
      <c r="L71" s="262">
        <v>14127</v>
      </c>
      <c r="M71" s="253">
        <v>0</v>
      </c>
      <c r="N71" s="253">
        <v>0.0003</v>
      </c>
      <c r="O71" s="240"/>
      <c r="P71" s="48"/>
    </row>
    <row r="72" spans="1:16" ht="12.75">
      <c r="A72" s="8"/>
      <c r="B72" s="9"/>
      <c r="C72" s="253"/>
      <c r="D72" s="255"/>
      <c r="E72" s="255"/>
      <c r="F72" s="255"/>
      <c r="G72" s="253"/>
      <c r="H72" s="253"/>
      <c r="I72" s="9"/>
      <c r="J72" s="257"/>
      <c r="K72" s="258"/>
      <c r="L72" s="263"/>
      <c r="M72" s="265"/>
      <c r="N72" s="265"/>
      <c r="O72" s="240"/>
      <c r="P72" s="48"/>
    </row>
    <row r="73" spans="1:16" ht="12.75">
      <c r="A73" s="8"/>
      <c r="B73" s="9"/>
      <c r="C73" s="253"/>
      <c r="D73" s="255"/>
      <c r="E73" s="255"/>
      <c r="F73" s="255"/>
      <c r="G73" s="253"/>
      <c r="H73" s="253"/>
      <c r="I73" s="9"/>
      <c r="J73" s="260"/>
      <c r="K73" s="258"/>
      <c r="L73" s="264"/>
      <c r="M73" s="265"/>
      <c r="N73" s="265"/>
      <c r="O73" s="240"/>
      <c r="P73" s="48"/>
    </row>
    <row r="74" spans="1:16" ht="12.75">
      <c r="A74" s="8"/>
      <c r="B74" s="9"/>
      <c r="C74" s="253"/>
      <c r="D74" s="255"/>
      <c r="E74" s="255"/>
      <c r="F74" s="255"/>
      <c r="G74" s="253"/>
      <c r="H74" s="253"/>
      <c r="I74" s="9"/>
      <c r="J74" s="257"/>
      <c r="K74" s="258"/>
      <c r="L74" s="262"/>
      <c r="M74" s="265"/>
      <c r="N74" s="265"/>
      <c r="O74" s="240"/>
      <c r="P74" s="48"/>
    </row>
    <row r="75" spans="1:16" ht="12.75">
      <c r="A75" s="8"/>
      <c r="B75" s="9"/>
      <c r="C75" s="253"/>
      <c r="D75" s="255"/>
      <c r="E75" s="255"/>
      <c r="F75" s="255"/>
      <c r="G75" s="253"/>
      <c r="H75" s="253"/>
      <c r="I75" s="9"/>
      <c r="J75" s="257"/>
      <c r="K75" s="258"/>
      <c r="L75" s="262"/>
      <c r="M75" s="265"/>
      <c r="N75" s="265"/>
      <c r="O75" s="240"/>
      <c r="P75" s="48"/>
    </row>
    <row r="76" spans="1:16" ht="12.75">
      <c r="A76" s="8"/>
      <c r="B76" s="9"/>
      <c r="C76" s="253"/>
      <c r="D76" s="255"/>
      <c r="E76" s="255"/>
      <c r="F76" s="255"/>
      <c r="G76" s="253"/>
      <c r="H76" s="253"/>
      <c r="I76" s="9"/>
      <c r="J76" s="257"/>
      <c r="K76" s="258"/>
      <c r="L76" s="262"/>
      <c r="M76" s="266"/>
      <c r="N76" s="266"/>
      <c r="O76" s="240"/>
      <c r="P76" s="48"/>
    </row>
    <row r="77" spans="1:16" ht="12.75">
      <c r="A77" s="8"/>
      <c r="B77" s="9"/>
      <c r="C77" s="253"/>
      <c r="D77" s="255"/>
      <c r="E77" s="255"/>
      <c r="F77" s="255"/>
      <c r="G77" s="253"/>
      <c r="H77" s="253"/>
      <c r="I77" s="9"/>
      <c r="J77" s="257"/>
      <c r="K77" s="258"/>
      <c r="L77" s="264"/>
      <c r="M77" s="265"/>
      <c r="N77" s="265"/>
      <c r="O77" s="240"/>
      <c r="P77" s="48"/>
    </row>
    <row r="78" spans="1:16" ht="12.75">
      <c r="A78" s="8"/>
      <c r="B78" s="9"/>
      <c r="C78" s="253"/>
      <c r="D78" s="255"/>
      <c r="E78" s="255"/>
      <c r="F78" s="255"/>
      <c r="G78" s="253"/>
      <c r="H78" s="253"/>
      <c r="I78" s="9"/>
      <c r="J78" s="260"/>
      <c r="K78" s="258"/>
      <c r="L78" s="262"/>
      <c r="M78" s="265"/>
      <c r="N78" s="265"/>
      <c r="O78" s="240"/>
      <c r="P78" s="48"/>
    </row>
    <row r="79" spans="1:16" ht="12.75">
      <c r="A79" s="99"/>
      <c r="B79" s="100"/>
      <c r="C79" s="101"/>
      <c r="D79" s="101"/>
      <c r="E79" s="101"/>
      <c r="F79" s="101"/>
      <c r="G79" s="101"/>
      <c r="H79" s="101"/>
      <c r="I79" s="100"/>
      <c r="J79" s="141"/>
      <c r="K79" s="143"/>
      <c r="L79" s="144"/>
      <c r="M79" s="102"/>
      <c r="N79" s="102"/>
      <c r="O79" s="240"/>
      <c r="P79" s="48"/>
    </row>
    <row r="80" spans="1:16" ht="12.75">
      <c r="A80" s="99"/>
      <c r="B80" s="100"/>
      <c r="C80" s="101"/>
      <c r="D80" s="101"/>
      <c r="E80" s="101"/>
      <c r="F80" s="101"/>
      <c r="G80" s="101"/>
      <c r="H80" s="101"/>
      <c r="I80" s="100"/>
      <c r="J80" s="141"/>
      <c r="K80" s="143"/>
      <c r="L80" s="144"/>
      <c r="M80" s="102"/>
      <c r="N80" s="102"/>
      <c r="O80" s="240"/>
      <c r="P80" s="48"/>
    </row>
    <row r="81" spans="1:16" ht="12.75">
      <c r="A81" s="99"/>
      <c r="B81" s="100"/>
      <c r="C81" s="101"/>
      <c r="D81" s="101"/>
      <c r="E81" s="101"/>
      <c r="F81" s="101"/>
      <c r="G81" s="101"/>
      <c r="H81" s="101"/>
      <c r="I81" s="100"/>
      <c r="J81" s="141"/>
      <c r="K81" s="143"/>
      <c r="L81" s="144"/>
      <c r="M81" s="102"/>
      <c r="N81" s="102"/>
      <c r="O81" s="240"/>
      <c r="P81" s="48"/>
    </row>
    <row r="82" spans="1:16" ht="12.75">
      <c r="A82" s="99"/>
      <c r="B82" s="100"/>
      <c r="C82" s="101"/>
      <c r="D82" s="101"/>
      <c r="E82" s="101"/>
      <c r="F82" s="101"/>
      <c r="G82" s="101"/>
      <c r="H82" s="101"/>
      <c r="I82" s="100"/>
      <c r="J82" s="141"/>
      <c r="K82" s="143"/>
      <c r="L82" s="144"/>
      <c r="M82" s="102"/>
      <c r="N82" s="102"/>
      <c r="O82" s="240"/>
      <c r="P82" s="48"/>
    </row>
    <row r="83" spans="1:16" ht="12.75">
      <c r="A83" s="99"/>
      <c r="B83" s="100"/>
      <c r="C83" s="101"/>
      <c r="D83" s="101"/>
      <c r="E83" s="101"/>
      <c r="F83" s="101"/>
      <c r="G83" s="101"/>
      <c r="H83" s="101"/>
      <c r="I83" s="100"/>
      <c r="J83" s="141"/>
      <c r="K83" s="143"/>
      <c r="L83" s="144"/>
      <c r="M83" s="102"/>
      <c r="N83" s="102"/>
      <c r="O83" s="240"/>
      <c r="P83" s="48"/>
    </row>
    <row r="84" spans="1:16" ht="12.75">
      <c r="A84" s="99"/>
      <c r="B84" s="100"/>
      <c r="C84" s="101"/>
      <c r="D84" s="101"/>
      <c r="E84" s="101"/>
      <c r="F84" s="101"/>
      <c r="G84" s="101"/>
      <c r="H84" s="101"/>
      <c r="I84" s="100"/>
      <c r="J84" s="141"/>
      <c r="K84" s="143"/>
      <c r="L84" s="144"/>
      <c r="M84" s="102"/>
      <c r="N84" s="102"/>
      <c r="O84" s="240"/>
      <c r="P84" s="48"/>
    </row>
    <row r="85" spans="1:16" ht="12.75">
      <c r="A85" s="99"/>
      <c r="B85" s="100"/>
      <c r="C85" s="101"/>
      <c r="D85" s="101"/>
      <c r="E85" s="101"/>
      <c r="F85" s="101"/>
      <c r="G85" s="101"/>
      <c r="H85" s="101"/>
      <c r="I85" s="100"/>
      <c r="J85" s="141"/>
      <c r="K85" s="143"/>
      <c r="L85" s="144"/>
      <c r="M85" s="102"/>
      <c r="N85" s="102"/>
      <c r="O85" s="240"/>
      <c r="P85" s="48"/>
    </row>
    <row r="86" spans="1:16" ht="12.75">
      <c r="A86" s="99"/>
      <c r="B86" s="100"/>
      <c r="C86" s="101"/>
      <c r="D86" s="101"/>
      <c r="E86" s="101"/>
      <c r="F86" s="101"/>
      <c r="G86" s="101"/>
      <c r="H86" s="101"/>
      <c r="I86" s="100"/>
      <c r="J86" s="141"/>
      <c r="K86" s="143"/>
      <c r="L86" s="144"/>
      <c r="M86" s="102"/>
      <c r="N86" s="102"/>
      <c r="O86" s="240"/>
      <c r="P86" s="48"/>
    </row>
    <row r="87" spans="1:16" ht="12.75">
      <c r="A87" s="99"/>
      <c r="B87" s="100"/>
      <c r="C87" s="101"/>
      <c r="D87" s="101"/>
      <c r="E87" s="101"/>
      <c r="F87" s="101"/>
      <c r="G87" s="101"/>
      <c r="H87" s="101"/>
      <c r="I87" s="100"/>
      <c r="J87" s="141"/>
      <c r="K87" s="143"/>
      <c r="L87" s="144"/>
      <c r="M87" s="102"/>
      <c r="N87" s="102"/>
      <c r="O87" s="240"/>
      <c r="P87" s="48"/>
    </row>
    <row r="88" spans="1:16" ht="12.75">
      <c r="A88" s="99"/>
      <c r="B88" s="100"/>
      <c r="C88" s="101"/>
      <c r="D88" s="101"/>
      <c r="E88" s="101"/>
      <c r="F88" s="101"/>
      <c r="G88" s="101"/>
      <c r="H88" s="101"/>
      <c r="I88" s="100"/>
      <c r="J88" s="141"/>
      <c r="K88" s="143"/>
      <c r="L88" s="144"/>
      <c r="M88" s="102"/>
      <c r="N88" s="102"/>
      <c r="O88" s="240"/>
      <c r="P88" s="48"/>
    </row>
    <row r="89" spans="1:16" ht="12.75">
      <c r="A89" s="99"/>
      <c r="B89" s="100"/>
      <c r="C89" s="101"/>
      <c r="D89" s="101"/>
      <c r="E89" s="101"/>
      <c r="F89" s="101"/>
      <c r="G89" s="101"/>
      <c r="H89" s="101"/>
      <c r="I89" s="100"/>
      <c r="J89" s="141"/>
      <c r="K89" s="143"/>
      <c r="L89" s="144"/>
      <c r="M89" s="102"/>
      <c r="N89" s="102"/>
      <c r="O89" s="240"/>
      <c r="P89" s="48"/>
    </row>
    <row r="90" spans="1:16" ht="12.75">
      <c r="A90" s="99"/>
      <c r="B90" s="100"/>
      <c r="C90" s="101"/>
      <c r="D90" s="101"/>
      <c r="E90" s="101"/>
      <c r="F90" s="101"/>
      <c r="G90" s="101"/>
      <c r="H90" s="101"/>
      <c r="I90" s="100"/>
      <c r="J90" s="141"/>
      <c r="K90" s="143"/>
      <c r="L90" s="144"/>
      <c r="M90" s="102"/>
      <c r="N90" s="102"/>
      <c r="O90" s="240"/>
      <c r="P90" s="48"/>
    </row>
    <row r="91" spans="1:16" ht="12.75">
      <c r="A91" s="99"/>
      <c r="B91" s="100"/>
      <c r="C91" s="101"/>
      <c r="D91" s="101"/>
      <c r="E91" s="101"/>
      <c r="F91" s="101"/>
      <c r="G91" s="101"/>
      <c r="H91" s="101"/>
      <c r="I91" s="100"/>
      <c r="J91" s="141"/>
      <c r="K91" s="143"/>
      <c r="L91" s="144"/>
      <c r="M91" s="102"/>
      <c r="N91" s="102"/>
      <c r="O91" s="240"/>
      <c r="P91" s="48"/>
    </row>
    <row r="92" spans="1:16" ht="12.75">
      <c r="A92" s="99"/>
      <c r="B92" s="100"/>
      <c r="C92" s="101"/>
      <c r="D92" s="101"/>
      <c r="E92" s="101"/>
      <c r="F92" s="101"/>
      <c r="G92" s="101"/>
      <c r="H92" s="101"/>
      <c r="I92" s="100"/>
      <c r="J92" s="141"/>
      <c r="K92" s="143"/>
      <c r="L92" s="144"/>
      <c r="M92" s="102"/>
      <c r="N92" s="102"/>
      <c r="O92" s="240"/>
      <c r="P92" s="48"/>
    </row>
    <row r="93" spans="1:16" ht="12.75">
      <c r="A93" s="99"/>
      <c r="B93" s="100"/>
      <c r="C93" s="101"/>
      <c r="D93" s="101"/>
      <c r="E93" s="101"/>
      <c r="F93" s="101"/>
      <c r="G93" s="101"/>
      <c r="H93" s="101"/>
      <c r="I93" s="100"/>
      <c r="J93" s="141"/>
      <c r="K93" s="143"/>
      <c r="L93" s="144"/>
      <c r="M93" s="102"/>
      <c r="N93" s="102"/>
      <c r="O93" s="240"/>
      <c r="P93" s="48"/>
    </row>
    <row r="94" spans="1:16" ht="12.75">
      <c r="A94" s="99"/>
      <c r="B94" s="100"/>
      <c r="C94" s="101"/>
      <c r="D94" s="101"/>
      <c r="E94" s="101"/>
      <c r="F94" s="101"/>
      <c r="G94" s="101"/>
      <c r="H94" s="101"/>
      <c r="I94" s="100"/>
      <c r="J94" s="141"/>
      <c r="K94" s="143"/>
      <c r="L94" s="144"/>
      <c r="M94" s="102"/>
      <c r="N94" s="102"/>
      <c r="O94" s="240"/>
      <c r="P94" s="48"/>
    </row>
    <row r="95" spans="1:16" ht="12.75">
      <c r="A95" s="99"/>
      <c r="B95" s="100"/>
      <c r="C95" s="101"/>
      <c r="D95" s="101"/>
      <c r="E95" s="101"/>
      <c r="F95" s="101"/>
      <c r="G95" s="101"/>
      <c r="H95" s="101"/>
      <c r="I95" s="100"/>
      <c r="J95" s="141"/>
      <c r="K95" s="143"/>
      <c r="L95" s="144"/>
      <c r="M95" s="102"/>
      <c r="N95" s="102"/>
      <c r="O95" s="240"/>
      <c r="P95" s="48"/>
    </row>
    <row r="96" spans="1:16" ht="12.75">
      <c r="A96" s="99"/>
      <c r="B96" s="100"/>
      <c r="C96" s="101"/>
      <c r="D96" s="101"/>
      <c r="E96" s="101"/>
      <c r="F96" s="101"/>
      <c r="G96" s="101"/>
      <c r="H96" s="101"/>
      <c r="I96" s="100"/>
      <c r="J96" s="141"/>
      <c r="K96" s="143"/>
      <c r="L96" s="144"/>
      <c r="M96" s="102"/>
      <c r="N96" s="102"/>
      <c r="O96" s="240"/>
      <c r="P96" s="48"/>
    </row>
    <row r="97" spans="1:16" ht="12.75">
      <c r="A97" s="99"/>
      <c r="B97" s="100"/>
      <c r="C97" s="101"/>
      <c r="D97" s="101"/>
      <c r="E97" s="101"/>
      <c r="F97" s="101"/>
      <c r="G97" s="101"/>
      <c r="H97" s="101"/>
      <c r="I97" s="100"/>
      <c r="J97" s="141"/>
      <c r="K97" s="143"/>
      <c r="L97" s="144"/>
      <c r="M97" s="102"/>
      <c r="N97" s="102"/>
      <c r="O97" s="240"/>
      <c r="P97" s="48"/>
    </row>
    <row r="98" spans="1:16" ht="12.75">
      <c r="A98" s="99"/>
      <c r="B98" s="100"/>
      <c r="C98" s="101"/>
      <c r="D98" s="101"/>
      <c r="E98" s="101"/>
      <c r="F98" s="101"/>
      <c r="G98" s="101"/>
      <c r="H98" s="101"/>
      <c r="I98" s="100"/>
      <c r="J98" s="141"/>
      <c r="K98" s="143"/>
      <c r="L98" s="144"/>
      <c r="M98" s="102"/>
      <c r="N98" s="102"/>
      <c r="O98" s="240"/>
      <c r="P98" s="48"/>
    </row>
    <row r="99" spans="1:16" ht="12.75">
      <c r="A99" s="8"/>
      <c r="B99" s="9"/>
      <c r="C99" s="250"/>
      <c r="D99" s="209"/>
      <c r="E99" s="209"/>
      <c r="F99" s="209"/>
      <c r="G99" s="209"/>
      <c r="H99" s="209"/>
      <c r="I99" s="9"/>
      <c r="J99" s="9"/>
      <c r="K99" s="9"/>
      <c r="L99" s="9"/>
      <c r="M99" s="210"/>
      <c r="N99" s="208"/>
      <c r="O99" s="240"/>
      <c r="P99" s="48"/>
    </row>
    <row r="100" spans="1:16" ht="12.75">
      <c r="A100" s="99"/>
      <c r="B100" s="100"/>
      <c r="C100" s="101"/>
      <c r="D100" s="101"/>
      <c r="E100" s="101"/>
      <c r="F100" s="101"/>
      <c r="G100" s="101"/>
      <c r="H100" s="101"/>
      <c r="I100" s="100"/>
      <c r="J100" s="141"/>
      <c r="K100" s="143"/>
      <c r="L100" s="144"/>
      <c r="M100" s="102"/>
      <c r="N100" s="102"/>
      <c r="O100" s="240"/>
      <c r="P100" s="48"/>
    </row>
    <row r="101" spans="1:16" ht="12.75">
      <c r="A101" s="99"/>
      <c r="B101" s="100"/>
      <c r="C101" s="101"/>
      <c r="D101" s="101"/>
      <c r="E101" s="101"/>
      <c r="F101" s="101"/>
      <c r="G101" s="101"/>
      <c r="H101" s="101"/>
      <c r="I101" s="100"/>
      <c r="J101" s="141"/>
      <c r="K101" s="143"/>
      <c r="L101" s="144"/>
      <c r="M101" s="102"/>
      <c r="N101" s="102"/>
      <c r="O101" s="240"/>
      <c r="P101" s="48"/>
    </row>
    <row r="102" spans="1:16" ht="12.75">
      <c r="A102" s="99"/>
      <c r="B102" s="100"/>
      <c r="C102" s="101"/>
      <c r="D102" s="101"/>
      <c r="E102" s="101"/>
      <c r="F102" s="101"/>
      <c r="G102" s="101"/>
      <c r="H102" s="101"/>
      <c r="I102" s="100"/>
      <c r="J102" s="141"/>
      <c r="K102" s="143"/>
      <c r="L102" s="144"/>
      <c r="M102" s="102"/>
      <c r="N102" s="102"/>
      <c r="O102" s="240"/>
      <c r="P102" s="48"/>
    </row>
    <row r="103" spans="1:16" ht="12.75">
      <c r="A103" s="99"/>
      <c r="B103" s="100"/>
      <c r="C103" s="101"/>
      <c r="D103" s="101"/>
      <c r="E103" s="101"/>
      <c r="F103" s="101"/>
      <c r="G103" s="101"/>
      <c r="H103" s="101"/>
      <c r="I103" s="100"/>
      <c r="J103" s="141"/>
      <c r="K103" s="143"/>
      <c r="L103" s="144"/>
      <c r="M103" s="102"/>
      <c r="N103" s="102"/>
      <c r="O103" s="240"/>
      <c r="P103" s="48"/>
    </row>
    <row r="104" spans="1:16" ht="12.75">
      <c r="A104" s="99"/>
      <c r="B104" s="100"/>
      <c r="C104" s="101"/>
      <c r="D104" s="101"/>
      <c r="E104" s="101"/>
      <c r="F104" s="101"/>
      <c r="G104" s="101"/>
      <c r="H104" s="101"/>
      <c r="I104" s="100"/>
      <c r="J104" s="141"/>
      <c r="K104" s="143"/>
      <c r="L104" s="144"/>
      <c r="M104" s="102"/>
      <c r="N104" s="102"/>
      <c r="O104" s="240"/>
      <c r="P104" s="48"/>
    </row>
    <row r="105" spans="1:16" ht="12.75">
      <c r="A105" s="99"/>
      <c r="B105" s="100"/>
      <c r="C105" s="101"/>
      <c r="D105" s="101"/>
      <c r="E105" s="101"/>
      <c r="F105" s="101"/>
      <c r="G105" s="101"/>
      <c r="H105" s="101"/>
      <c r="I105" s="100"/>
      <c r="J105" s="141"/>
      <c r="K105" s="143"/>
      <c r="L105" s="144"/>
      <c r="M105" s="102"/>
      <c r="N105" s="102"/>
      <c r="O105" s="240"/>
      <c r="P105" s="48"/>
    </row>
    <row r="106" spans="1:16" ht="12.75">
      <c r="A106" s="99"/>
      <c r="B106" s="100"/>
      <c r="C106" s="101"/>
      <c r="D106" s="101"/>
      <c r="E106" s="101"/>
      <c r="F106" s="101"/>
      <c r="G106" s="101"/>
      <c r="H106" s="101"/>
      <c r="I106" s="100"/>
      <c r="J106" s="141"/>
      <c r="K106" s="143"/>
      <c r="L106" s="144"/>
      <c r="M106" s="102"/>
      <c r="N106" s="102"/>
      <c r="O106" s="240"/>
      <c r="P106" s="48"/>
    </row>
    <row r="107" spans="1:16" ht="12.75">
      <c r="A107" s="99"/>
      <c r="B107" s="100"/>
      <c r="C107" s="101"/>
      <c r="D107" s="101"/>
      <c r="E107" s="101"/>
      <c r="F107" s="101"/>
      <c r="G107" s="101"/>
      <c r="H107" s="101"/>
      <c r="I107" s="100"/>
      <c r="J107" s="141"/>
      <c r="K107" s="143"/>
      <c r="L107" s="144"/>
      <c r="M107" s="102"/>
      <c r="N107" s="102"/>
      <c r="O107" s="240"/>
      <c r="P107" s="48"/>
    </row>
    <row r="108" spans="1:16" ht="12.75">
      <c r="A108" s="99"/>
      <c r="B108" s="100"/>
      <c r="C108" s="101"/>
      <c r="D108" s="101"/>
      <c r="E108" s="101"/>
      <c r="F108" s="101"/>
      <c r="G108" s="101"/>
      <c r="H108" s="101"/>
      <c r="I108" s="100"/>
      <c r="J108" s="141"/>
      <c r="K108" s="143"/>
      <c r="L108" s="144"/>
      <c r="M108" s="102"/>
      <c r="N108" s="102"/>
      <c r="O108" s="240"/>
      <c r="P108" s="48"/>
    </row>
    <row r="109" spans="1:16" ht="12.75">
      <c r="A109" s="99"/>
      <c r="B109" s="100"/>
      <c r="C109" s="101"/>
      <c r="D109" s="101"/>
      <c r="E109" s="101"/>
      <c r="F109" s="101"/>
      <c r="G109" s="101"/>
      <c r="H109" s="101"/>
      <c r="I109" s="100"/>
      <c r="J109" s="141"/>
      <c r="K109" s="143"/>
      <c r="L109" s="144"/>
      <c r="M109" s="102"/>
      <c r="N109" s="102"/>
      <c r="O109" s="240"/>
      <c r="P109" s="48"/>
    </row>
    <row r="110" spans="1:16" ht="12.75">
      <c r="A110" s="99"/>
      <c r="B110" s="100"/>
      <c r="C110" s="101"/>
      <c r="D110" s="101"/>
      <c r="E110" s="101"/>
      <c r="F110" s="101"/>
      <c r="G110" s="101"/>
      <c r="H110" s="101"/>
      <c r="I110" s="100"/>
      <c r="J110" s="141"/>
      <c r="K110" s="143"/>
      <c r="L110" s="144"/>
      <c r="M110" s="102"/>
      <c r="N110" s="102"/>
      <c r="O110" s="240"/>
      <c r="P110" s="48"/>
    </row>
    <row r="111" spans="1:16" ht="12.75">
      <c r="A111" s="99"/>
      <c r="B111" s="100"/>
      <c r="C111" s="101"/>
      <c r="D111" s="101"/>
      <c r="E111" s="101"/>
      <c r="F111" s="101"/>
      <c r="G111" s="101"/>
      <c r="H111" s="101"/>
      <c r="I111" s="100"/>
      <c r="J111" s="141"/>
      <c r="K111" s="143"/>
      <c r="L111" s="144"/>
      <c r="M111" s="102"/>
      <c r="N111" s="102"/>
      <c r="O111" s="240"/>
      <c r="P111" s="48"/>
    </row>
    <row r="112" spans="1:16" ht="12">
      <c r="A112" s="8"/>
      <c r="B112" s="9"/>
      <c r="C112" s="209"/>
      <c r="D112" s="209"/>
      <c r="E112" s="209"/>
      <c r="F112" s="209"/>
      <c r="G112" s="209"/>
      <c r="H112" s="209"/>
      <c r="I112" s="9"/>
      <c r="J112" s="9"/>
      <c r="K112" s="9"/>
      <c r="L112" s="9"/>
      <c r="M112" s="210"/>
      <c r="N112" s="208"/>
      <c r="O112" s="240"/>
      <c r="P112" s="48"/>
    </row>
    <row r="113" spans="1:16" ht="12.75">
      <c r="A113" s="99"/>
      <c r="B113" s="100"/>
      <c r="C113" s="101"/>
      <c r="D113" s="101"/>
      <c r="E113" s="101"/>
      <c r="F113" s="101"/>
      <c r="G113" s="101"/>
      <c r="H113" s="101"/>
      <c r="I113" s="100"/>
      <c r="J113" s="141"/>
      <c r="K113" s="143"/>
      <c r="L113" s="144"/>
      <c r="M113" s="102"/>
      <c r="N113" s="102"/>
      <c r="O113" s="240"/>
      <c r="P113" s="48"/>
    </row>
    <row r="114" spans="1:16" ht="12.75">
      <c r="A114" s="99"/>
      <c r="B114" s="100"/>
      <c r="C114" s="101"/>
      <c r="D114" s="101"/>
      <c r="E114" s="101"/>
      <c r="F114" s="101"/>
      <c r="G114" s="101"/>
      <c r="H114" s="101"/>
      <c r="I114" s="100"/>
      <c r="J114" s="141"/>
      <c r="K114" s="143"/>
      <c r="L114" s="144"/>
      <c r="M114" s="102"/>
      <c r="N114" s="102"/>
      <c r="O114" s="240"/>
      <c r="P114" s="48"/>
    </row>
    <row r="115" spans="1:16" ht="12.75">
      <c r="A115" s="99"/>
      <c r="B115" s="100"/>
      <c r="C115" s="101"/>
      <c r="D115" s="101"/>
      <c r="E115" s="101"/>
      <c r="F115" s="101"/>
      <c r="G115" s="101"/>
      <c r="H115" s="101"/>
      <c r="I115" s="100"/>
      <c r="J115" s="141"/>
      <c r="K115" s="143"/>
      <c r="L115" s="144"/>
      <c r="M115" s="102"/>
      <c r="N115" s="102"/>
      <c r="O115" s="240"/>
      <c r="P115" s="48"/>
    </row>
    <row r="116" spans="1:16" ht="12.75">
      <c r="A116" s="99"/>
      <c r="B116" s="100"/>
      <c r="C116" s="101"/>
      <c r="D116" s="101"/>
      <c r="E116" s="101"/>
      <c r="F116" s="101"/>
      <c r="G116" s="101"/>
      <c r="H116" s="101"/>
      <c r="I116" s="100"/>
      <c r="J116" s="141"/>
      <c r="K116" s="143"/>
      <c r="L116" s="144"/>
      <c r="M116" s="102"/>
      <c r="N116" s="102"/>
      <c r="O116" s="240"/>
      <c r="P116" s="48"/>
    </row>
    <row r="117" spans="1:16" ht="12.75">
      <c r="A117" s="99"/>
      <c r="B117" s="100"/>
      <c r="C117" s="101"/>
      <c r="D117" s="101"/>
      <c r="E117" s="101"/>
      <c r="F117" s="101"/>
      <c r="G117" s="101"/>
      <c r="H117" s="101"/>
      <c r="I117" s="100"/>
      <c r="J117" s="141"/>
      <c r="K117" s="143"/>
      <c r="L117" s="144"/>
      <c r="M117" s="102"/>
      <c r="N117" s="102"/>
      <c r="O117" s="240"/>
      <c r="P117" s="48"/>
    </row>
    <row r="118" spans="1:16" ht="12.75">
      <c r="A118" s="99"/>
      <c r="B118" s="100"/>
      <c r="C118" s="101"/>
      <c r="D118" s="101"/>
      <c r="E118" s="101"/>
      <c r="F118" s="101"/>
      <c r="G118" s="101"/>
      <c r="H118" s="101"/>
      <c r="I118" s="100"/>
      <c r="J118" s="142"/>
      <c r="K118" s="143"/>
      <c r="L118" s="144"/>
      <c r="M118" s="102"/>
      <c r="N118" s="102"/>
      <c r="O118" s="240"/>
      <c r="P118" s="48"/>
    </row>
    <row r="119" spans="1:16" ht="12.75">
      <c r="A119" s="99"/>
      <c r="B119" s="100"/>
      <c r="C119" s="101"/>
      <c r="D119" s="101"/>
      <c r="E119" s="101"/>
      <c r="F119" s="101"/>
      <c r="G119" s="101"/>
      <c r="H119" s="101"/>
      <c r="I119" s="100"/>
      <c r="J119" s="141"/>
      <c r="K119" s="143"/>
      <c r="L119" s="144"/>
      <c r="M119" s="102"/>
      <c r="N119" s="102"/>
      <c r="O119" s="240"/>
      <c r="P119" s="48"/>
    </row>
    <row r="120" spans="1:16" ht="12.75">
      <c r="A120" s="99"/>
      <c r="B120" s="100"/>
      <c r="C120" s="101"/>
      <c r="D120" s="101"/>
      <c r="E120" s="101"/>
      <c r="F120" s="101"/>
      <c r="G120" s="101"/>
      <c r="H120" s="101"/>
      <c r="I120" s="100"/>
      <c r="J120" s="141"/>
      <c r="K120" s="143"/>
      <c r="L120" s="144"/>
      <c r="M120" s="102"/>
      <c r="N120" s="102"/>
      <c r="O120" s="240"/>
      <c r="P120" s="48"/>
    </row>
    <row r="121" spans="1:16" ht="12.75">
      <c r="A121" s="99"/>
      <c r="B121" s="100"/>
      <c r="C121" s="101"/>
      <c r="D121" s="101"/>
      <c r="E121" s="101"/>
      <c r="F121" s="101"/>
      <c r="G121" s="101"/>
      <c r="H121" s="101"/>
      <c r="I121" s="100"/>
      <c r="J121" s="141"/>
      <c r="K121" s="143"/>
      <c r="L121" s="144"/>
      <c r="M121" s="102"/>
      <c r="N121" s="102"/>
      <c r="O121" s="240"/>
      <c r="P121" s="48"/>
    </row>
    <row r="122" spans="1:16" ht="12">
      <c r="A122" s="80"/>
      <c r="B122" s="81"/>
      <c r="C122" s="207"/>
      <c r="D122" s="207"/>
      <c r="E122" s="207"/>
      <c r="F122" s="207"/>
      <c r="G122" s="207"/>
      <c r="H122" s="207"/>
      <c r="I122" s="81"/>
      <c r="J122" s="81"/>
      <c r="K122" s="81"/>
      <c r="L122" s="81"/>
      <c r="M122" s="208"/>
      <c r="N122" s="208"/>
      <c r="O122" s="240"/>
      <c r="P122" s="48"/>
    </row>
    <row r="123" spans="1:16" ht="12">
      <c r="A123" s="80"/>
      <c r="B123" s="81"/>
      <c r="C123" s="207"/>
      <c r="D123" s="207"/>
      <c r="E123" s="207"/>
      <c r="F123" s="207"/>
      <c r="G123" s="207"/>
      <c r="H123" s="207"/>
      <c r="I123" s="81"/>
      <c r="J123" s="81"/>
      <c r="K123" s="81"/>
      <c r="L123" s="81"/>
      <c r="M123" s="208"/>
      <c r="N123" s="208"/>
      <c r="O123" s="240"/>
      <c r="P123" s="48"/>
    </row>
    <row r="124" spans="1:16" ht="12">
      <c r="A124" s="80"/>
      <c r="B124" s="81"/>
      <c r="C124" s="207"/>
      <c r="D124" s="207"/>
      <c r="E124" s="207"/>
      <c r="F124" s="207"/>
      <c r="G124" s="207"/>
      <c r="H124" s="207"/>
      <c r="I124" s="81"/>
      <c r="J124" s="81"/>
      <c r="K124" s="81"/>
      <c r="L124" s="81"/>
      <c r="M124" s="208"/>
      <c r="N124" s="208"/>
      <c r="O124" s="240"/>
      <c r="P124" s="48"/>
    </row>
    <row r="125" spans="1:16" ht="12">
      <c r="A125" s="80"/>
      <c r="B125" s="81"/>
      <c r="C125" s="207"/>
      <c r="D125" s="207"/>
      <c r="E125" s="207"/>
      <c r="F125" s="207"/>
      <c r="G125" s="207"/>
      <c r="H125" s="207"/>
      <c r="I125" s="81"/>
      <c r="J125" s="81"/>
      <c r="K125" s="81"/>
      <c r="L125" s="81"/>
      <c r="M125" s="208"/>
      <c r="N125" s="208"/>
      <c r="O125" s="240"/>
      <c r="P125" s="48"/>
    </row>
    <row r="126" spans="1:16" ht="12">
      <c r="A126" s="8"/>
      <c r="B126" s="9"/>
      <c r="C126" s="209"/>
      <c r="D126" s="209"/>
      <c r="E126" s="209"/>
      <c r="F126" s="209"/>
      <c r="G126" s="209"/>
      <c r="H126" s="209"/>
      <c r="I126" s="9"/>
      <c r="J126" s="9"/>
      <c r="K126" s="9"/>
      <c r="L126" s="9"/>
      <c r="M126" s="210"/>
      <c r="N126" s="208"/>
      <c r="O126" s="240"/>
      <c r="P126" s="48"/>
    </row>
    <row r="127" spans="1:16" ht="12">
      <c r="A127" s="8"/>
      <c r="B127" s="9"/>
      <c r="C127" s="209"/>
      <c r="D127" s="209"/>
      <c r="E127" s="209"/>
      <c r="F127" s="209"/>
      <c r="G127" s="209"/>
      <c r="H127" s="209"/>
      <c r="I127" s="9"/>
      <c r="J127" s="9"/>
      <c r="K127" s="9"/>
      <c r="L127" s="9"/>
      <c r="M127" s="210"/>
      <c r="N127" s="208"/>
      <c r="O127" s="240"/>
      <c r="P127" s="48"/>
    </row>
    <row r="128" spans="1:16" ht="12">
      <c r="A128" s="8"/>
      <c r="B128" s="9"/>
      <c r="C128" s="209"/>
      <c r="D128" s="209"/>
      <c r="E128" s="209"/>
      <c r="F128" s="209"/>
      <c r="G128" s="209"/>
      <c r="H128" s="209"/>
      <c r="I128" s="9"/>
      <c r="J128" s="9"/>
      <c r="K128" s="9"/>
      <c r="L128" s="9"/>
      <c r="M128" s="210"/>
      <c r="N128" s="208"/>
      <c r="O128" s="240"/>
      <c r="P128" s="48"/>
    </row>
    <row r="129" spans="1:16" ht="12">
      <c r="A129" s="8"/>
      <c r="B129" s="9"/>
      <c r="C129" s="209"/>
      <c r="D129" s="209"/>
      <c r="E129" s="209"/>
      <c r="F129" s="209"/>
      <c r="G129" s="209"/>
      <c r="H129" s="209"/>
      <c r="I129" s="9"/>
      <c r="J129" s="9"/>
      <c r="K129" s="9"/>
      <c r="L129" s="9"/>
      <c r="M129" s="210"/>
      <c r="N129" s="208"/>
      <c r="O129" s="240"/>
      <c r="P129" s="48"/>
    </row>
    <row r="130" spans="1:16" ht="12">
      <c r="A130" s="8"/>
      <c r="B130" s="9"/>
      <c r="C130" s="209"/>
      <c r="D130" s="209"/>
      <c r="E130" s="209"/>
      <c r="F130" s="209"/>
      <c r="G130" s="209"/>
      <c r="H130" s="209"/>
      <c r="I130" s="9"/>
      <c r="J130" s="9"/>
      <c r="K130" s="9"/>
      <c r="L130" s="9"/>
      <c r="M130" s="210"/>
      <c r="N130" s="208"/>
      <c r="O130" s="240"/>
      <c r="P130" s="48"/>
    </row>
    <row r="131" spans="1:16" ht="12">
      <c r="A131" s="8"/>
      <c r="B131" s="9"/>
      <c r="C131" s="209"/>
      <c r="D131" s="209"/>
      <c r="E131" s="209"/>
      <c r="F131" s="209"/>
      <c r="G131" s="209"/>
      <c r="H131" s="209"/>
      <c r="I131" s="9"/>
      <c r="J131" s="9"/>
      <c r="K131" s="9"/>
      <c r="L131" s="9"/>
      <c r="M131" s="210"/>
      <c r="N131" s="208"/>
      <c r="O131" s="240"/>
      <c r="P131" s="48"/>
    </row>
    <row r="132" spans="1:16" ht="12">
      <c r="A132" s="8"/>
      <c r="B132" s="9"/>
      <c r="C132" s="209"/>
      <c r="D132" s="209"/>
      <c r="E132" s="209"/>
      <c r="F132" s="209"/>
      <c r="G132" s="209"/>
      <c r="H132" s="209"/>
      <c r="I132" s="9"/>
      <c r="J132" s="9"/>
      <c r="K132" s="9"/>
      <c r="L132" s="9"/>
      <c r="M132" s="210"/>
      <c r="N132" s="208"/>
      <c r="O132" s="9"/>
      <c r="P132" s="48"/>
    </row>
    <row r="133" spans="1:16" ht="12">
      <c r="A133" s="8"/>
      <c r="B133" s="9"/>
      <c r="C133" s="209"/>
      <c r="D133" s="209"/>
      <c r="E133" s="209"/>
      <c r="F133" s="209"/>
      <c r="G133" s="209"/>
      <c r="H133" s="209"/>
      <c r="I133" s="9"/>
      <c r="J133" s="9"/>
      <c r="K133" s="9"/>
      <c r="L133" s="9"/>
      <c r="M133" s="210"/>
      <c r="N133" s="208"/>
      <c r="O133" s="240"/>
      <c r="P133" s="48"/>
    </row>
    <row r="134" spans="1:16" ht="12">
      <c r="A134" s="8"/>
      <c r="B134" s="9"/>
      <c r="C134" s="209"/>
      <c r="D134" s="209"/>
      <c r="E134" s="209"/>
      <c r="F134" s="209"/>
      <c r="G134" s="209"/>
      <c r="H134" s="209"/>
      <c r="I134" s="9"/>
      <c r="J134" s="9"/>
      <c r="K134" s="9"/>
      <c r="L134" s="9"/>
      <c r="M134" s="210"/>
      <c r="N134" s="208"/>
      <c r="O134" s="240"/>
      <c r="P134" s="48"/>
    </row>
    <row r="135" spans="1:16" ht="12.75">
      <c r="A135" s="8"/>
      <c r="B135" s="9"/>
      <c r="C135" s="209"/>
      <c r="D135" s="209"/>
      <c r="E135" s="209"/>
      <c r="F135" s="250"/>
      <c r="G135" s="209"/>
      <c r="H135" s="209"/>
      <c r="I135" s="9"/>
      <c r="J135" s="9"/>
      <c r="K135" s="251"/>
      <c r="L135" s="251"/>
      <c r="M135" s="210"/>
      <c r="N135" s="208"/>
      <c r="O135" s="240"/>
      <c r="P135" s="48"/>
    </row>
    <row r="136" spans="1:16" ht="12">
      <c r="A136" s="8"/>
      <c r="B136" s="9"/>
      <c r="C136" s="209"/>
      <c r="D136" s="209"/>
      <c r="E136" s="209"/>
      <c r="F136" s="209"/>
      <c r="G136" s="209"/>
      <c r="H136" s="209"/>
      <c r="I136" s="9"/>
      <c r="J136" s="9"/>
      <c r="K136" s="9"/>
      <c r="L136" s="9"/>
      <c r="M136" s="210"/>
      <c r="N136" s="208"/>
      <c r="O136" s="240"/>
      <c r="P136" s="48"/>
    </row>
    <row r="137" spans="1:16" ht="12">
      <c r="A137" s="8"/>
      <c r="B137" s="9"/>
      <c r="C137" s="209"/>
      <c r="D137" s="209"/>
      <c r="E137" s="209"/>
      <c r="F137" s="209"/>
      <c r="G137" s="209"/>
      <c r="H137" s="209"/>
      <c r="I137" s="9"/>
      <c r="J137" s="9"/>
      <c r="K137" s="9"/>
      <c r="L137" s="9"/>
      <c r="M137" s="210"/>
      <c r="N137" s="208"/>
      <c r="O137" s="240"/>
      <c r="P137" s="48"/>
    </row>
    <row r="138" spans="1:16" ht="12">
      <c r="A138" s="8"/>
      <c r="B138" s="9"/>
      <c r="C138" s="209"/>
      <c r="D138" s="209"/>
      <c r="E138" s="209"/>
      <c r="F138" s="209"/>
      <c r="G138" s="209"/>
      <c r="H138" s="209"/>
      <c r="I138" s="9"/>
      <c r="J138" s="9"/>
      <c r="K138" s="9"/>
      <c r="L138" s="9"/>
      <c r="M138" s="210"/>
      <c r="N138" s="208"/>
      <c r="O138" s="240"/>
      <c r="P138" s="48"/>
    </row>
    <row r="139" spans="1:16" ht="12">
      <c r="A139" s="8"/>
      <c r="B139" s="9"/>
      <c r="C139" s="209"/>
      <c r="D139" s="209"/>
      <c r="E139" s="209"/>
      <c r="F139" s="209"/>
      <c r="G139" s="209"/>
      <c r="H139" s="209"/>
      <c r="I139" s="9"/>
      <c r="J139" s="9"/>
      <c r="K139" s="9"/>
      <c r="L139" s="9"/>
      <c r="M139" s="210"/>
      <c r="N139" s="208"/>
      <c r="O139" s="240"/>
      <c r="P139" s="48"/>
    </row>
    <row r="140" spans="1:16" ht="12">
      <c r="A140" s="8"/>
      <c r="B140" s="9"/>
      <c r="C140" s="209"/>
      <c r="D140" s="209"/>
      <c r="E140" s="209"/>
      <c r="F140" s="209"/>
      <c r="G140" s="209"/>
      <c r="H140" s="209"/>
      <c r="I140" s="9"/>
      <c r="J140" s="9"/>
      <c r="K140" s="9"/>
      <c r="L140" s="9"/>
      <c r="M140" s="210"/>
      <c r="N140" s="208"/>
      <c r="O140" s="9"/>
      <c r="P140" s="52"/>
    </row>
    <row r="141" spans="1:16" ht="12">
      <c r="A141" s="8"/>
      <c r="B141" s="9"/>
      <c r="C141" s="209"/>
      <c r="D141" s="209"/>
      <c r="E141" s="209"/>
      <c r="F141" s="209"/>
      <c r="G141" s="209"/>
      <c r="H141" s="209"/>
      <c r="I141" s="9"/>
      <c r="J141" s="9"/>
      <c r="K141" s="9"/>
      <c r="L141" s="9"/>
      <c r="M141" s="210"/>
      <c r="N141" s="208"/>
      <c r="O141" s="9"/>
      <c r="P141" s="52"/>
    </row>
    <row r="142" spans="1:16" ht="12">
      <c r="A142" s="8"/>
      <c r="B142" s="9"/>
      <c r="C142" s="209"/>
      <c r="D142" s="209"/>
      <c r="E142" s="209"/>
      <c r="F142" s="209"/>
      <c r="G142" s="209"/>
      <c r="H142" s="209"/>
      <c r="I142" s="9"/>
      <c r="J142" s="9"/>
      <c r="K142" s="9"/>
      <c r="L142" s="9"/>
      <c r="M142" s="210"/>
      <c r="N142" s="208"/>
      <c r="O142" s="9"/>
      <c r="P142" s="52"/>
    </row>
    <row r="143" spans="1:16" ht="12">
      <c r="A143" s="8"/>
      <c r="B143" s="9"/>
      <c r="C143" s="209"/>
      <c r="D143" s="209"/>
      <c r="E143" s="209"/>
      <c r="F143" s="209"/>
      <c r="G143" s="209"/>
      <c r="H143" s="209"/>
      <c r="I143" s="9"/>
      <c r="J143" s="9"/>
      <c r="K143" s="9"/>
      <c r="L143" s="9"/>
      <c r="M143" s="210"/>
      <c r="N143" s="208"/>
      <c r="O143" s="9"/>
      <c r="P143" s="52"/>
    </row>
    <row r="144" spans="1:16" ht="12">
      <c r="A144" s="8"/>
      <c r="B144" s="9"/>
      <c r="C144" s="209"/>
      <c r="D144" s="209"/>
      <c r="E144" s="209"/>
      <c r="F144" s="209"/>
      <c r="G144" s="209"/>
      <c r="H144" s="209"/>
      <c r="I144" s="9"/>
      <c r="J144" s="9"/>
      <c r="K144" s="9"/>
      <c r="L144" s="9"/>
      <c r="M144" s="210"/>
      <c r="N144" s="208"/>
      <c r="O144" s="9"/>
      <c r="P144" s="52"/>
    </row>
    <row r="145" spans="1:16" ht="12">
      <c r="A145" s="8"/>
      <c r="B145" s="9"/>
      <c r="C145" s="209"/>
      <c r="D145" s="209"/>
      <c r="E145" s="209"/>
      <c r="F145" s="209"/>
      <c r="G145" s="209"/>
      <c r="H145" s="209"/>
      <c r="I145" s="9"/>
      <c r="J145" s="9"/>
      <c r="K145" s="9"/>
      <c r="L145" s="9"/>
      <c r="M145" s="210"/>
      <c r="N145" s="208"/>
      <c r="O145" s="9"/>
      <c r="P145" s="52"/>
    </row>
    <row r="146" spans="1:16" ht="12">
      <c r="A146" s="8"/>
      <c r="B146" s="9"/>
      <c r="C146" s="209"/>
      <c r="D146" s="209"/>
      <c r="E146" s="209"/>
      <c r="F146" s="209"/>
      <c r="G146" s="209"/>
      <c r="H146" s="209"/>
      <c r="I146" s="9"/>
      <c r="J146" s="9"/>
      <c r="K146" s="9"/>
      <c r="L146" s="9"/>
      <c r="M146" s="210"/>
      <c r="N146" s="208"/>
      <c r="O146" s="9"/>
      <c r="P146" s="52"/>
    </row>
    <row r="147" spans="1:16" ht="12">
      <c r="A147" s="8"/>
      <c r="B147" s="9"/>
      <c r="C147" s="209"/>
      <c r="D147" s="209"/>
      <c r="E147" s="209"/>
      <c r="F147" s="209"/>
      <c r="G147" s="209"/>
      <c r="H147" s="209"/>
      <c r="I147" s="9"/>
      <c r="J147" s="9"/>
      <c r="K147" s="9"/>
      <c r="L147" s="9"/>
      <c r="M147" s="210"/>
      <c r="N147" s="208"/>
      <c r="O147" s="9"/>
      <c r="P147" s="52"/>
    </row>
    <row r="148" spans="1:16" ht="12">
      <c r="A148" s="8"/>
      <c r="B148" s="9"/>
      <c r="C148" s="209"/>
      <c r="D148" s="209"/>
      <c r="E148" s="209"/>
      <c r="F148" s="209"/>
      <c r="G148" s="209"/>
      <c r="H148" s="209"/>
      <c r="I148" s="9"/>
      <c r="J148" s="9"/>
      <c r="K148" s="9"/>
      <c r="L148" s="9"/>
      <c r="M148" s="210"/>
      <c r="N148" s="208"/>
      <c r="O148" s="9"/>
      <c r="P148" s="52"/>
    </row>
    <row r="149" spans="1:16" ht="12">
      <c r="A149" s="8"/>
      <c r="B149" s="9"/>
      <c r="C149" s="209"/>
      <c r="D149" s="209"/>
      <c r="E149" s="209"/>
      <c r="F149" s="209"/>
      <c r="G149" s="209"/>
      <c r="H149" s="209"/>
      <c r="I149" s="9"/>
      <c r="J149" s="9"/>
      <c r="K149" s="9"/>
      <c r="L149" s="9"/>
      <c r="M149" s="210"/>
      <c r="N149" s="208"/>
      <c r="O149" s="9"/>
      <c r="P149" s="52"/>
    </row>
    <row r="150" spans="1:16" ht="12">
      <c r="A150" s="8"/>
      <c r="B150" s="9"/>
      <c r="C150" s="209"/>
      <c r="D150" s="209"/>
      <c r="E150" s="209"/>
      <c r="F150" s="209"/>
      <c r="G150" s="209"/>
      <c r="H150" s="209"/>
      <c r="I150" s="9"/>
      <c r="J150" s="9"/>
      <c r="K150" s="9"/>
      <c r="L150" s="9"/>
      <c r="M150" s="210"/>
      <c r="N150" s="208"/>
      <c r="O150" s="9"/>
      <c r="P150" s="52"/>
    </row>
    <row r="151" spans="1:16" ht="12">
      <c r="A151" s="8"/>
      <c r="B151" s="9"/>
      <c r="C151" s="209"/>
      <c r="D151" s="209"/>
      <c r="E151" s="209"/>
      <c r="F151" s="209"/>
      <c r="G151" s="209"/>
      <c r="H151" s="209"/>
      <c r="I151" s="9"/>
      <c r="J151" s="9"/>
      <c r="K151" s="9"/>
      <c r="L151" s="9"/>
      <c r="M151" s="210"/>
      <c r="N151" s="208"/>
      <c r="O151" s="9"/>
      <c r="P151" s="52"/>
    </row>
    <row r="152" spans="1:16" ht="12">
      <c r="A152" s="8"/>
      <c r="B152" s="9"/>
      <c r="C152" s="209"/>
      <c r="D152" s="209"/>
      <c r="E152" s="209"/>
      <c r="F152" s="209"/>
      <c r="G152" s="209"/>
      <c r="H152" s="209"/>
      <c r="I152" s="9"/>
      <c r="J152" s="9"/>
      <c r="K152" s="9"/>
      <c r="L152" s="9"/>
      <c r="M152" s="210"/>
      <c r="N152" s="208"/>
      <c r="O152" s="9"/>
      <c r="P152" s="52"/>
    </row>
    <row r="153" spans="1:16" ht="12">
      <c r="A153" s="8"/>
      <c r="B153" s="9"/>
      <c r="C153" s="209"/>
      <c r="D153" s="209"/>
      <c r="E153" s="209"/>
      <c r="F153" s="209"/>
      <c r="G153" s="209"/>
      <c r="H153" s="209"/>
      <c r="I153" s="9"/>
      <c r="J153" s="9"/>
      <c r="K153" s="9"/>
      <c r="L153" s="9"/>
      <c r="M153" s="210"/>
      <c r="N153" s="208"/>
      <c r="O153" s="9"/>
      <c r="P153" s="52"/>
    </row>
    <row r="154" spans="1:16" ht="12">
      <c r="A154" s="8"/>
      <c r="B154" s="9"/>
      <c r="C154" s="209"/>
      <c r="D154" s="209"/>
      <c r="E154" s="209"/>
      <c r="F154" s="209"/>
      <c r="G154" s="209"/>
      <c r="H154" s="209"/>
      <c r="I154" s="9"/>
      <c r="J154" s="9"/>
      <c r="K154" s="9"/>
      <c r="L154" s="9"/>
      <c r="M154" s="210"/>
      <c r="N154" s="208"/>
      <c r="O154" s="9"/>
      <c r="P154" s="52"/>
    </row>
    <row r="155" spans="1:16" ht="12">
      <c r="A155" s="8"/>
      <c r="B155" s="9"/>
      <c r="C155" s="209"/>
      <c r="D155" s="209"/>
      <c r="E155" s="209"/>
      <c r="F155" s="209"/>
      <c r="G155" s="209"/>
      <c r="H155" s="209"/>
      <c r="I155" s="9"/>
      <c r="J155" s="9"/>
      <c r="K155" s="9"/>
      <c r="L155" s="9"/>
      <c r="M155" s="210"/>
      <c r="N155" s="208"/>
      <c r="O155" s="9"/>
      <c r="P155" s="52"/>
    </row>
    <row r="156" spans="1:16" ht="12">
      <c r="A156" s="8"/>
      <c r="B156" s="9"/>
      <c r="C156" s="209"/>
      <c r="D156" s="209"/>
      <c r="E156" s="209"/>
      <c r="F156" s="209"/>
      <c r="G156" s="209"/>
      <c r="H156" s="209"/>
      <c r="I156" s="9"/>
      <c r="J156" s="9"/>
      <c r="K156" s="9"/>
      <c r="L156" s="9"/>
      <c r="M156" s="210"/>
      <c r="N156" s="208"/>
      <c r="O156" s="9"/>
      <c r="P156" s="52"/>
    </row>
    <row r="157" spans="1:16" ht="12">
      <c r="A157" s="8"/>
      <c r="B157" s="9"/>
      <c r="C157" s="209"/>
      <c r="D157" s="209"/>
      <c r="E157" s="209"/>
      <c r="F157" s="209"/>
      <c r="G157" s="209"/>
      <c r="H157" s="209"/>
      <c r="I157" s="9"/>
      <c r="J157" s="9"/>
      <c r="K157" s="9"/>
      <c r="L157" s="9"/>
      <c r="M157" s="210"/>
      <c r="N157" s="208"/>
      <c r="O157" s="9"/>
      <c r="P157" s="52"/>
    </row>
    <row r="158" spans="1:16" ht="12">
      <c r="A158" s="8"/>
      <c r="B158" s="9"/>
      <c r="C158" s="209"/>
      <c r="D158" s="209"/>
      <c r="E158" s="209"/>
      <c r="F158" s="209"/>
      <c r="G158" s="209"/>
      <c r="H158" s="209"/>
      <c r="I158" s="9"/>
      <c r="J158" s="9"/>
      <c r="K158" s="9"/>
      <c r="L158" s="9"/>
      <c r="M158" s="210"/>
      <c r="N158" s="208"/>
      <c r="O158" s="9"/>
      <c r="P158" s="52"/>
    </row>
    <row r="159" spans="1:16" ht="12">
      <c r="A159" s="8"/>
      <c r="B159" s="9"/>
      <c r="C159" s="209"/>
      <c r="D159" s="209"/>
      <c r="E159" s="209"/>
      <c r="F159" s="209"/>
      <c r="G159" s="209"/>
      <c r="H159" s="209"/>
      <c r="I159" s="9"/>
      <c r="J159" s="9"/>
      <c r="K159" s="9"/>
      <c r="L159" s="9"/>
      <c r="M159" s="210"/>
      <c r="N159" s="208"/>
      <c r="O159" s="9"/>
      <c r="P159" s="52"/>
    </row>
    <row r="160" spans="1:16" ht="12">
      <c r="A160" s="8"/>
      <c r="B160" s="9"/>
      <c r="C160" s="209"/>
      <c r="D160" s="209"/>
      <c r="E160" s="209"/>
      <c r="F160" s="209"/>
      <c r="G160" s="209"/>
      <c r="H160" s="209"/>
      <c r="I160" s="9"/>
      <c r="J160" s="9"/>
      <c r="K160" s="9"/>
      <c r="L160" s="9"/>
      <c r="M160" s="210"/>
      <c r="N160" s="208"/>
      <c r="O160" s="9"/>
      <c r="P160" s="52"/>
    </row>
    <row r="161" spans="1:16" ht="12">
      <c r="A161" s="8"/>
      <c r="B161" s="9"/>
      <c r="C161" s="209"/>
      <c r="D161" s="209"/>
      <c r="E161" s="209"/>
      <c r="F161" s="209"/>
      <c r="G161" s="209"/>
      <c r="H161" s="209"/>
      <c r="I161" s="9"/>
      <c r="J161" s="9"/>
      <c r="K161" s="9"/>
      <c r="L161" s="9"/>
      <c r="M161" s="210"/>
      <c r="N161" s="208"/>
      <c r="O161" s="9"/>
      <c r="P161" s="52"/>
    </row>
    <row r="162" spans="1:16" ht="12">
      <c r="A162" s="8"/>
      <c r="B162" s="9"/>
      <c r="C162" s="209"/>
      <c r="D162" s="209"/>
      <c r="E162" s="209"/>
      <c r="F162" s="209"/>
      <c r="G162" s="209"/>
      <c r="H162" s="209"/>
      <c r="I162" s="9"/>
      <c r="J162" s="9"/>
      <c r="K162" s="9"/>
      <c r="L162" s="9"/>
      <c r="M162" s="210"/>
      <c r="N162" s="208"/>
      <c r="O162" s="9"/>
      <c r="P162" s="52"/>
    </row>
    <row r="163" spans="1:16" ht="12">
      <c r="A163" s="8"/>
      <c r="B163" s="9"/>
      <c r="C163" s="209"/>
      <c r="D163" s="209"/>
      <c r="E163" s="209"/>
      <c r="F163" s="209"/>
      <c r="G163" s="209"/>
      <c r="H163" s="209"/>
      <c r="I163" s="9"/>
      <c r="J163" s="9"/>
      <c r="K163" s="9"/>
      <c r="L163" s="9"/>
      <c r="M163" s="210"/>
      <c r="N163" s="208"/>
      <c r="O163" s="9"/>
      <c r="P163" s="52"/>
    </row>
    <row r="164" spans="1:16" ht="12">
      <c r="A164" s="8"/>
      <c r="B164" s="9"/>
      <c r="C164" s="209"/>
      <c r="D164" s="209"/>
      <c r="E164" s="209"/>
      <c r="F164" s="209"/>
      <c r="G164" s="209"/>
      <c r="H164" s="209"/>
      <c r="I164" s="9"/>
      <c r="J164" s="9"/>
      <c r="K164" s="9"/>
      <c r="L164" s="9"/>
      <c r="M164" s="210"/>
      <c r="N164" s="208"/>
      <c r="O164" s="9"/>
      <c r="P164" s="52"/>
    </row>
    <row r="165" spans="1:16" ht="12">
      <c r="A165" s="8"/>
      <c r="B165" s="9"/>
      <c r="C165" s="209"/>
      <c r="D165" s="209"/>
      <c r="E165" s="209"/>
      <c r="F165" s="209"/>
      <c r="G165" s="209"/>
      <c r="H165" s="209"/>
      <c r="I165" s="9"/>
      <c r="J165" s="9"/>
      <c r="K165" s="9"/>
      <c r="L165" s="9"/>
      <c r="M165" s="210"/>
      <c r="N165" s="208"/>
      <c r="O165" s="9"/>
      <c r="P165" s="52"/>
    </row>
    <row r="166" spans="1:16" ht="12">
      <c r="A166" s="8"/>
      <c r="B166" s="9"/>
      <c r="C166" s="209"/>
      <c r="D166" s="209"/>
      <c r="E166" s="209"/>
      <c r="F166" s="209"/>
      <c r="G166" s="209"/>
      <c r="H166" s="209"/>
      <c r="I166" s="9"/>
      <c r="J166" s="9"/>
      <c r="K166" s="9"/>
      <c r="L166" s="9"/>
      <c r="M166" s="210"/>
      <c r="N166" s="208"/>
      <c r="O166" s="9"/>
      <c r="P166" s="52"/>
    </row>
    <row r="167" spans="1:16" ht="12">
      <c r="A167" s="8"/>
      <c r="B167" s="9"/>
      <c r="C167" s="209"/>
      <c r="D167" s="209"/>
      <c r="E167" s="209"/>
      <c r="F167" s="209"/>
      <c r="G167" s="209"/>
      <c r="H167" s="209"/>
      <c r="I167" s="9"/>
      <c r="J167" s="9"/>
      <c r="K167" s="9"/>
      <c r="L167" s="9"/>
      <c r="M167" s="210"/>
      <c r="N167" s="208"/>
      <c r="O167" s="9"/>
      <c r="P167" s="52"/>
    </row>
    <row r="168" spans="1:16" ht="12">
      <c r="A168" s="8"/>
      <c r="B168" s="9"/>
      <c r="C168" s="209"/>
      <c r="D168" s="209"/>
      <c r="E168" s="209"/>
      <c r="F168" s="209"/>
      <c r="G168" s="209"/>
      <c r="H168" s="209"/>
      <c r="I168" s="9"/>
      <c r="J168" s="9"/>
      <c r="K168" s="9"/>
      <c r="L168" s="9"/>
      <c r="M168" s="210"/>
      <c r="N168" s="210"/>
      <c r="O168" s="9"/>
      <c r="P168" s="52"/>
    </row>
    <row r="169" spans="1:16" ht="12">
      <c r="A169" s="8"/>
      <c r="B169" s="9"/>
      <c r="C169" s="209"/>
      <c r="D169" s="209"/>
      <c r="E169" s="209"/>
      <c r="F169" s="209"/>
      <c r="G169" s="209"/>
      <c r="H169" s="209"/>
      <c r="I169" s="9"/>
      <c r="J169" s="9"/>
      <c r="K169" s="9"/>
      <c r="L169" s="9"/>
      <c r="M169" s="210"/>
      <c r="N169" s="210"/>
      <c r="O169" s="9"/>
      <c r="P169" s="52"/>
    </row>
    <row r="170" spans="1:16" ht="12">
      <c r="A170" s="8"/>
      <c r="B170" s="9"/>
      <c r="C170" s="209"/>
      <c r="D170" s="209"/>
      <c r="E170" s="209"/>
      <c r="F170" s="209"/>
      <c r="G170" s="209"/>
      <c r="H170" s="209"/>
      <c r="I170" s="9"/>
      <c r="J170" s="9"/>
      <c r="K170" s="9"/>
      <c r="L170" s="9"/>
      <c r="M170" s="210"/>
      <c r="N170" s="210"/>
      <c r="O170" s="9"/>
      <c r="P170" s="52"/>
    </row>
    <row r="171" spans="1:16" ht="12">
      <c r="A171" s="8"/>
      <c r="B171" s="9"/>
      <c r="C171" s="209"/>
      <c r="D171" s="209"/>
      <c r="E171" s="209"/>
      <c r="F171" s="209"/>
      <c r="G171" s="209"/>
      <c r="H171" s="209"/>
      <c r="I171" s="9"/>
      <c r="J171" s="9"/>
      <c r="K171" s="9"/>
      <c r="L171" s="9"/>
      <c r="M171" s="210"/>
      <c r="N171" s="210"/>
      <c r="O171" s="9"/>
      <c r="P171" s="52"/>
    </row>
    <row r="172" spans="1:16" ht="12">
      <c r="A172" s="8"/>
      <c r="B172" s="9"/>
      <c r="C172" s="209"/>
      <c r="D172" s="209"/>
      <c r="E172" s="209"/>
      <c r="F172" s="209"/>
      <c r="G172" s="209"/>
      <c r="H172" s="209"/>
      <c r="I172" s="9"/>
      <c r="J172" s="9"/>
      <c r="K172" s="9"/>
      <c r="L172" s="9"/>
      <c r="M172" s="210"/>
      <c r="N172" s="210"/>
      <c r="O172" s="9"/>
      <c r="P172" s="52"/>
    </row>
    <row r="173" spans="1:16" ht="12">
      <c r="A173" s="8"/>
      <c r="B173" s="9"/>
      <c r="C173" s="209"/>
      <c r="D173" s="209"/>
      <c r="E173" s="209"/>
      <c r="F173" s="209"/>
      <c r="G173" s="209"/>
      <c r="H173" s="209"/>
      <c r="I173" s="9"/>
      <c r="J173" s="9"/>
      <c r="K173" s="9"/>
      <c r="L173" s="9"/>
      <c r="M173" s="210"/>
      <c r="N173" s="210"/>
      <c r="O173" s="9"/>
      <c r="P173" s="52"/>
    </row>
    <row r="174" spans="1:16" ht="12">
      <c r="A174" s="8"/>
      <c r="B174" s="9"/>
      <c r="C174" s="209"/>
      <c r="D174" s="209"/>
      <c r="E174" s="209"/>
      <c r="F174" s="209"/>
      <c r="G174" s="209"/>
      <c r="H174" s="209"/>
      <c r="I174" s="9"/>
      <c r="J174" s="9"/>
      <c r="K174" s="9"/>
      <c r="L174" s="9"/>
      <c r="M174" s="210"/>
      <c r="N174" s="210"/>
      <c r="O174" s="9"/>
      <c r="P174" s="52"/>
    </row>
    <row r="175" spans="1:16" ht="12">
      <c r="A175" s="8"/>
      <c r="B175" s="9"/>
      <c r="C175" s="209"/>
      <c r="D175" s="209"/>
      <c r="E175" s="209"/>
      <c r="F175" s="209"/>
      <c r="G175" s="209"/>
      <c r="H175" s="209"/>
      <c r="I175" s="9"/>
      <c r="J175" s="9"/>
      <c r="K175" s="9"/>
      <c r="L175" s="9"/>
      <c r="M175" s="210"/>
      <c r="N175" s="210"/>
      <c r="O175" s="9"/>
      <c r="P175" s="52"/>
    </row>
    <row r="176" spans="1:16" ht="12">
      <c r="A176" s="8"/>
      <c r="B176" s="9"/>
      <c r="C176" s="209"/>
      <c r="D176" s="209"/>
      <c r="E176" s="209"/>
      <c r="F176" s="209"/>
      <c r="G176" s="209"/>
      <c r="H176" s="209"/>
      <c r="I176" s="9"/>
      <c r="J176" s="9"/>
      <c r="K176" s="9"/>
      <c r="L176" s="9"/>
      <c r="M176" s="210"/>
      <c r="N176" s="210"/>
      <c r="O176" s="9"/>
      <c r="P176" s="52"/>
    </row>
    <row r="177" spans="1:16" ht="12">
      <c r="A177" s="8"/>
      <c r="B177" s="9"/>
      <c r="C177" s="209"/>
      <c r="D177" s="209"/>
      <c r="E177" s="209"/>
      <c r="F177" s="209"/>
      <c r="G177" s="209"/>
      <c r="H177" s="209"/>
      <c r="I177" s="9"/>
      <c r="J177" s="9"/>
      <c r="K177" s="9"/>
      <c r="L177" s="9"/>
      <c r="M177" s="210"/>
      <c r="N177" s="210"/>
      <c r="O177" s="9"/>
      <c r="P177" s="52"/>
    </row>
    <row r="178" spans="1:16" ht="12">
      <c r="A178" s="8"/>
      <c r="B178" s="9"/>
      <c r="C178" s="209"/>
      <c r="D178" s="209"/>
      <c r="E178" s="209"/>
      <c r="F178" s="209"/>
      <c r="G178" s="209"/>
      <c r="H178" s="209"/>
      <c r="I178" s="9"/>
      <c r="J178" s="9"/>
      <c r="K178" s="9"/>
      <c r="L178" s="9"/>
      <c r="M178" s="210"/>
      <c r="N178" s="210"/>
      <c r="O178" s="9"/>
      <c r="P178" s="52"/>
    </row>
    <row r="179" spans="1:16" ht="12">
      <c r="A179" s="8"/>
      <c r="B179" s="9"/>
      <c r="C179" s="209"/>
      <c r="D179" s="209"/>
      <c r="E179" s="209"/>
      <c r="F179" s="209"/>
      <c r="G179" s="209"/>
      <c r="H179" s="209"/>
      <c r="I179" s="9"/>
      <c r="J179" s="9"/>
      <c r="K179" s="9"/>
      <c r="L179" s="9"/>
      <c r="M179" s="210"/>
      <c r="N179" s="210"/>
      <c r="O179" s="9"/>
      <c r="P179" s="52"/>
    </row>
    <row r="180" spans="1:16" ht="12">
      <c r="A180" s="8"/>
      <c r="B180" s="9"/>
      <c r="C180" s="209"/>
      <c r="D180" s="209"/>
      <c r="E180" s="209"/>
      <c r="F180" s="209"/>
      <c r="G180" s="209"/>
      <c r="H180" s="209"/>
      <c r="I180" s="9"/>
      <c r="J180" s="9"/>
      <c r="K180" s="9"/>
      <c r="L180" s="9"/>
      <c r="M180" s="210"/>
      <c r="N180" s="210"/>
      <c r="O180" s="9"/>
      <c r="P180" s="52"/>
    </row>
    <row r="181" spans="1:16" ht="12">
      <c r="A181" s="8"/>
      <c r="B181" s="9"/>
      <c r="C181" s="209"/>
      <c r="D181" s="209"/>
      <c r="E181" s="209"/>
      <c r="F181" s="209"/>
      <c r="G181" s="209"/>
      <c r="H181" s="209"/>
      <c r="I181" s="9"/>
      <c r="J181" s="9"/>
      <c r="K181" s="9"/>
      <c r="L181" s="9"/>
      <c r="M181" s="210"/>
      <c r="N181" s="210"/>
      <c r="O181" s="9"/>
      <c r="P181" s="52"/>
    </row>
    <row r="182" spans="1:16" ht="12">
      <c r="A182" s="8"/>
      <c r="B182" s="9"/>
      <c r="C182" s="209"/>
      <c r="D182" s="209"/>
      <c r="E182" s="209"/>
      <c r="F182" s="209"/>
      <c r="G182" s="209"/>
      <c r="H182" s="209"/>
      <c r="I182" s="9"/>
      <c r="J182" s="9"/>
      <c r="K182" s="9"/>
      <c r="L182" s="9"/>
      <c r="M182" s="210"/>
      <c r="N182" s="210"/>
      <c r="O182" s="9"/>
      <c r="P182" s="52"/>
    </row>
    <row r="183" spans="1:16" ht="12">
      <c r="A183" s="8"/>
      <c r="B183" s="9"/>
      <c r="C183" s="209"/>
      <c r="D183" s="209"/>
      <c r="E183" s="209"/>
      <c r="F183" s="209"/>
      <c r="G183" s="209"/>
      <c r="H183" s="209"/>
      <c r="I183" s="9"/>
      <c r="J183" s="9"/>
      <c r="K183" s="9"/>
      <c r="L183" s="9"/>
      <c r="M183" s="210"/>
      <c r="N183" s="210"/>
      <c r="O183" s="9"/>
      <c r="P183" s="52"/>
    </row>
    <row r="184" spans="1:16" ht="12">
      <c r="A184" s="8"/>
      <c r="B184" s="9"/>
      <c r="C184" s="209"/>
      <c r="D184" s="209"/>
      <c r="E184" s="209"/>
      <c r="F184" s="209"/>
      <c r="G184" s="209"/>
      <c r="H184" s="209"/>
      <c r="I184" s="9"/>
      <c r="J184" s="9"/>
      <c r="K184" s="9"/>
      <c r="L184" s="9"/>
      <c r="M184" s="210"/>
      <c r="N184" s="210"/>
      <c r="O184" s="9"/>
      <c r="P184" s="52"/>
    </row>
    <row r="185" spans="1:16" ht="12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52"/>
    </row>
    <row r="186" spans="1:16" ht="12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52"/>
    </row>
    <row r="187" spans="1:16" ht="12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52"/>
    </row>
    <row r="188" spans="1:16" ht="12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52"/>
    </row>
    <row r="189" spans="1:16" ht="12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52"/>
    </row>
    <row r="190" spans="1:16" ht="12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52"/>
    </row>
    <row r="191" spans="1:16" ht="12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52"/>
    </row>
    <row r="192" spans="1:16" ht="12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52"/>
    </row>
    <row r="193" spans="1:16" ht="12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52"/>
    </row>
    <row r="194" spans="1:16" ht="12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52"/>
    </row>
    <row r="195" spans="1:16" ht="12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52"/>
    </row>
    <row r="196" spans="1:16" ht="12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52"/>
    </row>
    <row r="197" spans="1:16" ht="12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52"/>
    </row>
    <row r="198" spans="1:16" ht="12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52"/>
    </row>
    <row r="199" spans="1:16" ht="12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52"/>
    </row>
    <row r="200" spans="1:16" ht="12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52"/>
    </row>
    <row r="201" spans="1:16" ht="12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52"/>
    </row>
    <row r="202" spans="1:16" ht="12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52"/>
    </row>
    <row r="203" spans="1:16" ht="12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52"/>
    </row>
    <row r="204" spans="1:16" ht="12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52"/>
    </row>
    <row r="205" spans="1:16" ht="12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52"/>
    </row>
    <row r="206" spans="1:16" ht="12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52"/>
    </row>
    <row r="207" spans="1:16" ht="12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52"/>
    </row>
    <row r="208" spans="1:16" ht="12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52"/>
    </row>
    <row r="209" spans="1:16" ht="12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52"/>
    </row>
    <row r="210" spans="1:16" ht="12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52"/>
    </row>
    <row r="211" spans="1:16" ht="12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52"/>
    </row>
    <row r="212" spans="1:16" ht="12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52"/>
    </row>
    <row r="213" spans="1:16" ht="12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52"/>
    </row>
    <row r="214" spans="1:16" ht="12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52"/>
    </row>
    <row r="215" spans="1:16" ht="12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52"/>
    </row>
    <row r="216" spans="1:16" ht="12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52"/>
    </row>
    <row r="217" spans="1:16" ht="12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52"/>
    </row>
    <row r="218" spans="1:16" ht="12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52"/>
    </row>
    <row r="219" spans="1:16" ht="12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52"/>
    </row>
    <row r="220" spans="1:16" ht="12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52"/>
    </row>
    <row r="221" spans="1:16" ht="12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52"/>
    </row>
    <row r="222" spans="1:16" ht="12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52"/>
    </row>
    <row r="223" spans="1:16" ht="12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52"/>
    </row>
    <row r="224" spans="1:16" ht="12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52"/>
    </row>
    <row r="225" spans="1:16" ht="12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52"/>
    </row>
    <row r="226" spans="1:16" ht="12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52"/>
    </row>
    <row r="227" spans="1:16" ht="12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52"/>
    </row>
    <row r="228" spans="1:16" ht="12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52"/>
    </row>
    <row r="229" spans="1:16" ht="12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52"/>
    </row>
    <row r="230" spans="1:16" ht="12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52"/>
    </row>
    <row r="231" spans="1:16" ht="12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52"/>
    </row>
    <row r="232" spans="1:16" ht="12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52"/>
    </row>
    <row r="233" spans="1:16" ht="12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52"/>
    </row>
    <row r="234" spans="1:16" ht="12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52"/>
    </row>
    <row r="235" spans="1:16" ht="12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52"/>
    </row>
    <row r="236" spans="1:16" ht="12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52"/>
    </row>
    <row r="237" spans="1:16" ht="12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52"/>
    </row>
    <row r="238" spans="1:16" ht="12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52"/>
    </row>
    <row r="239" spans="1:16" ht="12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52"/>
    </row>
    <row r="240" spans="1:16" ht="12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52"/>
    </row>
    <row r="241" spans="1:16" ht="12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52"/>
    </row>
    <row r="242" spans="1:16" ht="12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52"/>
    </row>
    <row r="243" spans="1:16" ht="12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52"/>
    </row>
    <row r="244" spans="1:16" ht="12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52"/>
    </row>
    <row r="245" spans="1:16" ht="12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52"/>
    </row>
    <row r="246" spans="1:16" ht="12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52"/>
    </row>
    <row r="247" spans="1:16" ht="12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52"/>
    </row>
    <row r="248" spans="1:16" ht="12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52"/>
    </row>
    <row r="249" spans="1:16" ht="12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52"/>
    </row>
    <row r="250" spans="1:16" ht="12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52"/>
    </row>
    <row r="251" spans="1:16" ht="12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52"/>
    </row>
    <row r="252" spans="1:16" ht="12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52"/>
    </row>
    <row r="253" spans="1:16" ht="12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52"/>
    </row>
    <row r="254" spans="1:16" ht="12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52"/>
    </row>
    <row r="255" spans="1:16" ht="12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52"/>
    </row>
    <row r="256" spans="1:16" ht="12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52"/>
    </row>
    <row r="257" spans="1:16" ht="12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52"/>
    </row>
    <row r="258" spans="1:16" ht="12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52"/>
    </row>
    <row r="259" spans="1:16" ht="12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52"/>
    </row>
    <row r="260" spans="1:16" ht="12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52"/>
    </row>
    <row r="261" spans="1:16" ht="12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52"/>
    </row>
    <row r="262" spans="1:16" ht="12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52"/>
    </row>
    <row r="263" spans="1:16" ht="12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52"/>
    </row>
    <row r="264" spans="1:16" ht="12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52"/>
    </row>
    <row r="265" spans="1:16" ht="12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52"/>
    </row>
    <row r="266" spans="1:16" ht="12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52"/>
    </row>
    <row r="267" spans="1:16" ht="12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52"/>
    </row>
    <row r="268" spans="1:16" ht="12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52"/>
    </row>
    <row r="269" spans="1:16" ht="12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52"/>
    </row>
    <row r="270" spans="1:16" ht="12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52"/>
    </row>
    <row r="271" spans="1:16" ht="12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52"/>
    </row>
    <row r="272" spans="1:16" ht="12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52"/>
    </row>
    <row r="273" spans="1:16" ht="12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52"/>
    </row>
    <row r="274" spans="1:16" ht="12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52"/>
    </row>
    <row r="275" spans="1:16" ht="12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52"/>
    </row>
    <row r="276" spans="1:16" ht="12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52"/>
    </row>
    <row r="277" spans="1:16" ht="12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52"/>
    </row>
    <row r="278" spans="1:16" ht="12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52"/>
    </row>
    <row r="279" spans="1:16" ht="12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52"/>
    </row>
    <row r="280" spans="1:16" ht="12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52"/>
    </row>
    <row r="281" spans="1:16" ht="12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52"/>
    </row>
    <row r="282" spans="1:16" ht="12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52"/>
    </row>
    <row r="283" spans="1:16" ht="12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52"/>
    </row>
    <row r="284" spans="1:16" ht="12.75" thickBot="1">
      <c r="A284" s="21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88"/>
    </row>
  </sheetData>
  <sheetProtection password="CDDA" sheet="1" objects="1" scenarios="1"/>
  <printOptions horizontalCentered="1"/>
  <pageMargins left="0.5" right="0.5" top="0.65" bottom="0.65" header="0.5" footer="0.5"/>
  <pageSetup horizontalDpi="300" verticalDpi="300" orientation="landscape" scale="65" r:id="rId1"/>
  <headerFooter alignWithMargins="0">
    <oddHeader>&amp;CVLOOKUP TABLES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Mann (Modified Josh Dunbar)</dc:creator>
  <cp:keywords/>
  <dc:description/>
  <cp:lastModifiedBy>Sanders, Paul</cp:lastModifiedBy>
  <cp:lastPrinted>2004-10-12T20:36:06Z</cp:lastPrinted>
  <dcterms:created xsi:type="dcterms:W3CDTF">1999-11-11T18:07:18Z</dcterms:created>
  <dcterms:modified xsi:type="dcterms:W3CDTF">2021-02-22T19:14:32Z</dcterms:modified>
  <cp:category/>
  <cp:version/>
  <cp:contentType/>
  <cp:contentStatus/>
</cp:coreProperties>
</file>