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ethomas\Desktop\Current Projects\Omar\Final\"/>
    </mc:Choice>
  </mc:AlternateContent>
  <xr:revisionPtr revIDLastSave="0" documentId="13_ncr:1_{2D154E3D-E488-4C90-9D5C-B4E36E2EEC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ppendix V School District Code" sheetId="1" r:id="rId1"/>
  </sheets>
  <definedNames>
    <definedName name="_xlnm._FilterDatabase" localSheetId="0" hidden="1">'Appendix V School District Code'!$A$7:$E$698</definedName>
    <definedName name="_xlnm.Print_Area" localSheetId="0">'Appendix V School District Code'!$A$2:$E$698</definedName>
    <definedName name="_xlnm.Print_Titles" localSheetId="0">'Appendix V School District Code'!$6:$6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8" i="1" l="1"/>
  <c r="A698" i="1"/>
  <c r="C697" i="1"/>
  <c r="A697" i="1"/>
  <c r="C696" i="1"/>
  <c r="A696" i="1"/>
  <c r="C695" i="1"/>
  <c r="A695" i="1"/>
  <c r="C694" i="1"/>
  <c r="A694" i="1"/>
  <c r="C693" i="1"/>
  <c r="A693" i="1"/>
  <c r="C692" i="1"/>
  <c r="A692" i="1"/>
  <c r="C691" i="1"/>
  <c r="A691" i="1"/>
  <c r="C690" i="1"/>
  <c r="A690" i="1"/>
  <c r="C689" i="1"/>
  <c r="A689" i="1"/>
  <c r="C688" i="1"/>
  <c r="A688" i="1"/>
  <c r="C687" i="1"/>
  <c r="A687" i="1"/>
  <c r="C686" i="1"/>
  <c r="A686" i="1"/>
  <c r="C685" i="1"/>
  <c r="A685" i="1"/>
  <c r="C684" i="1"/>
  <c r="A684" i="1"/>
  <c r="C683" i="1"/>
  <c r="A683" i="1"/>
  <c r="C682" i="1"/>
  <c r="A682" i="1"/>
  <c r="C681" i="1"/>
  <c r="A681" i="1"/>
  <c r="C680" i="1"/>
  <c r="A680" i="1"/>
  <c r="C679" i="1"/>
  <c r="A679" i="1"/>
  <c r="C678" i="1"/>
  <c r="A678" i="1"/>
  <c r="C677" i="1"/>
  <c r="A677" i="1"/>
  <c r="C676" i="1"/>
  <c r="A676" i="1"/>
  <c r="C675" i="1"/>
  <c r="A675" i="1"/>
  <c r="C674" i="1"/>
  <c r="A674" i="1"/>
  <c r="C673" i="1"/>
  <c r="A673" i="1"/>
  <c r="C672" i="1"/>
  <c r="A672" i="1"/>
  <c r="C671" i="1"/>
  <c r="A671" i="1"/>
  <c r="C670" i="1"/>
  <c r="A670" i="1"/>
  <c r="C669" i="1"/>
  <c r="A669" i="1"/>
  <c r="C668" i="1"/>
  <c r="A668" i="1"/>
  <c r="C667" i="1"/>
  <c r="A667" i="1"/>
  <c r="C666" i="1"/>
  <c r="A666" i="1"/>
  <c r="C665" i="1"/>
  <c r="A665" i="1"/>
  <c r="C664" i="1"/>
  <c r="A664" i="1"/>
  <c r="C663" i="1"/>
  <c r="A663" i="1"/>
  <c r="C662" i="1"/>
  <c r="A662" i="1"/>
  <c r="C661" i="1"/>
  <c r="A661" i="1"/>
  <c r="C660" i="1"/>
  <c r="A660" i="1"/>
  <c r="C659" i="1"/>
  <c r="A659" i="1"/>
  <c r="C658" i="1"/>
  <c r="A658" i="1"/>
  <c r="C657" i="1"/>
  <c r="A657" i="1"/>
  <c r="C656" i="1"/>
  <c r="A656" i="1"/>
  <c r="C655" i="1"/>
  <c r="A655" i="1"/>
  <c r="C654" i="1"/>
  <c r="A654" i="1"/>
  <c r="C653" i="1"/>
  <c r="A653" i="1"/>
  <c r="C652" i="1"/>
  <c r="A652" i="1"/>
  <c r="C651" i="1"/>
  <c r="A651" i="1"/>
  <c r="C650" i="1"/>
  <c r="A650" i="1"/>
  <c r="C649" i="1"/>
  <c r="A649" i="1"/>
  <c r="C648" i="1"/>
  <c r="A648" i="1"/>
  <c r="C647" i="1"/>
  <c r="A647" i="1"/>
  <c r="C646" i="1"/>
  <c r="A646" i="1"/>
  <c r="C645" i="1"/>
  <c r="A645" i="1"/>
  <c r="C644" i="1"/>
  <c r="A644" i="1"/>
  <c r="C643" i="1"/>
  <c r="A643" i="1"/>
  <c r="C642" i="1"/>
  <c r="A642" i="1"/>
  <c r="C641" i="1"/>
  <c r="A641" i="1"/>
  <c r="C640" i="1"/>
  <c r="A640" i="1"/>
  <c r="C639" i="1"/>
  <c r="A639" i="1"/>
  <c r="C638" i="1"/>
  <c r="A638" i="1"/>
  <c r="C637" i="1"/>
  <c r="A637" i="1"/>
  <c r="C636" i="1"/>
  <c r="A636" i="1"/>
  <c r="C635" i="1"/>
  <c r="A635" i="1"/>
  <c r="C634" i="1"/>
  <c r="A634" i="1"/>
  <c r="C633" i="1"/>
  <c r="A633" i="1"/>
  <c r="C632" i="1"/>
  <c r="A632" i="1"/>
  <c r="C631" i="1"/>
  <c r="A631" i="1"/>
  <c r="C630" i="1"/>
  <c r="A630" i="1"/>
  <c r="C629" i="1"/>
  <c r="A629" i="1"/>
  <c r="C628" i="1"/>
  <c r="A628" i="1"/>
  <c r="C627" i="1"/>
  <c r="A627" i="1"/>
  <c r="C626" i="1"/>
  <c r="A626" i="1"/>
  <c r="C625" i="1"/>
  <c r="A625" i="1"/>
  <c r="C624" i="1"/>
  <c r="A624" i="1"/>
  <c r="C623" i="1"/>
  <c r="A623" i="1"/>
  <c r="C622" i="1"/>
  <c r="A622" i="1"/>
  <c r="C621" i="1"/>
  <c r="A621" i="1"/>
  <c r="C620" i="1"/>
  <c r="A620" i="1"/>
  <c r="C619" i="1"/>
  <c r="A619" i="1"/>
  <c r="C618" i="1"/>
  <c r="A618" i="1"/>
  <c r="C617" i="1"/>
  <c r="A617" i="1"/>
  <c r="C616" i="1"/>
  <c r="A616" i="1"/>
  <c r="C615" i="1"/>
  <c r="A615" i="1"/>
  <c r="C614" i="1"/>
  <c r="A614" i="1"/>
  <c r="C613" i="1"/>
  <c r="A613" i="1"/>
  <c r="C612" i="1"/>
  <c r="A612" i="1"/>
  <c r="C611" i="1"/>
  <c r="A611" i="1"/>
  <c r="C610" i="1"/>
  <c r="A610" i="1"/>
  <c r="C609" i="1"/>
  <c r="A609" i="1"/>
  <c r="C608" i="1"/>
  <c r="A608" i="1"/>
  <c r="C607" i="1"/>
  <c r="A607" i="1"/>
  <c r="C606" i="1"/>
  <c r="A606" i="1"/>
  <c r="C605" i="1"/>
  <c r="A605" i="1"/>
  <c r="C604" i="1"/>
  <c r="A604" i="1"/>
  <c r="C603" i="1"/>
  <c r="A603" i="1"/>
  <c r="C602" i="1"/>
  <c r="A602" i="1"/>
  <c r="C601" i="1"/>
  <c r="A601" i="1"/>
  <c r="C600" i="1"/>
  <c r="A600" i="1"/>
  <c r="C599" i="1"/>
  <c r="A599" i="1"/>
  <c r="C598" i="1"/>
  <c r="A598" i="1"/>
  <c r="C597" i="1"/>
  <c r="A597" i="1"/>
  <c r="C596" i="1"/>
  <c r="A596" i="1"/>
  <c r="C595" i="1"/>
  <c r="A595" i="1"/>
  <c r="C594" i="1"/>
  <c r="A594" i="1"/>
  <c r="C593" i="1"/>
  <c r="A593" i="1"/>
  <c r="C592" i="1"/>
  <c r="A592" i="1"/>
  <c r="C591" i="1"/>
  <c r="A591" i="1"/>
  <c r="C590" i="1"/>
  <c r="A590" i="1"/>
  <c r="C589" i="1"/>
  <c r="A589" i="1"/>
  <c r="C588" i="1"/>
  <c r="A588" i="1"/>
  <c r="C587" i="1"/>
  <c r="A587" i="1"/>
  <c r="C586" i="1"/>
  <c r="A586" i="1"/>
  <c r="C585" i="1"/>
  <c r="A585" i="1"/>
  <c r="C584" i="1"/>
  <c r="A584" i="1"/>
  <c r="C583" i="1"/>
  <c r="A583" i="1"/>
  <c r="C582" i="1"/>
  <c r="A582" i="1"/>
  <c r="C581" i="1"/>
  <c r="A581" i="1"/>
  <c r="C580" i="1"/>
  <c r="A580" i="1"/>
  <c r="C579" i="1"/>
  <c r="A579" i="1"/>
  <c r="C578" i="1"/>
  <c r="A578" i="1"/>
  <c r="C577" i="1"/>
  <c r="A577" i="1"/>
  <c r="C576" i="1"/>
  <c r="A576" i="1"/>
  <c r="C575" i="1"/>
  <c r="A575" i="1"/>
  <c r="C574" i="1"/>
  <c r="A574" i="1"/>
  <c r="C573" i="1"/>
  <c r="A573" i="1"/>
  <c r="C572" i="1"/>
  <c r="A572" i="1"/>
  <c r="C571" i="1"/>
  <c r="A571" i="1"/>
  <c r="C570" i="1"/>
  <c r="A570" i="1"/>
  <c r="C569" i="1"/>
  <c r="A569" i="1"/>
  <c r="C568" i="1"/>
  <c r="A568" i="1"/>
  <c r="C567" i="1"/>
  <c r="A567" i="1"/>
  <c r="C566" i="1"/>
  <c r="A566" i="1"/>
  <c r="C565" i="1"/>
  <c r="A565" i="1"/>
  <c r="C564" i="1"/>
  <c r="A564" i="1"/>
  <c r="C563" i="1"/>
  <c r="A563" i="1"/>
  <c r="C562" i="1"/>
  <c r="A562" i="1"/>
  <c r="C561" i="1"/>
  <c r="A561" i="1"/>
  <c r="C560" i="1"/>
  <c r="A560" i="1"/>
  <c r="C559" i="1"/>
  <c r="A559" i="1"/>
  <c r="C558" i="1"/>
  <c r="A558" i="1"/>
  <c r="C557" i="1"/>
  <c r="A557" i="1"/>
  <c r="C556" i="1"/>
  <c r="A556" i="1"/>
  <c r="C555" i="1"/>
  <c r="A555" i="1"/>
  <c r="C554" i="1"/>
  <c r="A554" i="1"/>
  <c r="C553" i="1"/>
  <c r="A553" i="1"/>
  <c r="C552" i="1"/>
  <c r="A552" i="1"/>
  <c r="C551" i="1"/>
  <c r="A551" i="1"/>
  <c r="C550" i="1"/>
  <c r="A550" i="1"/>
  <c r="C549" i="1"/>
  <c r="A549" i="1"/>
  <c r="C548" i="1"/>
  <c r="A548" i="1"/>
  <c r="C547" i="1"/>
  <c r="A547" i="1"/>
  <c r="C546" i="1"/>
  <c r="A546" i="1"/>
  <c r="C545" i="1"/>
  <c r="A545" i="1"/>
  <c r="C544" i="1"/>
  <c r="A544" i="1"/>
  <c r="C543" i="1"/>
  <c r="A543" i="1"/>
  <c r="C542" i="1"/>
  <c r="A542" i="1"/>
  <c r="C541" i="1"/>
  <c r="A541" i="1"/>
  <c r="C540" i="1"/>
  <c r="A540" i="1"/>
  <c r="C539" i="1"/>
  <c r="A539" i="1"/>
  <c r="C538" i="1"/>
  <c r="A538" i="1"/>
  <c r="C537" i="1"/>
  <c r="A537" i="1"/>
  <c r="C536" i="1"/>
  <c r="A536" i="1"/>
  <c r="C535" i="1"/>
  <c r="A535" i="1"/>
  <c r="C534" i="1"/>
  <c r="A534" i="1"/>
  <c r="C533" i="1"/>
  <c r="A533" i="1"/>
  <c r="C532" i="1"/>
  <c r="A532" i="1"/>
  <c r="C531" i="1"/>
  <c r="A531" i="1"/>
  <c r="C530" i="1"/>
  <c r="A530" i="1"/>
  <c r="C529" i="1"/>
  <c r="A529" i="1"/>
  <c r="C528" i="1"/>
  <c r="A528" i="1"/>
  <c r="C527" i="1"/>
  <c r="A527" i="1"/>
  <c r="C526" i="1"/>
  <c r="A526" i="1"/>
  <c r="C525" i="1"/>
  <c r="A525" i="1"/>
  <c r="C524" i="1"/>
  <c r="A524" i="1"/>
  <c r="C523" i="1"/>
  <c r="A523" i="1"/>
  <c r="C522" i="1"/>
  <c r="A522" i="1"/>
  <c r="C521" i="1"/>
  <c r="A521" i="1"/>
  <c r="C520" i="1"/>
  <c r="A520" i="1"/>
  <c r="C519" i="1"/>
  <c r="A519" i="1"/>
  <c r="C518" i="1"/>
  <c r="A518" i="1"/>
  <c r="C517" i="1"/>
  <c r="A517" i="1"/>
  <c r="C516" i="1"/>
  <c r="A516" i="1"/>
  <c r="C515" i="1"/>
  <c r="A515" i="1"/>
  <c r="C514" i="1"/>
  <c r="A514" i="1"/>
  <c r="C513" i="1"/>
  <c r="A513" i="1"/>
  <c r="C512" i="1"/>
  <c r="A512" i="1"/>
  <c r="C511" i="1"/>
  <c r="A511" i="1"/>
  <c r="C510" i="1"/>
  <c r="A510" i="1"/>
  <c r="C509" i="1"/>
  <c r="A509" i="1"/>
  <c r="C508" i="1"/>
  <c r="A508" i="1"/>
  <c r="C507" i="1"/>
  <c r="A507" i="1"/>
  <c r="C506" i="1"/>
  <c r="A506" i="1"/>
  <c r="C505" i="1"/>
  <c r="A505" i="1"/>
  <c r="C504" i="1"/>
  <c r="A504" i="1"/>
  <c r="C503" i="1"/>
  <c r="A503" i="1"/>
  <c r="C502" i="1"/>
  <c r="A502" i="1"/>
  <c r="C501" i="1"/>
  <c r="A501" i="1"/>
  <c r="C500" i="1"/>
  <c r="A500" i="1"/>
  <c r="C499" i="1"/>
  <c r="A499" i="1"/>
  <c r="C498" i="1"/>
  <c r="A498" i="1"/>
  <c r="C497" i="1"/>
  <c r="A497" i="1"/>
  <c r="C496" i="1"/>
  <c r="A496" i="1"/>
  <c r="C495" i="1"/>
  <c r="A495" i="1"/>
  <c r="C494" i="1"/>
  <c r="A494" i="1"/>
  <c r="C493" i="1"/>
  <c r="A493" i="1"/>
  <c r="C492" i="1"/>
  <c r="A492" i="1"/>
  <c r="C491" i="1"/>
  <c r="A491" i="1"/>
  <c r="C490" i="1"/>
  <c r="A490" i="1"/>
  <c r="C489" i="1"/>
  <c r="A489" i="1"/>
  <c r="C488" i="1"/>
  <c r="A488" i="1"/>
  <c r="C487" i="1"/>
  <c r="A487" i="1"/>
  <c r="C486" i="1"/>
  <c r="A486" i="1"/>
  <c r="C485" i="1"/>
  <c r="A485" i="1"/>
  <c r="C484" i="1"/>
  <c r="A484" i="1"/>
  <c r="C483" i="1"/>
  <c r="A483" i="1"/>
  <c r="C482" i="1"/>
  <c r="A482" i="1"/>
  <c r="C481" i="1"/>
  <c r="A481" i="1"/>
  <c r="C480" i="1"/>
  <c r="A480" i="1"/>
  <c r="C479" i="1"/>
  <c r="A479" i="1"/>
  <c r="C478" i="1"/>
  <c r="A478" i="1"/>
  <c r="C477" i="1"/>
  <c r="A477" i="1"/>
  <c r="C476" i="1"/>
  <c r="A476" i="1"/>
  <c r="C475" i="1"/>
  <c r="A475" i="1"/>
  <c r="C474" i="1"/>
  <c r="A474" i="1"/>
  <c r="C473" i="1"/>
  <c r="A473" i="1"/>
  <c r="C472" i="1"/>
  <c r="A472" i="1"/>
  <c r="C471" i="1"/>
  <c r="A471" i="1"/>
  <c r="C470" i="1"/>
  <c r="A470" i="1"/>
  <c r="C469" i="1"/>
  <c r="A469" i="1"/>
  <c r="C468" i="1"/>
  <c r="A468" i="1"/>
  <c r="C467" i="1"/>
  <c r="A467" i="1"/>
  <c r="C466" i="1"/>
  <c r="A466" i="1"/>
  <c r="C465" i="1"/>
  <c r="A465" i="1"/>
  <c r="C464" i="1"/>
  <c r="A464" i="1"/>
  <c r="C463" i="1"/>
  <c r="A463" i="1"/>
  <c r="C462" i="1"/>
  <c r="A462" i="1"/>
  <c r="C461" i="1"/>
  <c r="A461" i="1"/>
  <c r="C460" i="1"/>
  <c r="A460" i="1"/>
  <c r="C459" i="1"/>
  <c r="A459" i="1"/>
  <c r="C458" i="1"/>
  <c r="A458" i="1"/>
  <c r="C457" i="1"/>
  <c r="A457" i="1"/>
  <c r="C456" i="1"/>
  <c r="A456" i="1"/>
  <c r="C455" i="1"/>
  <c r="A455" i="1"/>
  <c r="C454" i="1"/>
  <c r="A454" i="1"/>
  <c r="C453" i="1"/>
  <c r="A453" i="1"/>
  <c r="C452" i="1"/>
  <c r="A452" i="1"/>
  <c r="C451" i="1"/>
  <c r="A451" i="1"/>
  <c r="C450" i="1"/>
  <c r="A450" i="1"/>
  <c r="C449" i="1"/>
  <c r="A449" i="1"/>
  <c r="C448" i="1"/>
  <c r="A448" i="1"/>
  <c r="C447" i="1"/>
  <c r="A447" i="1"/>
  <c r="C446" i="1"/>
  <c r="A446" i="1"/>
  <c r="C445" i="1"/>
  <c r="A445" i="1"/>
  <c r="C444" i="1"/>
  <c r="A444" i="1"/>
  <c r="C443" i="1"/>
  <c r="A443" i="1"/>
  <c r="C442" i="1"/>
  <c r="A442" i="1"/>
  <c r="C441" i="1"/>
  <c r="A441" i="1"/>
  <c r="C440" i="1"/>
  <c r="A440" i="1"/>
  <c r="C439" i="1"/>
  <c r="A439" i="1"/>
  <c r="C438" i="1"/>
  <c r="A438" i="1"/>
  <c r="C437" i="1"/>
  <c r="A437" i="1"/>
  <c r="C436" i="1"/>
  <c r="A436" i="1"/>
  <c r="C435" i="1"/>
  <c r="A435" i="1"/>
  <c r="C434" i="1"/>
  <c r="A434" i="1"/>
  <c r="C433" i="1"/>
  <c r="A433" i="1"/>
  <c r="C432" i="1"/>
  <c r="A432" i="1"/>
  <c r="C431" i="1"/>
  <c r="A431" i="1"/>
  <c r="C430" i="1"/>
  <c r="A430" i="1"/>
  <c r="C429" i="1"/>
  <c r="A429" i="1"/>
  <c r="C428" i="1"/>
  <c r="A428" i="1"/>
  <c r="C427" i="1"/>
  <c r="A427" i="1"/>
  <c r="C426" i="1"/>
  <c r="A426" i="1"/>
  <c r="C425" i="1"/>
  <c r="A425" i="1"/>
  <c r="C424" i="1"/>
  <c r="A424" i="1"/>
  <c r="C423" i="1"/>
  <c r="A423" i="1"/>
  <c r="C422" i="1"/>
  <c r="A422" i="1"/>
  <c r="C421" i="1"/>
  <c r="A421" i="1"/>
  <c r="C420" i="1"/>
  <c r="A420" i="1"/>
  <c r="C419" i="1"/>
  <c r="A419" i="1"/>
  <c r="C418" i="1"/>
  <c r="A418" i="1"/>
  <c r="C417" i="1"/>
  <c r="A417" i="1"/>
  <c r="C416" i="1"/>
  <c r="A416" i="1"/>
  <c r="C415" i="1"/>
  <c r="A415" i="1"/>
  <c r="C414" i="1"/>
  <c r="A414" i="1"/>
  <c r="C413" i="1"/>
  <c r="A413" i="1"/>
  <c r="C412" i="1"/>
  <c r="A412" i="1"/>
  <c r="C411" i="1"/>
  <c r="A411" i="1"/>
  <c r="C410" i="1"/>
  <c r="A410" i="1"/>
  <c r="C409" i="1"/>
  <c r="A409" i="1"/>
  <c r="C408" i="1"/>
  <c r="A408" i="1"/>
  <c r="C407" i="1"/>
  <c r="A407" i="1"/>
  <c r="C406" i="1"/>
  <c r="A406" i="1"/>
  <c r="C405" i="1"/>
  <c r="A405" i="1"/>
  <c r="C404" i="1"/>
  <c r="A404" i="1"/>
  <c r="C403" i="1"/>
  <c r="A403" i="1"/>
  <c r="C402" i="1"/>
  <c r="A402" i="1"/>
  <c r="C401" i="1"/>
  <c r="A401" i="1"/>
  <c r="C400" i="1"/>
  <c r="A400" i="1"/>
  <c r="C399" i="1"/>
  <c r="A399" i="1"/>
  <c r="C398" i="1"/>
  <c r="A398" i="1"/>
  <c r="C397" i="1"/>
  <c r="A397" i="1"/>
  <c r="C396" i="1"/>
  <c r="A396" i="1"/>
  <c r="C395" i="1"/>
  <c r="A395" i="1"/>
  <c r="C394" i="1"/>
  <c r="A394" i="1"/>
  <c r="C393" i="1"/>
  <c r="A393" i="1"/>
  <c r="C392" i="1"/>
  <c r="A392" i="1"/>
  <c r="C391" i="1"/>
  <c r="A391" i="1"/>
  <c r="C390" i="1"/>
  <c r="A390" i="1"/>
  <c r="C389" i="1"/>
  <c r="A389" i="1"/>
  <c r="C388" i="1"/>
  <c r="A388" i="1"/>
  <c r="C387" i="1"/>
  <c r="A387" i="1"/>
  <c r="C386" i="1"/>
  <c r="A386" i="1"/>
  <c r="C385" i="1"/>
  <c r="A385" i="1"/>
  <c r="C384" i="1"/>
  <c r="A384" i="1"/>
  <c r="C383" i="1"/>
  <c r="A383" i="1"/>
  <c r="C382" i="1"/>
  <c r="A382" i="1"/>
  <c r="C381" i="1"/>
  <c r="A381" i="1"/>
  <c r="C380" i="1"/>
  <c r="A380" i="1"/>
  <c r="C379" i="1"/>
  <c r="A379" i="1"/>
  <c r="C378" i="1"/>
  <c r="A378" i="1"/>
  <c r="C377" i="1"/>
  <c r="A377" i="1"/>
  <c r="C376" i="1"/>
  <c r="A376" i="1"/>
  <c r="C375" i="1"/>
  <c r="A375" i="1"/>
  <c r="C374" i="1"/>
  <c r="A374" i="1"/>
  <c r="C373" i="1"/>
  <c r="A373" i="1"/>
  <c r="C372" i="1"/>
  <c r="A372" i="1"/>
  <c r="C371" i="1"/>
  <c r="A371" i="1"/>
  <c r="C370" i="1"/>
  <c r="A370" i="1"/>
  <c r="C369" i="1"/>
  <c r="A369" i="1"/>
  <c r="C368" i="1"/>
  <c r="A368" i="1"/>
  <c r="C367" i="1"/>
  <c r="A367" i="1"/>
  <c r="C366" i="1"/>
  <c r="A366" i="1"/>
  <c r="C365" i="1"/>
  <c r="A365" i="1"/>
  <c r="C364" i="1"/>
  <c r="A364" i="1"/>
  <c r="C363" i="1"/>
  <c r="A363" i="1"/>
  <c r="C362" i="1"/>
  <c r="A362" i="1"/>
  <c r="C361" i="1"/>
  <c r="A361" i="1"/>
  <c r="C360" i="1"/>
  <c r="A360" i="1"/>
  <c r="C359" i="1"/>
  <c r="A359" i="1"/>
  <c r="C358" i="1"/>
  <c r="A358" i="1"/>
  <c r="C357" i="1"/>
  <c r="A357" i="1"/>
  <c r="C356" i="1"/>
  <c r="A356" i="1"/>
  <c r="C355" i="1"/>
  <c r="A355" i="1"/>
  <c r="C354" i="1"/>
  <c r="A354" i="1"/>
  <c r="C353" i="1"/>
  <c r="A353" i="1"/>
  <c r="C352" i="1"/>
  <c r="A352" i="1"/>
  <c r="C351" i="1"/>
  <c r="A351" i="1"/>
  <c r="C350" i="1"/>
  <c r="A350" i="1"/>
  <c r="C349" i="1"/>
  <c r="A349" i="1"/>
  <c r="C348" i="1"/>
  <c r="A348" i="1"/>
  <c r="C347" i="1"/>
  <c r="A347" i="1"/>
  <c r="C346" i="1"/>
  <c r="A346" i="1"/>
  <c r="C345" i="1"/>
  <c r="A345" i="1"/>
  <c r="C344" i="1"/>
  <c r="A344" i="1"/>
  <c r="C343" i="1"/>
  <c r="A343" i="1"/>
  <c r="C342" i="1"/>
  <c r="A342" i="1"/>
  <c r="C341" i="1"/>
  <c r="A341" i="1"/>
  <c r="C340" i="1"/>
  <c r="A340" i="1"/>
  <c r="C339" i="1"/>
  <c r="A339" i="1"/>
  <c r="C338" i="1"/>
  <c r="A338" i="1"/>
  <c r="C337" i="1"/>
  <c r="A337" i="1"/>
  <c r="C336" i="1"/>
  <c r="A336" i="1"/>
  <c r="C335" i="1"/>
  <c r="A335" i="1"/>
  <c r="C334" i="1"/>
  <c r="A334" i="1"/>
  <c r="C333" i="1"/>
  <c r="A333" i="1"/>
  <c r="C332" i="1"/>
  <c r="A332" i="1"/>
  <c r="C331" i="1"/>
  <c r="A331" i="1"/>
  <c r="C330" i="1"/>
  <c r="A330" i="1"/>
  <c r="C329" i="1"/>
  <c r="A329" i="1"/>
  <c r="C328" i="1"/>
  <c r="A328" i="1"/>
  <c r="C327" i="1"/>
  <c r="A327" i="1"/>
  <c r="C326" i="1"/>
  <c r="A326" i="1"/>
  <c r="C325" i="1"/>
  <c r="A325" i="1"/>
  <c r="C324" i="1"/>
  <c r="A324" i="1"/>
  <c r="C323" i="1"/>
  <c r="A323" i="1"/>
  <c r="C322" i="1"/>
  <c r="A322" i="1"/>
  <c r="C321" i="1"/>
  <c r="A321" i="1"/>
  <c r="C320" i="1"/>
  <c r="A320" i="1"/>
  <c r="C319" i="1"/>
  <c r="A319" i="1"/>
  <c r="C318" i="1"/>
  <c r="A318" i="1"/>
  <c r="C317" i="1"/>
  <c r="A317" i="1"/>
  <c r="C316" i="1"/>
  <c r="A316" i="1"/>
  <c r="C315" i="1"/>
  <c r="A315" i="1"/>
  <c r="C314" i="1"/>
  <c r="A314" i="1"/>
  <c r="C313" i="1"/>
  <c r="A313" i="1"/>
  <c r="C312" i="1"/>
  <c r="A312" i="1"/>
  <c r="C311" i="1"/>
  <c r="A311" i="1"/>
  <c r="C310" i="1"/>
  <c r="A310" i="1"/>
  <c r="C309" i="1"/>
  <c r="A309" i="1"/>
  <c r="C308" i="1"/>
  <c r="A308" i="1"/>
  <c r="C307" i="1"/>
  <c r="A307" i="1"/>
  <c r="C306" i="1"/>
  <c r="A306" i="1"/>
  <c r="C305" i="1"/>
  <c r="A305" i="1"/>
  <c r="C304" i="1"/>
  <c r="A304" i="1"/>
  <c r="C303" i="1"/>
  <c r="A303" i="1"/>
  <c r="C302" i="1"/>
  <c r="A302" i="1"/>
  <c r="C301" i="1"/>
  <c r="A301" i="1"/>
  <c r="C300" i="1"/>
  <c r="A300" i="1"/>
  <c r="C299" i="1"/>
  <c r="A299" i="1"/>
  <c r="C298" i="1"/>
  <c r="A298" i="1"/>
  <c r="C297" i="1"/>
  <c r="A297" i="1"/>
  <c r="C296" i="1"/>
  <c r="A296" i="1"/>
  <c r="C295" i="1"/>
  <c r="A295" i="1"/>
  <c r="C294" i="1"/>
  <c r="A294" i="1"/>
  <c r="C293" i="1"/>
  <c r="A293" i="1"/>
  <c r="C292" i="1"/>
  <c r="A292" i="1"/>
  <c r="C291" i="1"/>
  <c r="A291" i="1"/>
  <c r="C290" i="1"/>
  <c r="A290" i="1"/>
  <c r="C289" i="1"/>
  <c r="A289" i="1"/>
  <c r="C288" i="1"/>
  <c r="A288" i="1"/>
  <c r="C287" i="1"/>
  <c r="A287" i="1"/>
  <c r="C286" i="1"/>
  <c r="A286" i="1"/>
  <c r="C285" i="1"/>
  <c r="A285" i="1"/>
  <c r="C284" i="1"/>
  <c r="A284" i="1"/>
  <c r="C283" i="1"/>
  <c r="A283" i="1"/>
  <c r="C282" i="1"/>
  <c r="A282" i="1"/>
  <c r="C281" i="1"/>
  <c r="A281" i="1"/>
  <c r="C280" i="1"/>
  <c r="A280" i="1"/>
  <c r="C279" i="1"/>
  <c r="A279" i="1"/>
  <c r="C278" i="1"/>
  <c r="A278" i="1"/>
  <c r="C277" i="1"/>
  <c r="A277" i="1"/>
  <c r="C276" i="1"/>
  <c r="A276" i="1"/>
  <c r="C275" i="1"/>
  <c r="A275" i="1"/>
  <c r="C274" i="1"/>
  <c r="A274" i="1"/>
  <c r="C273" i="1"/>
  <c r="A273" i="1"/>
  <c r="C272" i="1"/>
  <c r="A272" i="1"/>
  <c r="C271" i="1"/>
  <c r="A271" i="1"/>
  <c r="C270" i="1"/>
  <c r="A270" i="1"/>
  <c r="C269" i="1"/>
  <c r="A269" i="1"/>
  <c r="C268" i="1"/>
  <c r="A268" i="1"/>
  <c r="C267" i="1"/>
  <c r="A267" i="1"/>
  <c r="C266" i="1"/>
  <c r="A266" i="1"/>
  <c r="C265" i="1"/>
  <c r="A265" i="1"/>
  <c r="C264" i="1"/>
  <c r="A264" i="1"/>
  <c r="C263" i="1"/>
  <c r="A263" i="1"/>
  <c r="C262" i="1"/>
  <c r="A262" i="1"/>
  <c r="C261" i="1"/>
  <c r="A261" i="1"/>
  <c r="C260" i="1"/>
  <c r="A260" i="1"/>
  <c r="C259" i="1"/>
  <c r="A259" i="1"/>
  <c r="C258" i="1"/>
  <c r="A258" i="1"/>
  <c r="C257" i="1"/>
  <c r="A257" i="1"/>
  <c r="C256" i="1"/>
  <c r="A256" i="1"/>
  <c r="C255" i="1"/>
  <c r="A255" i="1"/>
  <c r="C254" i="1"/>
  <c r="A254" i="1"/>
  <c r="C253" i="1"/>
  <c r="A253" i="1"/>
  <c r="C252" i="1"/>
  <c r="A252" i="1"/>
  <c r="C251" i="1"/>
  <c r="A251" i="1"/>
  <c r="C250" i="1"/>
  <c r="A250" i="1"/>
  <c r="C249" i="1"/>
  <c r="A249" i="1"/>
  <c r="C248" i="1"/>
  <c r="A248" i="1"/>
  <c r="C247" i="1"/>
  <c r="A247" i="1"/>
  <c r="C246" i="1"/>
  <c r="A246" i="1"/>
  <c r="C245" i="1"/>
  <c r="A245" i="1"/>
  <c r="C244" i="1"/>
  <c r="A244" i="1"/>
  <c r="C243" i="1"/>
  <c r="A243" i="1"/>
  <c r="C242" i="1"/>
  <c r="A242" i="1"/>
  <c r="C241" i="1"/>
  <c r="A241" i="1"/>
  <c r="C240" i="1"/>
  <c r="A240" i="1"/>
  <c r="C239" i="1"/>
  <c r="A239" i="1"/>
  <c r="C238" i="1"/>
  <c r="A238" i="1"/>
  <c r="C237" i="1"/>
  <c r="A237" i="1"/>
  <c r="C236" i="1"/>
  <c r="A236" i="1"/>
  <c r="C235" i="1"/>
  <c r="A235" i="1"/>
  <c r="C234" i="1"/>
  <c r="A234" i="1"/>
  <c r="C233" i="1"/>
  <c r="A233" i="1"/>
  <c r="C232" i="1"/>
  <c r="A232" i="1"/>
  <c r="C231" i="1"/>
  <c r="A231" i="1"/>
  <c r="C230" i="1"/>
  <c r="A230" i="1"/>
  <c r="C229" i="1"/>
  <c r="A229" i="1"/>
  <c r="C228" i="1"/>
  <c r="A228" i="1"/>
  <c r="C227" i="1"/>
  <c r="A227" i="1"/>
  <c r="C226" i="1"/>
  <c r="A226" i="1"/>
  <c r="C225" i="1"/>
  <c r="A225" i="1"/>
  <c r="C224" i="1"/>
  <c r="A224" i="1"/>
  <c r="C223" i="1"/>
  <c r="A223" i="1"/>
  <c r="C222" i="1"/>
  <c r="A222" i="1"/>
  <c r="C221" i="1"/>
  <c r="A221" i="1"/>
  <c r="C220" i="1"/>
  <c r="A220" i="1"/>
  <c r="C219" i="1"/>
  <c r="A219" i="1"/>
  <c r="C218" i="1"/>
  <c r="A218" i="1"/>
  <c r="C217" i="1"/>
  <c r="A217" i="1"/>
  <c r="C216" i="1"/>
  <c r="A216" i="1"/>
  <c r="C215" i="1"/>
  <c r="A215" i="1"/>
  <c r="C214" i="1"/>
  <c r="A214" i="1"/>
  <c r="C213" i="1"/>
  <c r="A213" i="1"/>
  <c r="C212" i="1"/>
  <c r="A212" i="1"/>
  <c r="C211" i="1"/>
  <c r="A211" i="1"/>
  <c r="C210" i="1"/>
  <c r="A210" i="1"/>
  <c r="C209" i="1"/>
  <c r="A209" i="1"/>
  <c r="C208" i="1"/>
  <c r="A208" i="1"/>
  <c r="C207" i="1"/>
  <c r="A207" i="1"/>
  <c r="C206" i="1"/>
  <c r="A206" i="1"/>
  <c r="C205" i="1"/>
  <c r="A205" i="1"/>
  <c r="C204" i="1"/>
  <c r="A204" i="1"/>
  <c r="C203" i="1"/>
  <c r="A203" i="1"/>
  <c r="C202" i="1"/>
  <c r="A202" i="1"/>
  <c r="C201" i="1"/>
  <c r="A201" i="1"/>
  <c r="C200" i="1"/>
  <c r="A200" i="1"/>
  <c r="C199" i="1"/>
  <c r="A199" i="1"/>
  <c r="C198" i="1"/>
  <c r="A198" i="1"/>
  <c r="C197" i="1"/>
  <c r="A197" i="1"/>
  <c r="C196" i="1"/>
  <c r="A196" i="1"/>
  <c r="C195" i="1"/>
  <c r="A195" i="1"/>
  <c r="C194" i="1"/>
  <c r="A194" i="1"/>
  <c r="C193" i="1"/>
  <c r="A193" i="1"/>
  <c r="C192" i="1"/>
  <c r="A192" i="1"/>
  <c r="C191" i="1"/>
  <c r="A191" i="1"/>
  <c r="C190" i="1"/>
  <c r="A190" i="1"/>
  <c r="C189" i="1"/>
  <c r="A189" i="1"/>
  <c r="C188" i="1"/>
  <c r="A188" i="1"/>
  <c r="C187" i="1"/>
  <c r="A187" i="1"/>
  <c r="C186" i="1"/>
  <c r="A186" i="1"/>
  <c r="C185" i="1"/>
  <c r="A185" i="1"/>
  <c r="C184" i="1"/>
  <c r="A184" i="1"/>
  <c r="C183" i="1"/>
  <c r="A183" i="1"/>
  <c r="C182" i="1"/>
  <c r="A182" i="1"/>
  <c r="C181" i="1"/>
  <c r="A181" i="1"/>
  <c r="C180" i="1"/>
  <c r="A180" i="1"/>
  <c r="C179" i="1"/>
  <c r="A179" i="1"/>
  <c r="C178" i="1"/>
  <c r="A178" i="1"/>
  <c r="C177" i="1"/>
  <c r="A177" i="1"/>
  <c r="C176" i="1"/>
  <c r="A176" i="1"/>
  <c r="C175" i="1"/>
  <c r="A175" i="1"/>
  <c r="C174" i="1"/>
  <c r="A174" i="1"/>
  <c r="C173" i="1"/>
  <c r="A173" i="1"/>
  <c r="C172" i="1"/>
  <c r="A172" i="1"/>
  <c r="C171" i="1"/>
  <c r="A171" i="1"/>
  <c r="C170" i="1"/>
  <c r="A170" i="1"/>
  <c r="C169" i="1"/>
  <c r="A169" i="1"/>
  <c r="C168" i="1"/>
  <c r="A168" i="1"/>
  <c r="C167" i="1"/>
  <c r="A167" i="1"/>
  <c r="C166" i="1"/>
  <c r="A166" i="1"/>
  <c r="C165" i="1"/>
  <c r="A165" i="1"/>
  <c r="C164" i="1"/>
  <c r="A164" i="1"/>
  <c r="C163" i="1"/>
  <c r="A163" i="1"/>
  <c r="C162" i="1"/>
  <c r="A162" i="1"/>
  <c r="C161" i="1"/>
  <c r="A161" i="1"/>
  <c r="C160" i="1"/>
  <c r="A160" i="1"/>
  <c r="C159" i="1"/>
  <c r="A159" i="1"/>
  <c r="C158" i="1"/>
  <c r="A158" i="1"/>
  <c r="C157" i="1"/>
  <c r="A157" i="1"/>
  <c r="C156" i="1"/>
  <c r="A156" i="1"/>
  <c r="C155" i="1"/>
  <c r="A155" i="1"/>
  <c r="C154" i="1"/>
  <c r="A154" i="1"/>
  <c r="C153" i="1"/>
  <c r="A153" i="1"/>
  <c r="C152" i="1"/>
  <c r="A152" i="1"/>
  <c r="C151" i="1"/>
  <c r="A151" i="1"/>
  <c r="C150" i="1"/>
  <c r="B150" i="1"/>
  <c r="A150" i="1"/>
  <c r="C149" i="1"/>
  <c r="B149" i="1"/>
  <c r="A149" i="1"/>
  <c r="C148" i="1"/>
  <c r="B148" i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A148" i="1"/>
  <c r="C147" i="1"/>
  <c r="A147" i="1"/>
  <c r="C146" i="1"/>
  <c r="A146" i="1"/>
  <c r="C145" i="1"/>
  <c r="A145" i="1"/>
  <c r="C144" i="1"/>
  <c r="A144" i="1"/>
  <c r="C143" i="1"/>
  <c r="A143" i="1"/>
  <c r="C142" i="1"/>
  <c r="A142" i="1"/>
  <c r="C141" i="1"/>
  <c r="A141" i="1"/>
  <c r="C140" i="1"/>
  <c r="A140" i="1"/>
  <c r="C139" i="1"/>
  <c r="A139" i="1"/>
  <c r="C138" i="1"/>
  <c r="A138" i="1"/>
  <c r="C137" i="1"/>
  <c r="A137" i="1"/>
  <c r="C136" i="1"/>
  <c r="A136" i="1"/>
  <c r="C135" i="1"/>
  <c r="A135" i="1"/>
  <c r="C134" i="1"/>
  <c r="A134" i="1"/>
  <c r="C133" i="1"/>
  <c r="A133" i="1"/>
  <c r="C132" i="1"/>
  <c r="A132" i="1"/>
  <c r="C131" i="1"/>
  <c r="A131" i="1"/>
  <c r="C130" i="1"/>
  <c r="A130" i="1"/>
  <c r="C129" i="1"/>
  <c r="A129" i="1"/>
  <c r="C128" i="1"/>
  <c r="A128" i="1"/>
  <c r="C127" i="1"/>
  <c r="A127" i="1"/>
  <c r="C126" i="1"/>
  <c r="A126" i="1"/>
  <c r="C125" i="1"/>
  <c r="A125" i="1"/>
  <c r="C124" i="1"/>
  <c r="A124" i="1"/>
  <c r="C123" i="1"/>
  <c r="A123" i="1"/>
  <c r="C122" i="1"/>
  <c r="A122" i="1"/>
  <c r="C121" i="1"/>
  <c r="A121" i="1"/>
  <c r="C120" i="1"/>
  <c r="A120" i="1"/>
  <c r="C119" i="1"/>
  <c r="A119" i="1"/>
  <c r="C118" i="1"/>
  <c r="A118" i="1"/>
  <c r="C117" i="1"/>
  <c r="A117" i="1"/>
  <c r="C116" i="1"/>
  <c r="A116" i="1"/>
  <c r="C115" i="1"/>
  <c r="A115" i="1"/>
  <c r="C114" i="1"/>
  <c r="A114" i="1"/>
  <c r="C113" i="1"/>
  <c r="A113" i="1"/>
  <c r="C112" i="1"/>
  <c r="A112" i="1"/>
  <c r="C111" i="1"/>
  <c r="A111" i="1"/>
  <c r="C110" i="1"/>
  <c r="A110" i="1"/>
  <c r="C109" i="1"/>
  <c r="B109" i="1"/>
  <c r="A109" i="1"/>
  <c r="C108" i="1"/>
  <c r="B108" i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A108" i="1"/>
  <c r="C107" i="1"/>
  <c r="A107" i="1"/>
  <c r="C106" i="1"/>
  <c r="A106" i="1"/>
  <c r="C105" i="1"/>
  <c r="A105" i="1"/>
  <c r="C104" i="1"/>
  <c r="A104" i="1"/>
  <c r="C103" i="1"/>
  <c r="A103" i="1"/>
  <c r="C102" i="1"/>
  <c r="A102" i="1"/>
  <c r="C101" i="1"/>
  <c r="A101" i="1"/>
  <c r="C100" i="1"/>
  <c r="A100" i="1"/>
  <c r="C99" i="1"/>
  <c r="A99" i="1"/>
  <c r="C98" i="1"/>
  <c r="A98" i="1"/>
  <c r="C97" i="1"/>
  <c r="A97" i="1"/>
  <c r="C96" i="1"/>
  <c r="A96" i="1"/>
  <c r="C95" i="1"/>
  <c r="A95" i="1"/>
  <c r="C94" i="1"/>
  <c r="A94" i="1"/>
  <c r="C93" i="1"/>
  <c r="A93" i="1"/>
  <c r="C92" i="1"/>
  <c r="A92" i="1"/>
  <c r="C91" i="1"/>
  <c r="A91" i="1"/>
  <c r="C90" i="1"/>
  <c r="A90" i="1"/>
  <c r="C89" i="1"/>
  <c r="A89" i="1"/>
  <c r="C88" i="1"/>
  <c r="A88" i="1"/>
  <c r="C87" i="1"/>
  <c r="A87" i="1"/>
  <c r="C86" i="1"/>
  <c r="A86" i="1"/>
  <c r="C85" i="1"/>
  <c r="A85" i="1"/>
  <c r="C84" i="1"/>
  <c r="A84" i="1"/>
  <c r="C83" i="1"/>
  <c r="A83" i="1"/>
  <c r="C82" i="1"/>
  <c r="A82" i="1"/>
  <c r="C81" i="1"/>
  <c r="A81" i="1"/>
  <c r="C80" i="1"/>
  <c r="A80" i="1"/>
  <c r="C79" i="1"/>
  <c r="A79" i="1"/>
  <c r="C78" i="1"/>
  <c r="A78" i="1"/>
  <c r="C77" i="1"/>
  <c r="A77" i="1"/>
  <c r="C76" i="1"/>
  <c r="A76" i="1"/>
  <c r="C75" i="1"/>
  <c r="A75" i="1"/>
  <c r="C74" i="1"/>
  <c r="A74" i="1"/>
  <c r="C73" i="1"/>
  <c r="A73" i="1"/>
  <c r="C72" i="1"/>
  <c r="A72" i="1"/>
  <c r="C71" i="1"/>
  <c r="A71" i="1"/>
  <c r="C70" i="1"/>
  <c r="A70" i="1"/>
  <c r="C69" i="1"/>
  <c r="A69" i="1"/>
  <c r="C68" i="1"/>
  <c r="A68" i="1"/>
  <c r="C67" i="1"/>
  <c r="A67" i="1"/>
  <c r="C66" i="1"/>
  <c r="A66" i="1"/>
  <c r="C65" i="1"/>
  <c r="A65" i="1"/>
  <c r="C64" i="1"/>
  <c r="A64" i="1"/>
  <c r="C63" i="1"/>
  <c r="A63" i="1"/>
  <c r="C62" i="1"/>
  <c r="A62" i="1"/>
  <c r="C61" i="1"/>
  <c r="A61" i="1"/>
  <c r="C60" i="1"/>
  <c r="A60" i="1"/>
  <c r="C59" i="1"/>
  <c r="A59" i="1"/>
  <c r="C58" i="1"/>
  <c r="A58" i="1"/>
  <c r="C57" i="1"/>
  <c r="A57" i="1"/>
  <c r="C56" i="1"/>
  <c r="A56" i="1"/>
  <c r="C55" i="1"/>
  <c r="A55" i="1"/>
  <c r="C54" i="1"/>
  <c r="A54" i="1"/>
  <c r="C53" i="1"/>
  <c r="A53" i="1"/>
  <c r="C52" i="1"/>
  <c r="A52" i="1"/>
  <c r="C51" i="1"/>
  <c r="A51" i="1"/>
  <c r="C50" i="1"/>
  <c r="A50" i="1"/>
  <c r="C49" i="1"/>
  <c r="A49" i="1"/>
  <c r="C48" i="1"/>
  <c r="A48" i="1"/>
  <c r="C47" i="1"/>
  <c r="A47" i="1"/>
  <c r="C46" i="1"/>
  <c r="A46" i="1"/>
  <c r="C45" i="1"/>
  <c r="A45" i="1"/>
  <c r="C44" i="1"/>
  <c r="A44" i="1"/>
  <c r="C43" i="1"/>
  <c r="A43" i="1"/>
  <c r="C42" i="1"/>
  <c r="A42" i="1"/>
  <c r="C41" i="1"/>
  <c r="A41" i="1"/>
  <c r="C40" i="1"/>
  <c r="A40" i="1"/>
  <c r="C39" i="1"/>
  <c r="A39" i="1"/>
  <c r="C38" i="1"/>
  <c r="A38" i="1"/>
  <c r="C37" i="1"/>
  <c r="A37" i="1"/>
  <c r="C36" i="1"/>
  <c r="A36" i="1"/>
  <c r="C35" i="1"/>
  <c r="A35" i="1"/>
  <c r="C34" i="1"/>
  <c r="A34" i="1"/>
  <c r="C33" i="1"/>
  <c r="A33" i="1"/>
  <c r="C32" i="1"/>
  <c r="A32" i="1"/>
  <c r="C31" i="1"/>
  <c r="B31" i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A31" i="1"/>
  <c r="C30" i="1"/>
  <c r="A30" i="1"/>
  <c r="C29" i="1"/>
  <c r="A29" i="1"/>
  <c r="C28" i="1"/>
  <c r="A28" i="1"/>
  <c r="C27" i="1"/>
  <c r="A27" i="1"/>
  <c r="C26" i="1"/>
  <c r="A26" i="1"/>
  <c r="C25" i="1"/>
  <c r="A25" i="1"/>
  <c r="C24" i="1"/>
  <c r="A24" i="1"/>
  <c r="C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C14" i="1"/>
  <c r="A14" i="1"/>
  <c r="C13" i="1"/>
  <c r="A13" i="1"/>
  <c r="C12" i="1"/>
  <c r="A12" i="1"/>
  <c r="C11" i="1"/>
  <c r="A11" i="1"/>
  <c r="C10" i="1"/>
  <c r="A10" i="1"/>
  <c r="C9" i="1"/>
  <c r="A9" i="1"/>
  <c r="C8" i="1"/>
  <c r="A8" i="1"/>
  <c r="C7" i="1"/>
  <c r="A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<sst xmlns="http://schemas.openxmlformats.org/spreadsheetml/2006/main" count="1944" uniqueCount="1402">
  <si>
    <t>County Code</t>
  </si>
  <si>
    <t xml:space="preserve"> County Name</t>
  </si>
  <si>
    <t>http://www.mksd.org</t>
  </si>
  <si>
    <t>Absecon Public Schools District</t>
  </si>
  <si>
    <t>http://www.edline.net/pages/abseconschooldistrict</t>
  </si>
  <si>
    <t>Atlantic City Community Charter School</t>
  </si>
  <si>
    <t>http://www.atlanticcitycharter.com</t>
  </si>
  <si>
    <t>Atlantic City Public School District</t>
  </si>
  <si>
    <t>http://www.acboe.org</t>
  </si>
  <si>
    <t>Atlantic County Special Services School District</t>
  </si>
  <si>
    <t>http://www.acsssd.net</t>
  </si>
  <si>
    <t>Atlantic County Vocational School District</t>
  </si>
  <si>
    <t>http://www.acitech.org</t>
  </si>
  <si>
    <t>Brigantine Public Schools</t>
  </si>
  <si>
    <t>http://www.brigantineschools.org</t>
  </si>
  <si>
    <t>http://WWW.BUENA.K12.NJ.US</t>
  </si>
  <si>
    <t>http://www.chartertech.org</t>
  </si>
  <si>
    <t>http://www.ehcs.k12.nj.us</t>
  </si>
  <si>
    <t>http://www.estellmanorschool.com</t>
  </si>
  <si>
    <t>Folsom Borough School District</t>
  </si>
  <si>
    <t>http://www.folsomschool.org/</t>
  </si>
  <si>
    <t>http://WWW.GTPS.K12.NJ.US</t>
  </si>
  <si>
    <t>Greater Egg Harbor Regional High School District</t>
  </si>
  <si>
    <t>http://www.gehrhsd.net</t>
  </si>
  <si>
    <t>http://www.hamiltonschools.org</t>
  </si>
  <si>
    <t>Hammonton School District</t>
  </si>
  <si>
    <t>http://www.hammontonps.org</t>
  </si>
  <si>
    <t>Linwood City School District</t>
  </si>
  <si>
    <t>http://www.linwoodschools.org</t>
  </si>
  <si>
    <t>Margate City School District</t>
  </si>
  <si>
    <t>http://www.margateschools.org</t>
  </si>
  <si>
    <t>Mullica Township School District</t>
  </si>
  <si>
    <t>http://www.mullica.k12.nj.us</t>
  </si>
  <si>
    <t>Northfield City School District</t>
  </si>
  <si>
    <t>http://www.ncs-nj.org</t>
  </si>
  <si>
    <t>http://www.pps-nj.us/pps/</t>
  </si>
  <si>
    <t>Port Republic School District</t>
  </si>
  <si>
    <t>http://www.portnj.org</t>
  </si>
  <si>
    <t>http://www.sptsd.org</t>
  </si>
  <si>
    <t>Ventnor City School District</t>
  </si>
  <si>
    <t>http://www.veccnj.org</t>
  </si>
  <si>
    <t>Weymouth Township School District</t>
  </si>
  <si>
    <t>http://www.weymouthtownshipschool.com</t>
  </si>
  <si>
    <t>http://www.allendalek8.com</t>
  </si>
  <si>
    <t>Alpine Elementary School District</t>
  </si>
  <si>
    <t>http://www.alpineschool.org</t>
  </si>
  <si>
    <t>http://www.bergencharter.org</t>
  </si>
  <si>
    <t>Bergen County Special Services School District</t>
  </si>
  <si>
    <t>http://bcss.bergen.org</t>
  </si>
  <si>
    <t>Bergen County Vocational Technical School District</t>
  </si>
  <si>
    <t>http://bcts.bergen.org</t>
  </si>
  <si>
    <t>Bergenfield Borough School District</t>
  </si>
  <si>
    <t>http://www.bergenfield.org</t>
  </si>
  <si>
    <t>Bogota Public School District</t>
  </si>
  <si>
    <t>http://www.bogotaboe.com</t>
  </si>
  <si>
    <t>http://www.carlstadt.org</t>
  </si>
  <si>
    <t>Carlstadt-East Rutherford Regional High School District</t>
  </si>
  <si>
    <t>http://www.bectonhs.org</t>
  </si>
  <si>
    <t>http://www.cliffsidepark.edu</t>
  </si>
  <si>
    <t>http://www.closterschools.org</t>
  </si>
  <si>
    <t>Cresskill Public School District</t>
  </si>
  <si>
    <t>http://www.cboek12.org</t>
  </si>
  <si>
    <t>Demarest School District</t>
  </si>
  <si>
    <t>http://demarestsd.schoolwires.net</t>
  </si>
  <si>
    <t>Dumont Public School District</t>
  </si>
  <si>
    <t>http://www.dumontnj.org</t>
  </si>
  <si>
    <t>East Rutherford School District</t>
  </si>
  <si>
    <t>http://www.erboe.net</t>
  </si>
  <si>
    <t>Edgewater School District</t>
  </si>
  <si>
    <t>http://www.edgewaterschools.org</t>
  </si>
  <si>
    <t>Elmwood Park School District</t>
  </si>
  <si>
    <t>http://www.elmwoodparkschools.org</t>
  </si>
  <si>
    <t>Emerson Public School District</t>
  </si>
  <si>
    <t>http://www.emerson.k12.nj.us</t>
  </si>
  <si>
    <t>Englewood Cliffs School District</t>
  </si>
  <si>
    <t>http://www.englewoodcliffs.org</t>
  </si>
  <si>
    <t>http://www.epcs.ws</t>
  </si>
  <si>
    <t>Englewood Public School District</t>
  </si>
  <si>
    <t>http://www.epsd.org</t>
  </si>
  <si>
    <t>Fair Lawn Public School District</t>
  </si>
  <si>
    <t>http://www.fairlawnschools.org</t>
  </si>
  <si>
    <t>Fairview Public School District</t>
  </si>
  <si>
    <t>http://www.fairviewps.org</t>
  </si>
  <si>
    <t>Fort Lee School District</t>
  </si>
  <si>
    <t>http://www.flboe.com</t>
  </si>
  <si>
    <t>http://www.franklinlakes.k12.nj.us</t>
  </si>
  <si>
    <t>http://GBOE.ORG</t>
  </si>
  <si>
    <t>http://WWW.GLENROCKNJ.ORG</t>
  </si>
  <si>
    <t>Hackensack School District</t>
  </si>
  <si>
    <t>http://hackensackschools.org</t>
  </si>
  <si>
    <t>Harrington Park School District</t>
  </si>
  <si>
    <t>http://www.hpsd.org</t>
  </si>
  <si>
    <t>Hasbrouck Heights School District</t>
  </si>
  <si>
    <t>http://www.hhschools.org</t>
  </si>
  <si>
    <t>http://www.haworth.org</t>
  </si>
  <si>
    <t>http://www.hillsdaleschools.com</t>
  </si>
  <si>
    <t>Ho-Ho-Kus School District</t>
  </si>
  <si>
    <t>http://www.hohokus.org</t>
  </si>
  <si>
    <t>Leonia Public School District</t>
  </si>
  <si>
    <t>http://www.leoniaschools.org</t>
  </si>
  <si>
    <t>Little Ferry Public School District</t>
  </si>
  <si>
    <t>http://www.littleferry.k12.nj.us</t>
  </si>
  <si>
    <t>Lodi School District</t>
  </si>
  <si>
    <t>http://www.lodi.k12.nj.us/</t>
  </si>
  <si>
    <t>Lyndhurst School District</t>
  </si>
  <si>
    <t>http://www.lyndhurstschools.net</t>
  </si>
  <si>
    <t>Mahwah Township Public School District</t>
  </si>
  <si>
    <t>http://www.mahwah.k12.nj.us</t>
  </si>
  <si>
    <t>http://WWW.MAYWOODSCHOOLS.ORG</t>
  </si>
  <si>
    <t>Midland Park School District</t>
  </si>
  <si>
    <t>http://mpsnj.org</t>
  </si>
  <si>
    <t>http://www.montvalek8.org</t>
  </si>
  <si>
    <t>Moonachie School District</t>
  </si>
  <si>
    <t>http://www.moonachieschool.org</t>
  </si>
  <si>
    <t>New Milford Public School District</t>
  </si>
  <si>
    <t>http://www.newmilfordschools.org</t>
  </si>
  <si>
    <t>North Arlington School District</t>
  </si>
  <si>
    <t>http://www.narlington.k12.nj.us</t>
  </si>
  <si>
    <t>Northern Highlands Regional High School District</t>
  </si>
  <si>
    <t>http://www.northernhighlands.org</t>
  </si>
  <si>
    <t>Northern Valley Regional High School District</t>
  </si>
  <si>
    <t>http://www.nvnet.org</t>
  </si>
  <si>
    <t>http://www.NORTHVALESCHOOL.ORG</t>
  </si>
  <si>
    <t>Norwood Public School District</t>
  </si>
  <si>
    <t>http://www.wearenorwood.org</t>
  </si>
  <si>
    <t>Oakland Public School District</t>
  </si>
  <si>
    <t>http://www.oaklandschoolsnj.org</t>
  </si>
  <si>
    <t>http://www.oldtappanschools.org</t>
  </si>
  <si>
    <t>http://oradellschool.org</t>
  </si>
  <si>
    <t>Palisades Park School District</t>
  </si>
  <si>
    <t>http://palpkschools.org</t>
  </si>
  <si>
    <t>Paramus Public School District</t>
  </si>
  <si>
    <t>http://www.paramus.k12.nj.us</t>
  </si>
  <si>
    <t>Park Ridge School District</t>
  </si>
  <si>
    <t>http://www.parkridge.k12.nj.us</t>
  </si>
  <si>
    <t>http://www.pascack.k12.nj.us</t>
  </si>
  <si>
    <t>http://www.rih.org</t>
  </si>
  <si>
    <t>http://WWW.RAMSEY.K12.NJ.US</t>
  </si>
  <si>
    <t>Ridgefield Park School District</t>
  </si>
  <si>
    <t>http://www.rpps.net</t>
  </si>
  <si>
    <t>Ridgefield School District</t>
  </si>
  <si>
    <t>http://www.ridgefieldschools.com</t>
  </si>
  <si>
    <t>Ridgewood Public School District</t>
  </si>
  <si>
    <t>http://www.ridgewood.k12.nj.us/</t>
  </si>
  <si>
    <t>River Dell Regional School District</t>
  </si>
  <si>
    <t>http://www.riverdell.org</t>
  </si>
  <si>
    <t>River Edge School District</t>
  </si>
  <si>
    <t>http://www.riveredgeschools.org</t>
  </si>
  <si>
    <t>River Vale Public School District</t>
  </si>
  <si>
    <t>http://www.rivervaleschools.com</t>
  </si>
  <si>
    <t>Rochelle Park School District</t>
  </si>
  <si>
    <t>http://rp.bergen.org</t>
  </si>
  <si>
    <t>Rockleigh School District</t>
  </si>
  <si>
    <t>Rutherford School District</t>
  </si>
  <si>
    <t>http://www.rutherfordschools.org</t>
  </si>
  <si>
    <t>http://www.saddlebrookschools.org</t>
  </si>
  <si>
    <t>http://wandellschool.org</t>
  </si>
  <si>
    <t>South  Bergen Jointure Commission School District</t>
  </si>
  <si>
    <t>http://www.njsbjc.org</t>
  </si>
  <si>
    <t>South Hackensack School District</t>
  </si>
  <si>
    <t>http://www.shmemorial.org</t>
  </si>
  <si>
    <t>Teaneck Community Charter School</t>
  </si>
  <si>
    <t>http://www.tccsnj.org</t>
  </si>
  <si>
    <t>Teaneck School District</t>
  </si>
  <si>
    <t>http://www.teaneckschools.org</t>
  </si>
  <si>
    <t>http://tenafly.k12.nj.us</t>
  </si>
  <si>
    <t>Teterboro</t>
  </si>
  <si>
    <t>http://www.usrschoolsk8.com</t>
  </si>
  <si>
    <t>Waldwick School District</t>
  </si>
  <si>
    <t>http://www.waldwick.k12.nj.us</t>
  </si>
  <si>
    <t>Wallington Boro School District</t>
  </si>
  <si>
    <t>http://www.wboe.org</t>
  </si>
  <si>
    <t>http://www.wwrsd.org</t>
  </si>
  <si>
    <t>Wood-Ridge School District</t>
  </si>
  <si>
    <t>http://www.wood-ridgeschools.org</t>
  </si>
  <si>
    <t>Woodcliff Lake School District</t>
  </si>
  <si>
    <t>http://www.woodcliff-lake.com</t>
  </si>
  <si>
    <t>Wyckoff Township Public School District</t>
  </si>
  <si>
    <t>http://www.wyckoffps.org</t>
  </si>
  <si>
    <t>http://WWW.BASSRIVERSCHOOLDISTRICT.ORG</t>
  </si>
  <si>
    <t>Benjamin Banneker Preparatory Charter School</t>
  </si>
  <si>
    <t>http://www.bannekerprep.com</t>
  </si>
  <si>
    <t>http://www.beverlycityschool.org</t>
  </si>
  <si>
    <t>Bordentown Regional School District</t>
  </si>
  <si>
    <t>http://www.bordentown.k12.nj.us</t>
  </si>
  <si>
    <t>Burlington City Public School District</t>
  </si>
  <si>
    <t>http://www.burlington-nj.net/</t>
  </si>
  <si>
    <t>http://www.bcit.cc</t>
  </si>
  <si>
    <t>http://www.bcsssd.k12.nj.us</t>
  </si>
  <si>
    <t>http://www.burltwpsch.org</t>
  </si>
  <si>
    <t>Chesterfield Township School District</t>
  </si>
  <si>
    <t>http://www.chesterfieldschool.com</t>
  </si>
  <si>
    <t>http://www.cinnaminson.com</t>
  </si>
  <si>
    <t>Delanco Township School District</t>
  </si>
  <si>
    <t>http://www.delanco.com</t>
  </si>
  <si>
    <t>Delran Township School District</t>
  </si>
  <si>
    <t>http://www.delranschools.org</t>
  </si>
  <si>
    <t>Eastampton Township School District</t>
  </si>
  <si>
    <t>http://www.eastampton.k12.nj.us</t>
  </si>
  <si>
    <t>Edgewater Park Township School District</t>
  </si>
  <si>
    <t>http://www.edgewaterpark.k12.nj.us</t>
  </si>
  <si>
    <t>Evesham Township School District</t>
  </si>
  <si>
    <t>http://www.evesham.k12.nj.us</t>
  </si>
  <si>
    <t>Florence Township School District</t>
  </si>
  <si>
    <t>http://www.florence.k12.nj.us</t>
  </si>
  <si>
    <t>Hainesport Township School District</t>
  </si>
  <si>
    <t>http://www.hainesport.k12.nj.us</t>
  </si>
  <si>
    <t>Lenape Regional High School District</t>
  </si>
  <si>
    <t>http://www.lrhsd.org</t>
  </si>
  <si>
    <t>http://www.lumberton.k12.nj.us</t>
  </si>
  <si>
    <t>Mansfield Township School District</t>
  </si>
  <si>
    <t>http://www.mansfieldschool.com</t>
  </si>
  <si>
    <t>Maple Shade School District</t>
  </si>
  <si>
    <t>http://www.mapleshade.org</t>
  </si>
  <si>
    <t>Medford Lakes School District</t>
  </si>
  <si>
    <t>http://www.medford-lakes.k12.nj.us</t>
  </si>
  <si>
    <t>Medford Township School District</t>
  </si>
  <si>
    <t>http://www.medford.k12.nj.us</t>
  </si>
  <si>
    <t>Moorestown Township Public School District</t>
  </si>
  <si>
    <t>http://www.mtps.com</t>
  </si>
  <si>
    <t>Mount Holly Township Public School District</t>
  </si>
  <si>
    <t>http://www.mtholly.k12.nj.us</t>
  </si>
  <si>
    <t>Mount Laurel Township School District</t>
  </si>
  <si>
    <t>http://mtlaurelschools.org</t>
  </si>
  <si>
    <t>New Hanover Township</t>
  </si>
  <si>
    <t>http://newhanover.k12.nj.us</t>
  </si>
  <si>
    <t>North Hanover Township School District</t>
  </si>
  <si>
    <t>http://www.nhanover.com</t>
  </si>
  <si>
    <t>Northern Burlington County Regional School District</t>
  </si>
  <si>
    <t>http://www.nburlington.com</t>
  </si>
  <si>
    <t>Palmyra Public School District</t>
  </si>
  <si>
    <t>http://palmyraschools.com/ps/</t>
  </si>
  <si>
    <t>Pemberton Township Schools</t>
  </si>
  <si>
    <t>http://www.pemberton.k12.nj.us</t>
  </si>
  <si>
    <t>Rancocas Valley Regional High School District</t>
  </si>
  <si>
    <t>http://www.rvrhs.com</t>
  </si>
  <si>
    <t>http://riverbank.charter.k12.nj.us</t>
  </si>
  <si>
    <t>http://www.riverside.k12.nj.us</t>
  </si>
  <si>
    <t>Riverton School District</t>
  </si>
  <si>
    <t>http://www.riverton.k12.nj.us</t>
  </si>
  <si>
    <t>Shamong Township School District</t>
  </si>
  <si>
    <t>http://www.ims.k12.nj.us</t>
  </si>
  <si>
    <t>Southampton Township School District</t>
  </si>
  <si>
    <t>http://www.southampton.k12.nj.us</t>
  </si>
  <si>
    <t>Springfield Township School District</t>
  </si>
  <si>
    <t>http://www.springfieldschool.org</t>
  </si>
  <si>
    <t>Tabernacle Township School District</t>
  </si>
  <si>
    <t>http://www.tabschools.org</t>
  </si>
  <si>
    <t>Washington Township School District</t>
  </si>
  <si>
    <t>http://www.wtgreenbank.k12.nj.us</t>
  </si>
  <si>
    <t>Westampton Township Public School District</t>
  </si>
  <si>
    <t>http://www.westamptonschools.org</t>
  </si>
  <si>
    <t>http://www.willingboroschools.org</t>
  </si>
  <si>
    <t>http://www.woodlandboe.org</t>
  </si>
  <si>
    <t>Audubon Public School Disrict</t>
  </si>
  <si>
    <t>http://www.audubonschools.org</t>
  </si>
  <si>
    <t>http://www.barringtonschools.net</t>
  </si>
  <si>
    <t>http://www.bellmawrschools.org</t>
  </si>
  <si>
    <t>Berlin Borough School District</t>
  </si>
  <si>
    <t>http://www.bcsberlin.k12.nj.us</t>
  </si>
  <si>
    <t>Berlin Township School District</t>
  </si>
  <si>
    <t>http://www.btwpschools.org</t>
  </si>
  <si>
    <t>Black Horse Pike Regional School District</t>
  </si>
  <si>
    <t>http://www.bhprsd.org</t>
  </si>
  <si>
    <t>http://www.alicecostello.com</t>
  </si>
  <si>
    <t>Camden Academy Charter High School</t>
  </si>
  <si>
    <t>http://www.promiseacademycharter.org</t>
  </si>
  <si>
    <t>http://WWW.CAMDEN.K12.NJ.US</t>
  </si>
  <si>
    <t>Camden Community Charter School</t>
  </si>
  <si>
    <t>http://CamdenCharter.com</t>
  </si>
  <si>
    <t>http://www.camdenesc.org</t>
  </si>
  <si>
    <t>Camden County Technical School District</t>
  </si>
  <si>
    <t>http://www.ccts.org</t>
  </si>
  <si>
    <t>Camden Prep, Inc.</t>
  </si>
  <si>
    <t>http://camdenprep.uncommonschools.org</t>
  </si>
  <si>
    <t>Camdens Pride Charter School</t>
  </si>
  <si>
    <t>Cherry Hill School District</t>
  </si>
  <si>
    <t>http://www.chclc.org</t>
  </si>
  <si>
    <t>http://www.chesilhurstboe.us</t>
  </si>
  <si>
    <t>Clementon Elementary School District</t>
  </si>
  <si>
    <t>http://clementon.k12.nj.us</t>
  </si>
  <si>
    <t>Collingswood Public School District</t>
  </si>
  <si>
    <t>http://www.collsk12.org</t>
  </si>
  <si>
    <t>http://www.eccrsd.us</t>
  </si>
  <si>
    <t>http://www.ecocharterschool.org</t>
  </si>
  <si>
    <t>Freedom Prep Charter School</t>
  </si>
  <si>
    <t>http://www.democracyprep.org/schools/about/freedom-prep-charter-school</t>
  </si>
  <si>
    <t>Gibbsboro Elementary School</t>
  </si>
  <si>
    <t>http://www.gibbsboroschool.org</t>
  </si>
  <si>
    <t>Gloucester City Public School District</t>
  </si>
  <si>
    <t>http://gcsd.k12.nj.us</t>
  </si>
  <si>
    <t>http://www.gloucestertownshipschools.org</t>
  </si>
  <si>
    <t>http://www.hhsd.k12.nj.us</t>
  </si>
  <si>
    <t>http://HADDONTWPSCHOOLS.COM</t>
  </si>
  <si>
    <t>http://haddonfield.k12.nj.us</t>
  </si>
  <si>
    <t>Hi Nella</t>
  </si>
  <si>
    <t>http://hinellaboe.us</t>
  </si>
  <si>
    <t>http://www.hopecommunitycharter.org/</t>
  </si>
  <si>
    <t>http://www.teamschools.org/schools/revolution-primary/</t>
  </si>
  <si>
    <t>http://www.laurelspringschool.org</t>
  </si>
  <si>
    <t>Lawnside School Distric</t>
  </si>
  <si>
    <t>http://lawnside.k12.nj.us</t>
  </si>
  <si>
    <t>http://www.leapacademycharter.org</t>
  </si>
  <si>
    <t>Lindenwold Public School District</t>
  </si>
  <si>
    <t>http://www.lindenwold.k12.nj.us</t>
  </si>
  <si>
    <t>Magnolia School District</t>
  </si>
  <si>
    <t>http://www.magnoliaschools.org</t>
  </si>
  <si>
    <t>http://www.masterynj.org</t>
  </si>
  <si>
    <t>Merchantville School District</t>
  </si>
  <si>
    <t>http://www.merchantvilleschool.org</t>
  </si>
  <si>
    <t>http://www.mtephraimschools.org</t>
  </si>
  <si>
    <t>Oaklyn Public School District</t>
  </si>
  <si>
    <t>http://www.oaklyn.k12.nj.us</t>
  </si>
  <si>
    <t>http://PENNSAUKEN.NET</t>
  </si>
  <si>
    <t>http://www.pinehill.k12.nj.us</t>
  </si>
  <si>
    <t>http://www.runnemedeschools.org</t>
  </si>
  <si>
    <t>http://www.somerdale-park.org</t>
  </si>
  <si>
    <t>Sterling Regional School District</t>
  </si>
  <si>
    <t>http://www.sterling.k12.nj.us</t>
  </si>
  <si>
    <t>Stratford School District</t>
  </si>
  <si>
    <t>http://www.stratford.k12.nj.us</t>
  </si>
  <si>
    <t>http://www.thekingdomcharter.org</t>
  </si>
  <si>
    <t>http://www.voorhees.k12.nj.us</t>
  </si>
  <si>
    <t>http://www.wtsd.org</t>
  </si>
  <si>
    <t>Winslow Township School District</t>
  </si>
  <si>
    <t>http://www.winslow-schools.com</t>
  </si>
  <si>
    <t>Woodlynne School District</t>
  </si>
  <si>
    <t>http://www.woodlynne.k12,nj.us</t>
  </si>
  <si>
    <t>http://WWW.AVESNJ.ORG</t>
  </si>
  <si>
    <t>http://www.cmcboe.org</t>
  </si>
  <si>
    <t>Cape May County Special Services School District</t>
  </si>
  <si>
    <t>http://www.cmcspecialservices.org</t>
  </si>
  <si>
    <t>Cape May County Technical High School District</t>
  </si>
  <si>
    <t>http://www.capemaytech.com</t>
  </si>
  <si>
    <t>Cape May Point School District</t>
  </si>
  <si>
    <t>http://www.capemaycityschool.org</t>
  </si>
  <si>
    <t>http://www.dennistwpschools.org</t>
  </si>
  <si>
    <t>Lower Cape May Regional School District</t>
  </si>
  <si>
    <t>http://www.lcmrschools.com</t>
  </si>
  <si>
    <t>Lower Township Elementary School District</t>
  </si>
  <si>
    <t>http://www.lowertwpschools.com</t>
  </si>
  <si>
    <t>Middle Township Public School District</t>
  </si>
  <si>
    <t>http://www.middletwp.k12.nj.us</t>
  </si>
  <si>
    <t>http://www.mmace.com</t>
  </si>
  <si>
    <t>http://www.oceancityschools.org</t>
  </si>
  <si>
    <t>Stone Harbor School District</t>
  </si>
  <si>
    <t>http://www.shesnj.org</t>
  </si>
  <si>
    <t>Upper Township School District</t>
  </si>
  <si>
    <t>http://www.upperschools.org</t>
  </si>
  <si>
    <t>http://wcm.capemayschools.com</t>
  </si>
  <si>
    <t>West Wildwood School District</t>
  </si>
  <si>
    <t>http://WWW.WILDWOODDISTRICT.ORG</t>
  </si>
  <si>
    <t>http://WWW.CRESTMEM.EDU</t>
  </si>
  <si>
    <t>Woodbine School District</t>
  </si>
  <si>
    <t>http://woodbine.capemayschools.com</t>
  </si>
  <si>
    <t>Bridgeton City School District</t>
  </si>
  <si>
    <t>http://www.Bridgeton.k12.nj.us</t>
  </si>
  <si>
    <t>Bridgeton Public Charter School</t>
  </si>
  <si>
    <t>http://www,bridgetonpubliccharterschool.org</t>
  </si>
  <si>
    <t>Commercial Township School District</t>
  </si>
  <si>
    <t>http://www.commercial.k12.nj.us</t>
  </si>
  <si>
    <t>Compass Academy Charter School</t>
  </si>
  <si>
    <t>http://www.compassacademycharter.org</t>
  </si>
  <si>
    <t>http://www.cctecnj.org</t>
  </si>
  <si>
    <t>http://www.crhsd.org</t>
  </si>
  <si>
    <t>http://www.deerfield.k12.nj.us</t>
  </si>
  <si>
    <t>Downe Township School District</t>
  </si>
  <si>
    <t>http://www.downeschool.org</t>
  </si>
  <si>
    <t>Fairfield Township School District</t>
  </si>
  <si>
    <t>http://www.fairfield.k12.nj.us</t>
  </si>
  <si>
    <t>http://www.morrisgoodwinschool.org</t>
  </si>
  <si>
    <t>Hopewell Township School District</t>
  </si>
  <si>
    <t>http://hopewellcrest.org</t>
  </si>
  <si>
    <t>Lawrence Township School District</t>
  </si>
  <si>
    <t>http://www.myronlpowell.org</t>
  </si>
  <si>
    <t>http://WWW.MRTSCHOOL.COM</t>
  </si>
  <si>
    <t>http://mps.millvillenj.gov</t>
  </si>
  <si>
    <t>Millville Public Charter School</t>
  </si>
  <si>
    <t>http://millvillepubliccharterschool.org</t>
  </si>
  <si>
    <t>http://www.stowcreekschool.com</t>
  </si>
  <si>
    <t>Upper Deerfield Township School District</t>
  </si>
  <si>
    <t>http://www.upperdeerfieldschools.org</t>
  </si>
  <si>
    <t>Vineland Public Charter School</t>
  </si>
  <si>
    <t>http://www.vinelandpubliccharterschool.org/</t>
  </si>
  <si>
    <t>Vineland Public School District</t>
  </si>
  <si>
    <t>http://www.vineland.org</t>
  </si>
  <si>
    <t>http://www.bellevilleschools.org</t>
  </si>
  <si>
    <t>http://www.bloomfield.k12.nj.us</t>
  </si>
  <si>
    <t>http://www.burchcharterschool.org</t>
  </si>
  <si>
    <t>http://www.cwcboe.org</t>
  </si>
  <si>
    <t>http://www.cedargrove.k12.nj.us/</t>
  </si>
  <si>
    <t>Discovery Charter School</t>
  </si>
  <si>
    <t>http://www.discoverycs.org</t>
  </si>
  <si>
    <t>http://www.theeoccs.org</t>
  </si>
  <si>
    <t>East Orange School District</t>
  </si>
  <si>
    <t>http://www.eastorange.k12.nj.us</t>
  </si>
  <si>
    <t>Essex County Vocational Technical Schools</t>
  </si>
  <si>
    <t>http://www.essextech.org</t>
  </si>
  <si>
    <t>http://www.efsk-6.org</t>
  </si>
  <si>
    <t>http://www.eresc.com</t>
  </si>
  <si>
    <t>Fairfield Public Schools</t>
  </si>
  <si>
    <t>http://www.fpsk6.org</t>
  </si>
  <si>
    <t>Glen Ridge Public Schools</t>
  </si>
  <si>
    <t>http://www.glenridge.org</t>
  </si>
  <si>
    <t>Great Oaks Charter School</t>
  </si>
  <si>
    <t>http://www.greatoakscharter.org</t>
  </si>
  <si>
    <t>http://www.irvington.k12.nj.us/</t>
  </si>
  <si>
    <t>Lady Liberty Academy Charter School</t>
  </si>
  <si>
    <t>http://www.llacs.org</t>
  </si>
  <si>
    <t>Link Community Charter School</t>
  </si>
  <si>
    <t>http://www.linkschool.org</t>
  </si>
  <si>
    <t>http://www.livingston.org</t>
  </si>
  <si>
    <t>Maria Varisco Rogers Charter School</t>
  </si>
  <si>
    <t>http://www.mvrogerscharter.org</t>
  </si>
  <si>
    <t>Marion P. Thomas Charter School</t>
  </si>
  <si>
    <t>http://www.mptcs.org</t>
  </si>
  <si>
    <t>http://www.meritprepschools.org</t>
  </si>
  <si>
    <t>Millburn Township Schools</t>
  </si>
  <si>
    <t>http://www.millburn.org</t>
  </si>
  <si>
    <t>Montclair Public Schools</t>
  </si>
  <si>
    <t>http://www.montclair.k12.nj.us</t>
  </si>
  <si>
    <t>New Horizons Community Charter School</t>
  </si>
  <si>
    <t>http://nhccschool.org</t>
  </si>
  <si>
    <t>Newark Educators Community Charter School</t>
  </si>
  <si>
    <t>http://newarkeducators.org</t>
  </si>
  <si>
    <t>Newark Legacy Charter School</t>
  </si>
  <si>
    <t>http://www.newarklegacy.org</t>
  </si>
  <si>
    <t>Newark Prep Charter School</t>
  </si>
  <si>
    <t>http://www.newarkprep.com</t>
  </si>
  <si>
    <t>http://WWW.NPS.K12.NJ.US</t>
  </si>
  <si>
    <t>http://www.ncboe.org</t>
  </si>
  <si>
    <t>North Star Academy Charter School</t>
  </si>
  <si>
    <t>http://www.northstaracademy.org</t>
  </si>
  <si>
    <t>http://www.nutleyschools.org</t>
  </si>
  <si>
    <t>http://www.orange.k12.nj.us</t>
  </si>
  <si>
    <t>Paulo Freire Charter School</t>
  </si>
  <si>
    <t>http://www.thefreireschool.org</t>
  </si>
  <si>
    <t>Peoples Preparatory Charter School</t>
  </si>
  <si>
    <t>http://peoplesprepnewark.org</t>
  </si>
  <si>
    <t>http://www.pacsnewark.org</t>
  </si>
  <si>
    <t>Pride Academy Charter School</t>
  </si>
  <si>
    <t>http://www.prideacs.org</t>
  </si>
  <si>
    <t>Robert Treat Academy Charter School</t>
  </si>
  <si>
    <t>http://www.RobertTreatAcademy.org</t>
  </si>
  <si>
    <t>Roseland School District</t>
  </si>
  <si>
    <t>http://www.roselandnjboe.org</t>
  </si>
  <si>
    <t>http://www.rosevillecharter.org</t>
  </si>
  <si>
    <t>South Orange-Maplewood School District</t>
  </si>
  <si>
    <t>http://www.somsd.k12.nj.us</t>
  </si>
  <si>
    <t>http://www.teamschools.org</t>
  </si>
  <si>
    <t>The Gray Charter School</t>
  </si>
  <si>
    <t>http://www.graycharterschool.com</t>
  </si>
  <si>
    <t>University Heights Charter School</t>
  </si>
  <si>
    <t>http://www.uhcs-newark.org</t>
  </si>
  <si>
    <t>Verona Public School District</t>
  </si>
  <si>
    <t>http://www.veronaschools.org</t>
  </si>
  <si>
    <t>West Essex Regional School District</t>
  </si>
  <si>
    <t>http://www.westex.org</t>
  </si>
  <si>
    <t>West Orange Public Schools</t>
  </si>
  <si>
    <t>http://www.woboe.org</t>
  </si>
  <si>
    <t>http://www.claytonps.org</t>
  </si>
  <si>
    <t>Clearview Regional High School District</t>
  </si>
  <si>
    <t>http://www.clearviewregional.edu</t>
  </si>
  <si>
    <t>http://www.delsearegional.us</t>
  </si>
  <si>
    <t>Deptford Township Public School District</t>
  </si>
  <si>
    <t>http://www.deptford.k12.nj.us</t>
  </si>
  <si>
    <t>East Greenwich Township School District</t>
  </si>
  <si>
    <t>http://www.eastgreenwich.k12.nj.us</t>
  </si>
  <si>
    <t>Elk Township School District</t>
  </si>
  <si>
    <t>http://www.elk.k12.nj.us</t>
  </si>
  <si>
    <t>http://www.gatewayhs.com</t>
  </si>
  <si>
    <t>Glassboro School District</t>
  </si>
  <si>
    <t>http://www.glassboroschools.us</t>
  </si>
  <si>
    <t>Gloucester County Special Services School District</t>
  </si>
  <si>
    <t>http://www.gcsssd.org</t>
  </si>
  <si>
    <t>Gloucester County Vocational-Technical School District</t>
  </si>
  <si>
    <t>http://www.gcit.org</t>
  </si>
  <si>
    <t>Greenwich Township School District</t>
  </si>
  <si>
    <t>http://www.greenwich.k12.nj.us</t>
  </si>
  <si>
    <t>http://www.harrisontwp.k12.nj.us</t>
  </si>
  <si>
    <t>Kingsway Regional School District</t>
  </si>
  <si>
    <t>http://www.kingsway.k12.nj.us</t>
  </si>
  <si>
    <t>Logan Township School District</t>
  </si>
  <si>
    <t>http://www.logan.k12.nj.us</t>
  </si>
  <si>
    <t>Mantua Township School District</t>
  </si>
  <si>
    <t>http://www.mantuaschools.com</t>
  </si>
  <si>
    <t>http://www.monroetwp.k12.nj.us/</t>
  </si>
  <si>
    <t>National Park Boro School District</t>
  </si>
  <si>
    <t>http://www.npelem.com</t>
  </si>
  <si>
    <t>http://WWW.PAULSBORO.K12.NJ.US</t>
  </si>
  <si>
    <t>http://pitman.k12.nj.us</t>
  </si>
  <si>
    <t>http://www.southharrison.k12.nj.us</t>
  </si>
  <si>
    <t>http://WWW.SWEDESBORO-WOOLWICH.COM</t>
  </si>
  <si>
    <t>http://www.franklintwpschools.org</t>
  </si>
  <si>
    <t>http://www.wtps.org</t>
  </si>
  <si>
    <t>Wenonah  Boro School District</t>
  </si>
  <si>
    <t>http://www.wenonahschool.org</t>
  </si>
  <si>
    <t>http://www.wdeptford.k12.nj.us</t>
  </si>
  <si>
    <t>Westville Boro Public School District</t>
  </si>
  <si>
    <t>http://www.westvillesd.com</t>
  </si>
  <si>
    <t>Woodbury City Public School District</t>
  </si>
  <si>
    <t>http://www.woodburysch.com</t>
  </si>
  <si>
    <t>Woodbury Heights Public School District</t>
  </si>
  <si>
    <t>http://www.woodburyhtselem.com</t>
  </si>
  <si>
    <t>Bayonne School District</t>
  </si>
  <si>
    <t>http://www.bboed.org</t>
  </si>
  <si>
    <t>http://www.belovedccs.org</t>
  </si>
  <si>
    <t>Dr Lena Edwards Academic Charter School</t>
  </si>
  <si>
    <t>http://www.drlenaedwardscharterschool.org</t>
  </si>
  <si>
    <t>East Newark School District</t>
  </si>
  <si>
    <t>http://www.eastnewarkschool.org</t>
  </si>
  <si>
    <t>Elysian Charter School</t>
  </si>
  <si>
    <t>http://www.ecsnj.org</t>
  </si>
  <si>
    <t>Empowerment Academy Charter School</t>
  </si>
  <si>
    <t>http://www.empacad.org</t>
  </si>
  <si>
    <t>Great Futures Charter School</t>
  </si>
  <si>
    <t>http://www.greatfuturescharterhs.org</t>
  </si>
  <si>
    <t>http://www.alkschool.org</t>
  </si>
  <si>
    <t>Harrison Public Schools</t>
  </si>
  <si>
    <t>http://www.harrisonschools.org</t>
  </si>
  <si>
    <t>Hoboken Charter School</t>
  </si>
  <si>
    <t>http://www.hobokencs.org</t>
  </si>
  <si>
    <t>Hoboken Dual Language Charter School</t>
  </si>
  <si>
    <t>http://holahoboken.org/</t>
  </si>
  <si>
    <t>Hoboken Public School District</t>
  </si>
  <si>
    <t>http://www.hoboken.k12.nj.us</t>
  </si>
  <si>
    <t>http://www.hcstonline.org</t>
  </si>
  <si>
    <t>Jersey City Community Charter School</t>
  </si>
  <si>
    <t>http://www.jcccsonline.org</t>
  </si>
  <si>
    <t>http://www.jcgcs.org</t>
  </si>
  <si>
    <t>Jersey City Golden Door Charter School</t>
  </si>
  <si>
    <t>http://www.goldendoorschool.org</t>
  </si>
  <si>
    <t>Jersey City School District</t>
  </si>
  <si>
    <t>http://www.jcboe.org</t>
  </si>
  <si>
    <t>Kearny</t>
  </si>
  <si>
    <t>http://kearnyschools.com</t>
  </si>
  <si>
    <t>Learning Community Charter School</t>
  </si>
  <si>
    <t>http://www.lccsnj.org</t>
  </si>
  <si>
    <t>http://www.metscharterschool.org</t>
  </si>
  <si>
    <t>http://www.northbergen.k12.nj.us</t>
  </si>
  <si>
    <t>http://www.sboe.us</t>
  </si>
  <si>
    <t>Soaring Heights</t>
  </si>
  <si>
    <t>http://www.soaringheightscharterschool.com</t>
  </si>
  <si>
    <t>The Ethical Community Charter School</t>
  </si>
  <si>
    <t>http://www.teccs-jc.org/</t>
  </si>
  <si>
    <t>Union City School District</t>
  </si>
  <si>
    <t>http://www.union-city.k12.nj.us</t>
  </si>
  <si>
    <t>University Academy Charter High School</t>
  </si>
  <si>
    <t>http://www.uachs.org</t>
  </si>
  <si>
    <t>Weehawken Public School District</t>
  </si>
  <si>
    <t>http://www.weehawken.k12.nj.us</t>
  </si>
  <si>
    <t>http://www.wnyschools.net</t>
  </si>
  <si>
    <t>Alexandria Township School District</t>
  </si>
  <si>
    <t>http://www.alexandriaschools.org</t>
  </si>
  <si>
    <t>Bethlehem Township School District</t>
  </si>
  <si>
    <t>http://www.btschools.org</t>
  </si>
  <si>
    <t>Bloomsbury School District</t>
  </si>
  <si>
    <t>http://www.bburyes.com</t>
  </si>
  <si>
    <t>Califon Borough School District</t>
  </si>
  <si>
    <t>http://www.califonschool.org</t>
  </si>
  <si>
    <t>Clinton Township School District</t>
  </si>
  <si>
    <t>http://www.ctsd.k12.nj.us</t>
  </si>
  <si>
    <t>Clinton-Glen Gardner School District</t>
  </si>
  <si>
    <t>http://cpsnj.org</t>
  </si>
  <si>
    <t>Delaware Township School District</t>
  </si>
  <si>
    <t>http://www.dtsk8.org</t>
  </si>
  <si>
    <t>http://www.dvrhs.k12.nj.us</t>
  </si>
  <si>
    <t>http://www.eastamwell.org</t>
  </si>
  <si>
    <t>Flemington-Raritan Regional School District</t>
  </si>
  <si>
    <t>http://www.frsd.k12.nj.us</t>
  </si>
  <si>
    <t>Franklin Township School District</t>
  </si>
  <si>
    <t>http://www.ftschool.org</t>
  </si>
  <si>
    <t>Frenchtown Borough School District</t>
  </si>
  <si>
    <t>http://teacherweb.com/NJ/Frenchtownschool/SchoolWebsite/</t>
  </si>
  <si>
    <t>http://hampton.nhvweb.net</t>
  </si>
  <si>
    <t>http://www.hbschools.org</t>
  </si>
  <si>
    <t>Holland Township School District</t>
  </si>
  <si>
    <t>http://www.hollandschool.org</t>
  </si>
  <si>
    <t>Hunterdon Central Regional High School District</t>
  </si>
  <si>
    <t>http://www.hcrhs.org</t>
  </si>
  <si>
    <t>Hunterdon County Educational Services Commission</t>
  </si>
  <si>
    <t>http://www.hcesc.com</t>
  </si>
  <si>
    <t>Hunterdon County Vocational School District</t>
  </si>
  <si>
    <t>http://www.hcpolytech.org</t>
  </si>
  <si>
    <t>http://WWW.KINGWOODSCHOOL.ORG</t>
  </si>
  <si>
    <t>Lebanon Borough School District</t>
  </si>
  <si>
    <t>http://lbsd.schoolwires.com</t>
  </si>
  <si>
    <t>Lebanon Township School District</t>
  </si>
  <si>
    <t>http://www.lebtwpk8.org</t>
  </si>
  <si>
    <t>Milford Borough School District</t>
  </si>
  <si>
    <t>http://www.milfordpublicschool.com</t>
  </si>
  <si>
    <t>North Hunterdon-Voorhees Regional High School District</t>
  </si>
  <si>
    <t>http://www.nhvweb.net</t>
  </si>
  <si>
    <t>Readington Township School District</t>
  </si>
  <si>
    <t>http://www.readington.k12.nj.us</t>
  </si>
  <si>
    <t>http://www.shrsd.org</t>
  </si>
  <si>
    <t>Tewksbury Township School District</t>
  </si>
  <si>
    <t>http://www.tewksburyschools.org</t>
  </si>
  <si>
    <t>Union Township School District</t>
  </si>
  <si>
    <t>http://www.uniontwpschool.org</t>
  </si>
  <si>
    <t>http://www.mcts.edu</t>
  </si>
  <si>
    <t>http://www.eastwindsorregionalschools.com</t>
  </si>
  <si>
    <t>Ewing Township School District</t>
  </si>
  <si>
    <t>http://www.ewing.k12.nj.us</t>
  </si>
  <si>
    <t>Foundation Academy Charter School</t>
  </si>
  <si>
    <t>http://www.foundationacademies.org</t>
  </si>
  <si>
    <t>Hamilton Township Public School District</t>
  </si>
  <si>
    <t>http://www.hamilton.k12.nj.us</t>
  </si>
  <si>
    <t>Hopewell Valley Regional School District</t>
  </si>
  <si>
    <t>http://www.hvrsd.org</t>
  </si>
  <si>
    <t>http://www.iat.sabis.net</t>
  </si>
  <si>
    <t xml:space="preserve">International Charter School </t>
  </si>
  <si>
    <t>http://Internationalcs.org</t>
  </si>
  <si>
    <t>Lawrence Township Public School District</t>
  </si>
  <si>
    <t>http://www.ltps.org</t>
  </si>
  <si>
    <t>Mercer County Special Services School District</t>
  </si>
  <si>
    <t>http://www.mcsssd.org</t>
  </si>
  <si>
    <t>http://www.pace.charter.k12.nj.us</t>
  </si>
  <si>
    <t>http://www.paulrobesoncs.org</t>
  </si>
  <si>
    <t>Princeton Charter School</t>
  </si>
  <si>
    <t>http://www.pcs.k12.nj.us</t>
  </si>
  <si>
    <t>Princeton Public Schools</t>
  </si>
  <si>
    <t>http://www.princetonk12.org</t>
  </si>
  <si>
    <t>Robbinsville Public Schools</t>
  </si>
  <si>
    <t>http://www.robbinsville.k12.nj.us</t>
  </si>
  <si>
    <t>The Village Charter School</t>
  </si>
  <si>
    <t>http://www.villagecharter.org</t>
  </si>
  <si>
    <t>http://www.trenton.k12.nj.us</t>
  </si>
  <si>
    <t>http://www.stemcivics.org</t>
  </si>
  <si>
    <t>West Windsor-Plainsboro Regional School District</t>
  </si>
  <si>
    <t>http://www.ww-p.org/</t>
  </si>
  <si>
    <t>http://www.aulchs.org</t>
  </si>
  <si>
    <t>Carteret Public School District</t>
  </si>
  <si>
    <t>http://www.carteretschools.org</t>
  </si>
  <si>
    <t>Cranbury Township School District</t>
  </si>
  <si>
    <t>http://www.cranburyschool.org</t>
  </si>
  <si>
    <t>Dunellen Public School District</t>
  </si>
  <si>
    <t>http://www.dunellenschools.org</t>
  </si>
  <si>
    <t>East Brunswick Township School District</t>
  </si>
  <si>
    <t>http://www.ebnet.org</t>
  </si>
  <si>
    <t>Edison Township School District</t>
  </si>
  <si>
    <t>http://www.edison.k12.nj.us</t>
  </si>
  <si>
    <t>Greater Brunswick Charter School</t>
  </si>
  <si>
    <t>http://www.greaterbrunswick.org</t>
  </si>
  <si>
    <t>http://www.hatikvahcharterschool.com</t>
  </si>
  <si>
    <t>Highland Park Boro School District</t>
  </si>
  <si>
    <t>http://WWW.HPSCHOOLS.NET</t>
  </si>
  <si>
    <t>Jamesburg Public School District</t>
  </si>
  <si>
    <t>http://www.jamesburg.org</t>
  </si>
  <si>
    <t>Metuchen Public School District</t>
  </si>
  <si>
    <t>http://www.metuchenschools.org</t>
  </si>
  <si>
    <t>Middlesex Borough School District</t>
  </si>
  <si>
    <t>http://www.middlesex.k12.nj.us</t>
  </si>
  <si>
    <t>http://www.mcvts.net</t>
  </si>
  <si>
    <t>Middlesex Regional Educational Services Commission</t>
  </si>
  <si>
    <t>http://www.mresc.k12.nj.us</t>
  </si>
  <si>
    <t>Milltown School District</t>
  </si>
  <si>
    <t>http://www.milltownps.org</t>
  </si>
  <si>
    <t>Monroe Township School District</t>
  </si>
  <si>
    <t>http://WWW.MONROE.K12.NJ.US</t>
  </si>
  <si>
    <t>New Brunswick School District</t>
  </si>
  <si>
    <t>http://www.nbps.k12.nj.us</t>
  </si>
  <si>
    <t>North Brunswick Township School District</t>
  </si>
  <si>
    <t>http://www.nbtschools.org</t>
  </si>
  <si>
    <t>Old Bridge Township School District</t>
  </si>
  <si>
    <t>http://www.oldbridgeadmin.org</t>
  </si>
  <si>
    <t>Perth Amboy Public School District</t>
  </si>
  <si>
    <t>http://www.paps.net</t>
  </si>
  <si>
    <t>Piscataway Township School District</t>
  </si>
  <si>
    <t>http://www.piscatawayschools.org</t>
  </si>
  <si>
    <t>Sayreville School District</t>
  </si>
  <si>
    <t>http://www.sayrevillek12.net</t>
  </si>
  <si>
    <t>South Amboy School District</t>
  </si>
  <si>
    <t>http://www.sapublicschools.com</t>
  </si>
  <si>
    <t>South Brunswick School District</t>
  </si>
  <si>
    <t>http://www.sbschools.org</t>
  </si>
  <si>
    <t>South Plainfield School District</t>
  </si>
  <si>
    <t>http://www.spboe.org</t>
  </si>
  <si>
    <t>South River Public School District</t>
  </si>
  <si>
    <t>http://srivernj.org</t>
  </si>
  <si>
    <t>Spotswood Public School District</t>
  </si>
  <si>
    <t>http://www.spotswood.k12.nj.us</t>
  </si>
  <si>
    <t>Woodbridge Township School District</t>
  </si>
  <si>
    <t>http://www.woodbridge.k12.nj.us/district.html</t>
  </si>
  <si>
    <t>Academy Charter High School</t>
  </si>
  <si>
    <t>http://www.academycharterhs.org</t>
  </si>
  <si>
    <t>Allenhurst</t>
  </si>
  <si>
    <t>Asbury Park School District</t>
  </si>
  <si>
    <t>http://www.asburypark.k12.nj.us</t>
  </si>
  <si>
    <t>Atlantic Highlands School District</t>
  </si>
  <si>
    <t>http://www.ahes.k12.nj.us</t>
  </si>
  <si>
    <t>http://WWW.AVONSCHOOL.COM</t>
  </si>
  <si>
    <t>http://www.theshorecenter.org</t>
  </si>
  <si>
    <t>Belmar Elementary School District</t>
  </si>
  <si>
    <t>http://www.belmar.k12.nj.us</t>
  </si>
  <si>
    <t>Bradley Beach Elementary School District</t>
  </si>
  <si>
    <t>http://www.bbesnj.org</t>
  </si>
  <si>
    <t>http://www.brielle.k12.nj.us</t>
  </si>
  <si>
    <t>Colts Neck Township School District</t>
  </si>
  <si>
    <t>http://www.coltsneckschools.org</t>
  </si>
  <si>
    <t>http://www.dealschool.org</t>
  </si>
  <si>
    <t>Eatontown Public School District</t>
  </si>
  <si>
    <t>http://www.eatontown.org</t>
  </si>
  <si>
    <t>Fair Haven School District</t>
  </si>
  <si>
    <t>http://www.fairhaven.edu</t>
  </si>
  <si>
    <t>Farmingdale Public School District</t>
  </si>
  <si>
    <t>http://farmingdaleschool.com</t>
  </si>
  <si>
    <t>Freehold Borough School District</t>
  </si>
  <si>
    <t>http://www.freeholdboro.k12.nj.us</t>
  </si>
  <si>
    <t>Freehold Regional High School District</t>
  </si>
  <si>
    <t>http://www.frhsd.com</t>
  </si>
  <si>
    <t>Freehold Township School District</t>
  </si>
  <si>
    <t>http://www.freeholdtwp.k12.nj.us</t>
  </si>
  <si>
    <t>Hazlet Township Public School District</t>
  </si>
  <si>
    <t>http://www.hazlet.org</t>
  </si>
  <si>
    <t>Henry Hudson Regional School District</t>
  </si>
  <si>
    <t>http://www.henryhudsonreg.k12.nj.us</t>
  </si>
  <si>
    <t>Highlands Borough School District</t>
  </si>
  <si>
    <t>http://www.HighlandsElementary.org</t>
  </si>
  <si>
    <t>Holmdel Township School District</t>
  </si>
  <si>
    <t>http://www.holmdelschools.org</t>
  </si>
  <si>
    <t>Hope Academy Charter School</t>
  </si>
  <si>
    <t>http://www.hopeacademycs.org</t>
  </si>
  <si>
    <t>http://WWW.HOWELL.K12.NJ.US</t>
  </si>
  <si>
    <t>Interlaken School District</t>
  </si>
  <si>
    <t>http://www.interlakenboro.com</t>
  </si>
  <si>
    <t>Keansburg School District</t>
  </si>
  <si>
    <t>http://www.keansburg.k12.nj.us</t>
  </si>
  <si>
    <t>Keyport School District</t>
  </si>
  <si>
    <t>http://www.kpsdschools.org</t>
  </si>
  <si>
    <t>Lake Como School District</t>
  </si>
  <si>
    <t>http://www.belmar.k12.nj.us/domain/113</t>
  </si>
  <si>
    <t>http://WWW.LITTLESILVERSCHOOLS.ORG</t>
  </si>
  <si>
    <t>http://www.longbranch.k12.nj.us</t>
  </si>
  <si>
    <t>Manalapan-Englishtown Regional Schools School District</t>
  </si>
  <si>
    <t>http://www.mers.k12.nj.us</t>
  </si>
  <si>
    <t>Manasquan School District</t>
  </si>
  <si>
    <t>http://www.manasquanschools.org</t>
  </si>
  <si>
    <t>http://www.marlboro.k12.nj.us</t>
  </si>
  <si>
    <t>Matawan-Aberdeen Regional School District</t>
  </si>
  <si>
    <t>http://www.marsd.org</t>
  </si>
  <si>
    <t>http://www.middletownk12.org</t>
  </si>
  <si>
    <t>Millstone Township School District</t>
  </si>
  <si>
    <t>http://www.millstone.k12.nj.us</t>
  </si>
  <si>
    <t>http://MBSCHOOL.ORG</t>
  </si>
  <si>
    <t>Monmouth County Vocational School District</t>
  </si>
  <si>
    <t>http://www.mcvsd.org</t>
  </si>
  <si>
    <t>http://www.monmouthregional.net</t>
  </si>
  <si>
    <t>Monmouth-Ocean Educational Services Commission</t>
  </si>
  <si>
    <t>http://www.moesc.org</t>
  </si>
  <si>
    <t>http://WWW.NEPTUNECITYSCHOOL.ORG</t>
  </si>
  <si>
    <t>http://www.neptune.k12.nj.us</t>
  </si>
  <si>
    <t>Oceanport School District</t>
  </si>
  <si>
    <t>http://oceanport.k12.nj.us</t>
  </si>
  <si>
    <t>Red Bank Borough Public School District</t>
  </si>
  <si>
    <t>http://www.rbb.k12.nj.us</t>
  </si>
  <si>
    <t>Red Bank Charter School</t>
  </si>
  <si>
    <t>http://www.redbankcharterschool.com</t>
  </si>
  <si>
    <t>Red Bank Regional School District</t>
  </si>
  <si>
    <t>http://www.rbrhs.org</t>
  </si>
  <si>
    <t>http://www.rps1.org</t>
  </si>
  <si>
    <t>Rumson Borough School District</t>
  </si>
  <si>
    <t>http://www.rumsonschool.org</t>
  </si>
  <si>
    <t>http://www.rumsonfairhaven.org</t>
  </si>
  <si>
    <t>Sea Girt Borough School District</t>
  </si>
  <si>
    <t>http://www.seagirt.k12.nj.us</t>
  </si>
  <si>
    <t>http://www.shoreregional.org</t>
  </si>
  <si>
    <t>http://www.sbs.k12.nj.us/sbs</t>
  </si>
  <si>
    <t>Spring Lake Borough</t>
  </si>
  <si>
    <t>http://www.hwmountz.k12.nj.us</t>
  </si>
  <si>
    <t>http://www.slheights.org</t>
  </si>
  <si>
    <t>Tinton Falls School District</t>
  </si>
  <si>
    <t>http://www.tfs.k12.nj.us</t>
  </si>
  <si>
    <t>http://www.oceanschools.org</t>
  </si>
  <si>
    <t>Union Beach Public School District</t>
  </si>
  <si>
    <t>http://www.unionbeachschools.org</t>
  </si>
  <si>
    <t>http://www.ufrsd.net</t>
  </si>
  <si>
    <t>Wall Township Public School District</t>
  </si>
  <si>
    <t>http://www.wall.k12.nj.us</t>
  </si>
  <si>
    <t>West Long Branch School District</t>
  </si>
  <si>
    <t>http://wlbschools.com</t>
  </si>
  <si>
    <t>Boonton Town School District</t>
  </si>
  <si>
    <t>http://www.boontonschools.org</t>
  </si>
  <si>
    <t>Boonton Township School District</t>
  </si>
  <si>
    <t>http://www.rvsnj.org</t>
  </si>
  <si>
    <t>Butler Public School District</t>
  </si>
  <si>
    <t>http://www.butlerboe.org</t>
  </si>
  <si>
    <t>http://www.chester-nj.org</t>
  </si>
  <si>
    <t>Denville Township K-8 School District</t>
  </si>
  <si>
    <t>http://www.denville.org</t>
  </si>
  <si>
    <t>Dover Public School District</t>
  </si>
  <si>
    <t>http://district.dover-nj.org</t>
  </si>
  <si>
    <t>East Hanover Township School District</t>
  </si>
  <si>
    <t>http://www.easthanoverschools.org</t>
  </si>
  <si>
    <t>http://www.escmorris.com</t>
  </si>
  <si>
    <t>http://www.fpks.org</t>
  </si>
  <si>
    <t>Hanover Park Regional High School District</t>
  </si>
  <si>
    <t>http://www.hpreg.org</t>
  </si>
  <si>
    <t>Hanover Township School District</t>
  </si>
  <si>
    <t>http://www.hanovertwpschools.org</t>
  </si>
  <si>
    <t>Harding Township School District</t>
  </si>
  <si>
    <t>http://www.hardingtwp.org</t>
  </si>
  <si>
    <t>Jefferson Township Public School District</t>
  </si>
  <si>
    <t>http://www.jefftwp.org</t>
  </si>
  <si>
    <t>Kinnelon School District</t>
  </si>
  <si>
    <t>http://www.kinnelonpublicschools.org</t>
  </si>
  <si>
    <t>Lincoln Park School District</t>
  </si>
  <si>
    <t>http://www.lincolnparkboe.org</t>
  </si>
  <si>
    <t>Long Hill Township School District</t>
  </si>
  <si>
    <t>http://www.longhill.org</t>
  </si>
  <si>
    <t>Madison Public School District</t>
  </si>
  <si>
    <t>http://www.madisonpublicschools.org</t>
  </si>
  <si>
    <t>http://www.mendhamboro.org</t>
  </si>
  <si>
    <t>Mendham Township School District</t>
  </si>
  <si>
    <t>http://www.mendhamtwp.org</t>
  </si>
  <si>
    <t>Mine Hill Township School District</t>
  </si>
  <si>
    <t>http://www.minehillcas.org</t>
  </si>
  <si>
    <t>Montville Township School District</t>
  </si>
  <si>
    <t>http://www.montville.net</t>
  </si>
  <si>
    <t>Morris County Vocational School District</t>
  </si>
  <si>
    <t>http://www.mcvts.org</t>
  </si>
  <si>
    <t>Morris Hills Regional School District</t>
  </si>
  <si>
    <t>http://www.mhrd.org</t>
  </si>
  <si>
    <t>http://MORRISPLAINSSCHOOLDISTRICT.ORG</t>
  </si>
  <si>
    <t>http://www.morrisschooldistrict.org</t>
  </si>
  <si>
    <t>Mount Arlington Public School District</t>
  </si>
  <si>
    <t>http://www.mtartlingtonk8.org</t>
  </si>
  <si>
    <t>Mount Olive Township School District</t>
  </si>
  <si>
    <t>http://www.mtoliveboe.org</t>
  </si>
  <si>
    <t>Mountain Lakes Public School District</t>
  </si>
  <si>
    <t>http://www.mtlakes.org/district</t>
  </si>
  <si>
    <t>Netcong School District</t>
  </si>
  <si>
    <t>http://www.netcongschool.org</t>
  </si>
  <si>
    <t>Parsippany-Troy Hills Township School District</t>
  </si>
  <si>
    <t>http://www.pthsd.k12.nj.us</t>
  </si>
  <si>
    <t>Pequannock Township School District</t>
  </si>
  <si>
    <t>http://www.pequannock.org</t>
  </si>
  <si>
    <t>Randolph Township School District</t>
  </si>
  <si>
    <t>http://www.rtnj.org</t>
  </si>
  <si>
    <t>Riverdale School District</t>
  </si>
  <si>
    <t>http://www.rpsnj.org</t>
  </si>
  <si>
    <t>Rockaway Borough School District</t>
  </si>
  <si>
    <t>http://www.rockboro.org</t>
  </si>
  <si>
    <t>Rockaway Township School District</t>
  </si>
  <si>
    <t>http://www.rocktwp.org</t>
  </si>
  <si>
    <t>Roxbury Township School District</t>
  </si>
  <si>
    <t>http://www.roxbury.org</t>
  </si>
  <si>
    <t>http://www.chatham-nj.org</t>
  </si>
  <si>
    <t>Unity Charter School</t>
  </si>
  <si>
    <t>http://www.unitycharterschool.org</t>
  </si>
  <si>
    <t>http://www.wtschools.org</t>
  </si>
  <si>
    <t>http://WWW.WMRHSD.ORG</t>
  </si>
  <si>
    <t>http://www.wbps.org</t>
  </si>
  <si>
    <t>Barnegat Township School District</t>
  </si>
  <si>
    <t>http://www.barnegatschools.com</t>
  </si>
  <si>
    <t>Bay Head Borough School District</t>
  </si>
  <si>
    <t>http://www.bayheadschool.org</t>
  </si>
  <si>
    <t>Beach Haven School District</t>
  </si>
  <si>
    <t>http://www.BeachHavenSchool.com</t>
  </si>
  <si>
    <t>Berkeley Township School District</t>
  </si>
  <si>
    <t>http://www.btboe.org</t>
  </si>
  <si>
    <t>Brick Township Public School District</t>
  </si>
  <si>
    <t>http://www.brickschools.org</t>
  </si>
  <si>
    <t>Central Regional School District</t>
  </si>
  <si>
    <t>http://www.centralreg.k12.nj.us</t>
  </si>
  <si>
    <t>Eagleswood Township School District</t>
  </si>
  <si>
    <t>http://www.eagleswood.org</t>
  </si>
  <si>
    <t>Island Heights School District</t>
  </si>
  <si>
    <t>http://www.islandheights.k12.nj.us</t>
  </si>
  <si>
    <t>Jackson Township School District</t>
  </si>
  <si>
    <t>http://www.jacksonsd.org</t>
  </si>
  <si>
    <t>Lacey Township School District</t>
  </si>
  <si>
    <t>http://www.laceyschools.org</t>
  </si>
  <si>
    <t>Lakehurst School District</t>
  </si>
  <si>
    <t>http://www.lakehurstschool.org</t>
  </si>
  <si>
    <t>Lakewood Township School District</t>
  </si>
  <si>
    <t>http://www.lakewoodpiners.org</t>
  </si>
  <si>
    <t>Lavallette Borough School District</t>
  </si>
  <si>
    <t>http://www.lavallettek12.org</t>
  </si>
  <si>
    <t>Little Egg Harbor Township School District</t>
  </si>
  <si>
    <t>http://www.lehsd.k12.nj.us</t>
  </si>
  <si>
    <t>Long Beach Island Consolidated School District</t>
  </si>
  <si>
    <t>http://www.lbischools.org</t>
  </si>
  <si>
    <t>Manchester Township School District</t>
  </si>
  <si>
    <t>http://www.manchestertwp.org</t>
  </si>
  <si>
    <t>Ocean County Vocational Technical School School District</t>
  </si>
  <si>
    <t>http://www.ocvts.org</t>
  </si>
  <si>
    <t>Ocean Gate School District</t>
  </si>
  <si>
    <t>http://www.oceangateschool.net</t>
  </si>
  <si>
    <t>Ocean Township School District</t>
  </si>
  <si>
    <t>http://www.otsdk6.org</t>
  </si>
  <si>
    <t>Pinelands Regional School District</t>
  </si>
  <si>
    <t>http://www.pinelandsregional.org</t>
  </si>
  <si>
    <t>Plumsted Township School District</t>
  </si>
  <si>
    <t>http://www.newegypt.us</t>
  </si>
  <si>
    <t>Point Pleasant Beach School District</t>
  </si>
  <si>
    <t>http://www.ptbeach.com</t>
  </si>
  <si>
    <t>Point Pleasant Borough School District</t>
  </si>
  <si>
    <t>http://www.pointpleasant.k12.nj.us</t>
  </si>
  <si>
    <t>Seaside Heights School District</t>
  </si>
  <si>
    <t>http://www.sshschool.org/</t>
  </si>
  <si>
    <t>Seaside Park Borough School District</t>
  </si>
  <si>
    <t>http://www.seasideparkschool.com</t>
  </si>
  <si>
    <t>Southern Regional School District</t>
  </si>
  <si>
    <t>http://www.srsd.net</t>
  </si>
  <si>
    <t>Stafford Township School District</t>
  </si>
  <si>
    <t>http://www.staffordschools.org</t>
  </si>
  <si>
    <t>Toms River Regional School District</t>
  </si>
  <si>
    <t>http://www.trschools.com</t>
  </si>
  <si>
    <t>Tuckerton Borough School District</t>
  </si>
  <si>
    <t>http://www.tuckerton.k12.nj.us</t>
  </si>
  <si>
    <t>Bloomingdale School District</t>
  </si>
  <si>
    <t>http://www.bloomingdaleschools.org</t>
  </si>
  <si>
    <t xml:space="preserve">Classical Academy Charter School </t>
  </si>
  <si>
    <t>http://www.classicalacademy.org</t>
  </si>
  <si>
    <t>Clifton Public School District</t>
  </si>
  <si>
    <t>http://www.clifton.k12.nj.us/</t>
  </si>
  <si>
    <t>http://www.ccsp.org</t>
  </si>
  <si>
    <t>Haledon Public School District</t>
  </si>
  <si>
    <t>http://www.haledon.org</t>
  </si>
  <si>
    <t>Hawthorne Public School District</t>
  </si>
  <si>
    <t>http://www.hawthorne.k12.nj.us</t>
  </si>
  <si>
    <t>John P. Holland Charter School</t>
  </si>
  <si>
    <t>http://www.jphcs.org</t>
  </si>
  <si>
    <t>Lakeland Regional High School District</t>
  </si>
  <si>
    <t>http://www.lakeland.k12.nj.us</t>
  </si>
  <si>
    <t>Little Falls Township Public School District</t>
  </si>
  <si>
    <t>http://www.lfschools.org</t>
  </si>
  <si>
    <t>North Haledon School District</t>
  </si>
  <si>
    <t>http://www.nhschools.net</t>
  </si>
  <si>
    <t>http://www.passaiccharter.org</t>
  </si>
  <si>
    <t>Passaic City School District</t>
  </si>
  <si>
    <t>http://www.passaicschools.org/</t>
  </si>
  <si>
    <t>Passaic County Educational Services Commission</t>
  </si>
  <si>
    <t>http://www.pcesc.org</t>
  </si>
  <si>
    <t>Passaic County Manchester Regional High School District</t>
  </si>
  <si>
    <t>http://WWW.MRHS.NET</t>
  </si>
  <si>
    <t>Passaic Valley Regional High School District #1</t>
  </si>
  <si>
    <t>http://www.pvhs.k12.nj.us</t>
  </si>
  <si>
    <t>Passsaic County Vocational School District</t>
  </si>
  <si>
    <t>http://www.pcti.tec.nj.us</t>
  </si>
  <si>
    <t>http://www.patersoncharter.org</t>
  </si>
  <si>
    <t>http://www.pcsst.org</t>
  </si>
  <si>
    <t>Paterson Public School District</t>
  </si>
  <si>
    <t>http://www.paterson.k12.nj.us</t>
  </si>
  <si>
    <t>Pompton Lakes School District</t>
  </si>
  <si>
    <t>http://www.plps-k12.org/</t>
  </si>
  <si>
    <t>Prospect Park Public School District</t>
  </si>
  <si>
    <t>http://www.prospectparknj.com</t>
  </si>
  <si>
    <t>Ringwood School District</t>
  </si>
  <si>
    <t>http://www.ringwoodschools.org</t>
  </si>
  <si>
    <t>Totowa Public School District</t>
  </si>
  <si>
    <t>http://www.totowa.k12.nj.us</t>
  </si>
  <si>
    <t>Wanaque School District</t>
  </si>
  <si>
    <t>http://www.wanaqueps.org</t>
  </si>
  <si>
    <t>Wayne Township Public School District</t>
  </si>
  <si>
    <t>http://WWW.WAYNESCHOOLS.COM</t>
  </si>
  <si>
    <t>West Milford Township Public School District</t>
  </si>
  <si>
    <t>http://www.wmtps.org</t>
  </si>
  <si>
    <t>Woodland Park School District</t>
  </si>
  <si>
    <t>http://www.wpschools.org</t>
  </si>
  <si>
    <t>http://www.allowayschool.org</t>
  </si>
  <si>
    <t>Elsinboro Township School District</t>
  </si>
  <si>
    <t>http://www.elsinboroschool.org</t>
  </si>
  <si>
    <t>Mannington Township School District</t>
  </si>
  <si>
    <t>http://manningtonschool.org</t>
  </si>
  <si>
    <t>http://WWW.OLDMANS.ORG</t>
  </si>
  <si>
    <t>Penns Grove-Carneys Point Regional School District</t>
  </si>
  <si>
    <t>http://www.pgcpschools.org</t>
  </si>
  <si>
    <t>http://www.psdnet.org</t>
  </si>
  <si>
    <t>http://www.pittsgrove.net</t>
  </si>
  <si>
    <t>http://HTTP://quinton.nj.schoolwebpages.com</t>
  </si>
  <si>
    <t>http://www.SALEMNJ.ORG</t>
  </si>
  <si>
    <t>Salem County Special Services School District</t>
  </si>
  <si>
    <t>http://scsssd.org</t>
  </si>
  <si>
    <t>Salem County Vocational Technical School District</t>
  </si>
  <si>
    <t>http://www.scvts.org</t>
  </si>
  <si>
    <t>http://www.lacschool.org</t>
  </si>
  <si>
    <t>http://upperpitts.org/</t>
  </si>
  <si>
    <t>Woodstown-Pilesgrove Regional School District</t>
  </si>
  <si>
    <t>http://www.woodstown.org</t>
  </si>
  <si>
    <t>Bedminster Township Public School</t>
  </si>
  <si>
    <t>http://www.bedminsterschool.org</t>
  </si>
  <si>
    <t>Bernards Township School District</t>
  </si>
  <si>
    <t>http://www.bernardsboe.com</t>
  </si>
  <si>
    <t>http://www.bbrook.org</t>
  </si>
  <si>
    <t>http://www.branchburg.k12.nj.us</t>
  </si>
  <si>
    <t>http://brrsd.k12.nj.us</t>
  </si>
  <si>
    <t>Central Jersey College Prep Charter School</t>
  </si>
  <si>
    <t>http://www.cjcollegeprep.org</t>
  </si>
  <si>
    <t>Franklin Township Public School District</t>
  </si>
  <si>
    <t>http://www.franklinboe.org</t>
  </si>
  <si>
    <t>Green Brook Township Public School District</t>
  </si>
  <si>
    <t>http://www.gbtps.org</t>
  </si>
  <si>
    <t>Hillsborough Township Public School District</t>
  </si>
  <si>
    <t>http://www.htps.us</t>
  </si>
  <si>
    <t>http://www.manvilleschools.org</t>
  </si>
  <si>
    <t>Montgomery Township School District</t>
  </si>
  <si>
    <t>http://www.mtsd.k12.nj.us</t>
  </si>
  <si>
    <t>http://www.nplainfield.org</t>
  </si>
  <si>
    <t>Somerset County Educational Services Commission</t>
  </si>
  <si>
    <t>http://www.sc.esc.k12.nj.us</t>
  </si>
  <si>
    <t>http://www.scvths.org</t>
  </si>
  <si>
    <t>Somerset Hills Regional School District</t>
  </si>
  <si>
    <t>http://www.shsd.org/</t>
  </si>
  <si>
    <t>http://WWW.SOMERVILLENJK12.ORG</t>
  </si>
  <si>
    <t>South Bound Brook Public Schools</t>
  </si>
  <si>
    <t>http://www.rmschool.com</t>
  </si>
  <si>
    <t>http://www.energysmartschool.org</t>
  </si>
  <si>
    <t>Warren Township School District</t>
  </si>
  <si>
    <t>http://www.warrentboe.org</t>
  </si>
  <si>
    <t>Watchung Borough Public School District</t>
  </si>
  <si>
    <t>http://www.watchungschools.com</t>
  </si>
  <si>
    <t>http://www.whrhs.org</t>
  </si>
  <si>
    <t>Andover Regional School District</t>
  </si>
  <si>
    <t>http://www.andoverregional.org</t>
  </si>
  <si>
    <t>Byram Township School District</t>
  </si>
  <si>
    <t>http://www.byramschools.org</t>
  </si>
  <si>
    <t>Frankford Township Consolidated School District</t>
  </si>
  <si>
    <t>http://www.frankfordschool.org</t>
  </si>
  <si>
    <t>Franklin Borough School District</t>
  </si>
  <si>
    <t>http://www.fboe.org</t>
  </si>
  <si>
    <t>http://www.fredon.org</t>
  </si>
  <si>
    <t>Green Township School District</t>
  </si>
  <si>
    <t>http://www.greenhills.org</t>
  </si>
  <si>
    <t>Hamburg School District</t>
  </si>
  <si>
    <t>http://www.hamburgschool.com</t>
  </si>
  <si>
    <t>http://www.mckeown.org</t>
  </si>
  <si>
    <t>Hardyston Township School District</t>
  </si>
  <si>
    <t>http://www.htps.org</t>
  </si>
  <si>
    <t>http://www.hpregional.org</t>
  </si>
  <si>
    <t>Hopatcong Borough School District</t>
  </si>
  <si>
    <t>http://www.hopatcongschools.org</t>
  </si>
  <si>
    <t>Kittatinny Regional School District</t>
  </si>
  <si>
    <t>http://www.krhs.net</t>
  </si>
  <si>
    <t>http://www.ltes.org</t>
  </si>
  <si>
    <t>Lenape Valley Regional High School District</t>
  </si>
  <si>
    <t>http://www.lvhs.org</t>
  </si>
  <si>
    <t>http://WWW.MONTAGUESCHOOL.ORG</t>
  </si>
  <si>
    <t>http://www.newtonnj.org</t>
  </si>
  <si>
    <t>Ogdensburg Borough School District</t>
  </si>
  <si>
    <t>http://www.obboe.org</t>
  </si>
  <si>
    <t>Sandyston-Walpack Consolidated School District</t>
  </si>
  <si>
    <t>http://www.sandystonwalpack.org</t>
  </si>
  <si>
    <t>http://www.sparta.org</t>
  </si>
  <si>
    <t>Stanhope School District</t>
  </si>
  <si>
    <t>http://www.stanhopeschools.org</t>
  </si>
  <si>
    <t>http://www.stillwaterschool.net</t>
  </si>
  <si>
    <t>http://www.sussexesc.org</t>
  </si>
  <si>
    <t>Sussex County Technical School District</t>
  </si>
  <si>
    <t>http://www.sussextech.org</t>
  </si>
  <si>
    <t>Sussex County Technology Charter School</t>
  </si>
  <si>
    <t>http://www.sussexcharter.org</t>
  </si>
  <si>
    <t>Sussex-Wantage Regional School District</t>
  </si>
  <si>
    <t>http://www.swregional.org</t>
  </si>
  <si>
    <t>Vernon Township School District</t>
  </si>
  <si>
    <t>http://www.vtsd.com</t>
  </si>
  <si>
    <t>http://WWW.WALLKILL.K12.NJ.US</t>
  </si>
  <si>
    <t>http://www.bhpsnj.org</t>
  </si>
  <si>
    <t>Clark Township Public Schools</t>
  </si>
  <si>
    <t>http://www.clarkschools.org</t>
  </si>
  <si>
    <t>College Achieve Central Charter School</t>
  </si>
  <si>
    <t>Cranford Public School District</t>
  </si>
  <si>
    <t>http://cranfordschools.org</t>
  </si>
  <si>
    <t>Elizabeth Public Schools</t>
  </si>
  <si>
    <t>http://www.epsnj.org</t>
  </si>
  <si>
    <t>Garwood Boro</t>
  </si>
  <si>
    <t>http://www.garwoodschools.org</t>
  </si>
  <si>
    <t>http://district.hillsidek12.org/</t>
  </si>
  <si>
    <t>http://www.kenilworthschools.com</t>
  </si>
  <si>
    <t>Linden Public School District</t>
  </si>
  <si>
    <t>http://www.linden.k12.nj.us</t>
  </si>
  <si>
    <t>Morris-Union Jointure Commisson School District</t>
  </si>
  <si>
    <t>http://www.mujc.org</t>
  </si>
  <si>
    <t>http://www.mountainsideschools.org</t>
  </si>
  <si>
    <t>http://www.npsd.k12.nj.us</t>
  </si>
  <si>
    <t>Plainfield Public Schools</t>
  </si>
  <si>
    <t>http://www.plainfieldnjk12.org</t>
  </si>
  <si>
    <t>Rahway Public School District</t>
  </si>
  <si>
    <t>http://www.rahway.net</t>
  </si>
  <si>
    <t>http://www.rpsd.org</t>
  </si>
  <si>
    <t>http://WWW.ROSELLESCHOOLS.ORG</t>
  </si>
  <si>
    <t>Scotch Plains-Fanwood School District</t>
  </si>
  <si>
    <t>http://www.spfk12.org</t>
  </si>
  <si>
    <t>Springfield Public School District</t>
  </si>
  <si>
    <t>http://www.springfieldschools.com</t>
  </si>
  <si>
    <t>Summit Public School District</t>
  </si>
  <si>
    <t>http://www.summit.k12.nj.us</t>
  </si>
  <si>
    <t>The Barack Obama Green Charter High School</t>
  </si>
  <si>
    <t>http://www.obamagreencharter.org</t>
  </si>
  <si>
    <t>The Queen City Academy Charter School</t>
  </si>
  <si>
    <t>http://www.queencity.edu</t>
  </si>
  <si>
    <t>http://www.twpunionschools.org</t>
  </si>
  <si>
    <t>Union County Educational Services Commission</t>
  </si>
  <si>
    <t>http://www.ucesc.org</t>
  </si>
  <si>
    <t>http://www.ucteams.org</t>
  </si>
  <si>
    <t>Union County Vocational-Technical School District</t>
  </si>
  <si>
    <t>http://www.ucvts.tec.nj.us</t>
  </si>
  <si>
    <t>Westfield Public School District</t>
  </si>
  <si>
    <t>http://www.westfieldnjk12.org</t>
  </si>
  <si>
    <t>Winfield Township</t>
  </si>
  <si>
    <t>http://www.winfieldschool.org</t>
  </si>
  <si>
    <t>Allamuchy Township School District</t>
  </si>
  <si>
    <t>http://www.aes.k12.nj.us</t>
  </si>
  <si>
    <t>Alpha Borough School District</t>
  </si>
  <si>
    <t>http://www.apsedu.org</t>
  </si>
  <si>
    <t>http://www.belvideresd.org</t>
  </si>
  <si>
    <t>Blairstown Elementary Township School District</t>
  </si>
  <si>
    <t>http://www.blairstownelem.net</t>
  </si>
  <si>
    <t>http://www.franklinschool.org</t>
  </si>
  <si>
    <t>http://WWW.FRELINGHUYSENSCHOOL.ORG</t>
  </si>
  <si>
    <t>http://www.gmrsd.com</t>
  </si>
  <si>
    <t>http://www.gtsd.net</t>
  </si>
  <si>
    <t>Hackettstown Public School District</t>
  </si>
  <si>
    <t>http://www.hackettstown.org</t>
  </si>
  <si>
    <t>http://www.harmonytownshipschool.org</t>
  </si>
  <si>
    <t>Hope Township School District</t>
  </si>
  <si>
    <t>http://www.hope-elem.org</t>
  </si>
  <si>
    <t>http://www.knowltonschool.com</t>
  </si>
  <si>
    <t>Lopatcong Township School District</t>
  </si>
  <si>
    <t>http://www.lopatsd.org</t>
  </si>
  <si>
    <t>Mansfield Township Elementary School District</t>
  </si>
  <si>
    <t>http://www.mansfieldelementary.org</t>
  </si>
  <si>
    <t>North Warren Regional School District</t>
  </si>
  <si>
    <t>http://www.northwarren.org</t>
  </si>
  <si>
    <t>Oxford Township School District</t>
  </si>
  <si>
    <t>http://www.oxfordcentral.org</t>
  </si>
  <si>
    <t>Phillipsburg School District</t>
  </si>
  <si>
    <t>http://www.pburgsd.net</t>
  </si>
  <si>
    <t>Pohatcong Township School District</t>
  </si>
  <si>
    <t>http://www.pohatcong.org</t>
  </si>
  <si>
    <t>http://www.ridgeandvalley.org</t>
  </si>
  <si>
    <t>Warren County Special Services School District</t>
  </si>
  <si>
    <t>http://www.wcsssd.org</t>
  </si>
  <si>
    <t>http://www.wctech.org</t>
  </si>
  <si>
    <t>Warren Hills Regional School District</t>
  </si>
  <si>
    <t>http://www.warrenhills.org</t>
  </si>
  <si>
    <t>http://www.washboroschools.org</t>
  </si>
  <si>
    <t>http://www.washtwpsd.org</t>
  </si>
  <si>
    <t>http://www.whitetwpsd.org</t>
  </si>
  <si>
    <t xml:space="preserve">http://eht.k12.nj.us </t>
  </si>
  <si>
    <t>District Web address</t>
  </si>
  <si>
    <t>not provided</t>
  </si>
  <si>
    <t>http://ci.corbincity.nj.us/main/school_board.asp</t>
  </si>
  <si>
    <t>http://MAINLANDREGIONAL.NET</t>
  </si>
  <si>
    <t>http://www.sea-isle-city.nj.us</t>
  </si>
  <si>
    <t>http://www.iaac.sabis.net</t>
  </si>
  <si>
    <t>http://www.collegeachieve.org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</si>
  <si>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</si>
  <si>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</si>
  <si>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</si>
  <si>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</si>
  <si>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</si>
  <si>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</si>
  <si>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</si>
  <si>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</si>
  <si>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</si>
  <si>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</si>
  <si>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</si>
  <si>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Mercer
(Agency)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</si>
  <si>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</si>
  <si>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</si>
  <si>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</si>
  <si>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</si>
  <si>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</si>
  <si>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</si>
  <si>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</si>
  <si>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</si>
  <si>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</si>
  <si>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</si>
  <si>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Passiac</t>
  </si>
  <si>
    <t>Hatikvah International Charter School</t>
  </si>
  <si>
    <t>M.E.T.S. Charter School</t>
  </si>
  <si>
    <t>Roseville Community Charter School</t>
  </si>
  <si>
    <t>East Orange Community Charter School</t>
  </si>
  <si>
    <t>Leap Academy University Charter School</t>
  </si>
  <si>
    <t>White Township Consolidated School District</t>
  </si>
  <si>
    <t>Washington Borough School District</t>
  </si>
  <si>
    <t>Warren County Technical School District</t>
  </si>
  <si>
    <t>Buena Regional School District</t>
  </si>
  <si>
    <t>Corbin City School Distrcit</t>
  </si>
  <si>
    <t>Egg Harbor City School District</t>
  </si>
  <si>
    <t>Egg Harbor Township School District</t>
  </si>
  <si>
    <t>Estell Manor City School District</t>
  </si>
  <si>
    <t>Galloway Township Public Schools</t>
  </si>
  <si>
    <t>Hamilton Township School District</t>
  </si>
  <si>
    <t>Longport Board Of Education</t>
  </si>
  <si>
    <t>Mainland Regional High School District</t>
  </si>
  <si>
    <t>Pleasantville Public School District</t>
  </si>
  <si>
    <t>Somers Point School District</t>
  </si>
  <si>
    <t>Allendale Public School District</t>
  </si>
  <si>
    <t>Carlstadt Public School District</t>
  </si>
  <si>
    <t>Cliffside Park School District</t>
  </si>
  <si>
    <t>Closter Public School District</t>
  </si>
  <si>
    <t>Franklin Lakes  School District</t>
  </si>
  <si>
    <t>Garfield Public School District</t>
  </si>
  <si>
    <t>Glen Rock Public School District</t>
  </si>
  <si>
    <t>Haworth Public School District</t>
  </si>
  <si>
    <t>Hillsdale School District</t>
  </si>
  <si>
    <t>Maywood School District</t>
  </si>
  <si>
    <t>Montvale Board Of Education School District</t>
  </si>
  <si>
    <t>Northvale Public School District</t>
  </si>
  <si>
    <t>Old Tappan Public School District</t>
  </si>
  <si>
    <t>Oradell School District</t>
  </si>
  <si>
    <t>Pascack Valley Regional High School District</t>
  </si>
  <si>
    <t>Ramapo Indian Hills Regional High School District</t>
  </si>
  <si>
    <t>Ramsey School District</t>
  </si>
  <si>
    <t>Saddle Brook School District</t>
  </si>
  <si>
    <t>Saddle River School District</t>
  </si>
  <si>
    <t>Tenafly Public School District</t>
  </si>
  <si>
    <t>Upper Saddle River School District</t>
  </si>
  <si>
    <t>Westwood Regional School District</t>
  </si>
  <si>
    <t>Bass River Township Board Of Education</t>
  </si>
  <si>
    <t>Beverly City School</t>
  </si>
  <si>
    <t>Burlington County Institute Of Technology</t>
  </si>
  <si>
    <t>Burlington County Special Services School District</t>
  </si>
  <si>
    <t>Burlington Township Board Of Education</t>
  </si>
  <si>
    <t>Cinnaminson Township Public Schools</t>
  </si>
  <si>
    <t>Lumberton Township Board Of Education</t>
  </si>
  <si>
    <t>Riverside Township School District</t>
  </si>
  <si>
    <t>Willingboro Public School District</t>
  </si>
  <si>
    <t>Woodland Township Board Of Education</t>
  </si>
  <si>
    <t>Barrington School District</t>
  </si>
  <si>
    <t>Bellmawr Public School District</t>
  </si>
  <si>
    <t>Brooklawn Public School District</t>
  </si>
  <si>
    <t>Camden City Public Schools</t>
  </si>
  <si>
    <t>Camden County Educational Services Commission</t>
  </si>
  <si>
    <t>Chesilhurst Board Of Education</t>
  </si>
  <si>
    <t>Eastern Camden County Regional School District</t>
  </si>
  <si>
    <t>Gloucester Township School District</t>
  </si>
  <si>
    <t>Haddon Heights School District</t>
  </si>
  <si>
    <t>Haddon Township School District</t>
  </si>
  <si>
    <t>Haddonfield School District</t>
  </si>
  <si>
    <t>Kipp: Cooper Norcross, A New Jersey Nonprofit Corporation</t>
  </si>
  <si>
    <t>Laurel Springs School District</t>
  </si>
  <si>
    <t xml:space="preserve">Mastery Schools Of Camden, Inc. </t>
  </si>
  <si>
    <t>Mt. Ephraim School District</t>
  </si>
  <si>
    <t>Pennsauken Township Board Of Education School District</t>
  </si>
  <si>
    <t>Pine Hill School District</t>
  </si>
  <si>
    <t>Runnemede Public School District</t>
  </si>
  <si>
    <t>Somerdale School District</t>
  </si>
  <si>
    <t>Voorhees Township School District</t>
  </si>
  <si>
    <t>Waterford Township School District</t>
  </si>
  <si>
    <t>Avalon School District</t>
  </si>
  <si>
    <t>Cape May City School District</t>
  </si>
  <si>
    <t>Dennis Township School District</t>
  </si>
  <si>
    <t>North Wildwood School District</t>
  </si>
  <si>
    <t>Ocean City School District</t>
  </si>
  <si>
    <t>Sea Isle City Board Of Education</t>
  </si>
  <si>
    <t>West Cape May Elementary School District</t>
  </si>
  <si>
    <t>Wildwood City School District</t>
  </si>
  <si>
    <t>Wildwood Crest Borough School District</t>
  </si>
  <si>
    <t>Cumberland County Board Of Vocational Ed School District</t>
  </si>
  <si>
    <t>Cumberland Regional School District</t>
  </si>
  <si>
    <t>Deerfield Township School District</t>
  </si>
  <si>
    <t>Maurice River Township School District</t>
  </si>
  <si>
    <t>Millville  School District</t>
  </si>
  <si>
    <t>Stow Creek Township School District</t>
  </si>
  <si>
    <t>Belleville Public Schools</t>
  </si>
  <si>
    <t>Bloomfield Board Of Education</t>
  </si>
  <si>
    <t>Caldwell-West Caldwell School District</t>
  </si>
  <si>
    <t>Cedar Grove Township School District</t>
  </si>
  <si>
    <t>Essex Fells School District</t>
  </si>
  <si>
    <t>Essex Regional Educational Services Commission</t>
  </si>
  <si>
    <t>Irvington Board Of Education</t>
  </si>
  <si>
    <t>Livingston Board Of Education School District</t>
  </si>
  <si>
    <t>Newark Public School District</t>
  </si>
  <si>
    <t>North Caldwell School District</t>
  </si>
  <si>
    <t>Nutley Public School District</t>
  </si>
  <si>
    <t>Orange Board Of Education</t>
  </si>
  <si>
    <t>Clayton Public School District</t>
  </si>
  <si>
    <t>Delsea Regional High School District</t>
  </si>
  <si>
    <t>Gateway Regional School District</t>
  </si>
  <si>
    <t>Harrison Township School District</t>
  </si>
  <si>
    <t>Monroe Township Public School District</t>
  </si>
  <si>
    <t>Newfield Boro School District</t>
  </si>
  <si>
    <t>Paulsboro School District</t>
  </si>
  <si>
    <t>Pitman Boro School District</t>
  </si>
  <si>
    <t>South Harrison Township School District</t>
  </si>
  <si>
    <t>Swedesboro-Woolwich School District</t>
  </si>
  <si>
    <t>Township Of Franklin School District</t>
  </si>
  <si>
    <t>West Deptford Township School District</t>
  </si>
  <si>
    <t>Guttenberg School District</t>
  </si>
  <si>
    <t>Hudson County Schools Of Technology School District</t>
  </si>
  <si>
    <t>North Bergen School District</t>
  </si>
  <si>
    <t>Secaucus Board Of Education</t>
  </si>
  <si>
    <t>West New York Board Of Education</t>
  </si>
  <si>
    <t>Delaware Valley Regional High School District</t>
  </si>
  <si>
    <t>East Amwell Township School District</t>
  </si>
  <si>
    <t>Hampton Borough School District</t>
  </si>
  <si>
    <t>High Bridge Borough School District</t>
  </si>
  <si>
    <t>Kingwood Township School District</t>
  </si>
  <si>
    <t>South Hunterdon Regional School District</t>
  </si>
  <si>
    <t>Area Vocational Technical Schools Of Mercer County</t>
  </si>
  <si>
    <t>East Windsor Regional School District</t>
  </si>
  <si>
    <t>Trenton Public School District</t>
  </si>
  <si>
    <t>Marie H. Katzenbach School For The Deaf</t>
  </si>
  <si>
    <t>Middlesex County Vocational And Technical School District</t>
  </si>
  <si>
    <t>Avon Boro School District</t>
  </si>
  <si>
    <t>Bayshore Jointure Commission</t>
  </si>
  <si>
    <t>Brielle Boro School District</t>
  </si>
  <si>
    <t>Deal Boro School District</t>
  </si>
  <si>
    <t>Howell Township Public School District</t>
  </si>
  <si>
    <t>Little Silver Boro School District</t>
  </si>
  <si>
    <t>Long Branch Public School District</t>
  </si>
  <si>
    <t>Marlboro Township School District</t>
  </si>
  <si>
    <t>Middletown Township Public School District</t>
  </si>
  <si>
    <t>Monmouth Beach Elementary School District</t>
  </si>
  <si>
    <t>Monmouth Regional High School District</t>
  </si>
  <si>
    <t>Neptune City School District</t>
  </si>
  <si>
    <t>Neptune Township School District</t>
  </si>
  <si>
    <t>Roosevelt Public School District</t>
  </si>
  <si>
    <t>Rumson-Fair Haven Regional High School School District</t>
  </si>
  <si>
    <t>Shore Regional High School District</t>
  </si>
  <si>
    <t>Shrewsbury Borough School District</t>
  </si>
  <si>
    <t>Spring Lake Heights School District</t>
  </si>
  <si>
    <t>Township Of Ocean School District</t>
  </si>
  <si>
    <t>Upper Freehold Regional School District</t>
  </si>
  <si>
    <t>Chester School District</t>
  </si>
  <si>
    <t>Educational Services Commission Of Morris County</t>
  </si>
  <si>
    <t>Florham Park Public Schools</t>
  </si>
  <si>
    <t>Mendham Borough School District</t>
  </si>
  <si>
    <t>Morris Plains School District</t>
  </si>
  <si>
    <t>Morris School District</t>
  </si>
  <si>
    <t>The School District Of The Chathams</t>
  </si>
  <si>
    <t>West Morris Regional High School District</t>
  </si>
  <si>
    <t>Wharton Borough School District</t>
  </si>
  <si>
    <t>Alloway Twp School District</t>
  </si>
  <si>
    <t>Elmer Borough School District</t>
  </si>
  <si>
    <t>Oldmans Township School District</t>
  </si>
  <si>
    <t>Pennsville Public School District</t>
  </si>
  <si>
    <t>Pittsgrove Township School District</t>
  </si>
  <si>
    <t>Quinton Township School District</t>
  </si>
  <si>
    <t>Salem City School District</t>
  </si>
  <si>
    <t>The Lower Alloways Creek School District</t>
  </si>
  <si>
    <t>Upper Pittsgrove Twp Scool District</t>
  </si>
  <si>
    <t>Bound Brook School District</t>
  </si>
  <si>
    <t>Branchburg Township School District</t>
  </si>
  <si>
    <t>Bridgewater-Raritan Regional School District</t>
  </si>
  <si>
    <t>Manville Board Of Education</t>
  </si>
  <si>
    <t>North Plainfield School District</t>
  </si>
  <si>
    <t>Somerset County Vocational And Technical Schools</t>
  </si>
  <si>
    <t>Somerville Public School District</t>
  </si>
  <si>
    <t>Watchung Hills Regional High School District</t>
  </si>
  <si>
    <t>Fredon Township School District</t>
  </si>
  <si>
    <t>Hampton Township School District</t>
  </si>
  <si>
    <t>High Point Regional High School District</t>
  </si>
  <si>
    <t>Lafayette Township School District</t>
  </si>
  <si>
    <t>Montague Township School District</t>
  </si>
  <si>
    <t>Newton Public School District</t>
  </si>
  <si>
    <t>Sparta Township Public School District</t>
  </si>
  <si>
    <t>Stillwater Township School District</t>
  </si>
  <si>
    <t>Sussex County Educational Services Commission School Distric</t>
  </si>
  <si>
    <t>Wallkill Valley Regional High School District</t>
  </si>
  <si>
    <t>Berkeley Heights School District</t>
  </si>
  <si>
    <t>Hillside Board Of Education</t>
  </si>
  <si>
    <t>Kenilworth School District</t>
  </si>
  <si>
    <t>Mountainside School District</t>
  </si>
  <si>
    <t>New Providence Board Of Education</t>
  </si>
  <si>
    <t>Roselle Park Board Of Education</t>
  </si>
  <si>
    <t>Roselle Public Schools</t>
  </si>
  <si>
    <t>Township Of Union Public Schools</t>
  </si>
  <si>
    <t>Belvidere School District</t>
  </si>
  <si>
    <t>Frelinghuysen Township School District</t>
  </si>
  <si>
    <t>Great Meadows Regional School District</t>
  </si>
  <si>
    <t>Harmony Township School District</t>
  </si>
  <si>
    <t>Knowlton Township School District</t>
  </si>
  <si>
    <t>Charter Tech High School For The Performing Arts</t>
  </si>
  <si>
    <t>International Academy Of Atlantic City Charter School</t>
  </si>
  <si>
    <t>Bergen Arts And Sciences Charter School</t>
  </si>
  <si>
    <t>Englewood On The Palisades Charter School</t>
  </si>
  <si>
    <t>Riverbank Charter School Of Excellence</t>
  </si>
  <si>
    <t>Camden'S Promise Charter School</t>
  </si>
  <si>
    <t>Environment Community Opportunity (Eco) Charter School</t>
  </si>
  <si>
    <t>Hope Community Cs</t>
  </si>
  <si>
    <t>Knowledge A To Z Charter School</t>
  </si>
  <si>
    <t>The Kingdom Charter School Of Leadership</t>
  </si>
  <si>
    <t>Burch Charter School Of Excellence</t>
  </si>
  <si>
    <t>Merit Preparatory Charter School Of Newark</t>
  </si>
  <si>
    <t>Phillip'S Academy Charter School</t>
  </si>
  <si>
    <t>Team Academy Charter School</t>
  </si>
  <si>
    <t>Beloved Community Charter School</t>
  </si>
  <si>
    <t>Jersey City Global Cs</t>
  </si>
  <si>
    <t>International Academy Of Trenton Charter School</t>
  </si>
  <si>
    <t>Pace Charter School Of Hamilton</t>
  </si>
  <si>
    <t>Paul Robeson Charter School For The Humanities</t>
  </si>
  <si>
    <t>Trenton Stem-To-Civics Charter School</t>
  </si>
  <si>
    <t>Academy For Urban Leadership Charter School</t>
  </si>
  <si>
    <t>Community Charter School Of Paterson</t>
  </si>
  <si>
    <t>Passaic Arts And Science Charter School</t>
  </si>
  <si>
    <t>Paterson Arts And Science Charter School</t>
  </si>
  <si>
    <t>Paterson Charter School For Science/Technology</t>
  </si>
  <si>
    <t>Thomas Edison Energysmart Charter School</t>
  </si>
  <si>
    <t>Union County Teams Charter School</t>
  </si>
  <si>
    <t>Ridge And Valley Charter School</t>
  </si>
  <si>
    <t>District Name</t>
  </si>
  <si>
    <t>School District Code Listing</t>
  </si>
  <si>
    <t>This worksheet contains one table spanning Columns A through E; row 6 is the header row.</t>
  </si>
  <si>
    <t>end of worksheet</t>
  </si>
  <si>
    <t>District Code</t>
  </si>
  <si>
    <t>State of New Jersey Department of Education
Division of Finance and Business Services</t>
  </si>
  <si>
    <t>Appendix V
Date Issued: 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</si>
</sst>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shrinkToFit="1"/>
    </xf>
    <xf numFmtId="0" fontId="0" fillId="0" borderId="0" xfId="0" applyAlignment="1">
      <alignment horizontal="left" indent="2"/>
    </xf>
    <xf numFmtId="0" fontId="0" fillId="0" borderId="13" xfId="0" applyBorder="1" applyAlignment="1">
      <alignment horizontal="left" indent="2"/>
    </xf>
    <xf numFmtId="0" fontId="0" fillId="0" borderId="13" xfId="0" applyBorder="1"/>
    <xf numFmtId="0" fontId="16" fillId="0" borderId="15" xfId="0" applyFont="1" applyBorder="1" applyAlignment="1">
      <alignment horizont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/>
    </xf>
    <xf numFmtId="0" fontId="16" fillId="0" borderId="15" xfId="0" applyFont="1" applyBorder="1" applyAlignment="1">
      <alignment horizontal="center" vertical="center" wrapText="1"/>
    </xf>
    <xf numFmtId="0" fontId="20" fillId="0" borderId="0" xfId="42" applyFont="1" applyBorder="1"/>
    <xf numFmtId="0" fontId="20" fillId="0" borderId="0" xfId="42" applyFont="1"/>
    <xf numFmtId="0" fontId="13" fillId="0" borderId="15" xfId="16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11" xfId="42" applyBorder="1" applyAlignment="1">
      <alignment shrinkToFit="1"/>
    </xf>
    <xf numFmtId="0" fontId="0" fillId="0" borderId="11" xfId="0" applyBorder="1" applyAlignment="1">
      <alignment shrinkToFi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0" borderId="14" xfId="42" applyBorder="1" applyAlignment="1">
      <alignment shrinkToFi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shrinkToFit="1"/>
    </xf>
    <xf numFmtId="0" fontId="18" fillId="0" borderId="11" xfId="42" applyBorder="1" applyAlignment="1">
      <alignment horizontal="left" vertical="center" shrinkToFit="1"/>
    </xf>
    <xf numFmtId="0" fontId="18" fillId="0" borderId="0" xfId="42" applyBorder="1" applyAlignment="1">
      <alignment shrinkToFi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1" readingOrder="0"/>
      <border diagonalUp="0" diagonalDown="0">
        <left/>
        <right style="double">
          <color auto="1"/>
        </right>
        <top/>
        <bottom/>
        <vertical/>
        <horizontal/>
      </border>
    </dxf>
    <dxf>
      <alignment horizontal="general" vertical="bottom" textRotation="0" wrapText="0" indent="0" justifyLastLine="0" shrinkToFit="1" readingOrder="0"/>
    </dxf>
    <dxf>
      <alignment horizontal="left" vertical="bottom" textRotation="0" wrapText="0" indent="2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double">
          <color auto="1"/>
        </left>
        <right/>
        <top/>
        <bottom/>
        <vertical/>
        <horizontal/>
      </border>
    </dxf>
    <dxf>
      <border outline="0">
        <left style="double">
          <color auto="1"/>
        </left>
        <right style="double">
          <color auto="1"/>
        </right>
        <top style="double">
          <color auto="1"/>
        </top>
      </border>
    </dxf>
    <dxf>
      <border outline="0">
        <bottom style="medium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Logo: State of New Jersey, Department of Education.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DAD602-672E-432B-911A-191582C4558A}" name="Districts" displayName="Districts" ref="A6:E698" totalsRowShown="0" headerRowDxfId="7" headerRowBorderDxfId="6" tableBorderDxfId="5">
  <autoFilter ref="A6:E698" xr:uid="{A0DAD602-672E-432B-911A-191582C4558A}"/>
  <tableColumns count="5">
    <tableColumn id="1" xr3:uid="{ADDFD05A-971C-4A63-8A12-54459B9DEF39}" name="County Code" dataDxfId="4"/>
    <tableColumn id="2" xr3:uid="{46D93847-CE2F-4B84-8F32-5AD5E6B6EF23}" name=" County Name" dataDxfId="3"/>
    <tableColumn id="3" xr3:uid="{2DD59DB1-1496-452C-936B-E61C56D7A376}" name="District Code" dataDxfId="2"/>
    <tableColumn id="4" xr3:uid="{25E3A0AF-27F5-4214-A8E9-C742DEECC4C7}" name="District Name" dataDxfId="1"/>
    <tableColumn id="5" xr3:uid="{D3EE01CA-8C4F-44AE-AC65-3B7BC23B256D}" name="District Web address" dataDxfId="0" dataCellStyle="Hyperlink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amagreencharter.org/" TargetMode="External"/><Relationship Id="rId2" Type="http://schemas.openxmlformats.org/officeDocument/2006/relationships/hyperlink" Target="http://www.mksd.org/" TargetMode="External"/><Relationship Id="rId1" Type="http://schemas.openxmlformats.org/officeDocument/2006/relationships/hyperlink" Target="http://eht.k12.nj.us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02"/>
  <sheetViews>
    <sheetView tabSelected="1" zoomScaleNormal="100" zoomScaleSheetLayoutView="100" workbookViewId="0">
      <selection sqref="A1:E1"/>
    </sheetView>
  </sheetViews>
  <sheetFormatPr defaultColWidth="0" defaultRowHeight="15" zeroHeight="1" x14ac:dyDescent="0.25"/>
  <cols>
    <col min="1" max="1" width="11" style="1" customWidth="1"/>
    <col min="2" max="2" width="15" style="11" customWidth="1"/>
    <col min="3" max="3" width="11.42578125" style="6" customWidth="1"/>
    <col min="4" max="4" width="45.42578125" customWidth="1"/>
    <col min="5" max="5" width="42" style="14" customWidth="1"/>
    <col min="6" max="16384" width="9.140625" hidden="1"/>
  </cols>
  <sheetData>
    <row r="1" spans="1:5" ht="26.25" customHeight="1" x14ac:dyDescent="0.25">
      <c r="A1" s="18" t="s">
        <v>1397</v>
      </c>
      <c r="B1" s="18"/>
      <c r="C1" s="18"/>
      <c r="D1" s="18"/>
      <c r="E1" s="18"/>
    </row>
    <row r="2" spans="1:5" ht="38.25" customHeight="1" x14ac:dyDescent="0.25">
      <c r="A2" s="24" t="e" vm="1">
        <v>#VALUE!</v>
      </c>
      <c r="B2" s="24"/>
      <c r="C2" s="24"/>
      <c r="D2" s="24"/>
      <c r="E2" s="24"/>
    </row>
    <row r="3" spans="1:5" ht="33" customHeight="1" x14ac:dyDescent="0.25">
      <c r="A3" s="19" t="s">
        <v>1401</v>
      </c>
      <c r="B3" s="20"/>
      <c r="C3" s="20"/>
      <c r="D3" s="20"/>
      <c r="E3" s="20"/>
    </row>
    <row r="4" spans="1:5" ht="37.5" customHeight="1" x14ac:dyDescent="0.25">
      <c r="A4" s="22" t="s">
        <v>1400</v>
      </c>
      <c r="B4" s="23"/>
      <c r="C4" s="23"/>
      <c r="D4" s="23"/>
      <c r="E4" s="23"/>
    </row>
    <row r="5" spans="1:5" ht="16.5" thickBot="1" x14ac:dyDescent="0.3">
      <c r="A5" s="21" t="s">
        <v>1396</v>
      </c>
      <c r="B5" s="21"/>
      <c r="C5" s="21"/>
      <c r="D5" s="21"/>
      <c r="E5" s="21"/>
    </row>
    <row r="6" spans="1:5" s="9" customFormat="1" ht="37.15" customHeight="1" thickTop="1" thickBot="1" x14ac:dyDescent="0.3">
      <c r="A6" s="12" t="s">
        <v>0</v>
      </c>
      <c r="B6" s="12" t="s">
        <v>1</v>
      </c>
      <c r="C6" s="12" t="s">
        <v>1399</v>
      </c>
      <c r="D6" s="12" t="s">
        <v>1395</v>
      </c>
      <c r="E6" s="15" t="s">
        <v>1141</v>
      </c>
    </row>
    <row r="7" spans="1:5" x14ac:dyDescent="0.25">
      <c r="A7" s="2" t="str">
        <f t="shared" ref="A7:A32" si="0">"01"</f>
        <v>01</v>
      </c>
      <c r="B7" s="25" t="str">
        <f t="shared" ref="B7:B31" si="1">+PROPER(B8)</f>
        <v>Atlantic</v>
      </c>
      <c r="C7" s="6" t="str">
        <f>"0010"</f>
        <v>0010</v>
      </c>
      <c r="D7" s="3" t="s">
        <v>3</v>
      </c>
      <c r="E7" s="26" t="s">
        <v>4</v>
      </c>
    </row>
    <row r="8" spans="1:5" x14ac:dyDescent="0.25">
      <c r="A8" s="2" t="str">
        <f t="shared" si="0"/>
        <v>01</v>
      </c>
      <c r="B8" s="25" t="str">
        <f t="shared" si="1"/>
        <v>Atlantic</v>
      </c>
      <c r="C8" s="6" t="str">
        <f>"0110"</f>
        <v>0110</v>
      </c>
      <c r="D8" s="3" t="s">
        <v>7</v>
      </c>
      <c r="E8" s="26" t="s">
        <v>8</v>
      </c>
    </row>
    <row r="9" spans="1:5" x14ac:dyDescent="0.25">
      <c r="A9" s="2" t="str">
        <f t="shared" si="0"/>
        <v>01</v>
      </c>
      <c r="B9" s="25" t="str">
        <f t="shared" si="1"/>
        <v>Atlantic</v>
      </c>
      <c r="C9" s="6" t="str">
        <f>"0125"</f>
        <v>0125</v>
      </c>
      <c r="D9" s="3" t="s">
        <v>9</v>
      </c>
      <c r="E9" s="26" t="s">
        <v>10</v>
      </c>
    </row>
    <row r="10" spans="1:5" x14ac:dyDescent="0.25">
      <c r="A10" s="2" t="str">
        <f t="shared" si="0"/>
        <v>01</v>
      </c>
      <c r="B10" s="25" t="str">
        <f t="shared" si="1"/>
        <v>Atlantic</v>
      </c>
      <c r="C10" s="6" t="str">
        <f>"0120"</f>
        <v>0120</v>
      </c>
      <c r="D10" s="3" t="s">
        <v>11</v>
      </c>
      <c r="E10" s="26" t="s">
        <v>12</v>
      </c>
    </row>
    <row r="11" spans="1:5" x14ac:dyDescent="0.25">
      <c r="A11" s="2" t="str">
        <f t="shared" si="0"/>
        <v>01</v>
      </c>
      <c r="B11" s="25" t="str">
        <f t="shared" si="1"/>
        <v>Atlantic</v>
      </c>
      <c r="C11" s="6" t="str">
        <f>"0570"</f>
        <v>0570</v>
      </c>
      <c r="D11" s="10" t="s">
        <v>13</v>
      </c>
      <c r="E11" s="26" t="s">
        <v>14</v>
      </c>
    </row>
    <row r="12" spans="1:5" x14ac:dyDescent="0.25">
      <c r="A12" s="2" t="str">
        <f t="shared" si="0"/>
        <v>01</v>
      </c>
      <c r="B12" s="25" t="str">
        <f t="shared" si="1"/>
        <v>Atlantic</v>
      </c>
      <c r="C12" s="6" t="str">
        <f>"0590"</f>
        <v>0590</v>
      </c>
      <c r="D12" s="3" t="s">
        <v>1179</v>
      </c>
      <c r="E12" s="26" t="s">
        <v>15</v>
      </c>
    </row>
    <row r="13" spans="1:5" x14ac:dyDescent="0.25">
      <c r="A13" s="2" t="str">
        <f t="shared" si="0"/>
        <v>01</v>
      </c>
      <c r="B13" s="25" t="str">
        <f t="shared" si="1"/>
        <v>Atlantic</v>
      </c>
      <c r="C13" s="6" t="str">
        <f>"0960"</f>
        <v>0960</v>
      </c>
      <c r="D13" s="3" t="s">
        <v>1180</v>
      </c>
      <c r="E13" s="26" t="s">
        <v>1143</v>
      </c>
    </row>
    <row r="14" spans="1:5" x14ac:dyDescent="0.25">
      <c r="A14" s="2" t="str">
        <f t="shared" si="0"/>
        <v>01</v>
      </c>
      <c r="B14" s="25" t="str">
        <f t="shared" si="1"/>
        <v>Atlantic</v>
      </c>
      <c r="C14" s="6" t="str">
        <f>"1300"</f>
        <v>1300</v>
      </c>
      <c r="D14" s="3" t="s">
        <v>1181</v>
      </c>
      <c r="E14" s="26" t="s">
        <v>17</v>
      </c>
    </row>
    <row r="15" spans="1:5" x14ac:dyDescent="0.25">
      <c r="A15" s="2" t="str">
        <f t="shared" si="0"/>
        <v>01</v>
      </c>
      <c r="B15" s="25" t="str">
        <f t="shared" si="1"/>
        <v>Atlantic</v>
      </c>
      <c r="C15" s="6" t="str">
        <f>"1310"</f>
        <v>1310</v>
      </c>
      <c r="D15" s="3" t="s">
        <v>1182</v>
      </c>
      <c r="E15" s="26" t="s">
        <v>1140</v>
      </c>
    </row>
    <row r="16" spans="1:5" x14ac:dyDescent="0.25">
      <c r="A16" s="2" t="str">
        <f t="shared" si="0"/>
        <v>01</v>
      </c>
      <c r="B16" s="25" t="str">
        <f t="shared" si="1"/>
        <v>Atlantic</v>
      </c>
      <c r="C16" s="6" t="str">
        <f>"1410"</f>
        <v>1410</v>
      </c>
      <c r="D16" s="3" t="s">
        <v>1183</v>
      </c>
      <c r="E16" s="26" t="s">
        <v>18</v>
      </c>
    </row>
    <row r="17" spans="1:5" x14ac:dyDescent="0.25">
      <c r="A17" s="2" t="str">
        <f t="shared" si="0"/>
        <v>01</v>
      </c>
      <c r="B17" s="25" t="str">
        <f t="shared" si="1"/>
        <v>Atlantic</v>
      </c>
      <c r="C17" s="6" t="str">
        <f>"1540"</f>
        <v>1540</v>
      </c>
      <c r="D17" s="3" t="s">
        <v>19</v>
      </c>
      <c r="E17" s="26" t="s">
        <v>20</v>
      </c>
    </row>
    <row r="18" spans="1:5" x14ac:dyDescent="0.25">
      <c r="A18" s="2" t="str">
        <f t="shared" si="0"/>
        <v>01</v>
      </c>
      <c r="B18" s="25" t="str">
        <f t="shared" si="1"/>
        <v>Atlantic</v>
      </c>
      <c r="C18" s="6" t="str">
        <f>"1690"</f>
        <v>1690</v>
      </c>
      <c r="D18" s="3" t="s">
        <v>1184</v>
      </c>
      <c r="E18" s="26" t="s">
        <v>21</v>
      </c>
    </row>
    <row r="19" spans="1:5" x14ac:dyDescent="0.25">
      <c r="A19" s="2" t="str">
        <f t="shared" si="0"/>
        <v>01</v>
      </c>
      <c r="B19" s="25" t="str">
        <f t="shared" si="1"/>
        <v>Atlantic</v>
      </c>
      <c r="C19" s="6" t="str">
        <f>"1790"</f>
        <v>1790</v>
      </c>
      <c r="D19" s="3" t="s">
        <v>22</v>
      </c>
      <c r="E19" s="26" t="s">
        <v>23</v>
      </c>
    </row>
    <row r="20" spans="1:5" x14ac:dyDescent="0.25">
      <c r="A20" s="2" t="str">
        <f t="shared" si="0"/>
        <v>01</v>
      </c>
      <c r="B20" s="25" t="str">
        <f t="shared" si="1"/>
        <v>Atlantic</v>
      </c>
      <c r="C20" s="6" t="str">
        <f>"1940"</f>
        <v>1940</v>
      </c>
      <c r="D20" s="3" t="s">
        <v>1185</v>
      </c>
      <c r="E20" s="26" t="s">
        <v>24</v>
      </c>
    </row>
    <row r="21" spans="1:5" x14ac:dyDescent="0.25">
      <c r="A21" s="2" t="str">
        <f t="shared" si="0"/>
        <v>01</v>
      </c>
      <c r="B21" s="25" t="str">
        <f t="shared" si="1"/>
        <v>Atlantic</v>
      </c>
      <c r="C21" s="6" t="str">
        <f>"1960"</f>
        <v>1960</v>
      </c>
      <c r="D21" s="3" t="s">
        <v>25</v>
      </c>
      <c r="E21" s="26" t="s">
        <v>26</v>
      </c>
    </row>
    <row r="22" spans="1:5" x14ac:dyDescent="0.25">
      <c r="A22" s="2" t="str">
        <f t="shared" si="0"/>
        <v>01</v>
      </c>
      <c r="B22" s="25" t="str">
        <f t="shared" si="1"/>
        <v>Atlantic</v>
      </c>
      <c r="C22" s="6" t="str">
        <f>"2680"</f>
        <v>2680</v>
      </c>
      <c r="D22" s="3" t="s">
        <v>27</v>
      </c>
      <c r="E22" s="26" t="s">
        <v>28</v>
      </c>
    </row>
    <row r="23" spans="1:5" x14ac:dyDescent="0.25">
      <c r="A23" s="2" t="str">
        <f t="shared" si="0"/>
        <v>01</v>
      </c>
      <c r="B23" s="25" t="str">
        <f t="shared" si="1"/>
        <v>Atlantic</v>
      </c>
      <c r="C23" s="6" t="str">
        <f>"2780"</f>
        <v>2780</v>
      </c>
      <c r="D23" s="3" t="s">
        <v>1186</v>
      </c>
      <c r="E23" s="27" t="s">
        <v>1142</v>
      </c>
    </row>
    <row r="24" spans="1:5" x14ac:dyDescent="0.25">
      <c r="A24" s="2" t="str">
        <f t="shared" si="0"/>
        <v>01</v>
      </c>
      <c r="B24" s="25" t="str">
        <f t="shared" si="1"/>
        <v>Atlantic</v>
      </c>
      <c r="C24" s="6" t="str">
        <f>"2910"</f>
        <v>2910</v>
      </c>
      <c r="D24" s="3" t="s">
        <v>1187</v>
      </c>
      <c r="E24" s="26" t="s">
        <v>1144</v>
      </c>
    </row>
    <row r="25" spans="1:5" x14ac:dyDescent="0.25">
      <c r="A25" s="2" t="str">
        <f t="shared" si="0"/>
        <v>01</v>
      </c>
      <c r="B25" s="25" t="str">
        <f t="shared" si="1"/>
        <v>Atlantic</v>
      </c>
      <c r="C25" s="6" t="str">
        <f>"3020"</f>
        <v>3020</v>
      </c>
      <c r="D25" s="3" t="s">
        <v>29</v>
      </c>
      <c r="E25" s="26" t="s">
        <v>30</v>
      </c>
    </row>
    <row r="26" spans="1:5" x14ac:dyDescent="0.25">
      <c r="A26" s="2" t="str">
        <f t="shared" si="0"/>
        <v>01</v>
      </c>
      <c r="B26" s="25" t="str">
        <f t="shared" si="1"/>
        <v>Atlantic</v>
      </c>
      <c r="C26" s="6" t="str">
        <f>"3480"</f>
        <v>3480</v>
      </c>
      <c r="D26" s="3" t="s">
        <v>31</v>
      </c>
      <c r="E26" s="26" t="s">
        <v>32</v>
      </c>
    </row>
    <row r="27" spans="1:5" x14ac:dyDescent="0.25">
      <c r="A27" s="2" t="str">
        <f t="shared" si="0"/>
        <v>01</v>
      </c>
      <c r="B27" s="25" t="str">
        <f t="shared" si="1"/>
        <v>Atlantic</v>
      </c>
      <c r="C27" s="6" t="str">
        <f>"3720"</f>
        <v>3720</v>
      </c>
      <c r="D27" s="3" t="s">
        <v>33</v>
      </c>
      <c r="E27" s="26" t="s">
        <v>34</v>
      </c>
    </row>
    <row r="28" spans="1:5" x14ac:dyDescent="0.25">
      <c r="A28" s="2" t="str">
        <f t="shared" si="0"/>
        <v>01</v>
      </c>
      <c r="B28" s="25" t="str">
        <f t="shared" si="1"/>
        <v>Atlantic</v>
      </c>
      <c r="C28" s="6" t="str">
        <f>"4180"</f>
        <v>4180</v>
      </c>
      <c r="D28" s="3" t="s">
        <v>1188</v>
      </c>
      <c r="E28" s="26" t="s">
        <v>35</v>
      </c>
    </row>
    <row r="29" spans="1:5" x14ac:dyDescent="0.25">
      <c r="A29" s="2" t="str">
        <f t="shared" si="0"/>
        <v>01</v>
      </c>
      <c r="B29" s="25" t="str">
        <f t="shared" si="1"/>
        <v>Atlantic</v>
      </c>
      <c r="C29" s="6" t="str">
        <f>"4240"</f>
        <v>4240</v>
      </c>
      <c r="D29" s="3" t="s">
        <v>36</v>
      </c>
      <c r="E29" s="26" t="s">
        <v>37</v>
      </c>
    </row>
    <row r="30" spans="1:5" x14ac:dyDescent="0.25">
      <c r="A30" s="2" t="str">
        <f t="shared" si="0"/>
        <v>01</v>
      </c>
      <c r="B30" s="25" t="str">
        <f t="shared" si="1"/>
        <v>Atlantic</v>
      </c>
      <c r="C30" s="6" t="str">
        <f>"4800"</f>
        <v>4800</v>
      </c>
      <c r="D30" s="3" t="s">
        <v>1189</v>
      </c>
      <c r="E30" s="26" t="s">
        <v>38</v>
      </c>
    </row>
    <row r="31" spans="1:5" x14ac:dyDescent="0.25">
      <c r="A31" s="2" t="str">
        <f t="shared" si="0"/>
        <v>01</v>
      </c>
      <c r="B31" s="25" t="str">
        <f t="shared" si="1"/>
        <v>Atlantic</v>
      </c>
      <c r="C31" s="6" t="str">
        <f>"5350"</f>
        <v>5350</v>
      </c>
      <c r="D31" s="3" t="s">
        <v>39</v>
      </c>
      <c r="E31" s="26" t="s">
        <v>40</v>
      </c>
    </row>
    <row r="32" spans="1:5" x14ac:dyDescent="0.25">
      <c r="A32" s="2" t="str">
        <f t="shared" si="0"/>
        <v>01</v>
      </c>
      <c r="B32" s="28" t="s">
        <v>1148</v>
      </c>
      <c r="C32" s="6" t="str">
        <f>"5760"</f>
        <v>5760</v>
      </c>
      <c r="D32" s="3" t="s">
        <v>41</v>
      </c>
      <c r="E32" s="26" t="s">
        <v>42</v>
      </c>
    </row>
    <row r="33" spans="1:5" x14ac:dyDescent="0.25">
      <c r="A33" s="2" t="str">
        <f t="shared" ref="A33:A96" si="2">"03"</f>
        <v>03</v>
      </c>
      <c r="B33" s="28" t="str">
        <f t="shared" ref="B33:B96" si="3">+PROPER(B34)</f>
        <v>Bergen</v>
      </c>
      <c r="C33" s="6" t="str">
        <f>"0040"</f>
        <v>0040</v>
      </c>
      <c r="D33" s="3" t="s">
        <v>1190</v>
      </c>
      <c r="E33" s="26" t="s">
        <v>43</v>
      </c>
    </row>
    <row r="34" spans="1:5" x14ac:dyDescent="0.25">
      <c r="A34" s="2" t="str">
        <f t="shared" si="2"/>
        <v>03</v>
      </c>
      <c r="B34" s="28" t="str">
        <f t="shared" si="3"/>
        <v>Bergen</v>
      </c>
      <c r="C34" s="6" t="str">
        <f>"0080"</f>
        <v>0080</v>
      </c>
      <c r="D34" s="3" t="s">
        <v>44</v>
      </c>
      <c r="E34" s="26" t="s">
        <v>45</v>
      </c>
    </row>
    <row r="35" spans="1:5" x14ac:dyDescent="0.25">
      <c r="A35" s="2" t="str">
        <f t="shared" si="2"/>
        <v>03</v>
      </c>
      <c r="B35" s="28" t="str">
        <f t="shared" si="3"/>
        <v>Bergen</v>
      </c>
      <c r="C35" s="6" t="str">
        <f>"0285"</f>
        <v>0285</v>
      </c>
      <c r="D35" s="3" t="s">
        <v>47</v>
      </c>
      <c r="E35" s="26" t="s">
        <v>48</v>
      </c>
    </row>
    <row r="36" spans="1:5" x14ac:dyDescent="0.25">
      <c r="A36" s="2" t="str">
        <f t="shared" si="2"/>
        <v>03</v>
      </c>
      <c r="B36" s="28" t="str">
        <f t="shared" si="3"/>
        <v>Bergen</v>
      </c>
      <c r="C36" s="6" t="str">
        <f>"0290"</f>
        <v>0290</v>
      </c>
      <c r="D36" s="3" t="s">
        <v>49</v>
      </c>
      <c r="E36" s="26" t="s">
        <v>50</v>
      </c>
    </row>
    <row r="37" spans="1:5" x14ac:dyDescent="0.25">
      <c r="A37" s="2" t="str">
        <f t="shared" si="2"/>
        <v>03</v>
      </c>
      <c r="B37" s="28" t="str">
        <f t="shared" si="3"/>
        <v>Bergen</v>
      </c>
      <c r="C37" s="6" t="str">
        <f>"0300"</f>
        <v>0300</v>
      </c>
      <c r="D37" s="3" t="s">
        <v>51</v>
      </c>
      <c r="E37" s="26" t="s">
        <v>52</v>
      </c>
    </row>
    <row r="38" spans="1:5" x14ac:dyDescent="0.25">
      <c r="A38" s="2" t="str">
        <f t="shared" si="2"/>
        <v>03</v>
      </c>
      <c r="B38" s="28" t="str">
        <f t="shared" si="3"/>
        <v>Bergen</v>
      </c>
      <c r="C38" s="6" t="str">
        <f>"0440"</f>
        <v>0440</v>
      </c>
      <c r="D38" s="3" t="s">
        <v>53</v>
      </c>
      <c r="E38" s="26" t="s">
        <v>54</v>
      </c>
    </row>
    <row r="39" spans="1:5" x14ac:dyDescent="0.25">
      <c r="A39" s="2" t="str">
        <f t="shared" si="2"/>
        <v>03</v>
      </c>
      <c r="B39" s="28" t="str">
        <f t="shared" si="3"/>
        <v>Bergen</v>
      </c>
      <c r="C39" s="6" t="str">
        <f>"0740"</f>
        <v>0740</v>
      </c>
      <c r="D39" s="3" t="s">
        <v>1191</v>
      </c>
      <c r="E39" s="26" t="s">
        <v>55</v>
      </c>
    </row>
    <row r="40" spans="1:5" x14ac:dyDescent="0.25">
      <c r="A40" s="2" t="str">
        <f t="shared" si="2"/>
        <v>03</v>
      </c>
      <c r="B40" s="28" t="str">
        <f t="shared" si="3"/>
        <v>Bergen</v>
      </c>
      <c r="C40" s="6" t="str">
        <f>"0745"</f>
        <v>0745</v>
      </c>
      <c r="D40" s="3" t="s">
        <v>56</v>
      </c>
      <c r="E40" s="26" t="s">
        <v>57</v>
      </c>
    </row>
    <row r="41" spans="1:5" x14ac:dyDescent="0.25">
      <c r="A41" s="2" t="str">
        <f t="shared" si="2"/>
        <v>03</v>
      </c>
      <c r="B41" s="28" t="str">
        <f t="shared" si="3"/>
        <v>Bergen</v>
      </c>
      <c r="C41" s="6" t="str">
        <f>"0890"</f>
        <v>0890</v>
      </c>
      <c r="D41" s="3" t="s">
        <v>1192</v>
      </c>
      <c r="E41" s="26" t="s">
        <v>58</v>
      </c>
    </row>
    <row r="42" spans="1:5" x14ac:dyDescent="0.25">
      <c r="A42" s="2" t="str">
        <f t="shared" si="2"/>
        <v>03</v>
      </c>
      <c r="B42" s="28" t="str">
        <f t="shared" si="3"/>
        <v>Bergen</v>
      </c>
      <c r="C42" s="6" t="str">
        <f>"0930"</f>
        <v>0930</v>
      </c>
      <c r="D42" s="3" t="s">
        <v>1193</v>
      </c>
      <c r="E42" s="26" t="s">
        <v>59</v>
      </c>
    </row>
    <row r="43" spans="1:5" x14ac:dyDescent="0.25">
      <c r="A43" s="2" t="str">
        <f t="shared" si="2"/>
        <v>03</v>
      </c>
      <c r="B43" s="28" t="str">
        <f t="shared" si="3"/>
        <v>Bergen</v>
      </c>
      <c r="C43" s="6" t="str">
        <f>"0990"</f>
        <v>0990</v>
      </c>
      <c r="D43" s="3" t="s">
        <v>60</v>
      </c>
      <c r="E43" s="26" t="s">
        <v>61</v>
      </c>
    </row>
    <row r="44" spans="1:5" x14ac:dyDescent="0.25">
      <c r="A44" s="2" t="str">
        <f t="shared" si="2"/>
        <v>03</v>
      </c>
      <c r="B44" s="28" t="str">
        <f t="shared" si="3"/>
        <v>Bergen</v>
      </c>
      <c r="C44" s="6" t="str">
        <f>"1070"</f>
        <v>1070</v>
      </c>
      <c r="D44" s="3" t="s">
        <v>62</v>
      </c>
      <c r="E44" s="26" t="s">
        <v>63</v>
      </c>
    </row>
    <row r="45" spans="1:5" x14ac:dyDescent="0.25">
      <c r="A45" s="2" t="str">
        <f t="shared" si="2"/>
        <v>03</v>
      </c>
      <c r="B45" s="28" t="str">
        <f t="shared" si="3"/>
        <v>Bergen</v>
      </c>
      <c r="C45" s="6" t="str">
        <f>"1130"</f>
        <v>1130</v>
      </c>
      <c r="D45" s="3" t="s">
        <v>64</v>
      </c>
      <c r="E45" s="26" t="s">
        <v>65</v>
      </c>
    </row>
    <row r="46" spans="1:5" x14ac:dyDescent="0.25">
      <c r="A46" s="2" t="str">
        <f t="shared" si="2"/>
        <v>03</v>
      </c>
      <c r="B46" s="28" t="str">
        <f t="shared" si="3"/>
        <v>Bergen</v>
      </c>
      <c r="C46" s="6" t="str">
        <f>"1230"</f>
        <v>1230</v>
      </c>
      <c r="D46" s="3" t="s">
        <v>66</v>
      </c>
      <c r="E46" s="26" t="s">
        <v>67</v>
      </c>
    </row>
    <row r="47" spans="1:5" x14ac:dyDescent="0.25">
      <c r="A47" s="2" t="str">
        <f t="shared" si="2"/>
        <v>03</v>
      </c>
      <c r="B47" s="28" t="str">
        <f t="shared" si="3"/>
        <v>Bergen</v>
      </c>
      <c r="C47" s="6" t="str">
        <f>"1270"</f>
        <v>1270</v>
      </c>
      <c r="D47" s="3" t="s">
        <v>68</v>
      </c>
      <c r="E47" s="26" t="s">
        <v>69</v>
      </c>
    </row>
    <row r="48" spans="1:5" x14ac:dyDescent="0.25">
      <c r="A48" s="2" t="str">
        <f t="shared" si="2"/>
        <v>03</v>
      </c>
      <c r="B48" s="28" t="str">
        <f t="shared" si="3"/>
        <v>Bergen</v>
      </c>
      <c r="C48" s="6" t="str">
        <f>"1345"</f>
        <v>1345</v>
      </c>
      <c r="D48" s="3" t="s">
        <v>70</v>
      </c>
      <c r="E48" s="26" t="s">
        <v>71</v>
      </c>
    </row>
    <row r="49" spans="1:5" x14ac:dyDescent="0.25">
      <c r="A49" s="2" t="str">
        <f t="shared" si="2"/>
        <v>03</v>
      </c>
      <c r="B49" s="28" t="str">
        <f t="shared" si="3"/>
        <v>Bergen</v>
      </c>
      <c r="C49" s="6" t="str">
        <f>"1360"</f>
        <v>1360</v>
      </c>
      <c r="D49" s="3" t="s">
        <v>72</v>
      </c>
      <c r="E49" s="26" t="s">
        <v>73</v>
      </c>
    </row>
    <row r="50" spans="1:5" x14ac:dyDescent="0.25">
      <c r="A50" s="2" t="str">
        <f t="shared" si="2"/>
        <v>03</v>
      </c>
      <c r="B50" s="28" t="str">
        <f t="shared" si="3"/>
        <v>Bergen</v>
      </c>
      <c r="C50" s="6" t="str">
        <f>"1380"</f>
        <v>1380</v>
      </c>
      <c r="D50" s="3" t="s">
        <v>74</v>
      </c>
      <c r="E50" s="26" t="s">
        <v>75</v>
      </c>
    </row>
    <row r="51" spans="1:5" x14ac:dyDescent="0.25">
      <c r="A51" s="2" t="str">
        <f t="shared" si="2"/>
        <v>03</v>
      </c>
      <c r="B51" s="28" t="str">
        <f t="shared" si="3"/>
        <v>Bergen</v>
      </c>
      <c r="C51" s="6" t="str">
        <f>"1370"</f>
        <v>1370</v>
      </c>
      <c r="D51" s="3" t="s">
        <v>77</v>
      </c>
      <c r="E51" s="26" t="s">
        <v>78</v>
      </c>
    </row>
    <row r="52" spans="1:5" x14ac:dyDescent="0.25">
      <c r="A52" s="2" t="str">
        <f t="shared" si="2"/>
        <v>03</v>
      </c>
      <c r="B52" s="28" t="str">
        <f t="shared" si="3"/>
        <v>Bergen</v>
      </c>
      <c r="C52" s="6" t="str">
        <f>"1450"</f>
        <v>1450</v>
      </c>
      <c r="D52" s="3" t="s">
        <v>79</v>
      </c>
      <c r="E52" s="26" t="s">
        <v>80</v>
      </c>
    </row>
    <row r="53" spans="1:5" x14ac:dyDescent="0.25">
      <c r="A53" s="2" t="str">
        <f t="shared" si="2"/>
        <v>03</v>
      </c>
      <c r="B53" s="28" t="str">
        <f t="shared" si="3"/>
        <v>Bergen</v>
      </c>
      <c r="C53" s="6" t="str">
        <f>"1470"</f>
        <v>1470</v>
      </c>
      <c r="D53" s="3" t="s">
        <v>81</v>
      </c>
      <c r="E53" s="26" t="s">
        <v>82</v>
      </c>
    </row>
    <row r="54" spans="1:5" x14ac:dyDescent="0.25">
      <c r="A54" s="2" t="str">
        <f t="shared" si="2"/>
        <v>03</v>
      </c>
      <c r="B54" s="28" t="str">
        <f t="shared" si="3"/>
        <v>Bergen</v>
      </c>
      <c r="C54" s="6" t="str">
        <f>"1550"</f>
        <v>1550</v>
      </c>
      <c r="D54" s="3" t="s">
        <v>83</v>
      </c>
      <c r="E54" s="26" t="s">
        <v>84</v>
      </c>
    </row>
    <row r="55" spans="1:5" x14ac:dyDescent="0.25">
      <c r="A55" s="2" t="str">
        <f t="shared" si="2"/>
        <v>03</v>
      </c>
      <c r="B55" s="28" t="str">
        <f t="shared" si="3"/>
        <v>Bergen</v>
      </c>
      <c r="C55" s="6" t="str">
        <f>"1580"</f>
        <v>1580</v>
      </c>
      <c r="D55" s="3" t="s">
        <v>1194</v>
      </c>
      <c r="E55" s="26" t="s">
        <v>85</v>
      </c>
    </row>
    <row r="56" spans="1:5" x14ac:dyDescent="0.25">
      <c r="A56" s="2" t="str">
        <f t="shared" si="2"/>
        <v>03</v>
      </c>
      <c r="B56" s="28" t="str">
        <f t="shared" si="3"/>
        <v>Bergen</v>
      </c>
      <c r="C56" s="6" t="str">
        <f>"1700"</f>
        <v>1700</v>
      </c>
      <c r="D56" s="3" t="s">
        <v>1195</v>
      </c>
      <c r="E56" s="26" t="s">
        <v>86</v>
      </c>
    </row>
    <row r="57" spans="1:5" x14ac:dyDescent="0.25">
      <c r="A57" s="2" t="str">
        <f t="shared" si="2"/>
        <v>03</v>
      </c>
      <c r="B57" s="28" t="str">
        <f t="shared" si="3"/>
        <v>Bergen</v>
      </c>
      <c r="C57" s="6" t="str">
        <f>"1760"</f>
        <v>1760</v>
      </c>
      <c r="D57" s="3" t="s">
        <v>1196</v>
      </c>
      <c r="E57" s="26" t="s">
        <v>87</v>
      </c>
    </row>
    <row r="58" spans="1:5" x14ac:dyDescent="0.25">
      <c r="A58" s="2" t="str">
        <f t="shared" si="2"/>
        <v>03</v>
      </c>
      <c r="B58" s="28" t="str">
        <f t="shared" si="3"/>
        <v>Bergen</v>
      </c>
      <c r="C58" s="6" t="str">
        <f>"1860"</f>
        <v>1860</v>
      </c>
      <c r="D58" s="3" t="s">
        <v>88</v>
      </c>
      <c r="E58" s="26" t="s">
        <v>89</v>
      </c>
    </row>
    <row r="59" spans="1:5" x14ac:dyDescent="0.25">
      <c r="A59" s="2" t="str">
        <f t="shared" si="2"/>
        <v>03</v>
      </c>
      <c r="B59" s="28" t="str">
        <f t="shared" si="3"/>
        <v>Bergen</v>
      </c>
      <c r="C59" s="6" t="str">
        <f>"2050"</f>
        <v>2050</v>
      </c>
      <c r="D59" s="3" t="s">
        <v>90</v>
      </c>
      <c r="E59" s="26" t="s">
        <v>91</v>
      </c>
    </row>
    <row r="60" spans="1:5" x14ac:dyDescent="0.25">
      <c r="A60" s="2" t="str">
        <f t="shared" si="2"/>
        <v>03</v>
      </c>
      <c r="B60" s="28" t="str">
        <f t="shared" si="3"/>
        <v>Bergen</v>
      </c>
      <c r="C60" s="6" t="str">
        <f>"2080"</f>
        <v>2080</v>
      </c>
      <c r="D60" s="3" t="s">
        <v>92</v>
      </c>
      <c r="E60" s="26" t="s">
        <v>93</v>
      </c>
    </row>
    <row r="61" spans="1:5" s="8" customFormat="1" ht="15.75" thickBot="1" x14ac:dyDescent="0.3">
      <c r="A61" s="4" t="str">
        <f t="shared" si="2"/>
        <v>03</v>
      </c>
      <c r="B61" s="29" t="str">
        <f t="shared" si="3"/>
        <v>Bergen</v>
      </c>
      <c r="C61" s="7" t="str">
        <f>"2090"</f>
        <v>2090</v>
      </c>
      <c r="D61" s="5" t="s">
        <v>1197</v>
      </c>
      <c r="E61" s="30" t="s">
        <v>94</v>
      </c>
    </row>
    <row r="62" spans="1:5" ht="15.75" thickTop="1" x14ac:dyDescent="0.25">
      <c r="A62" s="2" t="str">
        <f t="shared" si="2"/>
        <v>03</v>
      </c>
      <c r="B62" s="28" t="str">
        <f t="shared" si="3"/>
        <v>Bergen</v>
      </c>
      <c r="C62" s="6" t="str">
        <f>"2180"</f>
        <v>2180</v>
      </c>
      <c r="D62" s="3" t="s">
        <v>1198</v>
      </c>
      <c r="E62" s="26" t="s">
        <v>95</v>
      </c>
    </row>
    <row r="63" spans="1:5" x14ac:dyDescent="0.25">
      <c r="A63" s="2" t="str">
        <f t="shared" si="2"/>
        <v>03</v>
      </c>
      <c r="B63" s="28" t="str">
        <f t="shared" si="3"/>
        <v>Bergen</v>
      </c>
      <c r="C63" s="6" t="str">
        <f>"2200"</f>
        <v>2200</v>
      </c>
      <c r="D63" s="3" t="s">
        <v>96</v>
      </c>
      <c r="E63" s="26" t="s">
        <v>97</v>
      </c>
    </row>
    <row r="64" spans="1:5" x14ac:dyDescent="0.25">
      <c r="A64" s="2" t="str">
        <f t="shared" si="2"/>
        <v>03</v>
      </c>
      <c r="B64" s="28" t="str">
        <f t="shared" si="3"/>
        <v>Bergen</v>
      </c>
      <c r="C64" s="6" t="str">
        <f>"2620"</f>
        <v>2620</v>
      </c>
      <c r="D64" s="3" t="s">
        <v>98</v>
      </c>
      <c r="E64" s="26" t="s">
        <v>99</v>
      </c>
    </row>
    <row r="65" spans="1:5" x14ac:dyDescent="0.25">
      <c r="A65" s="2" t="str">
        <f t="shared" si="2"/>
        <v>03</v>
      </c>
      <c r="B65" s="28" t="str">
        <f t="shared" si="3"/>
        <v>Bergen</v>
      </c>
      <c r="C65" s="6" t="str">
        <f>"2710"</f>
        <v>2710</v>
      </c>
      <c r="D65" s="3" t="s">
        <v>100</v>
      </c>
      <c r="E65" s="26" t="s">
        <v>101</v>
      </c>
    </row>
    <row r="66" spans="1:5" x14ac:dyDescent="0.25">
      <c r="A66" s="2" t="str">
        <f t="shared" si="2"/>
        <v>03</v>
      </c>
      <c r="B66" s="28" t="str">
        <f t="shared" si="3"/>
        <v>Bergen</v>
      </c>
      <c r="C66" s="6" t="str">
        <f>"2740"</f>
        <v>2740</v>
      </c>
      <c r="D66" s="3" t="s">
        <v>102</v>
      </c>
      <c r="E66" s="26" t="s">
        <v>103</v>
      </c>
    </row>
    <row r="67" spans="1:5" x14ac:dyDescent="0.25">
      <c r="A67" s="2" t="str">
        <f t="shared" si="2"/>
        <v>03</v>
      </c>
      <c r="B67" s="28" t="str">
        <f t="shared" si="3"/>
        <v>Bergen</v>
      </c>
      <c r="C67" s="6" t="str">
        <f>"2860"</f>
        <v>2860</v>
      </c>
      <c r="D67" s="3" t="s">
        <v>104</v>
      </c>
      <c r="E67" s="26" t="s">
        <v>105</v>
      </c>
    </row>
    <row r="68" spans="1:5" x14ac:dyDescent="0.25">
      <c r="A68" s="2" t="str">
        <f t="shared" si="2"/>
        <v>03</v>
      </c>
      <c r="B68" s="28" t="str">
        <f t="shared" si="3"/>
        <v>Bergen</v>
      </c>
      <c r="C68" s="6" t="str">
        <f>"2900"</f>
        <v>2900</v>
      </c>
      <c r="D68" s="3" t="s">
        <v>106</v>
      </c>
      <c r="E68" s="26" t="s">
        <v>107</v>
      </c>
    </row>
    <row r="69" spans="1:5" x14ac:dyDescent="0.25">
      <c r="A69" s="2" t="str">
        <f t="shared" si="2"/>
        <v>03</v>
      </c>
      <c r="B69" s="28" t="str">
        <f t="shared" si="3"/>
        <v>Bergen</v>
      </c>
      <c r="C69" s="6" t="str">
        <f>"3060"</f>
        <v>3060</v>
      </c>
      <c r="D69" s="3" t="s">
        <v>1199</v>
      </c>
      <c r="E69" s="26" t="s">
        <v>108</v>
      </c>
    </row>
    <row r="70" spans="1:5" x14ac:dyDescent="0.25">
      <c r="A70" s="2" t="str">
        <f t="shared" si="2"/>
        <v>03</v>
      </c>
      <c r="B70" s="28" t="str">
        <f t="shared" si="3"/>
        <v>Bergen</v>
      </c>
      <c r="C70" s="6" t="str">
        <f>"3170"</f>
        <v>3170</v>
      </c>
      <c r="D70" s="3" t="s">
        <v>109</v>
      </c>
      <c r="E70" s="26" t="s">
        <v>110</v>
      </c>
    </row>
    <row r="71" spans="1:5" x14ac:dyDescent="0.25">
      <c r="A71" s="2" t="str">
        <f t="shared" si="2"/>
        <v>03</v>
      </c>
      <c r="B71" s="28" t="str">
        <f t="shared" si="3"/>
        <v>Bergen</v>
      </c>
      <c r="C71" s="6" t="str">
        <f>"3330"</f>
        <v>3330</v>
      </c>
      <c r="D71" s="3" t="s">
        <v>1200</v>
      </c>
      <c r="E71" s="26" t="s">
        <v>111</v>
      </c>
    </row>
    <row r="72" spans="1:5" x14ac:dyDescent="0.25">
      <c r="A72" s="2" t="str">
        <f t="shared" si="2"/>
        <v>03</v>
      </c>
      <c r="B72" s="28" t="str">
        <f t="shared" si="3"/>
        <v>Bergen</v>
      </c>
      <c r="C72" s="6" t="str">
        <f>"3350"</f>
        <v>3350</v>
      </c>
      <c r="D72" s="3" t="s">
        <v>112</v>
      </c>
      <c r="E72" s="26" t="s">
        <v>113</v>
      </c>
    </row>
    <row r="73" spans="1:5" x14ac:dyDescent="0.25">
      <c r="A73" s="2" t="str">
        <f t="shared" si="2"/>
        <v>03</v>
      </c>
      <c r="B73" s="28" t="str">
        <f t="shared" si="3"/>
        <v>Bergen</v>
      </c>
      <c r="C73" s="6" t="str">
        <f>"3550"</f>
        <v>3550</v>
      </c>
      <c r="D73" s="3" t="s">
        <v>114</v>
      </c>
      <c r="E73" s="26" t="s">
        <v>115</v>
      </c>
    </row>
    <row r="74" spans="1:5" x14ac:dyDescent="0.25">
      <c r="A74" s="2" t="str">
        <f t="shared" si="2"/>
        <v>03</v>
      </c>
      <c r="B74" s="28" t="str">
        <f t="shared" si="3"/>
        <v>Bergen</v>
      </c>
      <c r="C74" s="6" t="str">
        <f>"3600"</f>
        <v>3600</v>
      </c>
      <c r="D74" s="3" t="s">
        <v>116</v>
      </c>
      <c r="E74" s="26" t="s">
        <v>117</v>
      </c>
    </row>
    <row r="75" spans="1:5" x14ac:dyDescent="0.25">
      <c r="A75" s="2" t="str">
        <f t="shared" si="2"/>
        <v>03</v>
      </c>
      <c r="B75" s="28" t="str">
        <f t="shared" si="3"/>
        <v>Bergen</v>
      </c>
      <c r="C75" s="6" t="str">
        <f>"3700"</f>
        <v>3700</v>
      </c>
      <c r="D75" s="3" t="s">
        <v>118</v>
      </c>
      <c r="E75" s="26" t="s">
        <v>119</v>
      </c>
    </row>
    <row r="76" spans="1:5" x14ac:dyDescent="0.25">
      <c r="A76" s="2" t="str">
        <f t="shared" si="2"/>
        <v>03</v>
      </c>
      <c r="B76" s="28" t="str">
        <f t="shared" si="3"/>
        <v>Bergen</v>
      </c>
      <c r="C76" s="6" t="str">
        <f>"3710"</f>
        <v>3710</v>
      </c>
      <c r="D76" s="3" t="s">
        <v>120</v>
      </c>
      <c r="E76" s="26" t="s">
        <v>121</v>
      </c>
    </row>
    <row r="77" spans="1:5" x14ac:dyDescent="0.25">
      <c r="A77" s="2" t="str">
        <f t="shared" si="2"/>
        <v>03</v>
      </c>
      <c r="B77" s="28" t="str">
        <f t="shared" si="3"/>
        <v>Bergen</v>
      </c>
      <c r="C77" s="6" t="str">
        <f>"3730"</f>
        <v>3730</v>
      </c>
      <c r="D77" s="3" t="s">
        <v>1201</v>
      </c>
      <c r="E77" s="26" t="s">
        <v>122</v>
      </c>
    </row>
    <row r="78" spans="1:5" x14ac:dyDescent="0.25">
      <c r="A78" s="2" t="str">
        <f t="shared" si="2"/>
        <v>03</v>
      </c>
      <c r="B78" s="28" t="str">
        <f t="shared" si="3"/>
        <v>Bergen</v>
      </c>
      <c r="C78" s="6" t="str">
        <f>"3740"</f>
        <v>3740</v>
      </c>
      <c r="D78" s="3" t="s">
        <v>123</v>
      </c>
      <c r="E78" s="26" t="s">
        <v>124</v>
      </c>
    </row>
    <row r="79" spans="1:5" x14ac:dyDescent="0.25">
      <c r="A79" s="2" t="str">
        <f t="shared" si="2"/>
        <v>03</v>
      </c>
      <c r="B79" s="28" t="str">
        <f t="shared" si="3"/>
        <v>Bergen</v>
      </c>
      <c r="C79" s="6" t="str">
        <f>"3760"</f>
        <v>3760</v>
      </c>
      <c r="D79" s="3" t="s">
        <v>125</v>
      </c>
      <c r="E79" s="26" t="s">
        <v>126</v>
      </c>
    </row>
    <row r="80" spans="1:5" x14ac:dyDescent="0.25">
      <c r="A80" s="2" t="str">
        <f t="shared" si="2"/>
        <v>03</v>
      </c>
      <c r="B80" s="28" t="str">
        <f t="shared" si="3"/>
        <v>Bergen</v>
      </c>
      <c r="C80" s="6" t="str">
        <f>"3850"</f>
        <v>3850</v>
      </c>
      <c r="D80" s="3" t="s">
        <v>1202</v>
      </c>
      <c r="E80" s="26" t="s">
        <v>127</v>
      </c>
    </row>
    <row r="81" spans="1:5" x14ac:dyDescent="0.25">
      <c r="A81" s="2" t="str">
        <f t="shared" si="2"/>
        <v>03</v>
      </c>
      <c r="B81" s="28" t="str">
        <f t="shared" si="3"/>
        <v>Bergen</v>
      </c>
      <c r="C81" s="6" t="str">
        <f>"3870"</f>
        <v>3870</v>
      </c>
      <c r="D81" s="3" t="s">
        <v>1203</v>
      </c>
      <c r="E81" s="26" t="s">
        <v>128</v>
      </c>
    </row>
    <row r="82" spans="1:5" x14ac:dyDescent="0.25">
      <c r="A82" s="2" t="str">
        <f t="shared" si="2"/>
        <v>03</v>
      </c>
      <c r="B82" s="28" t="str">
        <f t="shared" si="3"/>
        <v>Bergen</v>
      </c>
      <c r="C82" s="6" t="str">
        <f>"3910"</f>
        <v>3910</v>
      </c>
      <c r="D82" s="3" t="s">
        <v>129</v>
      </c>
      <c r="E82" s="26" t="s">
        <v>130</v>
      </c>
    </row>
    <row r="83" spans="1:5" x14ac:dyDescent="0.25">
      <c r="A83" s="2" t="str">
        <f t="shared" si="2"/>
        <v>03</v>
      </c>
      <c r="B83" s="28" t="str">
        <f t="shared" si="3"/>
        <v>Bergen</v>
      </c>
      <c r="C83" s="6" t="str">
        <f>"3930"</f>
        <v>3930</v>
      </c>
      <c r="D83" s="3" t="s">
        <v>131</v>
      </c>
      <c r="E83" s="26" t="s">
        <v>132</v>
      </c>
    </row>
    <row r="84" spans="1:5" x14ac:dyDescent="0.25">
      <c r="A84" s="2" t="str">
        <f t="shared" si="2"/>
        <v>03</v>
      </c>
      <c r="B84" s="28" t="str">
        <f t="shared" si="3"/>
        <v>Bergen</v>
      </c>
      <c r="C84" s="6" t="str">
        <f>"3940"</f>
        <v>3940</v>
      </c>
      <c r="D84" s="3" t="s">
        <v>133</v>
      </c>
      <c r="E84" s="26" t="s">
        <v>134</v>
      </c>
    </row>
    <row r="85" spans="1:5" x14ac:dyDescent="0.25">
      <c r="A85" s="2" t="str">
        <f t="shared" si="2"/>
        <v>03</v>
      </c>
      <c r="B85" s="28" t="str">
        <f t="shared" si="3"/>
        <v>Bergen</v>
      </c>
      <c r="C85" s="6" t="str">
        <f>"3960"</f>
        <v>3960</v>
      </c>
      <c r="D85" s="3" t="s">
        <v>1204</v>
      </c>
      <c r="E85" s="26" t="s">
        <v>135</v>
      </c>
    </row>
    <row r="86" spans="1:5" x14ac:dyDescent="0.25">
      <c r="A86" s="2" t="str">
        <f t="shared" si="2"/>
        <v>03</v>
      </c>
      <c r="B86" s="28" t="str">
        <f t="shared" si="3"/>
        <v>Bergen</v>
      </c>
      <c r="C86" s="6" t="str">
        <f>"4300"</f>
        <v>4300</v>
      </c>
      <c r="D86" s="3" t="s">
        <v>1205</v>
      </c>
      <c r="E86" s="26" t="s">
        <v>136</v>
      </c>
    </row>
    <row r="87" spans="1:5" x14ac:dyDescent="0.25">
      <c r="A87" s="2" t="str">
        <f t="shared" si="2"/>
        <v>03</v>
      </c>
      <c r="B87" s="28" t="str">
        <f t="shared" si="3"/>
        <v>Bergen</v>
      </c>
      <c r="C87" s="6" t="str">
        <f>"4310"</f>
        <v>4310</v>
      </c>
      <c r="D87" s="3" t="s">
        <v>1206</v>
      </c>
      <c r="E87" s="26" t="s">
        <v>137</v>
      </c>
    </row>
    <row r="88" spans="1:5" x14ac:dyDescent="0.25">
      <c r="A88" s="2" t="str">
        <f t="shared" si="2"/>
        <v>03</v>
      </c>
      <c r="B88" s="28" t="str">
        <f t="shared" si="3"/>
        <v>Bergen</v>
      </c>
      <c r="C88" s="6" t="str">
        <f>"4380"</f>
        <v>4380</v>
      </c>
      <c r="D88" s="3" t="s">
        <v>138</v>
      </c>
      <c r="E88" s="26" t="s">
        <v>139</v>
      </c>
    </row>
    <row r="89" spans="1:5" x14ac:dyDescent="0.25">
      <c r="A89" s="2" t="str">
        <f t="shared" si="2"/>
        <v>03</v>
      </c>
      <c r="B89" s="28" t="str">
        <f t="shared" si="3"/>
        <v>Bergen</v>
      </c>
      <c r="C89" s="6" t="str">
        <f>"4370"</f>
        <v>4370</v>
      </c>
      <c r="D89" s="3" t="s">
        <v>140</v>
      </c>
      <c r="E89" s="26" t="s">
        <v>141</v>
      </c>
    </row>
    <row r="90" spans="1:5" x14ac:dyDescent="0.25">
      <c r="A90" s="2" t="str">
        <f t="shared" si="2"/>
        <v>03</v>
      </c>
      <c r="B90" s="28" t="str">
        <f t="shared" si="3"/>
        <v>Bergen</v>
      </c>
      <c r="C90" s="6" t="str">
        <f>"4390"</f>
        <v>4390</v>
      </c>
      <c r="D90" s="3" t="s">
        <v>142</v>
      </c>
      <c r="E90" s="26" t="s">
        <v>143</v>
      </c>
    </row>
    <row r="91" spans="1:5" x14ac:dyDescent="0.25">
      <c r="A91" s="2" t="str">
        <f t="shared" si="2"/>
        <v>03</v>
      </c>
      <c r="B91" s="28" t="str">
        <f t="shared" si="3"/>
        <v>Bergen</v>
      </c>
      <c r="C91" s="6" t="str">
        <f>"4405"</f>
        <v>4405</v>
      </c>
      <c r="D91" s="3" t="s">
        <v>144</v>
      </c>
      <c r="E91" s="26" t="s">
        <v>145</v>
      </c>
    </row>
    <row r="92" spans="1:5" x14ac:dyDescent="0.25">
      <c r="A92" s="2" t="str">
        <f t="shared" si="2"/>
        <v>03</v>
      </c>
      <c r="B92" s="28" t="str">
        <f t="shared" si="3"/>
        <v>Bergen</v>
      </c>
      <c r="C92" s="6" t="str">
        <f>"4410"</f>
        <v>4410</v>
      </c>
      <c r="D92" s="3" t="s">
        <v>146</v>
      </c>
      <c r="E92" s="26" t="s">
        <v>147</v>
      </c>
    </row>
    <row r="93" spans="1:5" x14ac:dyDescent="0.25">
      <c r="A93" s="2" t="str">
        <f t="shared" si="2"/>
        <v>03</v>
      </c>
      <c r="B93" s="28" t="str">
        <f t="shared" si="3"/>
        <v>Bergen</v>
      </c>
      <c r="C93" s="6" t="str">
        <f>"4430"</f>
        <v>4430</v>
      </c>
      <c r="D93" s="3" t="s">
        <v>148</v>
      </c>
      <c r="E93" s="26" t="s">
        <v>149</v>
      </c>
    </row>
    <row r="94" spans="1:5" x14ac:dyDescent="0.25">
      <c r="A94" s="2" t="str">
        <f t="shared" si="2"/>
        <v>03</v>
      </c>
      <c r="B94" s="28" t="str">
        <f t="shared" si="3"/>
        <v>Bergen</v>
      </c>
      <c r="C94" s="6" t="str">
        <f>"4470"</f>
        <v>4470</v>
      </c>
      <c r="D94" s="3" t="s">
        <v>150</v>
      </c>
      <c r="E94" s="26" t="s">
        <v>151</v>
      </c>
    </row>
    <row r="95" spans="1:5" x14ac:dyDescent="0.25">
      <c r="A95" s="2" t="str">
        <f t="shared" si="2"/>
        <v>03</v>
      </c>
      <c r="B95" s="28" t="str">
        <f t="shared" si="3"/>
        <v>Bergen</v>
      </c>
      <c r="C95" s="6" t="str">
        <f>"4500"</f>
        <v>4500</v>
      </c>
      <c r="D95" s="3" t="s">
        <v>152</v>
      </c>
      <c r="E95" s="27" t="s">
        <v>1142</v>
      </c>
    </row>
    <row r="96" spans="1:5" x14ac:dyDescent="0.25">
      <c r="A96" s="2" t="str">
        <f t="shared" si="2"/>
        <v>03</v>
      </c>
      <c r="B96" s="28" t="str">
        <f t="shared" si="3"/>
        <v>Bergen</v>
      </c>
      <c r="C96" s="6" t="str">
        <f>"4600"</f>
        <v>4600</v>
      </c>
      <c r="D96" s="3" t="s">
        <v>153</v>
      </c>
      <c r="E96" s="26" t="s">
        <v>154</v>
      </c>
    </row>
    <row r="97" spans="1:5" x14ac:dyDescent="0.25">
      <c r="A97" s="2" t="str">
        <f t="shared" ref="A97:A110" si="4">"03"</f>
        <v>03</v>
      </c>
      <c r="B97" s="28" t="str">
        <f t="shared" ref="B97:B109" si="5">+PROPER(B98)</f>
        <v>Bergen</v>
      </c>
      <c r="C97" s="6" t="str">
        <f>"4610"</f>
        <v>4610</v>
      </c>
      <c r="D97" s="3" t="s">
        <v>1207</v>
      </c>
      <c r="E97" s="26" t="s">
        <v>155</v>
      </c>
    </row>
    <row r="98" spans="1:5" x14ac:dyDescent="0.25">
      <c r="A98" s="2" t="str">
        <f t="shared" si="4"/>
        <v>03</v>
      </c>
      <c r="B98" s="28" t="str">
        <f t="shared" si="5"/>
        <v>Bergen</v>
      </c>
      <c r="C98" s="6" t="str">
        <f>"4620"</f>
        <v>4620</v>
      </c>
      <c r="D98" s="3" t="s">
        <v>1208</v>
      </c>
      <c r="E98" s="26" t="s">
        <v>156</v>
      </c>
    </row>
    <row r="99" spans="1:5" x14ac:dyDescent="0.25">
      <c r="A99" s="2" t="str">
        <f t="shared" si="4"/>
        <v>03</v>
      </c>
      <c r="B99" s="28" t="str">
        <f t="shared" si="5"/>
        <v>Bergen</v>
      </c>
      <c r="C99" s="6" t="str">
        <f>"4845"</f>
        <v>4845</v>
      </c>
      <c r="D99" s="3" t="s">
        <v>157</v>
      </c>
      <c r="E99" s="26" t="s">
        <v>158</v>
      </c>
    </row>
    <row r="100" spans="1:5" x14ac:dyDescent="0.25">
      <c r="A100" s="2" t="str">
        <f t="shared" si="4"/>
        <v>03</v>
      </c>
      <c r="B100" s="28" t="str">
        <f t="shared" si="5"/>
        <v>Bergen</v>
      </c>
      <c r="C100" s="6" t="str">
        <f>"4870"</f>
        <v>4870</v>
      </c>
      <c r="D100" s="3" t="s">
        <v>159</v>
      </c>
      <c r="E100" s="26" t="s">
        <v>160</v>
      </c>
    </row>
    <row r="101" spans="1:5" x14ac:dyDescent="0.25">
      <c r="A101" s="2" t="str">
        <f t="shared" si="4"/>
        <v>03</v>
      </c>
      <c r="B101" s="28" t="str">
        <f t="shared" si="5"/>
        <v>Bergen</v>
      </c>
      <c r="C101" s="6" t="str">
        <f>"5150"</f>
        <v>5150</v>
      </c>
      <c r="D101" s="3" t="s">
        <v>163</v>
      </c>
      <c r="E101" s="26" t="s">
        <v>164</v>
      </c>
    </row>
    <row r="102" spans="1:5" x14ac:dyDescent="0.25">
      <c r="A102" s="2" t="str">
        <f t="shared" si="4"/>
        <v>03</v>
      </c>
      <c r="B102" s="28" t="str">
        <f t="shared" si="5"/>
        <v>Bergen</v>
      </c>
      <c r="C102" s="6" t="str">
        <f>"5160"</f>
        <v>5160</v>
      </c>
      <c r="D102" s="3" t="s">
        <v>1209</v>
      </c>
      <c r="E102" s="26" t="s">
        <v>165</v>
      </c>
    </row>
    <row r="103" spans="1:5" x14ac:dyDescent="0.25">
      <c r="A103" s="2" t="str">
        <f t="shared" si="4"/>
        <v>03</v>
      </c>
      <c r="B103" s="28" t="str">
        <f t="shared" si="5"/>
        <v>Bergen</v>
      </c>
      <c r="C103" s="6" t="str">
        <f>"5170"</f>
        <v>5170</v>
      </c>
      <c r="D103" s="3" t="s">
        <v>166</v>
      </c>
      <c r="E103" s="27" t="s">
        <v>1142</v>
      </c>
    </row>
    <row r="104" spans="1:5" x14ac:dyDescent="0.25">
      <c r="A104" s="2" t="str">
        <f t="shared" si="4"/>
        <v>03</v>
      </c>
      <c r="B104" s="28" t="str">
        <f t="shared" si="5"/>
        <v>Bergen</v>
      </c>
      <c r="C104" s="6" t="str">
        <f>"5330"</f>
        <v>5330</v>
      </c>
      <c r="D104" s="3" t="s">
        <v>1210</v>
      </c>
      <c r="E104" s="26" t="s">
        <v>167</v>
      </c>
    </row>
    <row r="105" spans="1:5" x14ac:dyDescent="0.25">
      <c r="A105" s="2" t="str">
        <f t="shared" si="4"/>
        <v>03</v>
      </c>
      <c r="B105" s="28" t="str">
        <f t="shared" si="5"/>
        <v>Bergen</v>
      </c>
      <c r="C105" s="6" t="str">
        <f>"5410"</f>
        <v>5410</v>
      </c>
      <c r="D105" s="3" t="s">
        <v>168</v>
      </c>
      <c r="E105" s="26" t="s">
        <v>169</v>
      </c>
    </row>
    <row r="106" spans="1:5" x14ac:dyDescent="0.25">
      <c r="A106" s="2" t="str">
        <f t="shared" si="4"/>
        <v>03</v>
      </c>
      <c r="B106" s="28" t="str">
        <f t="shared" si="5"/>
        <v>Bergen</v>
      </c>
      <c r="C106" s="6" t="str">
        <f>"5430"</f>
        <v>5430</v>
      </c>
      <c r="D106" s="3" t="s">
        <v>170</v>
      </c>
      <c r="E106" s="26" t="s">
        <v>171</v>
      </c>
    </row>
    <row r="107" spans="1:5" x14ac:dyDescent="0.25">
      <c r="A107" s="2" t="str">
        <f t="shared" si="4"/>
        <v>03</v>
      </c>
      <c r="B107" s="28" t="str">
        <f t="shared" si="5"/>
        <v>Bergen</v>
      </c>
      <c r="C107" s="6" t="str">
        <f>"5755"</f>
        <v>5755</v>
      </c>
      <c r="D107" s="3" t="s">
        <v>1211</v>
      </c>
      <c r="E107" s="26" t="s">
        <v>172</v>
      </c>
    </row>
    <row r="108" spans="1:5" x14ac:dyDescent="0.25">
      <c r="A108" s="2" t="str">
        <f t="shared" si="4"/>
        <v>03</v>
      </c>
      <c r="B108" s="28" t="str">
        <f t="shared" si="5"/>
        <v>Bergen</v>
      </c>
      <c r="C108" s="6" t="str">
        <f>"5880"</f>
        <v>5880</v>
      </c>
      <c r="D108" s="3" t="s">
        <v>175</v>
      </c>
      <c r="E108" s="26" t="s">
        <v>176</v>
      </c>
    </row>
    <row r="109" spans="1:5" x14ac:dyDescent="0.25">
      <c r="A109" s="2" t="str">
        <f t="shared" si="4"/>
        <v>03</v>
      </c>
      <c r="B109" s="28" t="str">
        <f t="shared" si="5"/>
        <v>Bergen</v>
      </c>
      <c r="C109" s="6" t="str">
        <f>"5830"</f>
        <v>5830</v>
      </c>
      <c r="D109" s="3" t="s">
        <v>173</v>
      </c>
      <c r="E109" s="26" t="s">
        <v>174</v>
      </c>
    </row>
    <row r="110" spans="1:5" x14ac:dyDescent="0.25">
      <c r="A110" s="2" t="str">
        <f t="shared" si="4"/>
        <v>03</v>
      </c>
      <c r="B110" s="1" t="s">
        <v>1149</v>
      </c>
      <c r="C110" s="6" t="str">
        <f>"5920"</f>
        <v>5920</v>
      </c>
      <c r="D110" s="3" t="s">
        <v>177</v>
      </c>
      <c r="E110" s="26" t="s">
        <v>178</v>
      </c>
    </row>
    <row r="111" spans="1:5" x14ac:dyDescent="0.25">
      <c r="A111" s="2" t="str">
        <f t="shared" ref="A111:A151" si="6">"05"</f>
        <v>05</v>
      </c>
      <c r="B111" s="1" t="str">
        <f t="shared" ref="B111:B150" si="7">+PROPER(B112)</f>
        <v>Burlington</v>
      </c>
      <c r="C111" s="6" t="str">
        <f>"0200"</f>
        <v>0200</v>
      </c>
      <c r="D111" s="3" t="s">
        <v>1212</v>
      </c>
      <c r="E111" s="26" t="s">
        <v>179</v>
      </c>
    </row>
    <row r="112" spans="1:5" x14ac:dyDescent="0.25">
      <c r="A112" s="2" t="str">
        <f t="shared" si="6"/>
        <v>05</v>
      </c>
      <c r="B112" s="1" t="str">
        <f t="shared" si="7"/>
        <v>Burlington</v>
      </c>
      <c r="C112" s="6" t="str">
        <f>"0380"</f>
        <v>0380</v>
      </c>
      <c r="D112" s="3" t="s">
        <v>1213</v>
      </c>
      <c r="E112" s="26" t="s">
        <v>182</v>
      </c>
    </row>
    <row r="113" spans="1:5" x14ac:dyDescent="0.25">
      <c r="A113" s="2" t="str">
        <f t="shared" si="6"/>
        <v>05</v>
      </c>
      <c r="B113" s="1" t="str">
        <f t="shared" si="7"/>
        <v>Burlington</v>
      </c>
      <c r="C113" s="6" t="str">
        <f>"0475"</f>
        <v>0475</v>
      </c>
      <c r="D113" s="3" t="s">
        <v>183</v>
      </c>
      <c r="E113" s="26" t="s">
        <v>184</v>
      </c>
    </row>
    <row r="114" spans="1:5" x14ac:dyDescent="0.25">
      <c r="A114" s="2" t="str">
        <f t="shared" si="6"/>
        <v>05</v>
      </c>
      <c r="B114" s="1" t="str">
        <f t="shared" si="7"/>
        <v>Burlington</v>
      </c>
      <c r="C114" s="6" t="str">
        <f>"0600"</f>
        <v>0600</v>
      </c>
      <c r="D114" s="3" t="s">
        <v>185</v>
      </c>
      <c r="E114" s="26" t="s">
        <v>186</v>
      </c>
    </row>
    <row r="115" spans="1:5" x14ac:dyDescent="0.25">
      <c r="A115" s="2" t="str">
        <f t="shared" si="6"/>
        <v>05</v>
      </c>
      <c r="B115" s="1" t="str">
        <f t="shared" si="7"/>
        <v>Burlington</v>
      </c>
      <c r="C115" s="6" t="str">
        <f>"0610"</f>
        <v>0610</v>
      </c>
      <c r="D115" s="3" t="s">
        <v>1214</v>
      </c>
      <c r="E115" s="26" t="s">
        <v>187</v>
      </c>
    </row>
    <row r="116" spans="1:5" s="8" customFormat="1" ht="15.75" thickBot="1" x14ac:dyDescent="0.3">
      <c r="A116" s="4" t="str">
        <f t="shared" si="6"/>
        <v>05</v>
      </c>
      <c r="B116" s="31" t="str">
        <f t="shared" si="7"/>
        <v>Burlington</v>
      </c>
      <c r="C116" s="7" t="str">
        <f>"0605"</f>
        <v>0605</v>
      </c>
      <c r="D116" s="5" t="s">
        <v>1215</v>
      </c>
      <c r="E116" s="30" t="s">
        <v>188</v>
      </c>
    </row>
    <row r="117" spans="1:5" ht="15.75" thickTop="1" x14ac:dyDescent="0.25">
      <c r="A117" s="2" t="str">
        <f t="shared" si="6"/>
        <v>05</v>
      </c>
      <c r="B117" s="1" t="str">
        <f t="shared" si="7"/>
        <v>Burlington</v>
      </c>
      <c r="C117" s="6" t="str">
        <f>"0620"</f>
        <v>0620</v>
      </c>
      <c r="D117" s="3" t="s">
        <v>1216</v>
      </c>
      <c r="E117" s="26" t="s">
        <v>189</v>
      </c>
    </row>
    <row r="118" spans="1:5" x14ac:dyDescent="0.25">
      <c r="A118" s="2" t="str">
        <f t="shared" si="6"/>
        <v>05</v>
      </c>
      <c r="B118" s="1" t="str">
        <f t="shared" si="7"/>
        <v>Burlington</v>
      </c>
      <c r="C118" s="6" t="str">
        <f>"0830"</f>
        <v>0830</v>
      </c>
      <c r="D118" s="3" t="s">
        <v>190</v>
      </c>
      <c r="E118" s="26" t="s">
        <v>191</v>
      </c>
    </row>
    <row r="119" spans="1:5" x14ac:dyDescent="0.25">
      <c r="A119" s="2" t="str">
        <f t="shared" si="6"/>
        <v>05</v>
      </c>
      <c r="B119" s="1" t="str">
        <f t="shared" si="7"/>
        <v>Burlington</v>
      </c>
      <c r="C119" s="6" t="str">
        <f>"0840"</f>
        <v>0840</v>
      </c>
      <c r="D119" s="3" t="s">
        <v>1217</v>
      </c>
      <c r="E119" s="26" t="s">
        <v>192</v>
      </c>
    </row>
    <row r="120" spans="1:5" x14ac:dyDescent="0.25">
      <c r="A120" s="2" t="str">
        <f t="shared" si="6"/>
        <v>05</v>
      </c>
      <c r="B120" s="1" t="str">
        <f t="shared" si="7"/>
        <v>Burlington</v>
      </c>
      <c r="C120" s="6" t="str">
        <f>"1030"</f>
        <v>1030</v>
      </c>
      <c r="D120" s="3" t="s">
        <v>193</v>
      </c>
      <c r="E120" s="26" t="s">
        <v>194</v>
      </c>
    </row>
    <row r="121" spans="1:5" x14ac:dyDescent="0.25">
      <c r="A121" s="2" t="str">
        <f t="shared" si="6"/>
        <v>05</v>
      </c>
      <c r="B121" s="1" t="str">
        <f t="shared" si="7"/>
        <v>Burlington</v>
      </c>
      <c r="C121" s="6" t="str">
        <f>"1060"</f>
        <v>1060</v>
      </c>
      <c r="D121" s="3" t="s">
        <v>195</v>
      </c>
      <c r="E121" s="26" t="s">
        <v>196</v>
      </c>
    </row>
    <row r="122" spans="1:5" x14ac:dyDescent="0.25">
      <c r="A122" s="2" t="str">
        <f t="shared" si="6"/>
        <v>05</v>
      </c>
      <c r="B122" s="1" t="str">
        <f t="shared" si="7"/>
        <v>Burlington</v>
      </c>
      <c r="C122" s="6" t="str">
        <f>"1250"</f>
        <v>1250</v>
      </c>
      <c r="D122" s="3" t="s">
        <v>197</v>
      </c>
      <c r="E122" s="26" t="s">
        <v>198</v>
      </c>
    </row>
    <row r="123" spans="1:5" x14ac:dyDescent="0.25">
      <c r="A123" s="2" t="str">
        <f t="shared" si="6"/>
        <v>05</v>
      </c>
      <c r="B123" s="1" t="str">
        <f t="shared" si="7"/>
        <v>Burlington</v>
      </c>
      <c r="C123" s="6" t="str">
        <f>"1280"</f>
        <v>1280</v>
      </c>
      <c r="D123" s="3" t="s">
        <v>199</v>
      </c>
      <c r="E123" s="26" t="s">
        <v>200</v>
      </c>
    </row>
    <row r="124" spans="1:5" x14ac:dyDescent="0.25">
      <c r="A124" s="2" t="str">
        <f t="shared" si="6"/>
        <v>05</v>
      </c>
      <c r="B124" s="1" t="str">
        <f t="shared" si="7"/>
        <v>Burlington</v>
      </c>
      <c r="C124" s="6" t="str">
        <f>"1420"</f>
        <v>1420</v>
      </c>
      <c r="D124" s="3" t="s">
        <v>201</v>
      </c>
      <c r="E124" s="26" t="s">
        <v>202</v>
      </c>
    </row>
    <row r="125" spans="1:5" x14ac:dyDescent="0.25">
      <c r="A125" s="2" t="str">
        <f t="shared" si="6"/>
        <v>05</v>
      </c>
      <c r="B125" s="1" t="str">
        <f t="shared" si="7"/>
        <v>Burlington</v>
      </c>
      <c r="C125" s="6" t="str">
        <f>"1520"</f>
        <v>1520</v>
      </c>
      <c r="D125" s="3" t="s">
        <v>203</v>
      </c>
      <c r="E125" s="26" t="s">
        <v>204</v>
      </c>
    </row>
    <row r="126" spans="1:5" x14ac:dyDescent="0.25">
      <c r="A126" s="2" t="str">
        <f t="shared" si="6"/>
        <v>05</v>
      </c>
      <c r="B126" s="1" t="str">
        <f t="shared" si="7"/>
        <v>Burlington</v>
      </c>
      <c r="C126" s="6" t="str">
        <f>"1910"</f>
        <v>1910</v>
      </c>
      <c r="D126" s="3" t="s">
        <v>205</v>
      </c>
      <c r="E126" s="26" t="s">
        <v>206</v>
      </c>
    </row>
    <row r="127" spans="1:5" x14ac:dyDescent="0.25">
      <c r="A127" s="2" t="str">
        <f t="shared" si="6"/>
        <v>05</v>
      </c>
      <c r="B127" s="1" t="str">
        <f t="shared" si="7"/>
        <v>Burlington</v>
      </c>
      <c r="C127" s="6" t="str">
        <f>"2610"</f>
        <v>2610</v>
      </c>
      <c r="D127" s="3" t="s">
        <v>207</v>
      </c>
      <c r="E127" s="26" t="s">
        <v>208</v>
      </c>
    </row>
    <row r="128" spans="1:5" x14ac:dyDescent="0.25">
      <c r="A128" s="2" t="str">
        <f t="shared" si="6"/>
        <v>05</v>
      </c>
      <c r="B128" s="1" t="str">
        <f t="shared" si="7"/>
        <v>Burlington</v>
      </c>
      <c r="C128" s="6" t="str">
        <f>"2850"</f>
        <v>2850</v>
      </c>
      <c r="D128" s="3" t="s">
        <v>1218</v>
      </c>
      <c r="E128" s="26" t="s">
        <v>209</v>
      </c>
    </row>
    <row r="129" spans="1:5" x14ac:dyDescent="0.25">
      <c r="A129" s="2" t="str">
        <f t="shared" si="6"/>
        <v>05</v>
      </c>
      <c r="B129" s="1" t="str">
        <f t="shared" si="7"/>
        <v>Burlington</v>
      </c>
      <c r="C129" s="6" t="str">
        <f>"2960"</f>
        <v>2960</v>
      </c>
      <c r="D129" s="3" t="s">
        <v>210</v>
      </c>
      <c r="E129" s="26" t="s">
        <v>211</v>
      </c>
    </row>
    <row r="130" spans="1:5" x14ac:dyDescent="0.25">
      <c r="A130" s="2" t="str">
        <f t="shared" si="6"/>
        <v>05</v>
      </c>
      <c r="B130" s="1" t="str">
        <f t="shared" si="7"/>
        <v>Burlington</v>
      </c>
      <c r="C130" s="6" t="str">
        <f>"3010"</f>
        <v>3010</v>
      </c>
      <c r="D130" s="3" t="s">
        <v>212</v>
      </c>
      <c r="E130" s="26" t="s">
        <v>213</v>
      </c>
    </row>
    <row r="131" spans="1:5" x14ac:dyDescent="0.25">
      <c r="A131" s="2" t="str">
        <f t="shared" si="6"/>
        <v>05</v>
      </c>
      <c r="B131" s="1" t="str">
        <f t="shared" si="7"/>
        <v>Burlington</v>
      </c>
      <c r="C131" s="6" t="str">
        <f>"3070"</f>
        <v>3070</v>
      </c>
      <c r="D131" s="3" t="s">
        <v>214</v>
      </c>
      <c r="E131" s="26" t="s">
        <v>215</v>
      </c>
    </row>
    <row r="132" spans="1:5" x14ac:dyDescent="0.25">
      <c r="A132" s="2" t="str">
        <f t="shared" si="6"/>
        <v>05</v>
      </c>
      <c r="B132" s="1" t="str">
        <f t="shared" si="7"/>
        <v>Burlington</v>
      </c>
      <c r="C132" s="6" t="str">
        <f>"3080"</f>
        <v>3080</v>
      </c>
      <c r="D132" s="3" t="s">
        <v>216</v>
      </c>
      <c r="E132" s="26" t="s">
        <v>217</v>
      </c>
    </row>
    <row r="133" spans="1:5" x14ac:dyDescent="0.25">
      <c r="A133" s="2" t="str">
        <f t="shared" si="6"/>
        <v>05</v>
      </c>
      <c r="B133" s="1" t="str">
        <f t="shared" si="7"/>
        <v>Burlington</v>
      </c>
      <c r="C133" s="6" t="str">
        <f>"3360"</f>
        <v>3360</v>
      </c>
      <c r="D133" s="3" t="s">
        <v>218</v>
      </c>
      <c r="E133" s="26" t="s">
        <v>219</v>
      </c>
    </row>
    <row r="134" spans="1:5" x14ac:dyDescent="0.25">
      <c r="A134" s="2" t="str">
        <f t="shared" si="6"/>
        <v>05</v>
      </c>
      <c r="B134" s="1" t="str">
        <f t="shared" si="7"/>
        <v>Burlington</v>
      </c>
      <c r="C134" s="6" t="str">
        <f>"3430"</f>
        <v>3430</v>
      </c>
      <c r="D134" s="3" t="s">
        <v>220</v>
      </c>
      <c r="E134" s="26" t="s">
        <v>221</v>
      </c>
    </row>
    <row r="135" spans="1:5" x14ac:dyDescent="0.25">
      <c r="A135" s="2" t="str">
        <f t="shared" si="6"/>
        <v>05</v>
      </c>
      <c r="B135" s="1" t="str">
        <f t="shared" si="7"/>
        <v>Burlington</v>
      </c>
      <c r="C135" s="6" t="str">
        <f>"3440"</f>
        <v>3440</v>
      </c>
      <c r="D135" s="3" t="s">
        <v>222</v>
      </c>
      <c r="E135" s="26" t="s">
        <v>223</v>
      </c>
    </row>
    <row r="136" spans="1:5" x14ac:dyDescent="0.25">
      <c r="A136" s="2" t="str">
        <f t="shared" si="6"/>
        <v>05</v>
      </c>
      <c r="B136" s="1" t="str">
        <f t="shared" si="7"/>
        <v>Burlington</v>
      </c>
      <c r="C136" s="6" t="str">
        <f>"3540"</f>
        <v>3540</v>
      </c>
      <c r="D136" s="3" t="s">
        <v>224</v>
      </c>
      <c r="E136" s="26" t="s">
        <v>225</v>
      </c>
    </row>
    <row r="137" spans="1:5" x14ac:dyDescent="0.25">
      <c r="A137" s="2" t="str">
        <f t="shared" si="6"/>
        <v>05</v>
      </c>
      <c r="B137" s="1" t="str">
        <f t="shared" si="7"/>
        <v>Burlington</v>
      </c>
      <c r="C137" s="6" t="str">
        <f>"3650"</f>
        <v>3650</v>
      </c>
      <c r="D137" s="3" t="s">
        <v>226</v>
      </c>
      <c r="E137" s="26" t="s">
        <v>227</v>
      </c>
    </row>
    <row r="138" spans="1:5" x14ac:dyDescent="0.25">
      <c r="A138" s="2" t="str">
        <f t="shared" si="6"/>
        <v>05</v>
      </c>
      <c r="B138" s="1" t="str">
        <f t="shared" si="7"/>
        <v>Burlington</v>
      </c>
      <c r="C138" s="6" t="str">
        <f>"3690"</f>
        <v>3690</v>
      </c>
      <c r="D138" s="3" t="s">
        <v>228</v>
      </c>
      <c r="E138" s="26" t="s">
        <v>229</v>
      </c>
    </row>
    <row r="139" spans="1:5" x14ac:dyDescent="0.25">
      <c r="A139" s="2" t="str">
        <f t="shared" si="6"/>
        <v>05</v>
      </c>
      <c r="B139" s="1" t="str">
        <f t="shared" si="7"/>
        <v>Burlington</v>
      </c>
      <c r="C139" s="6" t="str">
        <f>"3920"</f>
        <v>3920</v>
      </c>
      <c r="D139" s="3" t="s">
        <v>230</v>
      </c>
      <c r="E139" s="26" t="s">
        <v>231</v>
      </c>
    </row>
    <row r="140" spans="1:5" x14ac:dyDescent="0.25">
      <c r="A140" s="2" t="str">
        <f t="shared" si="6"/>
        <v>05</v>
      </c>
      <c r="B140" s="1" t="str">
        <f t="shared" si="7"/>
        <v>Burlington</v>
      </c>
      <c r="C140" s="6" t="str">
        <f>"4050"</f>
        <v>4050</v>
      </c>
      <c r="D140" s="3" t="s">
        <v>232</v>
      </c>
      <c r="E140" s="26" t="s">
        <v>233</v>
      </c>
    </row>
    <row r="141" spans="1:5" x14ac:dyDescent="0.25">
      <c r="A141" s="2" t="str">
        <f t="shared" si="6"/>
        <v>05</v>
      </c>
      <c r="B141" s="1" t="str">
        <f t="shared" si="7"/>
        <v>Burlington</v>
      </c>
      <c r="C141" s="6" t="str">
        <f>"4320"</f>
        <v>4320</v>
      </c>
      <c r="D141" s="3" t="s">
        <v>234</v>
      </c>
      <c r="E141" s="26" t="s">
        <v>235</v>
      </c>
    </row>
    <row r="142" spans="1:5" x14ac:dyDescent="0.25">
      <c r="A142" s="2" t="str">
        <f t="shared" si="6"/>
        <v>05</v>
      </c>
      <c r="B142" s="1" t="str">
        <f t="shared" si="7"/>
        <v>Burlington</v>
      </c>
      <c r="C142" s="6" t="str">
        <f>"4450"</f>
        <v>4450</v>
      </c>
      <c r="D142" s="3" t="s">
        <v>1219</v>
      </c>
      <c r="E142" s="26" t="s">
        <v>237</v>
      </c>
    </row>
    <row r="143" spans="1:5" x14ac:dyDescent="0.25">
      <c r="A143" s="2" t="str">
        <f t="shared" si="6"/>
        <v>05</v>
      </c>
      <c r="B143" s="1" t="str">
        <f t="shared" si="7"/>
        <v>Burlington</v>
      </c>
      <c r="C143" s="6" t="str">
        <f>"4460"</f>
        <v>4460</v>
      </c>
      <c r="D143" s="3" t="s">
        <v>238</v>
      </c>
      <c r="E143" s="26" t="s">
        <v>239</v>
      </c>
    </row>
    <row r="144" spans="1:5" x14ac:dyDescent="0.25">
      <c r="A144" s="2" t="str">
        <f t="shared" si="6"/>
        <v>05</v>
      </c>
      <c r="B144" s="1" t="str">
        <f t="shared" si="7"/>
        <v>Burlington</v>
      </c>
      <c r="C144" s="6" t="str">
        <f>"4740"</f>
        <v>4740</v>
      </c>
      <c r="D144" s="3" t="s">
        <v>240</v>
      </c>
      <c r="E144" s="26" t="s">
        <v>241</v>
      </c>
    </row>
    <row r="145" spans="1:5" x14ac:dyDescent="0.25">
      <c r="A145" s="2" t="str">
        <f t="shared" si="6"/>
        <v>05</v>
      </c>
      <c r="B145" s="1" t="str">
        <f t="shared" si="7"/>
        <v>Burlington</v>
      </c>
      <c r="C145" s="6" t="str">
        <f>"4930"</f>
        <v>4930</v>
      </c>
      <c r="D145" s="3" t="s">
        <v>242</v>
      </c>
      <c r="E145" s="26" t="s">
        <v>243</v>
      </c>
    </row>
    <row r="146" spans="1:5" x14ac:dyDescent="0.25">
      <c r="A146" s="2" t="str">
        <f t="shared" si="6"/>
        <v>05</v>
      </c>
      <c r="B146" s="1" t="str">
        <f t="shared" si="7"/>
        <v>Burlington</v>
      </c>
      <c r="C146" s="6" t="str">
        <f>"5010"</f>
        <v>5010</v>
      </c>
      <c r="D146" s="3" t="s">
        <v>244</v>
      </c>
      <c r="E146" s="26" t="s">
        <v>245</v>
      </c>
    </row>
    <row r="147" spans="1:5" x14ac:dyDescent="0.25">
      <c r="A147" s="2" t="str">
        <f t="shared" si="6"/>
        <v>05</v>
      </c>
      <c r="B147" s="1" t="str">
        <f t="shared" si="7"/>
        <v>Burlington</v>
      </c>
      <c r="C147" s="6" t="str">
        <f>"5130"</f>
        <v>5130</v>
      </c>
      <c r="D147" s="3" t="s">
        <v>246</v>
      </c>
      <c r="E147" s="26" t="s">
        <v>247</v>
      </c>
    </row>
    <row r="148" spans="1:5" x14ac:dyDescent="0.25">
      <c r="A148" s="2" t="str">
        <f t="shared" si="6"/>
        <v>05</v>
      </c>
      <c r="B148" s="1" t="str">
        <f t="shared" si="7"/>
        <v>Burlington</v>
      </c>
      <c r="C148" s="6" t="str">
        <f>"5490"</f>
        <v>5490</v>
      </c>
      <c r="D148" s="3" t="s">
        <v>248</v>
      </c>
      <c r="E148" s="26" t="s">
        <v>249</v>
      </c>
    </row>
    <row r="149" spans="1:5" x14ac:dyDescent="0.25">
      <c r="A149" s="2" t="str">
        <f t="shared" si="6"/>
        <v>05</v>
      </c>
      <c r="B149" s="1" t="str">
        <f t="shared" si="7"/>
        <v>Burlington</v>
      </c>
      <c r="C149" s="6" t="str">
        <f>"5720"</f>
        <v>5720</v>
      </c>
      <c r="D149" s="3" t="s">
        <v>250</v>
      </c>
      <c r="E149" s="26" t="s">
        <v>251</v>
      </c>
    </row>
    <row r="150" spans="1:5" x14ac:dyDescent="0.25">
      <c r="A150" s="2" t="str">
        <f t="shared" si="6"/>
        <v>05</v>
      </c>
      <c r="B150" s="1" t="str">
        <f t="shared" si="7"/>
        <v>Burlington</v>
      </c>
      <c r="C150" s="6" t="str">
        <f>"5805"</f>
        <v>5805</v>
      </c>
      <c r="D150" s="3" t="s">
        <v>1220</v>
      </c>
      <c r="E150" s="26" t="s">
        <v>252</v>
      </c>
    </row>
    <row r="151" spans="1:5" x14ac:dyDescent="0.25">
      <c r="A151" s="2" t="str">
        <f t="shared" si="6"/>
        <v>05</v>
      </c>
      <c r="B151" s="1" t="s">
        <v>1150</v>
      </c>
      <c r="C151" s="6" t="str">
        <f>"5890"</f>
        <v>5890</v>
      </c>
      <c r="D151" s="3" t="s">
        <v>1221</v>
      </c>
      <c r="E151" s="26" t="s">
        <v>253</v>
      </c>
    </row>
    <row r="152" spans="1:5" x14ac:dyDescent="0.25">
      <c r="A152" s="2" t="str">
        <f t="shared" ref="A152:A193" si="8">"07"</f>
        <v>07</v>
      </c>
      <c r="B152" s="1" t="s">
        <v>1151</v>
      </c>
      <c r="C152" s="6" t="str">
        <f>"0150"</f>
        <v>0150</v>
      </c>
      <c r="D152" s="3" t="s">
        <v>254</v>
      </c>
      <c r="E152" s="26" t="s">
        <v>255</v>
      </c>
    </row>
    <row r="153" spans="1:5" x14ac:dyDescent="0.25">
      <c r="A153" s="2" t="str">
        <f t="shared" si="8"/>
        <v>07</v>
      </c>
      <c r="B153" s="1" t="s">
        <v>1151</v>
      </c>
      <c r="C153" s="6" t="str">
        <f>"0190"</f>
        <v>0190</v>
      </c>
      <c r="D153" s="3" t="s">
        <v>1222</v>
      </c>
      <c r="E153" s="26" t="s">
        <v>256</v>
      </c>
    </row>
    <row r="154" spans="1:5" x14ac:dyDescent="0.25">
      <c r="A154" s="2" t="str">
        <f t="shared" si="8"/>
        <v>07</v>
      </c>
      <c r="B154" s="1" t="s">
        <v>1151</v>
      </c>
      <c r="C154" s="6" t="str">
        <f>"0260"</f>
        <v>0260</v>
      </c>
      <c r="D154" s="3" t="s">
        <v>1223</v>
      </c>
      <c r="E154" s="26" t="s">
        <v>257</v>
      </c>
    </row>
    <row r="155" spans="1:5" x14ac:dyDescent="0.25">
      <c r="A155" s="2" t="str">
        <f t="shared" si="8"/>
        <v>07</v>
      </c>
      <c r="B155" s="1" t="s">
        <v>1151</v>
      </c>
      <c r="C155" s="6" t="str">
        <f>"0330"</f>
        <v>0330</v>
      </c>
      <c r="D155" s="3" t="s">
        <v>258</v>
      </c>
      <c r="E155" s="26" t="s">
        <v>259</v>
      </c>
    </row>
    <row r="156" spans="1:5" x14ac:dyDescent="0.25">
      <c r="A156" s="2" t="str">
        <f t="shared" si="8"/>
        <v>07</v>
      </c>
      <c r="B156" s="1" t="s">
        <v>1151</v>
      </c>
      <c r="C156" s="6" t="str">
        <f>"0340"</f>
        <v>0340</v>
      </c>
      <c r="D156" s="3" t="s">
        <v>260</v>
      </c>
      <c r="E156" s="26" t="s">
        <v>261</v>
      </c>
    </row>
    <row r="157" spans="1:5" x14ac:dyDescent="0.25">
      <c r="A157" s="2" t="str">
        <f t="shared" si="8"/>
        <v>07</v>
      </c>
      <c r="B157" s="1" t="s">
        <v>1151</v>
      </c>
      <c r="C157" s="6" t="str">
        <f>"0390"</f>
        <v>0390</v>
      </c>
      <c r="D157" s="3" t="s">
        <v>262</v>
      </c>
      <c r="E157" s="26" t="s">
        <v>263</v>
      </c>
    </row>
    <row r="158" spans="1:5" x14ac:dyDescent="0.25">
      <c r="A158" s="2" t="str">
        <f t="shared" si="8"/>
        <v>07</v>
      </c>
      <c r="B158" s="1" t="s">
        <v>1151</v>
      </c>
      <c r="C158" s="6" t="str">
        <f>"0580"</f>
        <v>0580</v>
      </c>
      <c r="D158" s="3" t="s">
        <v>1224</v>
      </c>
      <c r="E158" s="26" t="s">
        <v>264</v>
      </c>
    </row>
    <row r="159" spans="1:5" x14ac:dyDescent="0.25">
      <c r="A159" s="2" t="str">
        <f t="shared" si="8"/>
        <v>07</v>
      </c>
      <c r="B159" s="1" t="s">
        <v>1151</v>
      </c>
      <c r="C159" s="6" t="str">
        <f>"0680"</f>
        <v>0680</v>
      </c>
      <c r="D159" s="3" t="s">
        <v>1225</v>
      </c>
      <c r="E159" s="26" t="s">
        <v>267</v>
      </c>
    </row>
    <row r="160" spans="1:5" x14ac:dyDescent="0.25">
      <c r="A160" s="2" t="str">
        <f t="shared" si="8"/>
        <v>07</v>
      </c>
      <c r="B160" s="1" t="s">
        <v>1151</v>
      </c>
      <c r="C160" s="6" t="str">
        <f>"0695"</f>
        <v>0695</v>
      </c>
      <c r="D160" s="3" t="s">
        <v>1226</v>
      </c>
      <c r="E160" s="26" t="s">
        <v>270</v>
      </c>
    </row>
    <row r="161" spans="1:5" x14ac:dyDescent="0.25">
      <c r="A161" s="2" t="str">
        <f t="shared" si="8"/>
        <v>07</v>
      </c>
      <c r="B161" s="1" t="s">
        <v>1151</v>
      </c>
      <c r="C161" s="6" t="str">
        <f>"0700"</f>
        <v>0700</v>
      </c>
      <c r="D161" s="3" t="s">
        <v>271</v>
      </c>
      <c r="E161" s="26" t="s">
        <v>272</v>
      </c>
    </row>
    <row r="162" spans="1:5" x14ac:dyDescent="0.25">
      <c r="A162" s="2" t="str">
        <f t="shared" si="8"/>
        <v>07</v>
      </c>
      <c r="B162" s="1" t="s">
        <v>1151</v>
      </c>
      <c r="C162" s="6" t="str">
        <f>"1801"</f>
        <v>1801</v>
      </c>
      <c r="D162" s="3" t="s">
        <v>273</v>
      </c>
      <c r="E162" s="26" t="s">
        <v>274</v>
      </c>
    </row>
    <row r="163" spans="1:5" x14ac:dyDescent="0.25">
      <c r="A163" s="2" t="str">
        <f t="shared" si="8"/>
        <v>07</v>
      </c>
      <c r="B163" s="1" t="s">
        <v>1151</v>
      </c>
      <c r="C163" s="6" t="str">
        <f>"0800"</f>
        <v>0800</v>
      </c>
      <c r="D163" s="3" t="s">
        <v>276</v>
      </c>
      <c r="E163" s="26" t="s">
        <v>277</v>
      </c>
    </row>
    <row r="164" spans="1:5" x14ac:dyDescent="0.25">
      <c r="A164" s="2" t="str">
        <f t="shared" si="8"/>
        <v>07</v>
      </c>
      <c r="B164" s="1" t="s">
        <v>1151</v>
      </c>
      <c r="C164" s="6" t="str">
        <f>"0810"</f>
        <v>0810</v>
      </c>
      <c r="D164" s="3" t="s">
        <v>1227</v>
      </c>
      <c r="E164" s="26" t="s">
        <v>278</v>
      </c>
    </row>
    <row r="165" spans="1:5" x14ac:dyDescent="0.25">
      <c r="A165" s="2" t="str">
        <f t="shared" si="8"/>
        <v>07</v>
      </c>
      <c r="B165" s="1" t="s">
        <v>1151</v>
      </c>
      <c r="C165" s="6" t="str">
        <f>"0880"</f>
        <v>0880</v>
      </c>
      <c r="D165" s="3" t="s">
        <v>279</v>
      </c>
      <c r="E165" s="26" t="s">
        <v>280</v>
      </c>
    </row>
    <row r="166" spans="1:5" x14ac:dyDescent="0.25">
      <c r="A166" s="2" t="str">
        <f t="shared" si="8"/>
        <v>07</v>
      </c>
      <c r="B166" s="1" t="s">
        <v>1151</v>
      </c>
      <c r="C166" s="6" t="str">
        <f>"0940"</f>
        <v>0940</v>
      </c>
      <c r="D166" s="3" t="s">
        <v>281</v>
      </c>
      <c r="E166" s="26" t="s">
        <v>282</v>
      </c>
    </row>
    <row r="167" spans="1:5" x14ac:dyDescent="0.25">
      <c r="A167" s="2" t="str">
        <f t="shared" si="8"/>
        <v>07</v>
      </c>
      <c r="B167" s="1" t="s">
        <v>1151</v>
      </c>
      <c r="C167" s="6" t="str">
        <f>"1255"</f>
        <v>1255</v>
      </c>
      <c r="D167" s="3" t="s">
        <v>1228</v>
      </c>
      <c r="E167" s="26" t="s">
        <v>283</v>
      </c>
    </row>
    <row r="168" spans="1:5" x14ac:dyDescent="0.25">
      <c r="A168" s="2" t="str">
        <f t="shared" si="8"/>
        <v>07</v>
      </c>
      <c r="B168" s="1" t="s">
        <v>1151</v>
      </c>
      <c r="C168" s="6" t="str">
        <f>"1720"</f>
        <v>1720</v>
      </c>
      <c r="D168" s="3" t="s">
        <v>287</v>
      </c>
      <c r="E168" s="26" t="s">
        <v>288</v>
      </c>
    </row>
    <row r="169" spans="1:5" x14ac:dyDescent="0.25">
      <c r="A169" s="2" t="str">
        <f t="shared" si="8"/>
        <v>07</v>
      </c>
      <c r="B169" s="1" t="s">
        <v>1151</v>
      </c>
      <c r="C169" s="6" t="str">
        <f>"1770"</f>
        <v>1770</v>
      </c>
      <c r="D169" s="3" t="s">
        <v>289</v>
      </c>
      <c r="E169" s="26" t="s">
        <v>290</v>
      </c>
    </row>
    <row r="170" spans="1:5" x14ac:dyDescent="0.25">
      <c r="A170" s="2" t="str">
        <f t="shared" si="8"/>
        <v>07</v>
      </c>
      <c r="B170" s="1" t="s">
        <v>1151</v>
      </c>
      <c r="C170" s="6" t="str">
        <f>"1780"</f>
        <v>1780</v>
      </c>
      <c r="D170" s="3" t="s">
        <v>1229</v>
      </c>
      <c r="E170" s="26" t="s">
        <v>291</v>
      </c>
    </row>
    <row r="171" spans="1:5" s="8" customFormat="1" ht="15.75" thickBot="1" x14ac:dyDescent="0.3">
      <c r="A171" s="4" t="str">
        <f t="shared" si="8"/>
        <v>07</v>
      </c>
      <c r="B171" s="31" t="s">
        <v>1151</v>
      </c>
      <c r="C171" s="7" t="str">
        <f>"1880"</f>
        <v>1880</v>
      </c>
      <c r="D171" s="5" t="s">
        <v>1230</v>
      </c>
      <c r="E171" s="30" t="s">
        <v>292</v>
      </c>
    </row>
    <row r="172" spans="1:5" ht="15.75" thickTop="1" x14ac:dyDescent="0.25">
      <c r="A172" s="2" t="str">
        <f t="shared" si="8"/>
        <v>07</v>
      </c>
      <c r="B172" s="1" t="s">
        <v>1151</v>
      </c>
      <c r="C172" s="6" t="str">
        <f>"1890"</f>
        <v>1890</v>
      </c>
      <c r="D172" s="3" t="s">
        <v>1231</v>
      </c>
      <c r="E172" s="26" t="s">
        <v>293</v>
      </c>
    </row>
    <row r="173" spans="1:5" x14ac:dyDescent="0.25">
      <c r="A173" s="2" t="str">
        <f t="shared" si="8"/>
        <v>07</v>
      </c>
      <c r="B173" s="1" t="s">
        <v>1151</v>
      </c>
      <c r="C173" s="6" t="str">
        <f>"1900"</f>
        <v>1900</v>
      </c>
      <c r="D173" s="3" t="s">
        <v>1232</v>
      </c>
      <c r="E173" s="26" t="s">
        <v>294</v>
      </c>
    </row>
    <row r="174" spans="1:5" x14ac:dyDescent="0.25">
      <c r="A174" s="2" t="str">
        <f t="shared" si="8"/>
        <v>07</v>
      </c>
      <c r="B174" s="1" t="s">
        <v>1151</v>
      </c>
      <c r="C174" s="6" t="str">
        <f>"2130"</f>
        <v>2130</v>
      </c>
      <c r="D174" s="3" t="s">
        <v>295</v>
      </c>
      <c r="E174" s="26" t="s">
        <v>296</v>
      </c>
    </row>
    <row r="175" spans="1:5" x14ac:dyDescent="0.25">
      <c r="A175" s="2" t="str">
        <f t="shared" si="8"/>
        <v>07</v>
      </c>
      <c r="B175" s="1" t="s">
        <v>1151</v>
      </c>
      <c r="C175" s="6" t="str">
        <f>"1799"</f>
        <v>1799</v>
      </c>
      <c r="D175" s="3" t="s">
        <v>1233</v>
      </c>
      <c r="E175" s="26" t="s">
        <v>298</v>
      </c>
    </row>
    <row r="176" spans="1:5" x14ac:dyDescent="0.25">
      <c r="A176" s="2" t="str">
        <f t="shared" si="8"/>
        <v>07</v>
      </c>
      <c r="B176" s="1" t="s">
        <v>1151</v>
      </c>
      <c r="C176" s="6" t="str">
        <f>"2540"</f>
        <v>2540</v>
      </c>
      <c r="D176" s="3" t="s">
        <v>1234</v>
      </c>
      <c r="E176" s="26" t="s">
        <v>299</v>
      </c>
    </row>
    <row r="177" spans="1:5" x14ac:dyDescent="0.25">
      <c r="A177" s="2" t="str">
        <f t="shared" si="8"/>
        <v>07</v>
      </c>
      <c r="B177" s="1" t="s">
        <v>1151</v>
      </c>
      <c r="C177" s="6" t="str">
        <f>"2560"</f>
        <v>2560</v>
      </c>
      <c r="D177" s="3" t="s">
        <v>300</v>
      </c>
      <c r="E177" s="26" t="s">
        <v>301</v>
      </c>
    </row>
    <row r="178" spans="1:5" x14ac:dyDescent="0.25">
      <c r="A178" s="2" t="str">
        <f t="shared" si="8"/>
        <v>07</v>
      </c>
      <c r="B178" s="1" t="s">
        <v>1151</v>
      </c>
      <c r="C178" s="6" t="str">
        <f>"2670"</f>
        <v>2670</v>
      </c>
      <c r="D178" s="3" t="s">
        <v>303</v>
      </c>
      <c r="E178" s="26" t="s">
        <v>304</v>
      </c>
    </row>
    <row r="179" spans="1:5" x14ac:dyDescent="0.25">
      <c r="A179" s="2" t="str">
        <f t="shared" si="8"/>
        <v>07</v>
      </c>
      <c r="B179" s="1" t="s">
        <v>1151</v>
      </c>
      <c r="C179" s="6" t="str">
        <f>"2890"</f>
        <v>2890</v>
      </c>
      <c r="D179" s="3" t="s">
        <v>305</v>
      </c>
      <c r="E179" s="26" t="s">
        <v>306</v>
      </c>
    </row>
    <row r="180" spans="1:5" x14ac:dyDescent="0.25">
      <c r="A180" s="2" t="str">
        <f t="shared" si="8"/>
        <v>07</v>
      </c>
      <c r="B180" s="1" t="s">
        <v>1151</v>
      </c>
      <c r="C180" s="6" t="str">
        <f>"1802"</f>
        <v>1802</v>
      </c>
      <c r="D180" s="3" t="s">
        <v>1235</v>
      </c>
      <c r="E180" s="26" t="s">
        <v>307</v>
      </c>
    </row>
    <row r="181" spans="1:5" x14ac:dyDescent="0.25">
      <c r="A181" s="2" t="str">
        <f t="shared" si="8"/>
        <v>07</v>
      </c>
      <c r="B181" s="1" t="s">
        <v>1151</v>
      </c>
      <c r="C181" s="6" t="str">
        <f>"3110"</f>
        <v>3110</v>
      </c>
      <c r="D181" s="3" t="s">
        <v>308</v>
      </c>
      <c r="E181" s="26" t="s">
        <v>309</v>
      </c>
    </row>
    <row r="182" spans="1:5" x14ac:dyDescent="0.25">
      <c r="A182" s="2" t="str">
        <f t="shared" si="8"/>
        <v>07</v>
      </c>
      <c r="B182" s="1" t="s">
        <v>1151</v>
      </c>
      <c r="C182" s="6" t="str">
        <f>"3420"</f>
        <v>3420</v>
      </c>
      <c r="D182" s="3" t="s">
        <v>1236</v>
      </c>
      <c r="E182" s="26" t="s">
        <v>310</v>
      </c>
    </row>
    <row r="183" spans="1:5" x14ac:dyDescent="0.25">
      <c r="A183" s="2" t="str">
        <f t="shared" si="8"/>
        <v>07</v>
      </c>
      <c r="B183" s="1" t="s">
        <v>1151</v>
      </c>
      <c r="C183" s="6" t="str">
        <f>"3770"</f>
        <v>3770</v>
      </c>
      <c r="D183" s="3" t="s">
        <v>311</v>
      </c>
      <c r="E183" s="26" t="s">
        <v>312</v>
      </c>
    </row>
    <row r="184" spans="1:5" x14ac:dyDescent="0.25">
      <c r="A184" s="2" t="str">
        <f t="shared" si="8"/>
        <v>07</v>
      </c>
      <c r="B184" s="1" t="s">
        <v>1151</v>
      </c>
      <c r="C184" s="6" t="str">
        <f>"4060"</f>
        <v>4060</v>
      </c>
      <c r="D184" s="3" t="s">
        <v>1237</v>
      </c>
      <c r="E184" s="26" t="s">
        <v>313</v>
      </c>
    </row>
    <row r="185" spans="1:5" x14ac:dyDescent="0.25">
      <c r="A185" s="2" t="str">
        <f t="shared" si="8"/>
        <v>07</v>
      </c>
      <c r="B185" s="1" t="s">
        <v>1151</v>
      </c>
      <c r="C185" s="6" t="str">
        <f>"4110"</f>
        <v>4110</v>
      </c>
      <c r="D185" s="3" t="s">
        <v>1238</v>
      </c>
      <c r="E185" s="26" t="s">
        <v>314</v>
      </c>
    </row>
    <row r="186" spans="1:5" x14ac:dyDescent="0.25">
      <c r="A186" s="2" t="str">
        <f t="shared" si="8"/>
        <v>07</v>
      </c>
      <c r="B186" s="1" t="s">
        <v>1151</v>
      </c>
      <c r="C186" s="6" t="str">
        <f>"4590"</f>
        <v>4590</v>
      </c>
      <c r="D186" s="3" t="s">
        <v>1239</v>
      </c>
      <c r="E186" s="26" t="s">
        <v>315</v>
      </c>
    </row>
    <row r="187" spans="1:5" x14ac:dyDescent="0.25">
      <c r="A187" s="2" t="str">
        <f t="shared" si="8"/>
        <v>07</v>
      </c>
      <c r="B187" s="1" t="s">
        <v>1151</v>
      </c>
      <c r="C187" s="6" t="str">
        <f>"4790"</f>
        <v>4790</v>
      </c>
      <c r="D187" s="3" t="s">
        <v>1240</v>
      </c>
      <c r="E187" s="26" t="s">
        <v>316</v>
      </c>
    </row>
    <row r="188" spans="1:5" x14ac:dyDescent="0.25">
      <c r="A188" s="2" t="str">
        <f t="shared" si="8"/>
        <v>07</v>
      </c>
      <c r="B188" s="1" t="s">
        <v>1151</v>
      </c>
      <c r="C188" s="6" t="str">
        <f>"5035"</f>
        <v>5035</v>
      </c>
      <c r="D188" s="3" t="s">
        <v>317</v>
      </c>
      <c r="E188" s="26" t="s">
        <v>318</v>
      </c>
    </row>
    <row r="189" spans="1:5" x14ac:dyDescent="0.25">
      <c r="A189" s="2" t="str">
        <f t="shared" si="8"/>
        <v>07</v>
      </c>
      <c r="B189" s="1" t="s">
        <v>1151</v>
      </c>
      <c r="C189" s="6" t="str">
        <f>"5080"</f>
        <v>5080</v>
      </c>
      <c r="D189" s="3" t="s">
        <v>319</v>
      </c>
      <c r="E189" s="26" t="s">
        <v>320</v>
      </c>
    </row>
    <row r="190" spans="1:5" x14ac:dyDescent="0.25">
      <c r="A190" s="2" t="str">
        <f t="shared" si="8"/>
        <v>07</v>
      </c>
      <c r="B190" s="1" t="s">
        <v>1151</v>
      </c>
      <c r="C190" s="6" t="str">
        <f>"5400"</f>
        <v>5400</v>
      </c>
      <c r="D190" s="3" t="s">
        <v>1241</v>
      </c>
      <c r="E190" s="26" t="s">
        <v>322</v>
      </c>
    </row>
    <row r="191" spans="1:5" x14ac:dyDescent="0.25">
      <c r="A191" s="2" t="str">
        <f t="shared" si="8"/>
        <v>07</v>
      </c>
      <c r="B191" s="1" t="s">
        <v>1151</v>
      </c>
      <c r="C191" s="6" t="str">
        <f>"5560"</f>
        <v>5560</v>
      </c>
      <c r="D191" s="3" t="s">
        <v>1242</v>
      </c>
      <c r="E191" s="26" t="s">
        <v>323</v>
      </c>
    </row>
    <row r="192" spans="1:5" x14ac:dyDescent="0.25">
      <c r="A192" s="2" t="str">
        <f t="shared" si="8"/>
        <v>07</v>
      </c>
      <c r="B192" s="1" t="s">
        <v>1151</v>
      </c>
      <c r="C192" s="6" t="str">
        <f>"5820"</f>
        <v>5820</v>
      </c>
      <c r="D192" s="3" t="s">
        <v>324</v>
      </c>
      <c r="E192" s="26" t="s">
        <v>325</v>
      </c>
    </row>
    <row r="193" spans="1:5" x14ac:dyDescent="0.25">
      <c r="A193" s="2" t="str">
        <f t="shared" si="8"/>
        <v>07</v>
      </c>
      <c r="B193" s="1" t="s">
        <v>1151</v>
      </c>
      <c r="C193" s="6" t="str">
        <f>"5900"</f>
        <v>5900</v>
      </c>
      <c r="D193" s="3" t="s">
        <v>326</v>
      </c>
      <c r="E193" s="26" t="s">
        <v>327</v>
      </c>
    </row>
    <row r="194" spans="1:5" x14ac:dyDescent="0.25">
      <c r="A194" s="2" t="str">
        <f t="shared" ref="A194:A212" si="9">"09"</f>
        <v>09</v>
      </c>
      <c r="B194" s="1" t="s">
        <v>1152</v>
      </c>
      <c r="C194" s="6" t="str">
        <f>"0170"</f>
        <v>0170</v>
      </c>
      <c r="D194" s="3" t="s">
        <v>1243</v>
      </c>
      <c r="E194" s="26" t="s">
        <v>328</v>
      </c>
    </row>
    <row r="195" spans="1:5" x14ac:dyDescent="0.25">
      <c r="A195" s="2" t="str">
        <f t="shared" si="9"/>
        <v>09</v>
      </c>
      <c r="B195" s="1" t="s">
        <v>1152</v>
      </c>
      <c r="C195" s="6" t="str">
        <f>"0710"</f>
        <v>0710</v>
      </c>
      <c r="D195" s="3" t="s">
        <v>1244</v>
      </c>
      <c r="E195" s="26" t="s">
        <v>329</v>
      </c>
    </row>
    <row r="196" spans="1:5" x14ac:dyDescent="0.25">
      <c r="A196" s="2" t="str">
        <f t="shared" si="9"/>
        <v>09</v>
      </c>
      <c r="B196" s="1" t="s">
        <v>1152</v>
      </c>
      <c r="C196" s="6" t="str">
        <f>"0715"</f>
        <v>0715</v>
      </c>
      <c r="D196" s="3" t="s">
        <v>330</v>
      </c>
      <c r="E196" s="26" t="s">
        <v>331</v>
      </c>
    </row>
    <row r="197" spans="1:5" x14ac:dyDescent="0.25">
      <c r="A197" s="2" t="str">
        <f t="shared" si="9"/>
        <v>09</v>
      </c>
      <c r="B197" s="1" t="s">
        <v>1152</v>
      </c>
      <c r="C197" s="6" t="str">
        <f>"0720"</f>
        <v>0720</v>
      </c>
      <c r="D197" s="3" t="s">
        <v>332</v>
      </c>
      <c r="E197" s="26" t="s">
        <v>333</v>
      </c>
    </row>
    <row r="198" spans="1:5" x14ac:dyDescent="0.25">
      <c r="A198" s="2" t="str">
        <f t="shared" si="9"/>
        <v>09</v>
      </c>
      <c r="B198" s="1" t="s">
        <v>1152</v>
      </c>
      <c r="C198" s="6" t="str">
        <f>"0730"</f>
        <v>0730</v>
      </c>
      <c r="D198" s="3" t="s">
        <v>334</v>
      </c>
      <c r="E198" s="26" t="s">
        <v>335</v>
      </c>
    </row>
    <row r="199" spans="1:5" x14ac:dyDescent="0.25">
      <c r="A199" s="2" t="str">
        <f t="shared" si="9"/>
        <v>09</v>
      </c>
      <c r="B199" s="1" t="s">
        <v>1152</v>
      </c>
      <c r="C199" s="6" t="str">
        <f>"1080"</f>
        <v>1080</v>
      </c>
      <c r="D199" s="3" t="s">
        <v>1245</v>
      </c>
      <c r="E199" s="26" t="s">
        <v>336</v>
      </c>
    </row>
    <row r="200" spans="1:5" x14ac:dyDescent="0.25">
      <c r="A200" s="2" t="str">
        <f t="shared" si="9"/>
        <v>09</v>
      </c>
      <c r="B200" s="1" t="s">
        <v>1152</v>
      </c>
      <c r="C200" s="6" t="str">
        <f>"2820"</f>
        <v>2820</v>
      </c>
      <c r="D200" s="3" t="s">
        <v>337</v>
      </c>
      <c r="E200" s="26" t="s">
        <v>338</v>
      </c>
    </row>
    <row r="201" spans="1:5" x14ac:dyDescent="0.25">
      <c r="A201" s="2" t="str">
        <f t="shared" si="9"/>
        <v>09</v>
      </c>
      <c r="B201" s="1" t="s">
        <v>1152</v>
      </c>
      <c r="C201" s="6" t="str">
        <f>"2840"</f>
        <v>2840</v>
      </c>
      <c r="D201" s="3" t="s">
        <v>339</v>
      </c>
      <c r="E201" s="26" t="s">
        <v>340</v>
      </c>
    </row>
    <row r="202" spans="1:5" x14ac:dyDescent="0.25">
      <c r="A202" s="2" t="str">
        <f t="shared" si="9"/>
        <v>09</v>
      </c>
      <c r="B202" s="1" t="s">
        <v>1152</v>
      </c>
      <c r="C202" s="6" t="str">
        <f>"3130"</f>
        <v>3130</v>
      </c>
      <c r="D202" s="3" t="s">
        <v>341</v>
      </c>
      <c r="E202" s="26" t="s">
        <v>342</v>
      </c>
    </row>
    <row r="203" spans="1:5" x14ac:dyDescent="0.25">
      <c r="A203" s="2" t="str">
        <f t="shared" si="9"/>
        <v>09</v>
      </c>
      <c r="B203" s="1" t="s">
        <v>1152</v>
      </c>
      <c r="C203" s="6" t="str">
        <f>"3680"</f>
        <v>3680</v>
      </c>
      <c r="D203" s="3" t="s">
        <v>1246</v>
      </c>
      <c r="E203" s="26" t="s">
        <v>343</v>
      </c>
    </row>
    <row r="204" spans="1:5" x14ac:dyDescent="0.25">
      <c r="A204" s="2" t="str">
        <f t="shared" si="9"/>
        <v>09</v>
      </c>
      <c r="B204" s="1" t="s">
        <v>1152</v>
      </c>
      <c r="C204" s="6" t="str">
        <f>"3780"</f>
        <v>3780</v>
      </c>
      <c r="D204" s="3" t="s">
        <v>1247</v>
      </c>
      <c r="E204" s="26" t="s">
        <v>344</v>
      </c>
    </row>
    <row r="205" spans="1:5" x14ac:dyDescent="0.25">
      <c r="A205" s="2" t="str">
        <f t="shared" si="9"/>
        <v>09</v>
      </c>
      <c r="B205" s="1" t="s">
        <v>1152</v>
      </c>
      <c r="C205" s="6" t="str">
        <f>"4700"</f>
        <v>4700</v>
      </c>
      <c r="D205" s="3" t="s">
        <v>1248</v>
      </c>
      <c r="E205" s="26" t="s">
        <v>1145</v>
      </c>
    </row>
    <row r="206" spans="1:5" x14ac:dyDescent="0.25">
      <c r="A206" s="2" t="str">
        <f t="shared" si="9"/>
        <v>09</v>
      </c>
      <c r="B206" s="1" t="s">
        <v>1152</v>
      </c>
      <c r="C206" s="6" t="str">
        <f>"5060"</f>
        <v>5060</v>
      </c>
      <c r="D206" s="3" t="s">
        <v>345</v>
      </c>
      <c r="E206" s="26" t="s">
        <v>346</v>
      </c>
    </row>
    <row r="207" spans="1:5" x14ac:dyDescent="0.25">
      <c r="A207" s="2" t="str">
        <f t="shared" si="9"/>
        <v>09</v>
      </c>
      <c r="B207" s="1" t="s">
        <v>1152</v>
      </c>
      <c r="C207" s="6" t="str">
        <f>"5340"</f>
        <v>5340</v>
      </c>
      <c r="D207" s="3" t="s">
        <v>347</v>
      </c>
      <c r="E207" s="26" t="s">
        <v>348</v>
      </c>
    </row>
    <row r="208" spans="1:5" x14ac:dyDescent="0.25">
      <c r="A208" s="2" t="str">
        <f t="shared" si="9"/>
        <v>09</v>
      </c>
      <c r="B208" s="1" t="s">
        <v>1152</v>
      </c>
      <c r="C208" s="6" t="str">
        <f>"5610"</f>
        <v>5610</v>
      </c>
      <c r="D208" s="3" t="s">
        <v>1249</v>
      </c>
      <c r="E208" s="26" t="s">
        <v>349</v>
      </c>
    </row>
    <row r="209" spans="1:5" x14ac:dyDescent="0.25">
      <c r="A209" s="2" t="str">
        <f t="shared" si="9"/>
        <v>09</v>
      </c>
      <c r="B209" s="1" t="s">
        <v>1152</v>
      </c>
      <c r="C209" s="6" t="str">
        <f>"5700"</f>
        <v>5700</v>
      </c>
      <c r="D209" s="3" t="s">
        <v>350</v>
      </c>
      <c r="E209" s="27" t="s">
        <v>1142</v>
      </c>
    </row>
    <row r="210" spans="1:5" x14ac:dyDescent="0.25">
      <c r="A210" s="2" t="str">
        <f t="shared" si="9"/>
        <v>09</v>
      </c>
      <c r="B210" s="1" t="s">
        <v>1152</v>
      </c>
      <c r="C210" s="6" t="str">
        <f>"5790"</f>
        <v>5790</v>
      </c>
      <c r="D210" s="3" t="s">
        <v>1250</v>
      </c>
      <c r="E210" s="26" t="s">
        <v>351</v>
      </c>
    </row>
    <row r="211" spans="1:5" x14ac:dyDescent="0.25">
      <c r="A211" s="2" t="str">
        <f t="shared" si="9"/>
        <v>09</v>
      </c>
      <c r="B211" s="1" t="s">
        <v>1152</v>
      </c>
      <c r="C211" s="6" t="str">
        <f>"5800"</f>
        <v>5800</v>
      </c>
      <c r="D211" s="3" t="s">
        <v>1251</v>
      </c>
      <c r="E211" s="26" t="s">
        <v>352</v>
      </c>
    </row>
    <row r="212" spans="1:5" x14ac:dyDescent="0.25">
      <c r="A212" s="2" t="str">
        <f t="shared" si="9"/>
        <v>09</v>
      </c>
      <c r="B212" s="1" t="s">
        <v>1152</v>
      </c>
      <c r="C212" s="6" t="str">
        <f>"5840"</f>
        <v>5840</v>
      </c>
      <c r="D212" s="3" t="s">
        <v>353</v>
      </c>
      <c r="E212" s="26" t="s">
        <v>354</v>
      </c>
    </row>
    <row r="213" spans="1:5" x14ac:dyDescent="0.25">
      <c r="A213" s="2" t="str">
        <f t="shared" ref="A213:A227" si="10">"11"</f>
        <v>11</v>
      </c>
      <c r="B213" s="1" t="s">
        <v>1153</v>
      </c>
      <c r="C213" s="6" t="str">
        <f>"0540"</f>
        <v>0540</v>
      </c>
      <c r="D213" s="3" t="s">
        <v>355</v>
      </c>
      <c r="E213" s="26" t="s">
        <v>356</v>
      </c>
    </row>
    <row r="214" spans="1:5" x14ac:dyDescent="0.25">
      <c r="A214" s="2" t="str">
        <f t="shared" si="10"/>
        <v>11</v>
      </c>
      <c r="B214" s="1" t="s">
        <v>1153</v>
      </c>
      <c r="C214" s="6" t="str">
        <f>"0950"</f>
        <v>0950</v>
      </c>
      <c r="D214" s="3" t="s">
        <v>359</v>
      </c>
      <c r="E214" s="26" t="s">
        <v>360</v>
      </c>
    </row>
    <row r="215" spans="1:5" x14ac:dyDescent="0.25">
      <c r="A215" s="2" t="str">
        <f t="shared" si="10"/>
        <v>11</v>
      </c>
      <c r="B215" s="1" t="s">
        <v>1153</v>
      </c>
      <c r="C215" s="6" t="str">
        <f>"0995"</f>
        <v>0995</v>
      </c>
      <c r="D215" s="3" t="s">
        <v>1252</v>
      </c>
      <c r="E215" s="26" t="s">
        <v>363</v>
      </c>
    </row>
    <row r="216" spans="1:5" x14ac:dyDescent="0.25">
      <c r="A216" s="2" t="str">
        <f t="shared" si="10"/>
        <v>11</v>
      </c>
      <c r="B216" s="1" t="s">
        <v>1153</v>
      </c>
      <c r="C216" s="6" t="str">
        <f>"0997"</f>
        <v>0997</v>
      </c>
      <c r="D216" s="3" t="s">
        <v>1253</v>
      </c>
      <c r="E216" s="26" t="s">
        <v>364</v>
      </c>
    </row>
    <row r="217" spans="1:5" x14ac:dyDescent="0.25">
      <c r="A217" s="2" t="str">
        <f t="shared" si="10"/>
        <v>11</v>
      </c>
      <c r="B217" s="1" t="s">
        <v>1153</v>
      </c>
      <c r="C217" s="6" t="str">
        <f>"1020"</f>
        <v>1020</v>
      </c>
      <c r="D217" s="3" t="s">
        <v>1254</v>
      </c>
      <c r="E217" s="26" t="s">
        <v>365</v>
      </c>
    </row>
    <row r="218" spans="1:5" x14ac:dyDescent="0.25">
      <c r="A218" s="2" t="str">
        <f t="shared" si="10"/>
        <v>11</v>
      </c>
      <c r="B218" s="1" t="s">
        <v>1153</v>
      </c>
      <c r="C218" s="6" t="str">
        <f>"1120"</f>
        <v>1120</v>
      </c>
      <c r="D218" s="3" t="s">
        <v>366</v>
      </c>
      <c r="E218" s="26" t="s">
        <v>367</v>
      </c>
    </row>
    <row r="219" spans="1:5" x14ac:dyDescent="0.25">
      <c r="A219" s="2" t="str">
        <f t="shared" si="10"/>
        <v>11</v>
      </c>
      <c r="B219" s="1" t="s">
        <v>1153</v>
      </c>
      <c r="C219" s="6" t="str">
        <f>"1460"</f>
        <v>1460</v>
      </c>
      <c r="D219" s="3" t="s">
        <v>368</v>
      </c>
      <c r="E219" s="26" t="s">
        <v>369</v>
      </c>
    </row>
    <row r="220" spans="1:5" x14ac:dyDescent="0.25">
      <c r="A220" s="2" t="str">
        <f t="shared" si="10"/>
        <v>11</v>
      </c>
      <c r="B220" s="1" t="s">
        <v>1153</v>
      </c>
      <c r="C220" s="6" t="str">
        <f>"1820"</f>
        <v>1820</v>
      </c>
      <c r="D220" s="3" t="s">
        <v>477</v>
      </c>
      <c r="E220" s="26" t="s">
        <v>370</v>
      </c>
    </row>
    <row r="221" spans="1:5" x14ac:dyDescent="0.25">
      <c r="A221" s="2" t="str">
        <f t="shared" si="10"/>
        <v>11</v>
      </c>
      <c r="B221" s="1" t="s">
        <v>1153</v>
      </c>
      <c r="C221" s="6" t="str">
        <f>"2270"</f>
        <v>2270</v>
      </c>
      <c r="D221" s="3" t="s">
        <v>371</v>
      </c>
      <c r="E221" s="26" t="s">
        <v>372</v>
      </c>
    </row>
    <row r="222" spans="1:5" x14ac:dyDescent="0.25">
      <c r="A222" s="2" t="str">
        <f t="shared" si="10"/>
        <v>11</v>
      </c>
      <c r="B222" s="1" t="s">
        <v>1153</v>
      </c>
      <c r="C222" s="6" t="str">
        <f>"2570"</f>
        <v>2570</v>
      </c>
      <c r="D222" s="3" t="s">
        <v>373</v>
      </c>
      <c r="E222" s="26" t="s">
        <v>374</v>
      </c>
    </row>
    <row r="223" spans="1:5" x14ac:dyDescent="0.25">
      <c r="A223" s="2" t="str">
        <f t="shared" si="10"/>
        <v>11</v>
      </c>
      <c r="B223" s="1" t="s">
        <v>1153</v>
      </c>
      <c r="C223" s="6" t="str">
        <f>"3050"</f>
        <v>3050</v>
      </c>
      <c r="D223" s="3" t="s">
        <v>1255</v>
      </c>
      <c r="E223" s="26" t="s">
        <v>375</v>
      </c>
    </row>
    <row r="224" spans="1:5" x14ac:dyDescent="0.25">
      <c r="A224" s="2" t="str">
        <f t="shared" si="10"/>
        <v>11</v>
      </c>
      <c r="B224" s="1" t="s">
        <v>1153</v>
      </c>
      <c r="C224" s="6" t="str">
        <f>"3230"</f>
        <v>3230</v>
      </c>
      <c r="D224" s="3" t="s">
        <v>1256</v>
      </c>
      <c r="E224" s="26" t="s">
        <v>376</v>
      </c>
    </row>
    <row r="225" spans="1:5" s="8" customFormat="1" ht="15.75" thickBot="1" x14ac:dyDescent="0.3">
      <c r="A225" s="4" t="str">
        <f t="shared" si="10"/>
        <v>11</v>
      </c>
      <c r="B225" s="31" t="s">
        <v>1153</v>
      </c>
      <c r="C225" s="7" t="str">
        <f>"5070"</f>
        <v>5070</v>
      </c>
      <c r="D225" s="5" t="s">
        <v>1257</v>
      </c>
      <c r="E225" s="30" t="s">
        <v>379</v>
      </c>
    </row>
    <row r="226" spans="1:5" ht="15.75" thickTop="1" x14ac:dyDescent="0.25">
      <c r="A226" s="2" t="str">
        <f t="shared" si="10"/>
        <v>11</v>
      </c>
      <c r="B226" s="1" t="s">
        <v>1153</v>
      </c>
      <c r="C226" s="6" t="str">
        <f>"5300"</f>
        <v>5300</v>
      </c>
      <c r="D226" s="3" t="s">
        <v>380</v>
      </c>
      <c r="E226" s="26" t="s">
        <v>381</v>
      </c>
    </row>
    <row r="227" spans="1:5" x14ac:dyDescent="0.25">
      <c r="A227" s="2" t="str">
        <f t="shared" si="10"/>
        <v>11</v>
      </c>
      <c r="B227" s="1" t="s">
        <v>1153</v>
      </c>
      <c r="C227" s="6" t="str">
        <f>"5390"</f>
        <v>5390</v>
      </c>
      <c r="D227" s="3" t="s">
        <v>384</v>
      </c>
      <c r="E227" s="26" t="s">
        <v>385</v>
      </c>
    </row>
    <row r="228" spans="1:5" x14ac:dyDescent="0.25">
      <c r="A228" s="2" t="str">
        <f t="shared" ref="A228:A250" si="11">"13"</f>
        <v>13</v>
      </c>
      <c r="B228" s="1" t="s">
        <v>1154</v>
      </c>
      <c r="C228" s="6" t="str">
        <f>"0250"</f>
        <v>0250</v>
      </c>
      <c r="D228" s="3" t="s">
        <v>1258</v>
      </c>
      <c r="E228" s="26" t="s">
        <v>386</v>
      </c>
    </row>
    <row r="229" spans="1:5" x14ac:dyDescent="0.25">
      <c r="A229" s="2" t="str">
        <f t="shared" si="11"/>
        <v>13</v>
      </c>
      <c r="B229" s="1" t="s">
        <v>1154</v>
      </c>
      <c r="C229" s="6" t="str">
        <f>"0410"</f>
        <v>0410</v>
      </c>
      <c r="D229" s="3" t="s">
        <v>1259</v>
      </c>
      <c r="E229" s="26" t="s">
        <v>387</v>
      </c>
    </row>
    <row r="230" spans="1:5" x14ac:dyDescent="0.25">
      <c r="A230" s="2" t="str">
        <f t="shared" si="11"/>
        <v>13</v>
      </c>
      <c r="B230" s="1" t="s">
        <v>1154</v>
      </c>
      <c r="C230" s="6" t="str">
        <f>"0660"</f>
        <v>0660</v>
      </c>
      <c r="D230" s="3" t="s">
        <v>1260</v>
      </c>
      <c r="E230" s="26" t="s">
        <v>389</v>
      </c>
    </row>
    <row r="231" spans="1:5" x14ac:dyDescent="0.25">
      <c r="A231" s="2" t="str">
        <f t="shared" si="11"/>
        <v>13</v>
      </c>
      <c r="B231" s="1" t="s">
        <v>1154</v>
      </c>
      <c r="C231" s="6" t="str">
        <f>"0760"</f>
        <v>0760</v>
      </c>
      <c r="D231" s="3" t="s">
        <v>1261</v>
      </c>
      <c r="E231" s="26" t="s">
        <v>390</v>
      </c>
    </row>
    <row r="232" spans="1:5" x14ac:dyDescent="0.25">
      <c r="A232" s="2" t="str">
        <f t="shared" si="11"/>
        <v>13</v>
      </c>
      <c r="B232" s="1" t="s">
        <v>1154</v>
      </c>
      <c r="C232" s="6" t="str">
        <f>"1210"</f>
        <v>1210</v>
      </c>
      <c r="D232" s="3" t="s">
        <v>394</v>
      </c>
      <c r="E232" s="26" t="s">
        <v>395</v>
      </c>
    </row>
    <row r="233" spans="1:5" x14ac:dyDescent="0.25">
      <c r="A233" s="2" t="str">
        <f t="shared" si="11"/>
        <v>13</v>
      </c>
      <c r="B233" s="1" t="s">
        <v>1154</v>
      </c>
      <c r="C233" s="6" t="str">
        <f>"1390"</f>
        <v>1390</v>
      </c>
      <c r="D233" s="3" t="s">
        <v>396</v>
      </c>
      <c r="E233" s="26" t="s">
        <v>397</v>
      </c>
    </row>
    <row r="234" spans="1:5" x14ac:dyDescent="0.25">
      <c r="A234" s="2" t="str">
        <f t="shared" si="11"/>
        <v>13</v>
      </c>
      <c r="B234" s="1" t="s">
        <v>1154</v>
      </c>
      <c r="C234" s="6" t="str">
        <f>"1400"</f>
        <v>1400</v>
      </c>
      <c r="D234" s="3" t="s">
        <v>1262</v>
      </c>
      <c r="E234" s="26" t="s">
        <v>398</v>
      </c>
    </row>
    <row r="235" spans="1:5" x14ac:dyDescent="0.25">
      <c r="A235" s="2" t="str">
        <f t="shared" si="11"/>
        <v>13</v>
      </c>
      <c r="B235" s="1" t="s">
        <v>1154</v>
      </c>
      <c r="C235" s="6" t="str">
        <f>"1387"</f>
        <v>1387</v>
      </c>
      <c r="D235" s="3" t="s">
        <v>1263</v>
      </c>
      <c r="E235" s="26" t="s">
        <v>399</v>
      </c>
    </row>
    <row r="236" spans="1:5" x14ac:dyDescent="0.25">
      <c r="A236" s="2" t="str">
        <f t="shared" si="11"/>
        <v>13</v>
      </c>
      <c r="B236" s="1" t="s">
        <v>1154</v>
      </c>
      <c r="C236" s="6" t="str">
        <f>"1465"</f>
        <v>1465</v>
      </c>
      <c r="D236" s="3" t="s">
        <v>400</v>
      </c>
      <c r="E236" s="26" t="s">
        <v>401</v>
      </c>
    </row>
    <row r="237" spans="1:5" x14ac:dyDescent="0.25">
      <c r="A237" s="2" t="str">
        <f t="shared" si="11"/>
        <v>13</v>
      </c>
      <c r="B237" s="1" t="s">
        <v>1154</v>
      </c>
      <c r="C237" s="6" t="str">
        <f>"1750"</f>
        <v>1750</v>
      </c>
      <c r="D237" s="3" t="s">
        <v>402</v>
      </c>
      <c r="E237" s="26" t="s">
        <v>403</v>
      </c>
    </row>
    <row r="238" spans="1:5" x14ac:dyDescent="0.25">
      <c r="A238" s="2" t="str">
        <f t="shared" si="11"/>
        <v>13</v>
      </c>
      <c r="B238" s="1" t="s">
        <v>1154</v>
      </c>
      <c r="C238" s="6" t="str">
        <f>"2330"</f>
        <v>2330</v>
      </c>
      <c r="D238" s="3" t="s">
        <v>1264</v>
      </c>
      <c r="E238" s="26" t="s">
        <v>406</v>
      </c>
    </row>
    <row r="239" spans="1:5" x14ac:dyDescent="0.25">
      <c r="A239" s="2" t="str">
        <f t="shared" si="11"/>
        <v>13</v>
      </c>
      <c r="B239" s="1" t="s">
        <v>1154</v>
      </c>
      <c r="C239" s="6" t="str">
        <f>"2730"</f>
        <v>2730</v>
      </c>
      <c r="D239" s="3" t="s">
        <v>1265</v>
      </c>
      <c r="E239" s="26" t="s">
        <v>411</v>
      </c>
    </row>
    <row r="240" spans="1:5" x14ac:dyDescent="0.25">
      <c r="A240" s="2" t="str">
        <f t="shared" si="11"/>
        <v>13</v>
      </c>
      <c r="B240" s="1" t="s">
        <v>1154</v>
      </c>
      <c r="C240" s="6" t="str">
        <f>"3190"</f>
        <v>3190</v>
      </c>
      <c r="D240" s="3" t="s">
        <v>417</v>
      </c>
      <c r="E240" s="26" t="s">
        <v>418</v>
      </c>
    </row>
    <row r="241" spans="1:5" x14ac:dyDescent="0.25">
      <c r="A241" s="2" t="str">
        <f t="shared" si="11"/>
        <v>13</v>
      </c>
      <c r="B241" s="1" t="s">
        <v>1154</v>
      </c>
      <c r="C241" s="6" t="str">
        <f>"3310"</f>
        <v>3310</v>
      </c>
      <c r="D241" s="3" t="s">
        <v>419</v>
      </c>
      <c r="E241" s="26" t="s">
        <v>420</v>
      </c>
    </row>
    <row r="242" spans="1:5" x14ac:dyDescent="0.25">
      <c r="A242" s="2" t="str">
        <f t="shared" si="11"/>
        <v>13</v>
      </c>
      <c r="B242" s="1" t="s">
        <v>1154</v>
      </c>
      <c r="C242" s="6" t="str">
        <f>"3570"</f>
        <v>3570</v>
      </c>
      <c r="D242" s="3" t="s">
        <v>1266</v>
      </c>
      <c r="E242" s="26" t="s">
        <v>429</v>
      </c>
    </row>
    <row r="243" spans="1:5" x14ac:dyDescent="0.25">
      <c r="A243" s="2" t="str">
        <f t="shared" si="11"/>
        <v>13</v>
      </c>
      <c r="B243" s="1" t="s">
        <v>1154</v>
      </c>
      <c r="C243" s="6" t="str">
        <f>"3630"</f>
        <v>3630</v>
      </c>
      <c r="D243" s="3" t="s">
        <v>1267</v>
      </c>
      <c r="E243" s="26" t="s">
        <v>430</v>
      </c>
    </row>
    <row r="244" spans="1:5" x14ac:dyDescent="0.25">
      <c r="A244" s="2" t="str">
        <f t="shared" si="11"/>
        <v>13</v>
      </c>
      <c r="B244" s="1" t="s">
        <v>1154</v>
      </c>
      <c r="C244" s="6" t="str">
        <f>"3750"</f>
        <v>3750</v>
      </c>
      <c r="D244" s="3" t="s">
        <v>1268</v>
      </c>
      <c r="E244" s="26" t="s">
        <v>433</v>
      </c>
    </row>
    <row r="245" spans="1:5" x14ac:dyDescent="0.25">
      <c r="A245" s="2" t="str">
        <f t="shared" si="11"/>
        <v>13</v>
      </c>
      <c r="B245" s="1" t="s">
        <v>1154</v>
      </c>
      <c r="C245" s="6" t="str">
        <f>"3880"</f>
        <v>3880</v>
      </c>
      <c r="D245" s="3" t="s">
        <v>1269</v>
      </c>
      <c r="E245" s="26" t="s">
        <v>434</v>
      </c>
    </row>
    <row r="246" spans="1:5" x14ac:dyDescent="0.25">
      <c r="A246" s="2" t="str">
        <f t="shared" si="11"/>
        <v>13</v>
      </c>
      <c r="B246" s="1" t="s">
        <v>1154</v>
      </c>
      <c r="C246" s="6" t="str">
        <f>"4530"</f>
        <v>4530</v>
      </c>
      <c r="D246" s="3" t="s">
        <v>444</v>
      </c>
      <c r="E246" s="26" t="s">
        <v>445</v>
      </c>
    </row>
    <row r="247" spans="1:5" x14ac:dyDescent="0.25">
      <c r="A247" s="2" t="str">
        <f t="shared" si="11"/>
        <v>13</v>
      </c>
      <c r="B247" s="1" t="s">
        <v>1154</v>
      </c>
      <c r="C247" s="6" t="str">
        <f>"4900"</f>
        <v>4900</v>
      </c>
      <c r="D247" s="3" t="s">
        <v>447</v>
      </c>
      <c r="E247" s="26" t="s">
        <v>448</v>
      </c>
    </row>
    <row r="248" spans="1:5" x14ac:dyDescent="0.25">
      <c r="A248" s="2" t="str">
        <f t="shared" si="11"/>
        <v>13</v>
      </c>
      <c r="B248" s="1" t="s">
        <v>1154</v>
      </c>
      <c r="C248" s="6" t="str">
        <f>"5370"</f>
        <v>5370</v>
      </c>
      <c r="D248" s="3" t="s">
        <v>454</v>
      </c>
      <c r="E248" s="26" t="s">
        <v>455</v>
      </c>
    </row>
    <row r="249" spans="1:5" x14ac:dyDescent="0.25">
      <c r="A249" s="2" t="str">
        <f t="shared" si="11"/>
        <v>13</v>
      </c>
      <c r="B249" s="1" t="s">
        <v>1154</v>
      </c>
      <c r="C249" s="6" t="str">
        <f>"5630"</f>
        <v>5630</v>
      </c>
      <c r="D249" s="3" t="s">
        <v>456</v>
      </c>
      <c r="E249" s="26" t="s">
        <v>457</v>
      </c>
    </row>
    <row r="250" spans="1:5" x14ac:dyDescent="0.25">
      <c r="A250" s="2" t="str">
        <f t="shared" si="11"/>
        <v>13</v>
      </c>
      <c r="B250" s="1" t="s">
        <v>1154</v>
      </c>
      <c r="C250" s="6" t="str">
        <f>"5680"</f>
        <v>5680</v>
      </c>
      <c r="D250" s="3" t="s">
        <v>458</v>
      </c>
      <c r="E250" s="26" t="s">
        <v>459</v>
      </c>
    </row>
    <row r="251" spans="1:5" x14ac:dyDescent="0.25">
      <c r="A251" s="2" t="str">
        <f t="shared" ref="A251:A279" si="12">"15"</f>
        <v>15</v>
      </c>
      <c r="B251" s="1" t="s">
        <v>1155</v>
      </c>
      <c r="C251" s="6" t="str">
        <f>"0860"</f>
        <v>0860</v>
      </c>
      <c r="D251" s="3" t="s">
        <v>1270</v>
      </c>
      <c r="E251" s="26" t="s">
        <v>460</v>
      </c>
    </row>
    <row r="252" spans="1:5" x14ac:dyDescent="0.25">
      <c r="A252" s="2" t="str">
        <f t="shared" si="12"/>
        <v>15</v>
      </c>
      <c r="B252" s="1" t="s">
        <v>1155</v>
      </c>
      <c r="C252" s="6" t="str">
        <f>"0870"</f>
        <v>0870</v>
      </c>
      <c r="D252" s="3" t="s">
        <v>461</v>
      </c>
      <c r="E252" s="26" t="s">
        <v>462</v>
      </c>
    </row>
    <row r="253" spans="1:5" x14ac:dyDescent="0.25">
      <c r="A253" s="2" t="str">
        <f t="shared" si="12"/>
        <v>15</v>
      </c>
      <c r="B253" s="1" t="s">
        <v>1155</v>
      </c>
      <c r="C253" s="6" t="str">
        <f>"4940"</f>
        <v>4940</v>
      </c>
      <c r="D253" s="3" t="s">
        <v>1271</v>
      </c>
      <c r="E253" s="26" t="s">
        <v>463</v>
      </c>
    </row>
    <row r="254" spans="1:5" x14ac:dyDescent="0.25">
      <c r="A254" s="2" t="str">
        <f t="shared" si="12"/>
        <v>15</v>
      </c>
      <c r="B254" s="1" t="s">
        <v>1155</v>
      </c>
      <c r="C254" s="6" t="str">
        <f>"1100"</f>
        <v>1100</v>
      </c>
      <c r="D254" s="3" t="s">
        <v>464</v>
      </c>
      <c r="E254" s="26" t="s">
        <v>465</v>
      </c>
    </row>
    <row r="255" spans="1:5" x14ac:dyDescent="0.25">
      <c r="A255" s="2" t="str">
        <f t="shared" si="12"/>
        <v>15</v>
      </c>
      <c r="B255" s="1" t="s">
        <v>1155</v>
      </c>
      <c r="C255" s="6" t="str">
        <f>"1180"</f>
        <v>1180</v>
      </c>
      <c r="D255" s="3" t="s">
        <v>466</v>
      </c>
      <c r="E255" s="26" t="s">
        <v>467</v>
      </c>
    </row>
    <row r="256" spans="1:5" x14ac:dyDescent="0.25">
      <c r="A256" s="2" t="str">
        <f t="shared" si="12"/>
        <v>15</v>
      </c>
      <c r="B256" s="1" t="s">
        <v>1155</v>
      </c>
      <c r="C256" s="6" t="str">
        <f>"1330"</f>
        <v>1330</v>
      </c>
      <c r="D256" s="3" t="s">
        <v>468</v>
      </c>
      <c r="E256" s="26" t="s">
        <v>469</v>
      </c>
    </row>
    <row r="257" spans="1:5" x14ac:dyDescent="0.25">
      <c r="A257" s="2" t="str">
        <f t="shared" si="12"/>
        <v>15</v>
      </c>
      <c r="B257" s="1" t="s">
        <v>1155</v>
      </c>
      <c r="C257" s="6" t="str">
        <f>"1715"</f>
        <v>1715</v>
      </c>
      <c r="D257" s="3" t="s">
        <v>1272</v>
      </c>
      <c r="E257" s="26" t="s">
        <v>470</v>
      </c>
    </row>
    <row r="258" spans="1:5" x14ac:dyDescent="0.25">
      <c r="A258" s="2" t="str">
        <f t="shared" si="12"/>
        <v>15</v>
      </c>
      <c r="B258" s="1" t="s">
        <v>1155</v>
      </c>
      <c r="C258" s="6" t="str">
        <f>"1730"</f>
        <v>1730</v>
      </c>
      <c r="D258" s="3" t="s">
        <v>471</v>
      </c>
      <c r="E258" s="26" t="s">
        <v>472</v>
      </c>
    </row>
    <row r="259" spans="1:5" x14ac:dyDescent="0.25">
      <c r="A259" s="2" t="str">
        <f t="shared" si="12"/>
        <v>15</v>
      </c>
      <c r="B259" s="1" t="s">
        <v>1155</v>
      </c>
      <c r="C259" s="6" t="str">
        <f>"1774"</f>
        <v>1774</v>
      </c>
      <c r="D259" s="3" t="s">
        <v>473</v>
      </c>
      <c r="E259" s="26" t="s">
        <v>474</v>
      </c>
    </row>
    <row r="260" spans="1:5" x14ac:dyDescent="0.25">
      <c r="A260" s="2" t="str">
        <f t="shared" si="12"/>
        <v>15</v>
      </c>
      <c r="B260" s="1" t="s">
        <v>1155</v>
      </c>
      <c r="C260" s="6" t="str">
        <f>"1775"</f>
        <v>1775</v>
      </c>
      <c r="D260" s="3" t="s">
        <v>475</v>
      </c>
      <c r="E260" s="26" t="s">
        <v>476</v>
      </c>
    </row>
    <row r="261" spans="1:5" x14ac:dyDescent="0.25">
      <c r="A261" s="2" t="str">
        <f t="shared" si="12"/>
        <v>15</v>
      </c>
      <c r="B261" s="1" t="s">
        <v>1155</v>
      </c>
      <c r="C261" s="6" t="str">
        <f>"1830"</f>
        <v>1830</v>
      </c>
      <c r="D261" s="3" t="s">
        <v>477</v>
      </c>
      <c r="E261" s="26" t="s">
        <v>478</v>
      </c>
    </row>
    <row r="262" spans="1:5" x14ac:dyDescent="0.25">
      <c r="A262" s="2" t="str">
        <f t="shared" si="12"/>
        <v>15</v>
      </c>
      <c r="B262" s="1" t="s">
        <v>1155</v>
      </c>
      <c r="C262" s="6" t="str">
        <f>"2070"</f>
        <v>2070</v>
      </c>
      <c r="D262" s="3" t="s">
        <v>1273</v>
      </c>
      <c r="E262" s="26" t="s">
        <v>479</v>
      </c>
    </row>
    <row r="263" spans="1:5" x14ac:dyDescent="0.25">
      <c r="A263" s="2" t="str">
        <f t="shared" si="12"/>
        <v>15</v>
      </c>
      <c r="B263" s="1" t="s">
        <v>1155</v>
      </c>
      <c r="C263" s="6" t="str">
        <f>"2440"</f>
        <v>2440</v>
      </c>
      <c r="D263" s="3" t="s">
        <v>480</v>
      </c>
      <c r="E263" s="26" t="s">
        <v>481</v>
      </c>
    </row>
    <row r="264" spans="1:5" x14ac:dyDescent="0.25">
      <c r="A264" s="2" t="str">
        <f t="shared" si="12"/>
        <v>15</v>
      </c>
      <c r="B264" s="1" t="s">
        <v>1155</v>
      </c>
      <c r="C264" s="6" t="str">
        <f>"2750"</f>
        <v>2750</v>
      </c>
      <c r="D264" s="3" t="s">
        <v>482</v>
      </c>
      <c r="E264" s="26" t="s">
        <v>483</v>
      </c>
    </row>
    <row r="265" spans="1:5" x14ac:dyDescent="0.25">
      <c r="A265" s="2" t="str">
        <f t="shared" si="12"/>
        <v>15</v>
      </c>
      <c r="B265" s="1" t="s">
        <v>1155</v>
      </c>
      <c r="C265" s="6" t="str">
        <f>"2990"</f>
        <v>2990</v>
      </c>
      <c r="D265" s="3" t="s">
        <v>484</v>
      </c>
      <c r="E265" s="26" t="s">
        <v>485</v>
      </c>
    </row>
    <row r="266" spans="1:5" x14ac:dyDescent="0.25">
      <c r="A266" s="2" t="str">
        <f t="shared" si="12"/>
        <v>15</v>
      </c>
      <c r="B266" s="1" t="s">
        <v>1155</v>
      </c>
      <c r="C266" s="6" t="str">
        <f>"3280"</f>
        <v>3280</v>
      </c>
      <c r="D266" s="3" t="s">
        <v>1274</v>
      </c>
      <c r="E266" s="26" t="s">
        <v>486</v>
      </c>
    </row>
    <row r="267" spans="1:5" x14ac:dyDescent="0.25">
      <c r="A267" s="2" t="str">
        <f t="shared" si="12"/>
        <v>15</v>
      </c>
      <c r="B267" s="1" t="s">
        <v>1155</v>
      </c>
      <c r="C267" s="6" t="str">
        <f>"3490"</f>
        <v>3490</v>
      </c>
      <c r="D267" s="3" t="s">
        <v>487</v>
      </c>
      <c r="E267" s="26" t="s">
        <v>488</v>
      </c>
    </row>
    <row r="268" spans="1:5" x14ac:dyDescent="0.25">
      <c r="A268" s="2" t="str">
        <f t="shared" si="12"/>
        <v>15</v>
      </c>
      <c r="B268" s="1" t="s">
        <v>1155</v>
      </c>
      <c r="C268" s="6" t="str">
        <f>"3580"</f>
        <v>3580</v>
      </c>
      <c r="D268" s="3" t="s">
        <v>1275</v>
      </c>
      <c r="E268" s="27" t="s">
        <v>1142</v>
      </c>
    </row>
    <row r="269" spans="1:5" x14ac:dyDescent="0.25">
      <c r="A269" s="2" t="str">
        <f t="shared" si="12"/>
        <v>15</v>
      </c>
      <c r="B269" s="1" t="s">
        <v>1155</v>
      </c>
      <c r="C269" s="6" t="str">
        <f>"4020"</f>
        <v>4020</v>
      </c>
      <c r="D269" s="3" t="s">
        <v>1276</v>
      </c>
      <c r="E269" s="26" t="s">
        <v>489</v>
      </c>
    </row>
    <row r="270" spans="1:5" x14ac:dyDescent="0.25">
      <c r="A270" s="2" t="str">
        <f t="shared" si="12"/>
        <v>15</v>
      </c>
      <c r="B270" s="1" t="s">
        <v>1155</v>
      </c>
      <c r="C270" s="6" t="str">
        <f>"4140"</f>
        <v>4140</v>
      </c>
      <c r="D270" s="3" t="s">
        <v>1277</v>
      </c>
      <c r="E270" s="26" t="s">
        <v>490</v>
      </c>
    </row>
    <row r="271" spans="1:5" x14ac:dyDescent="0.25">
      <c r="A271" s="2" t="str">
        <f t="shared" si="12"/>
        <v>15</v>
      </c>
      <c r="B271" s="1" t="s">
        <v>1155</v>
      </c>
      <c r="C271" s="6" t="str">
        <f>"4880"</f>
        <v>4880</v>
      </c>
      <c r="D271" s="3" t="s">
        <v>1278</v>
      </c>
      <c r="E271" s="26" t="s">
        <v>491</v>
      </c>
    </row>
    <row r="272" spans="1:5" x14ac:dyDescent="0.25">
      <c r="A272" s="2" t="str">
        <f t="shared" si="12"/>
        <v>15</v>
      </c>
      <c r="B272" s="1" t="s">
        <v>1155</v>
      </c>
      <c r="C272" s="6" t="str">
        <f>"5120"</f>
        <v>5120</v>
      </c>
      <c r="D272" s="3" t="s">
        <v>1279</v>
      </c>
      <c r="E272" s="26" t="s">
        <v>492</v>
      </c>
    </row>
    <row r="273" spans="1:5" x14ac:dyDescent="0.25">
      <c r="A273" s="2" t="str">
        <f t="shared" si="12"/>
        <v>15</v>
      </c>
      <c r="B273" s="1" t="s">
        <v>1155</v>
      </c>
      <c r="C273" s="6" t="str">
        <f>"1590"</f>
        <v>1590</v>
      </c>
      <c r="D273" s="3" t="s">
        <v>1280</v>
      </c>
      <c r="E273" s="26" t="s">
        <v>493</v>
      </c>
    </row>
    <row r="274" spans="1:5" x14ac:dyDescent="0.25">
      <c r="A274" s="2" t="str">
        <f t="shared" si="12"/>
        <v>15</v>
      </c>
      <c r="B274" s="1" t="s">
        <v>1155</v>
      </c>
      <c r="C274" s="6" t="str">
        <f>"5500"</f>
        <v>5500</v>
      </c>
      <c r="D274" s="3" t="s">
        <v>248</v>
      </c>
      <c r="E274" s="26" t="s">
        <v>494</v>
      </c>
    </row>
    <row r="275" spans="1:5" x14ac:dyDescent="0.25">
      <c r="A275" s="2" t="str">
        <f t="shared" si="12"/>
        <v>15</v>
      </c>
      <c r="B275" s="1" t="s">
        <v>1155</v>
      </c>
      <c r="C275" s="6" t="str">
        <f>"5590"</f>
        <v>5590</v>
      </c>
      <c r="D275" s="3" t="s">
        <v>495</v>
      </c>
      <c r="E275" s="26" t="s">
        <v>496</v>
      </c>
    </row>
    <row r="276" spans="1:5" x14ac:dyDescent="0.25">
      <c r="A276" s="2" t="str">
        <f t="shared" si="12"/>
        <v>15</v>
      </c>
      <c r="B276" s="1" t="s">
        <v>1155</v>
      </c>
      <c r="C276" s="6" t="str">
        <f>"5620"</f>
        <v>5620</v>
      </c>
      <c r="D276" s="3" t="s">
        <v>1281</v>
      </c>
      <c r="E276" s="26" t="s">
        <v>497</v>
      </c>
    </row>
    <row r="277" spans="1:5" x14ac:dyDescent="0.25">
      <c r="A277" s="2" t="str">
        <f t="shared" si="12"/>
        <v>15</v>
      </c>
      <c r="B277" s="1" t="s">
        <v>1155</v>
      </c>
      <c r="C277" s="6" t="str">
        <f>"5740"</f>
        <v>5740</v>
      </c>
      <c r="D277" s="3" t="s">
        <v>498</v>
      </c>
      <c r="E277" s="26" t="s">
        <v>499</v>
      </c>
    </row>
    <row r="278" spans="1:5" x14ac:dyDescent="0.25">
      <c r="A278" s="2" t="str">
        <f t="shared" si="12"/>
        <v>15</v>
      </c>
      <c r="B278" s="1" t="s">
        <v>1155</v>
      </c>
      <c r="C278" s="6" t="str">
        <f>"5860"</f>
        <v>5860</v>
      </c>
      <c r="D278" s="3" t="s">
        <v>500</v>
      </c>
      <c r="E278" s="26" t="s">
        <v>501</v>
      </c>
    </row>
    <row r="279" spans="1:5" s="8" customFormat="1" ht="15.75" thickBot="1" x14ac:dyDescent="0.3">
      <c r="A279" s="4" t="str">
        <f t="shared" si="12"/>
        <v>15</v>
      </c>
      <c r="B279" s="31" t="s">
        <v>1155</v>
      </c>
      <c r="C279" s="7" t="str">
        <f>"5870"</f>
        <v>5870</v>
      </c>
      <c r="D279" s="5" t="s">
        <v>502</v>
      </c>
      <c r="E279" s="30" t="s">
        <v>503</v>
      </c>
    </row>
    <row r="280" spans="1:5" ht="15.75" thickTop="1" x14ac:dyDescent="0.25">
      <c r="A280" s="2" t="str">
        <f t="shared" ref="A280:A292" si="13">"17"</f>
        <v>17</v>
      </c>
      <c r="B280" s="1" t="s">
        <v>1156</v>
      </c>
      <c r="C280" s="6" t="str">
        <f>"0220"</f>
        <v>0220</v>
      </c>
      <c r="D280" s="3" t="s">
        <v>504</v>
      </c>
      <c r="E280" s="26" t="s">
        <v>505</v>
      </c>
    </row>
    <row r="281" spans="1:5" x14ac:dyDescent="0.25">
      <c r="A281" s="2" t="str">
        <f t="shared" si="13"/>
        <v>17</v>
      </c>
      <c r="B281" s="1" t="s">
        <v>1156</v>
      </c>
      <c r="C281" s="6" t="str">
        <f>"1200"</f>
        <v>1200</v>
      </c>
      <c r="D281" s="3" t="s">
        <v>509</v>
      </c>
      <c r="E281" s="26" t="s">
        <v>510</v>
      </c>
    </row>
    <row r="282" spans="1:5" x14ac:dyDescent="0.25">
      <c r="A282" s="2" t="str">
        <f t="shared" si="13"/>
        <v>17</v>
      </c>
      <c r="B282" s="1" t="s">
        <v>1156</v>
      </c>
      <c r="C282" s="6" t="str">
        <f>"1850"</f>
        <v>1850</v>
      </c>
      <c r="D282" s="3" t="s">
        <v>1282</v>
      </c>
      <c r="E282" s="26" t="s">
        <v>517</v>
      </c>
    </row>
    <row r="283" spans="1:5" x14ac:dyDescent="0.25">
      <c r="A283" s="2" t="str">
        <f t="shared" si="13"/>
        <v>17</v>
      </c>
      <c r="B283" s="1" t="s">
        <v>1156</v>
      </c>
      <c r="C283" s="6" t="str">
        <f>"2060"</f>
        <v>2060</v>
      </c>
      <c r="D283" s="3" t="s">
        <v>518</v>
      </c>
      <c r="E283" s="26" t="s">
        <v>519</v>
      </c>
    </row>
    <row r="284" spans="1:5" x14ac:dyDescent="0.25">
      <c r="A284" s="2" t="str">
        <f t="shared" si="13"/>
        <v>17</v>
      </c>
      <c r="B284" s="1" t="s">
        <v>1156</v>
      </c>
      <c r="C284" s="6" t="str">
        <f>"2210"</f>
        <v>2210</v>
      </c>
      <c r="D284" s="3" t="s">
        <v>524</v>
      </c>
      <c r="E284" s="26" t="s">
        <v>525</v>
      </c>
    </row>
    <row r="285" spans="1:5" x14ac:dyDescent="0.25">
      <c r="A285" s="2" t="str">
        <f t="shared" si="13"/>
        <v>17</v>
      </c>
      <c r="B285" s="1" t="s">
        <v>1156</v>
      </c>
      <c r="C285" s="6" t="str">
        <f>"2295"</f>
        <v>2295</v>
      </c>
      <c r="D285" s="3" t="s">
        <v>1283</v>
      </c>
      <c r="E285" s="26" t="s">
        <v>526</v>
      </c>
    </row>
    <row r="286" spans="1:5" x14ac:dyDescent="0.25">
      <c r="A286" s="2" t="str">
        <f t="shared" si="13"/>
        <v>17</v>
      </c>
      <c r="B286" s="1" t="s">
        <v>1156</v>
      </c>
      <c r="C286" s="6" t="str">
        <f>"2390"</f>
        <v>2390</v>
      </c>
      <c r="D286" s="3" t="s">
        <v>532</v>
      </c>
      <c r="E286" s="26" t="s">
        <v>533</v>
      </c>
    </row>
    <row r="287" spans="1:5" x14ac:dyDescent="0.25">
      <c r="A287" s="2" t="str">
        <f t="shared" si="13"/>
        <v>17</v>
      </c>
      <c r="B287" s="1" t="s">
        <v>1156</v>
      </c>
      <c r="C287" s="6" t="str">
        <f>"2410"</f>
        <v>2410</v>
      </c>
      <c r="D287" s="3" t="s">
        <v>534</v>
      </c>
      <c r="E287" s="26" t="s">
        <v>535</v>
      </c>
    </row>
    <row r="288" spans="1:5" x14ac:dyDescent="0.25">
      <c r="A288" s="2" t="str">
        <f t="shared" si="13"/>
        <v>17</v>
      </c>
      <c r="B288" s="1" t="s">
        <v>1156</v>
      </c>
      <c r="C288" s="6" t="str">
        <f>"3610"</f>
        <v>3610</v>
      </c>
      <c r="D288" s="3" t="s">
        <v>1284</v>
      </c>
      <c r="E288" s="26" t="s">
        <v>539</v>
      </c>
    </row>
    <row r="289" spans="1:5" x14ac:dyDescent="0.25">
      <c r="A289" s="2" t="str">
        <f t="shared" si="13"/>
        <v>17</v>
      </c>
      <c r="B289" s="1" t="s">
        <v>1156</v>
      </c>
      <c r="C289" s="6" t="str">
        <f>"4730"</f>
        <v>4730</v>
      </c>
      <c r="D289" s="3" t="s">
        <v>1285</v>
      </c>
      <c r="E289" s="26" t="s">
        <v>540</v>
      </c>
    </row>
    <row r="290" spans="1:5" x14ac:dyDescent="0.25">
      <c r="A290" s="2" t="str">
        <f t="shared" si="13"/>
        <v>17</v>
      </c>
      <c r="B290" s="1" t="s">
        <v>1156</v>
      </c>
      <c r="C290" s="6" t="str">
        <f>"5240"</f>
        <v>5240</v>
      </c>
      <c r="D290" s="3" t="s">
        <v>545</v>
      </c>
      <c r="E290" s="26" t="s">
        <v>546</v>
      </c>
    </row>
    <row r="291" spans="1:5" x14ac:dyDescent="0.25">
      <c r="A291" s="2" t="str">
        <f t="shared" si="13"/>
        <v>17</v>
      </c>
      <c r="B291" s="1" t="s">
        <v>1156</v>
      </c>
      <c r="C291" s="6" t="str">
        <f>"5580"</f>
        <v>5580</v>
      </c>
      <c r="D291" s="3" t="s">
        <v>549</v>
      </c>
      <c r="E291" s="26" t="s">
        <v>550</v>
      </c>
    </row>
    <row r="292" spans="1:5" x14ac:dyDescent="0.25">
      <c r="A292" s="2" t="str">
        <f t="shared" si="13"/>
        <v>17</v>
      </c>
      <c r="B292" s="1" t="s">
        <v>1156</v>
      </c>
      <c r="C292" s="6" t="str">
        <f>"5670"</f>
        <v>5670</v>
      </c>
      <c r="D292" s="3" t="s">
        <v>1286</v>
      </c>
      <c r="E292" s="26" t="s">
        <v>551</v>
      </c>
    </row>
    <row r="293" spans="1:5" x14ac:dyDescent="0.25">
      <c r="A293" s="2" t="str">
        <f t="shared" ref="A293:A319" si="14">"19"</f>
        <v>19</v>
      </c>
      <c r="B293" s="1" t="s">
        <v>1157</v>
      </c>
      <c r="C293" s="6" t="str">
        <f>"0020"</f>
        <v>0020</v>
      </c>
      <c r="D293" s="3" t="s">
        <v>552</v>
      </c>
      <c r="E293" s="26" t="s">
        <v>553</v>
      </c>
    </row>
    <row r="294" spans="1:5" x14ac:dyDescent="0.25">
      <c r="A294" s="2" t="str">
        <f t="shared" si="14"/>
        <v>19</v>
      </c>
      <c r="B294" s="1" t="s">
        <v>1157</v>
      </c>
      <c r="C294" s="6" t="str">
        <f>"0370"</f>
        <v>0370</v>
      </c>
      <c r="D294" s="3" t="s">
        <v>554</v>
      </c>
      <c r="E294" s="26" t="s">
        <v>555</v>
      </c>
    </row>
    <row r="295" spans="1:5" x14ac:dyDescent="0.25">
      <c r="A295" s="2" t="str">
        <f t="shared" si="14"/>
        <v>19</v>
      </c>
      <c r="B295" s="1" t="s">
        <v>1157</v>
      </c>
      <c r="C295" s="6" t="str">
        <f>"0430"</f>
        <v>0430</v>
      </c>
      <c r="D295" s="3" t="s">
        <v>556</v>
      </c>
      <c r="E295" s="26" t="s">
        <v>557</v>
      </c>
    </row>
    <row r="296" spans="1:5" x14ac:dyDescent="0.25">
      <c r="A296" s="2" t="str">
        <f t="shared" si="14"/>
        <v>19</v>
      </c>
      <c r="B296" s="1" t="s">
        <v>1157</v>
      </c>
      <c r="C296" s="6" t="str">
        <f>"0670"</f>
        <v>0670</v>
      </c>
      <c r="D296" s="3" t="s">
        <v>558</v>
      </c>
      <c r="E296" s="26" t="s">
        <v>559</v>
      </c>
    </row>
    <row r="297" spans="1:5" x14ac:dyDescent="0.25">
      <c r="A297" s="2" t="str">
        <f t="shared" si="14"/>
        <v>19</v>
      </c>
      <c r="B297" s="1" t="s">
        <v>1157</v>
      </c>
      <c r="C297" s="6" t="str">
        <f>"0920"</f>
        <v>0920</v>
      </c>
      <c r="D297" s="3" t="s">
        <v>560</v>
      </c>
      <c r="E297" s="26" t="s">
        <v>561</v>
      </c>
    </row>
    <row r="298" spans="1:5" x14ac:dyDescent="0.25">
      <c r="A298" s="2" t="str">
        <f t="shared" si="14"/>
        <v>19</v>
      </c>
      <c r="B298" s="1" t="s">
        <v>1157</v>
      </c>
      <c r="C298" s="6" t="str">
        <f>"0910"</f>
        <v>0910</v>
      </c>
      <c r="D298" s="3" t="s">
        <v>562</v>
      </c>
      <c r="E298" s="26" t="s">
        <v>563</v>
      </c>
    </row>
    <row r="299" spans="1:5" x14ac:dyDescent="0.25">
      <c r="A299" s="2" t="str">
        <f t="shared" si="14"/>
        <v>19</v>
      </c>
      <c r="B299" s="1" t="s">
        <v>1157</v>
      </c>
      <c r="C299" s="6" t="str">
        <f>"1040"</f>
        <v>1040</v>
      </c>
      <c r="D299" s="3" t="s">
        <v>564</v>
      </c>
      <c r="E299" s="26" t="s">
        <v>565</v>
      </c>
    </row>
    <row r="300" spans="1:5" x14ac:dyDescent="0.25">
      <c r="A300" s="2" t="str">
        <f t="shared" si="14"/>
        <v>19</v>
      </c>
      <c r="B300" s="1" t="s">
        <v>1157</v>
      </c>
      <c r="C300" s="6" t="str">
        <f>"1050"</f>
        <v>1050</v>
      </c>
      <c r="D300" s="3" t="s">
        <v>1287</v>
      </c>
      <c r="E300" s="26" t="s">
        <v>566</v>
      </c>
    </row>
    <row r="301" spans="1:5" x14ac:dyDescent="0.25">
      <c r="A301" s="2" t="str">
        <f t="shared" si="14"/>
        <v>19</v>
      </c>
      <c r="B301" s="1" t="s">
        <v>1157</v>
      </c>
      <c r="C301" s="6" t="str">
        <f>"1160"</f>
        <v>1160</v>
      </c>
      <c r="D301" s="3" t="s">
        <v>1288</v>
      </c>
      <c r="E301" s="26" t="s">
        <v>567</v>
      </c>
    </row>
    <row r="302" spans="1:5" x14ac:dyDescent="0.25">
      <c r="A302" s="2" t="str">
        <f t="shared" si="14"/>
        <v>19</v>
      </c>
      <c r="B302" s="1" t="s">
        <v>1157</v>
      </c>
      <c r="C302" s="6" t="str">
        <f>"1510"</f>
        <v>1510</v>
      </c>
      <c r="D302" s="3" t="s">
        <v>568</v>
      </c>
      <c r="E302" s="26" t="s">
        <v>569</v>
      </c>
    </row>
    <row r="303" spans="1:5" x14ac:dyDescent="0.25">
      <c r="A303" s="2" t="str">
        <f t="shared" si="14"/>
        <v>19</v>
      </c>
      <c r="B303" s="1" t="s">
        <v>1157</v>
      </c>
      <c r="C303" s="6" t="str">
        <f>"1600"</f>
        <v>1600</v>
      </c>
      <c r="D303" s="3" t="s">
        <v>570</v>
      </c>
      <c r="E303" s="26" t="s">
        <v>571</v>
      </c>
    </row>
    <row r="304" spans="1:5" x14ac:dyDescent="0.25">
      <c r="A304" s="2" t="str">
        <f t="shared" si="14"/>
        <v>19</v>
      </c>
      <c r="B304" s="1" t="s">
        <v>1157</v>
      </c>
      <c r="C304" s="6" t="str">
        <f>"1680"</f>
        <v>1680</v>
      </c>
      <c r="D304" s="3" t="s">
        <v>572</v>
      </c>
      <c r="E304" s="26" t="s">
        <v>573</v>
      </c>
    </row>
    <row r="305" spans="1:5" x14ac:dyDescent="0.25">
      <c r="A305" s="2" t="str">
        <f t="shared" si="14"/>
        <v>19</v>
      </c>
      <c r="B305" s="1" t="s">
        <v>1157</v>
      </c>
      <c r="C305" s="6" t="str">
        <f>"1970"</f>
        <v>1970</v>
      </c>
      <c r="D305" s="3" t="s">
        <v>1289</v>
      </c>
      <c r="E305" s="26" t="s">
        <v>574</v>
      </c>
    </row>
    <row r="306" spans="1:5" x14ac:dyDescent="0.25">
      <c r="A306" s="2" t="str">
        <f t="shared" si="14"/>
        <v>19</v>
      </c>
      <c r="B306" s="1" t="s">
        <v>1157</v>
      </c>
      <c r="C306" s="6" t="str">
        <f>"2140"</f>
        <v>2140</v>
      </c>
      <c r="D306" s="3" t="s">
        <v>1290</v>
      </c>
      <c r="E306" s="26" t="s">
        <v>575</v>
      </c>
    </row>
    <row r="307" spans="1:5" x14ac:dyDescent="0.25">
      <c r="A307" s="2" t="str">
        <f t="shared" si="14"/>
        <v>19</v>
      </c>
      <c r="B307" s="1" t="s">
        <v>1157</v>
      </c>
      <c r="C307" s="6" t="str">
        <f>"2220"</f>
        <v>2220</v>
      </c>
      <c r="D307" s="3" t="s">
        <v>576</v>
      </c>
      <c r="E307" s="26" t="s">
        <v>577</v>
      </c>
    </row>
    <row r="308" spans="1:5" x14ac:dyDescent="0.25">
      <c r="A308" s="2" t="str">
        <f t="shared" si="14"/>
        <v>19</v>
      </c>
      <c r="B308" s="1" t="s">
        <v>1157</v>
      </c>
      <c r="C308" s="6" t="str">
        <f>"2300"</f>
        <v>2300</v>
      </c>
      <c r="D308" s="3" t="s">
        <v>578</v>
      </c>
      <c r="E308" s="26" t="s">
        <v>579</v>
      </c>
    </row>
    <row r="309" spans="1:5" x14ac:dyDescent="0.25">
      <c r="A309" s="2" t="str">
        <f t="shared" si="14"/>
        <v>19</v>
      </c>
      <c r="B309" s="1" t="s">
        <v>1157</v>
      </c>
      <c r="C309" s="6" t="str">
        <f>"2305"</f>
        <v>2305</v>
      </c>
      <c r="D309" s="3" t="s">
        <v>580</v>
      </c>
      <c r="E309" s="26" t="s">
        <v>581</v>
      </c>
    </row>
    <row r="310" spans="1:5" x14ac:dyDescent="0.25">
      <c r="A310" s="2" t="str">
        <f t="shared" si="14"/>
        <v>19</v>
      </c>
      <c r="B310" s="1" t="s">
        <v>1157</v>
      </c>
      <c r="C310" s="6" t="str">
        <f>"2308"</f>
        <v>2308</v>
      </c>
      <c r="D310" s="3" t="s">
        <v>582</v>
      </c>
      <c r="E310" s="26" t="s">
        <v>583</v>
      </c>
    </row>
    <row r="311" spans="1:5" x14ac:dyDescent="0.25">
      <c r="A311" s="2" t="str">
        <f t="shared" si="14"/>
        <v>19</v>
      </c>
      <c r="B311" s="1" t="s">
        <v>1157</v>
      </c>
      <c r="C311" s="6" t="str">
        <f>"2450"</f>
        <v>2450</v>
      </c>
      <c r="D311" s="3" t="s">
        <v>1291</v>
      </c>
      <c r="E311" s="26" t="s">
        <v>584</v>
      </c>
    </row>
    <row r="312" spans="1:5" x14ac:dyDescent="0.25">
      <c r="A312" s="2" t="str">
        <f t="shared" si="14"/>
        <v>19</v>
      </c>
      <c r="B312" s="1" t="s">
        <v>1157</v>
      </c>
      <c r="C312" s="6" t="str">
        <f>"2590"</f>
        <v>2590</v>
      </c>
      <c r="D312" s="3" t="s">
        <v>585</v>
      </c>
      <c r="E312" s="26" t="s">
        <v>586</v>
      </c>
    </row>
    <row r="313" spans="1:5" x14ac:dyDescent="0.25">
      <c r="A313" s="2" t="str">
        <f t="shared" si="14"/>
        <v>19</v>
      </c>
      <c r="B313" s="1" t="s">
        <v>1157</v>
      </c>
      <c r="C313" s="6" t="str">
        <f>"2600"</f>
        <v>2600</v>
      </c>
      <c r="D313" s="3" t="s">
        <v>587</v>
      </c>
      <c r="E313" s="26" t="s">
        <v>588</v>
      </c>
    </row>
    <row r="314" spans="1:5" x14ac:dyDescent="0.25">
      <c r="A314" s="2" t="str">
        <f t="shared" si="14"/>
        <v>19</v>
      </c>
      <c r="B314" s="1" t="s">
        <v>1157</v>
      </c>
      <c r="C314" s="6" t="str">
        <f>"3180"</f>
        <v>3180</v>
      </c>
      <c r="D314" s="3" t="s">
        <v>589</v>
      </c>
      <c r="E314" s="26" t="s">
        <v>590</v>
      </c>
    </row>
    <row r="315" spans="1:5" x14ac:dyDescent="0.25">
      <c r="A315" s="2" t="str">
        <f t="shared" si="14"/>
        <v>19</v>
      </c>
      <c r="B315" s="1" t="s">
        <v>1157</v>
      </c>
      <c r="C315" s="6" t="str">
        <f>"3660"</f>
        <v>3660</v>
      </c>
      <c r="D315" s="3" t="s">
        <v>591</v>
      </c>
      <c r="E315" s="26" t="s">
        <v>592</v>
      </c>
    </row>
    <row r="316" spans="1:5" x14ac:dyDescent="0.25">
      <c r="A316" s="2" t="str">
        <f t="shared" si="14"/>
        <v>19</v>
      </c>
      <c r="B316" s="1" t="s">
        <v>1157</v>
      </c>
      <c r="C316" s="6" t="str">
        <f>"4350"</f>
        <v>4350</v>
      </c>
      <c r="D316" s="3" t="s">
        <v>593</v>
      </c>
      <c r="E316" s="26" t="s">
        <v>594</v>
      </c>
    </row>
    <row r="317" spans="1:5" x14ac:dyDescent="0.25">
      <c r="A317" s="2" t="str">
        <f t="shared" si="14"/>
        <v>19</v>
      </c>
      <c r="B317" s="1" t="s">
        <v>1157</v>
      </c>
      <c r="C317" s="6" t="str">
        <f>"1376"</f>
        <v>1376</v>
      </c>
      <c r="D317" s="3" t="s">
        <v>1292</v>
      </c>
      <c r="E317" s="26" t="s">
        <v>595</v>
      </c>
    </row>
    <row r="318" spans="1:5" x14ac:dyDescent="0.25">
      <c r="A318" s="2" t="str">
        <f t="shared" si="14"/>
        <v>19</v>
      </c>
      <c r="B318" s="1" t="s">
        <v>1157</v>
      </c>
      <c r="C318" s="6" t="str">
        <f>"5180"</f>
        <v>5180</v>
      </c>
      <c r="D318" s="3" t="s">
        <v>596</v>
      </c>
      <c r="E318" s="26" t="s">
        <v>597</v>
      </c>
    </row>
    <row r="319" spans="1:5" x14ac:dyDescent="0.25">
      <c r="A319" s="2" t="str">
        <f t="shared" si="14"/>
        <v>19</v>
      </c>
      <c r="B319" s="1" t="s">
        <v>1157</v>
      </c>
      <c r="C319" s="6" t="str">
        <f>"5270"</f>
        <v>5270</v>
      </c>
      <c r="D319" s="3" t="s">
        <v>598</v>
      </c>
      <c r="E319" s="26" t="s">
        <v>599</v>
      </c>
    </row>
    <row r="320" spans="1:5" x14ac:dyDescent="0.25">
      <c r="A320" s="2" t="str">
        <f t="shared" ref="A320:A331" si="15">"21"</f>
        <v>21</v>
      </c>
      <c r="B320" s="1" t="s">
        <v>1158</v>
      </c>
      <c r="C320" s="6" t="str">
        <f>"3105"</f>
        <v>3105</v>
      </c>
      <c r="D320" s="3" t="s">
        <v>1293</v>
      </c>
      <c r="E320" s="26" t="s">
        <v>600</v>
      </c>
    </row>
    <row r="321" spans="1:5" x14ac:dyDescent="0.25">
      <c r="A321" s="2" t="str">
        <f t="shared" si="15"/>
        <v>21</v>
      </c>
      <c r="B321" s="1" t="s">
        <v>1158</v>
      </c>
      <c r="C321" s="6" t="str">
        <f>"1245"</f>
        <v>1245</v>
      </c>
      <c r="D321" s="3" t="s">
        <v>1294</v>
      </c>
      <c r="E321" s="26" t="s">
        <v>601</v>
      </c>
    </row>
    <row r="322" spans="1:5" x14ac:dyDescent="0.25">
      <c r="A322" s="2" t="str">
        <f t="shared" si="15"/>
        <v>21</v>
      </c>
      <c r="B322" s="1" t="s">
        <v>1158</v>
      </c>
      <c r="C322" s="6" t="str">
        <f>"1430"</f>
        <v>1430</v>
      </c>
      <c r="D322" s="3" t="s">
        <v>602</v>
      </c>
      <c r="E322" s="26" t="s">
        <v>603</v>
      </c>
    </row>
    <row r="323" spans="1:5" x14ac:dyDescent="0.25">
      <c r="A323" s="2" t="str">
        <f t="shared" si="15"/>
        <v>21</v>
      </c>
      <c r="B323" s="1" t="s">
        <v>1158</v>
      </c>
      <c r="C323" s="6" t="str">
        <f>"1950"</f>
        <v>1950</v>
      </c>
      <c r="D323" s="3" t="s">
        <v>606</v>
      </c>
      <c r="E323" s="26" t="s">
        <v>607</v>
      </c>
    </row>
    <row r="324" spans="1:5" x14ac:dyDescent="0.25">
      <c r="A324" s="2" t="str">
        <f t="shared" si="15"/>
        <v>21</v>
      </c>
      <c r="B324" s="1" t="s">
        <v>1158</v>
      </c>
      <c r="C324" s="6" t="str">
        <f>"2280"</f>
        <v>2280</v>
      </c>
      <c r="D324" s="3" t="s">
        <v>608</v>
      </c>
      <c r="E324" s="26" t="s">
        <v>609</v>
      </c>
    </row>
    <row r="325" spans="1:5" x14ac:dyDescent="0.25">
      <c r="A325" s="2" t="str">
        <f t="shared" si="15"/>
        <v>21</v>
      </c>
      <c r="B325" s="1" t="s">
        <v>1158</v>
      </c>
      <c r="C325" s="6" t="str">
        <f>"2580"</f>
        <v>2580</v>
      </c>
      <c r="D325" s="3" t="s">
        <v>613</v>
      </c>
      <c r="E325" s="26" t="s">
        <v>614</v>
      </c>
    </row>
    <row r="326" spans="1:5" x14ac:dyDescent="0.25">
      <c r="A326" s="2" t="str">
        <f t="shared" si="15"/>
        <v>21</v>
      </c>
      <c r="B326" s="1" t="s">
        <v>1158</v>
      </c>
      <c r="C326" s="6" t="str">
        <f>"3103"</f>
        <v>3103</v>
      </c>
      <c r="D326" s="3" t="s">
        <v>615</v>
      </c>
      <c r="E326" s="26" t="s">
        <v>616</v>
      </c>
    </row>
    <row r="327" spans="1:5" x14ac:dyDescent="0.25">
      <c r="A327" s="2" t="str">
        <f t="shared" si="15"/>
        <v>21</v>
      </c>
      <c r="B327" s="1" t="s">
        <v>1158</v>
      </c>
      <c r="C327" s="6" t="str">
        <f>"4255"</f>
        <v>4255</v>
      </c>
      <c r="D327" s="3" t="s">
        <v>621</v>
      </c>
      <c r="E327" s="26" t="s">
        <v>622</v>
      </c>
    </row>
    <row r="328" spans="1:5" x14ac:dyDescent="0.25">
      <c r="A328" s="2" t="str">
        <f t="shared" si="15"/>
        <v>21</v>
      </c>
      <c r="B328" s="1" t="s">
        <v>1158</v>
      </c>
      <c r="C328" s="6" t="str">
        <f>"5510"</f>
        <v>5510</v>
      </c>
      <c r="D328" s="3" t="s">
        <v>623</v>
      </c>
      <c r="E328" s="26" t="s">
        <v>624</v>
      </c>
    </row>
    <row r="329" spans="1:5" x14ac:dyDescent="0.25">
      <c r="A329" s="2" t="str">
        <f t="shared" si="15"/>
        <v>21</v>
      </c>
      <c r="B329" s="1" t="s">
        <v>1158</v>
      </c>
      <c r="C329" s="6" t="str">
        <f>"5210"</f>
        <v>5210</v>
      </c>
      <c r="D329" s="3" t="s">
        <v>1295</v>
      </c>
      <c r="E329" s="26" t="s">
        <v>627</v>
      </c>
    </row>
    <row r="330" spans="1:5" x14ac:dyDescent="0.25">
      <c r="A330" s="2" t="str">
        <f t="shared" si="15"/>
        <v>21</v>
      </c>
      <c r="B330" s="1" t="s">
        <v>1158</v>
      </c>
      <c r="C330" s="6" t="str">
        <f>"5715"</f>
        <v>5715</v>
      </c>
      <c r="D330" s="3" t="s">
        <v>629</v>
      </c>
      <c r="E330" s="26" t="s">
        <v>630</v>
      </c>
    </row>
    <row r="331" spans="1:5" ht="30" x14ac:dyDescent="0.25">
      <c r="A331" s="32" t="str">
        <f t="shared" si="15"/>
        <v>21</v>
      </c>
      <c r="B331" s="25" t="s">
        <v>1159</v>
      </c>
      <c r="C331" s="33" t="str">
        <f>"1431"</f>
        <v>1431</v>
      </c>
      <c r="D331" s="34" t="s">
        <v>1296</v>
      </c>
      <c r="E331" s="35" t="s">
        <v>2</v>
      </c>
    </row>
    <row r="332" spans="1:5" x14ac:dyDescent="0.25">
      <c r="A332" s="2" t="str">
        <f t="shared" ref="A332:A356" si="16">"23"</f>
        <v>23</v>
      </c>
      <c r="B332" s="1" t="s">
        <v>1160</v>
      </c>
      <c r="C332" s="6" t="str">
        <f>"0750"</f>
        <v>0750</v>
      </c>
      <c r="D332" s="3" t="s">
        <v>632</v>
      </c>
      <c r="E332" s="26" t="s">
        <v>633</v>
      </c>
    </row>
    <row r="333" spans="1:5" s="8" customFormat="1" ht="15.75" thickBot="1" x14ac:dyDescent="0.3">
      <c r="A333" s="4" t="str">
        <f t="shared" si="16"/>
        <v>23</v>
      </c>
      <c r="B333" s="31" t="s">
        <v>1160</v>
      </c>
      <c r="C333" s="7" t="str">
        <f>"0970"</f>
        <v>0970</v>
      </c>
      <c r="D333" s="5" t="s">
        <v>634</v>
      </c>
      <c r="E333" s="30" t="s">
        <v>635</v>
      </c>
    </row>
    <row r="334" spans="1:5" ht="15.75" thickTop="1" x14ac:dyDescent="0.25">
      <c r="A334" s="2" t="str">
        <f t="shared" si="16"/>
        <v>23</v>
      </c>
      <c r="B334" s="1" t="s">
        <v>1160</v>
      </c>
      <c r="C334" s="6" t="str">
        <f>"1140"</f>
        <v>1140</v>
      </c>
      <c r="D334" s="3" t="s">
        <v>636</v>
      </c>
      <c r="E334" s="26" t="s">
        <v>637</v>
      </c>
    </row>
    <row r="335" spans="1:5" x14ac:dyDescent="0.25">
      <c r="A335" s="2" t="str">
        <f t="shared" si="16"/>
        <v>23</v>
      </c>
      <c r="B335" s="1" t="s">
        <v>1160</v>
      </c>
      <c r="C335" s="6" t="str">
        <f>"1170"</f>
        <v>1170</v>
      </c>
      <c r="D335" s="3" t="s">
        <v>638</v>
      </c>
      <c r="E335" s="26" t="s">
        <v>639</v>
      </c>
    </row>
    <row r="336" spans="1:5" x14ac:dyDescent="0.25">
      <c r="A336" s="2" t="str">
        <f t="shared" si="16"/>
        <v>23</v>
      </c>
      <c r="B336" s="1" t="s">
        <v>1160</v>
      </c>
      <c r="C336" s="6" t="str">
        <f>"1290"</f>
        <v>1290</v>
      </c>
      <c r="D336" s="3" t="s">
        <v>640</v>
      </c>
      <c r="E336" s="26" t="s">
        <v>641</v>
      </c>
    </row>
    <row r="337" spans="1:5" x14ac:dyDescent="0.25">
      <c r="A337" s="2" t="str">
        <f t="shared" si="16"/>
        <v>23</v>
      </c>
      <c r="B337" s="1" t="s">
        <v>1160</v>
      </c>
      <c r="C337" s="6" t="str">
        <f>"2150"</f>
        <v>2150</v>
      </c>
      <c r="D337" s="3" t="s">
        <v>645</v>
      </c>
      <c r="E337" s="26" t="s">
        <v>646</v>
      </c>
    </row>
    <row r="338" spans="1:5" x14ac:dyDescent="0.25">
      <c r="A338" s="2" t="str">
        <f t="shared" si="16"/>
        <v>23</v>
      </c>
      <c r="B338" s="1" t="s">
        <v>1160</v>
      </c>
      <c r="C338" s="6" t="str">
        <f>"2370"</f>
        <v>2370</v>
      </c>
      <c r="D338" s="3" t="s">
        <v>647</v>
      </c>
      <c r="E338" s="26" t="s">
        <v>648</v>
      </c>
    </row>
    <row r="339" spans="1:5" x14ac:dyDescent="0.25">
      <c r="A339" s="2" t="str">
        <f t="shared" si="16"/>
        <v>23</v>
      </c>
      <c r="B339" s="1" t="s">
        <v>1160</v>
      </c>
      <c r="C339" s="6" t="str">
        <f>"3120"</f>
        <v>3120</v>
      </c>
      <c r="D339" s="3" t="s">
        <v>649</v>
      </c>
      <c r="E339" s="26" t="s">
        <v>650</v>
      </c>
    </row>
    <row r="340" spans="1:5" x14ac:dyDescent="0.25">
      <c r="A340" s="2" t="str">
        <f t="shared" si="16"/>
        <v>23</v>
      </c>
      <c r="B340" s="1" t="s">
        <v>1160</v>
      </c>
      <c r="C340" s="6" t="str">
        <f>"3140"</f>
        <v>3140</v>
      </c>
      <c r="D340" s="3" t="s">
        <v>651</v>
      </c>
      <c r="E340" s="26" t="s">
        <v>652</v>
      </c>
    </row>
    <row r="341" spans="1:5" x14ac:dyDescent="0.25">
      <c r="A341" s="2" t="str">
        <f t="shared" si="16"/>
        <v>23</v>
      </c>
      <c r="B341" s="1" t="s">
        <v>1160</v>
      </c>
      <c r="C341" s="6" t="str">
        <f>"3150"</f>
        <v>3150</v>
      </c>
      <c r="D341" s="3" t="s">
        <v>1297</v>
      </c>
      <c r="E341" s="26" t="s">
        <v>653</v>
      </c>
    </row>
    <row r="342" spans="1:5" x14ac:dyDescent="0.25">
      <c r="A342" s="2" t="str">
        <f t="shared" si="16"/>
        <v>23</v>
      </c>
      <c r="B342" s="1" t="s">
        <v>1160</v>
      </c>
      <c r="C342" s="6" t="str">
        <f>"3145"</f>
        <v>3145</v>
      </c>
      <c r="D342" s="3" t="s">
        <v>654</v>
      </c>
      <c r="E342" s="26" t="s">
        <v>655</v>
      </c>
    </row>
    <row r="343" spans="1:5" x14ac:dyDescent="0.25">
      <c r="A343" s="2" t="str">
        <f t="shared" si="16"/>
        <v>23</v>
      </c>
      <c r="B343" s="1" t="s">
        <v>1160</v>
      </c>
      <c r="C343" s="6" t="str">
        <f>"3220"</f>
        <v>3220</v>
      </c>
      <c r="D343" s="3" t="s">
        <v>656</v>
      </c>
      <c r="E343" s="26" t="s">
        <v>657</v>
      </c>
    </row>
    <row r="344" spans="1:5" x14ac:dyDescent="0.25">
      <c r="A344" s="2" t="str">
        <f t="shared" si="16"/>
        <v>23</v>
      </c>
      <c r="B344" s="1" t="s">
        <v>1160</v>
      </c>
      <c r="C344" s="6" t="str">
        <f>"3290"</f>
        <v>3290</v>
      </c>
      <c r="D344" s="3" t="s">
        <v>658</v>
      </c>
      <c r="E344" s="26" t="s">
        <v>659</v>
      </c>
    </row>
    <row r="345" spans="1:5" x14ac:dyDescent="0.25">
      <c r="A345" s="2" t="str">
        <f t="shared" si="16"/>
        <v>23</v>
      </c>
      <c r="B345" s="1" t="s">
        <v>1160</v>
      </c>
      <c r="C345" s="6" t="str">
        <f>"3530"</f>
        <v>3530</v>
      </c>
      <c r="D345" s="3" t="s">
        <v>660</v>
      </c>
      <c r="E345" s="26" t="s">
        <v>661</v>
      </c>
    </row>
    <row r="346" spans="1:5" x14ac:dyDescent="0.25">
      <c r="A346" s="2" t="str">
        <f t="shared" si="16"/>
        <v>23</v>
      </c>
      <c r="B346" s="1" t="s">
        <v>1160</v>
      </c>
      <c r="C346" s="6" t="str">
        <f>"3620"</f>
        <v>3620</v>
      </c>
      <c r="D346" s="3" t="s">
        <v>662</v>
      </c>
      <c r="E346" s="26" t="s">
        <v>663</v>
      </c>
    </row>
    <row r="347" spans="1:5" x14ac:dyDescent="0.25">
      <c r="A347" s="2" t="str">
        <f t="shared" si="16"/>
        <v>23</v>
      </c>
      <c r="B347" s="1" t="s">
        <v>1160</v>
      </c>
      <c r="C347" s="6" t="str">
        <f>"3845"</f>
        <v>3845</v>
      </c>
      <c r="D347" s="3" t="s">
        <v>664</v>
      </c>
      <c r="E347" s="26" t="s">
        <v>665</v>
      </c>
    </row>
    <row r="348" spans="1:5" x14ac:dyDescent="0.25">
      <c r="A348" s="2" t="str">
        <f t="shared" si="16"/>
        <v>23</v>
      </c>
      <c r="B348" s="1" t="s">
        <v>1160</v>
      </c>
      <c r="C348" s="6" t="str">
        <f>"4090"</f>
        <v>4090</v>
      </c>
      <c r="D348" s="3" t="s">
        <v>666</v>
      </c>
      <c r="E348" s="26" t="s">
        <v>667</v>
      </c>
    </row>
    <row r="349" spans="1:5" x14ac:dyDescent="0.25">
      <c r="A349" s="2" t="str">
        <f t="shared" si="16"/>
        <v>23</v>
      </c>
      <c r="B349" s="1" t="s">
        <v>1160</v>
      </c>
      <c r="C349" s="6" t="str">
        <f>"4130"</f>
        <v>4130</v>
      </c>
      <c r="D349" s="3" t="s">
        <v>668</v>
      </c>
      <c r="E349" s="26" t="s">
        <v>669</v>
      </c>
    </row>
    <row r="350" spans="1:5" x14ac:dyDescent="0.25">
      <c r="A350" s="2" t="str">
        <f t="shared" si="16"/>
        <v>23</v>
      </c>
      <c r="B350" s="1" t="s">
        <v>1160</v>
      </c>
      <c r="C350" s="6" t="str">
        <f>"4660"</f>
        <v>4660</v>
      </c>
      <c r="D350" s="3" t="s">
        <v>670</v>
      </c>
      <c r="E350" s="26" t="s">
        <v>671</v>
      </c>
    </row>
    <row r="351" spans="1:5" x14ac:dyDescent="0.25">
      <c r="A351" s="2" t="str">
        <f t="shared" si="16"/>
        <v>23</v>
      </c>
      <c r="B351" s="1" t="s">
        <v>1160</v>
      </c>
      <c r="C351" s="6" t="str">
        <f>"4830"</f>
        <v>4830</v>
      </c>
      <c r="D351" s="3" t="s">
        <v>672</v>
      </c>
      <c r="E351" s="26" t="s">
        <v>673</v>
      </c>
    </row>
    <row r="352" spans="1:5" x14ac:dyDescent="0.25">
      <c r="A352" s="2" t="str">
        <f t="shared" si="16"/>
        <v>23</v>
      </c>
      <c r="B352" s="1" t="s">
        <v>1160</v>
      </c>
      <c r="C352" s="6" t="str">
        <f>"4860"</f>
        <v>4860</v>
      </c>
      <c r="D352" s="3" t="s">
        <v>674</v>
      </c>
      <c r="E352" s="26" t="s">
        <v>675</v>
      </c>
    </row>
    <row r="353" spans="1:5" x14ac:dyDescent="0.25">
      <c r="A353" s="2" t="str">
        <f t="shared" si="16"/>
        <v>23</v>
      </c>
      <c r="B353" s="1" t="s">
        <v>1160</v>
      </c>
      <c r="C353" s="6" t="str">
        <f>"4910"</f>
        <v>4910</v>
      </c>
      <c r="D353" s="3" t="s">
        <v>676</v>
      </c>
      <c r="E353" s="26" t="s">
        <v>677</v>
      </c>
    </row>
    <row r="354" spans="1:5" x14ac:dyDescent="0.25">
      <c r="A354" s="2" t="str">
        <f t="shared" si="16"/>
        <v>23</v>
      </c>
      <c r="B354" s="1" t="s">
        <v>1160</v>
      </c>
      <c r="C354" s="6" t="str">
        <f>"4920"</f>
        <v>4920</v>
      </c>
      <c r="D354" s="3" t="s">
        <v>678</v>
      </c>
      <c r="E354" s="26" t="s">
        <v>679</v>
      </c>
    </row>
    <row r="355" spans="1:5" x14ac:dyDescent="0.25">
      <c r="A355" s="2" t="str">
        <f t="shared" si="16"/>
        <v>23</v>
      </c>
      <c r="B355" s="1" t="s">
        <v>1160</v>
      </c>
      <c r="C355" s="6" t="str">
        <f>"4970"</f>
        <v>4970</v>
      </c>
      <c r="D355" s="3" t="s">
        <v>680</v>
      </c>
      <c r="E355" s="26" t="s">
        <v>681</v>
      </c>
    </row>
    <row r="356" spans="1:5" x14ac:dyDescent="0.25">
      <c r="A356" s="2" t="str">
        <f t="shared" si="16"/>
        <v>23</v>
      </c>
      <c r="B356" s="1" t="s">
        <v>1160</v>
      </c>
      <c r="C356" s="6" t="str">
        <f>"5850"</f>
        <v>5850</v>
      </c>
      <c r="D356" s="3" t="s">
        <v>682</v>
      </c>
      <c r="E356" s="26" t="s">
        <v>683</v>
      </c>
    </row>
    <row r="357" spans="1:5" x14ac:dyDescent="0.25">
      <c r="A357" s="2" t="str">
        <f t="shared" ref="A357:A412" si="17">"25"</f>
        <v>25</v>
      </c>
      <c r="B357" s="1" t="s">
        <v>1161</v>
      </c>
      <c r="C357" s="6" t="str">
        <f>"0050"</f>
        <v>0050</v>
      </c>
      <c r="D357" s="3" t="s">
        <v>686</v>
      </c>
      <c r="E357" s="27" t="s">
        <v>1142</v>
      </c>
    </row>
    <row r="358" spans="1:5" x14ac:dyDescent="0.25">
      <c r="A358" s="2" t="str">
        <f t="shared" si="17"/>
        <v>25</v>
      </c>
      <c r="B358" s="1" t="s">
        <v>1161</v>
      </c>
      <c r="C358" s="6" t="str">
        <f>"0100"</f>
        <v>0100</v>
      </c>
      <c r="D358" s="3" t="s">
        <v>687</v>
      </c>
      <c r="E358" s="26" t="s">
        <v>688</v>
      </c>
    </row>
    <row r="359" spans="1:5" x14ac:dyDescent="0.25">
      <c r="A359" s="2" t="str">
        <f t="shared" si="17"/>
        <v>25</v>
      </c>
      <c r="B359" s="1" t="s">
        <v>1161</v>
      </c>
      <c r="C359" s="6" t="str">
        <f>"0130"</f>
        <v>0130</v>
      </c>
      <c r="D359" s="3" t="s">
        <v>689</v>
      </c>
      <c r="E359" s="26" t="s">
        <v>690</v>
      </c>
    </row>
    <row r="360" spans="1:5" x14ac:dyDescent="0.25">
      <c r="A360" s="2" t="str">
        <f t="shared" si="17"/>
        <v>25</v>
      </c>
      <c r="B360" s="1" t="s">
        <v>1161</v>
      </c>
      <c r="C360" s="6" t="str">
        <f>"0180"</f>
        <v>0180</v>
      </c>
      <c r="D360" s="3" t="s">
        <v>1298</v>
      </c>
      <c r="E360" s="26" t="s">
        <v>691</v>
      </c>
    </row>
    <row r="361" spans="1:5" x14ac:dyDescent="0.25">
      <c r="A361" s="2" t="str">
        <f t="shared" si="17"/>
        <v>25</v>
      </c>
      <c r="B361" s="1" t="s">
        <v>1161</v>
      </c>
      <c r="C361" s="6" t="str">
        <f>"0225"</f>
        <v>0225</v>
      </c>
      <c r="D361" s="3" t="s">
        <v>1299</v>
      </c>
      <c r="E361" s="26" t="s">
        <v>692</v>
      </c>
    </row>
    <row r="362" spans="1:5" x14ac:dyDescent="0.25">
      <c r="A362" s="2" t="str">
        <f t="shared" si="17"/>
        <v>25</v>
      </c>
      <c r="B362" s="1" t="s">
        <v>1161</v>
      </c>
      <c r="C362" s="6" t="str">
        <f>"0270"</f>
        <v>0270</v>
      </c>
      <c r="D362" s="3" t="s">
        <v>693</v>
      </c>
      <c r="E362" s="26" t="s">
        <v>694</v>
      </c>
    </row>
    <row r="363" spans="1:5" x14ac:dyDescent="0.25">
      <c r="A363" s="2" t="str">
        <f t="shared" si="17"/>
        <v>25</v>
      </c>
      <c r="B363" s="1" t="s">
        <v>1161</v>
      </c>
      <c r="C363" s="6" t="str">
        <f>"0500"</f>
        <v>0500</v>
      </c>
      <c r="D363" s="3" t="s">
        <v>695</v>
      </c>
      <c r="E363" s="26" t="s">
        <v>696</v>
      </c>
    </row>
    <row r="364" spans="1:5" x14ac:dyDescent="0.25">
      <c r="A364" s="2" t="str">
        <f t="shared" si="17"/>
        <v>25</v>
      </c>
      <c r="B364" s="1" t="s">
        <v>1161</v>
      </c>
      <c r="C364" s="6" t="str">
        <f>"0560"</f>
        <v>0560</v>
      </c>
      <c r="D364" s="3" t="s">
        <v>1300</v>
      </c>
      <c r="E364" s="26" t="s">
        <v>697</v>
      </c>
    </row>
    <row r="365" spans="1:5" x14ac:dyDescent="0.25">
      <c r="A365" s="2" t="str">
        <f t="shared" si="17"/>
        <v>25</v>
      </c>
      <c r="B365" s="1" t="s">
        <v>1161</v>
      </c>
      <c r="C365" s="6" t="str">
        <f>"0945"</f>
        <v>0945</v>
      </c>
      <c r="D365" s="3" t="s">
        <v>698</v>
      </c>
      <c r="E365" s="26" t="s">
        <v>699</v>
      </c>
    </row>
    <row r="366" spans="1:5" x14ac:dyDescent="0.25">
      <c r="A366" s="2" t="str">
        <f t="shared" si="17"/>
        <v>25</v>
      </c>
      <c r="B366" s="1" t="s">
        <v>1161</v>
      </c>
      <c r="C366" s="6" t="str">
        <f>"1000"</f>
        <v>1000</v>
      </c>
      <c r="D366" s="3" t="s">
        <v>1301</v>
      </c>
      <c r="E366" s="26" t="s">
        <v>700</v>
      </c>
    </row>
    <row r="367" spans="1:5" x14ac:dyDescent="0.25">
      <c r="A367" s="2" t="str">
        <f t="shared" si="17"/>
        <v>25</v>
      </c>
      <c r="B367" s="1" t="s">
        <v>1161</v>
      </c>
      <c r="C367" s="6" t="str">
        <f>"1260"</f>
        <v>1260</v>
      </c>
      <c r="D367" s="3" t="s">
        <v>701</v>
      </c>
      <c r="E367" s="26" t="s">
        <v>702</v>
      </c>
    </row>
    <row r="368" spans="1:5" x14ac:dyDescent="0.25">
      <c r="A368" s="2" t="str">
        <f t="shared" si="17"/>
        <v>25</v>
      </c>
      <c r="B368" s="1" t="s">
        <v>1161</v>
      </c>
      <c r="C368" s="6" t="str">
        <f>"1440"</f>
        <v>1440</v>
      </c>
      <c r="D368" s="3" t="s">
        <v>703</v>
      </c>
      <c r="E368" s="26" t="s">
        <v>704</v>
      </c>
    </row>
    <row r="369" spans="1:5" x14ac:dyDescent="0.25">
      <c r="A369" s="2" t="str">
        <f t="shared" si="17"/>
        <v>25</v>
      </c>
      <c r="B369" s="1" t="s">
        <v>1161</v>
      </c>
      <c r="C369" s="6" t="str">
        <f>"1490"</f>
        <v>1490</v>
      </c>
      <c r="D369" s="3" t="s">
        <v>705</v>
      </c>
      <c r="E369" s="26" t="s">
        <v>706</v>
      </c>
    </row>
    <row r="370" spans="1:5" x14ac:dyDescent="0.25">
      <c r="A370" s="2" t="str">
        <f t="shared" si="17"/>
        <v>25</v>
      </c>
      <c r="B370" s="1" t="s">
        <v>1161</v>
      </c>
      <c r="C370" s="6" t="str">
        <f>"1640"</f>
        <v>1640</v>
      </c>
      <c r="D370" s="3" t="s">
        <v>707</v>
      </c>
      <c r="E370" s="26" t="s">
        <v>708</v>
      </c>
    </row>
    <row r="371" spans="1:5" x14ac:dyDescent="0.25">
      <c r="A371" s="2" t="str">
        <f t="shared" si="17"/>
        <v>25</v>
      </c>
      <c r="B371" s="1" t="s">
        <v>1161</v>
      </c>
      <c r="C371" s="6" t="str">
        <f>"1650"</f>
        <v>1650</v>
      </c>
      <c r="D371" s="3" t="s">
        <v>709</v>
      </c>
      <c r="E371" s="26" t="s">
        <v>710</v>
      </c>
    </row>
    <row r="372" spans="1:5" x14ac:dyDescent="0.25">
      <c r="A372" s="2" t="str">
        <f t="shared" si="17"/>
        <v>25</v>
      </c>
      <c r="B372" s="1" t="s">
        <v>1161</v>
      </c>
      <c r="C372" s="6" t="str">
        <f>"1660"</f>
        <v>1660</v>
      </c>
      <c r="D372" s="3" t="s">
        <v>711</v>
      </c>
      <c r="E372" s="26" t="s">
        <v>712</v>
      </c>
    </row>
    <row r="373" spans="1:5" x14ac:dyDescent="0.25">
      <c r="A373" s="2" t="str">
        <f t="shared" si="17"/>
        <v>25</v>
      </c>
      <c r="B373" s="1" t="s">
        <v>1161</v>
      </c>
      <c r="C373" s="6" t="str">
        <f>"2105"</f>
        <v>2105</v>
      </c>
      <c r="D373" s="3" t="s">
        <v>713</v>
      </c>
      <c r="E373" s="26" t="s">
        <v>714</v>
      </c>
    </row>
    <row r="374" spans="1:5" x14ac:dyDescent="0.25">
      <c r="A374" s="2" t="str">
        <f t="shared" si="17"/>
        <v>25</v>
      </c>
      <c r="B374" s="1" t="s">
        <v>1161</v>
      </c>
      <c r="C374" s="6" t="str">
        <f>"2120"</f>
        <v>2120</v>
      </c>
      <c r="D374" s="3" t="s">
        <v>715</v>
      </c>
      <c r="E374" s="26" t="s">
        <v>716</v>
      </c>
    </row>
    <row r="375" spans="1:5" x14ac:dyDescent="0.25">
      <c r="A375" s="2" t="str">
        <f t="shared" si="17"/>
        <v>25</v>
      </c>
      <c r="B375" s="1" t="s">
        <v>1161</v>
      </c>
      <c r="C375" s="6" t="str">
        <f>"2160"</f>
        <v>2160</v>
      </c>
      <c r="D375" s="3" t="s">
        <v>717</v>
      </c>
      <c r="E375" s="26" t="s">
        <v>718</v>
      </c>
    </row>
    <row r="376" spans="1:5" x14ac:dyDescent="0.25">
      <c r="A376" s="2" t="str">
        <f t="shared" si="17"/>
        <v>25</v>
      </c>
      <c r="B376" s="1" t="s">
        <v>1161</v>
      </c>
      <c r="C376" s="6" t="str">
        <f>"2230"</f>
        <v>2230</v>
      </c>
      <c r="D376" s="3" t="s">
        <v>719</v>
      </c>
      <c r="E376" s="26" t="s">
        <v>720</v>
      </c>
    </row>
    <row r="377" spans="1:5" x14ac:dyDescent="0.25">
      <c r="A377" s="2" t="str">
        <f t="shared" si="17"/>
        <v>25</v>
      </c>
      <c r="B377" s="1" t="s">
        <v>1161</v>
      </c>
      <c r="C377" s="6" t="str">
        <f>"2290"</f>
        <v>2290</v>
      </c>
      <c r="D377" s="3" t="s">
        <v>1302</v>
      </c>
      <c r="E377" s="26" t="s">
        <v>723</v>
      </c>
    </row>
    <row r="378" spans="1:5" x14ac:dyDescent="0.25">
      <c r="A378" s="2" t="str">
        <f t="shared" si="17"/>
        <v>25</v>
      </c>
      <c r="B378" s="1" t="s">
        <v>1161</v>
      </c>
      <c r="C378" s="6" t="str">
        <f>"2320"</f>
        <v>2320</v>
      </c>
      <c r="D378" s="3" t="s">
        <v>724</v>
      </c>
      <c r="E378" s="26" t="s">
        <v>725</v>
      </c>
    </row>
    <row r="379" spans="1:5" x14ac:dyDescent="0.25">
      <c r="A379" s="2" t="str">
        <f t="shared" si="17"/>
        <v>25</v>
      </c>
      <c r="B379" s="1" t="s">
        <v>1161</v>
      </c>
      <c r="C379" s="6" t="str">
        <f>"2400"</f>
        <v>2400</v>
      </c>
      <c r="D379" s="3" t="s">
        <v>726</v>
      </c>
      <c r="E379" s="26" t="s">
        <v>727</v>
      </c>
    </row>
    <row r="380" spans="1:5" x14ac:dyDescent="0.25">
      <c r="A380" s="2" t="str">
        <f t="shared" si="17"/>
        <v>25</v>
      </c>
      <c r="B380" s="1" t="s">
        <v>1161</v>
      </c>
      <c r="C380" s="6" t="str">
        <f>"2430"</f>
        <v>2430</v>
      </c>
      <c r="D380" s="3" t="s">
        <v>728</v>
      </c>
      <c r="E380" s="26" t="s">
        <v>729</v>
      </c>
    </row>
    <row r="381" spans="1:5" x14ac:dyDescent="0.25">
      <c r="A381" s="2" t="str">
        <f t="shared" si="17"/>
        <v>25</v>
      </c>
      <c r="B381" s="1" t="s">
        <v>1161</v>
      </c>
      <c r="C381" s="6" t="str">
        <f>"4840"</f>
        <v>4840</v>
      </c>
      <c r="D381" s="3" t="s">
        <v>730</v>
      </c>
      <c r="E381" s="26" t="s">
        <v>731</v>
      </c>
    </row>
    <row r="382" spans="1:5" x14ac:dyDescent="0.25">
      <c r="A382" s="2" t="str">
        <f t="shared" si="17"/>
        <v>25</v>
      </c>
      <c r="B382" s="1" t="s">
        <v>1161</v>
      </c>
      <c r="C382" s="6" t="str">
        <f>"2720"</f>
        <v>2720</v>
      </c>
      <c r="D382" s="3" t="s">
        <v>1303</v>
      </c>
      <c r="E382" s="26" t="s">
        <v>732</v>
      </c>
    </row>
    <row r="383" spans="1:5" x14ac:dyDescent="0.25">
      <c r="A383" s="2" t="str">
        <f t="shared" si="17"/>
        <v>25</v>
      </c>
      <c r="B383" s="1" t="s">
        <v>1161</v>
      </c>
      <c r="C383" s="6" t="str">
        <f>"2770"</f>
        <v>2770</v>
      </c>
      <c r="D383" s="3" t="s">
        <v>1304</v>
      </c>
      <c r="E383" s="26" t="s">
        <v>733</v>
      </c>
    </row>
    <row r="384" spans="1:5" x14ac:dyDescent="0.25">
      <c r="A384" s="2" t="str">
        <f t="shared" si="17"/>
        <v>25</v>
      </c>
      <c r="B384" s="1" t="s">
        <v>1161</v>
      </c>
      <c r="C384" s="6" t="str">
        <f>"2920"</f>
        <v>2920</v>
      </c>
      <c r="D384" s="3" t="s">
        <v>734</v>
      </c>
      <c r="E384" s="26" t="s">
        <v>735</v>
      </c>
    </row>
    <row r="385" spans="1:5" x14ac:dyDescent="0.25">
      <c r="A385" s="2" t="str">
        <f t="shared" si="17"/>
        <v>25</v>
      </c>
      <c r="B385" s="1" t="s">
        <v>1161</v>
      </c>
      <c r="C385" s="6" t="str">
        <f>"2930"</f>
        <v>2930</v>
      </c>
      <c r="D385" s="3" t="s">
        <v>736</v>
      </c>
      <c r="E385" s="26" t="s">
        <v>737</v>
      </c>
    </row>
    <row r="386" spans="1:5" x14ac:dyDescent="0.25">
      <c r="A386" s="2" t="str">
        <f t="shared" si="17"/>
        <v>25</v>
      </c>
      <c r="B386" s="1" t="s">
        <v>1161</v>
      </c>
      <c r="C386" s="6" t="str">
        <f>"3030"</f>
        <v>3030</v>
      </c>
      <c r="D386" s="3" t="s">
        <v>1305</v>
      </c>
      <c r="E386" s="26" t="s">
        <v>738</v>
      </c>
    </row>
    <row r="387" spans="1:5" x14ac:dyDescent="0.25">
      <c r="A387" s="2" t="str">
        <f t="shared" si="17"/>
        <v>25</v>
      </c>
      <c r="B387" s="1" t="s">
        <v>1161</v>
      </c>
      <c r="C387" s="6" t="str">
        <f>"3040"</f>
        <v>3040</v>
      </c>
      <c r="D387" s="3" t="s">
        <v>739</v>
      </c>
      <c r="E387" s="26" t="s">
        <v>740</v>
      </c>
    </row>
    <row r="388" spans="1:5" s="8" customFormat="1" ht="15.75" thickBot="1" x14ac:dyDescent="0.3">
      <c r="A388" s="4" t="str">
        <f t="shared" si="17"/>
        <v>25</v>
      </c>
      <c r="B388" s="31" t="s">
        <v>1161</v>
      </c>
      <c r="C388" s="7" t="str">
        <f>"3160"</f>
        <v>3160</v>
      </c>
      <c r="D388" s="5" t="s">
        <v>1306</v>
      </c>
      <c r="E388" s="30" t="s">
        <v>741</v>
      </c>
    </row>
    <row r="389" spans="1:5" ht="15.75" thickTop="1" x14ac:dyDescent="0.25">
      <c r="A389" s="2" t="str">
        <f t="shared" si="17"/>
        <v>25</v>
      </c>
      <c r="B389" s="1" t="s">
        <v>1161</v>
      </c>
      <c r="C389" s="6" t="str">
        <f>"3200"</f>
        <v>3200</v>
      </c>
      <c r="D389" s="3" t="s">
        <v>742</v>
      </c>
      <c r="E389" s="26" t="s">
        <v>743</v>
      </c>
    </row>
    <row r="390" spans="1:5" x14ac:dyDescent="0.25">
      <c r="A390" s="2" t="str">
        <f t="shared" si="17"/>
        <v>25</v>
      </c>
      <c r="B390" s="1" t="s">
        <v>1161</v>
      </c>
      <c r="C390" s="6" t="str">
        <f>"3250"</f>
        <v>3250</v>
      </c>
      <c r="D390" s="3" t="s">
        <v>1307</v>
      </c>
      <c r="E390" s="26" t="s">
        <v>744</v>
      </c>
    </row>
    <row r="391" spans="1:5" x14ac:dyDescent="0.25">
      <c r="A391" s="2" t="str">
        <f t="shared" si="17"/>
        <v>25</v>
      </c>
      <c r="B391" s="1" t="s">
        <v>1161</v>
      </c>
      <c r="C391" s="6" t="str">
        <f>"3260"</f>
        <v>3260</v>
      </c>
      <c r="D391" s="3" t="s">
        <v>745</v>
      </c>
      <c r="E391" s="26" t="s">
        <v>746</v>
      </c>
    </row>
    <row r="392" spans="1:5" x14ac:dyDescent="0.25">
      <c r="A392" s="2" t="str">
        <f t="shared" si="17"/>
        <v>25</v>
      </c>
      <c r="B392" s="1" t="s">
        <v>1161</v>
      </c>
      <c r="C392" s="6" t="str">
        <f>"3270"</f>
        <v>3270</v>
      </c>
      <c r="D392" s="3" t="s">
        <v>1308</v>
      </c>
      <c r="E392" s="26" t="s">
        <v>747</v>
      </c>
    </row>
    <row r="393" spans="1:5" x14ac:dyDescent="0.25">
      <c r="A393" s="2" t="str">
        <f t="shared" si="17"/>
        <v>25</v>
      </c>
      <c r="B393" s="1" t="s">
        <v>1161</v>
      </c>
      <c r="C393" s="6" t="str">
        <f>"3255"</f>
        <v>3255</v>
      </c>
      <c r="D393" s="3" t="s">
        <v>748</v>
      </c>
      <c r="E393" s="26" t="s">
        <v>749</v>
      </c>
    </row>
    <row r="394" spans="1:5" x14ac:dyDescent="0.25">
      <c r="A394" s="2" t="str">
        <f t="shared" si="17"/>
        <v>25</v>
      </c>
      <c r="B394" s="1" t="s">
        <v>1161</v>
      </c>
      <c r="C394" s="6" t="str">
        <f>"3500"</f>
        <v>3500</v>
      </c>
      <c r="D394" s="3" t="s">
        <v>1309</v>
      </c>
      <c r="E394" s="26" t="s">
        <v>750</v>
      </c>
    </row>
    <row r="395" spans="1:5" x14ac:dyDescent="0.25">
      <c r="A395" s="2" t="str">
        <f t="shared" si="17"/>
        <v>25</v>
      </c>
      <c r="B395" s="1" t="s">
        <v>1161</v>
      </c>
      <c r="C395" s="6" t="str">
        <f>"3510"</f>
        <v>3510</v>
      </c>
      <c r="D395" s="3" t="s">
        <v>1310</v>
      </c>
      <c r="E395" s="26" t="s">
        <v>751</v>
      </c>
    </row>
    <row r="396" spans="1:5" x14ac:dyDescent="0.25">
      <c r="A396" s="2" t="str">
        <f t="shared" si="17"/>
        <v>25</v>
      </c>
      <c r="B396" s="1" t="s">
        <v>1161</v>
      </c>
      <c r="C396" s="6" t="str">
        <f>"3830"</f>
        <v>3830</v>
      </c>
      <c r="D396" s="3" t="s">
        <v>752</v>
      </c>
      <c r="E396" s="26" t="s">
        <v>753</v>
      </c>
    </row>
    <row r="397" spans="1:5" x14ac:dyDescent="0.25">
      <c r="A397" s="2" t="str">
        <f t="shared" si="17"/>
        <v>25</v>
      </c>
      <c r="B397" s="1" t="s">
        <v>1161</v>
      </c>
      <c r="C397" s="6" t="str">
        <f>"4360"</f>
        <v>4360</v>
      </c>
      <c r="D397" s="3" t="s">
        <v>754</v>
      </c>
      <c r="E397" s="26" t="s">
        <v>755</v>
      </c>
    </row>
    <row r="398" spans="1:5" x14ac:dyDescent="0.25">
      <c r="A398" s="2" t="str">
        <f t="shared" si="17"/>
        <v>25</v>
      </c>
      <c r="B398" s="1" t="s">
        <v>1161</v>
      </c>
      <c r="C398" s="6" t="str">
        <f>"4365"</f>
        <v>4365</v>
      </c>
      <c r="D398" s="3" t="s">
        <v>758</v>
      </c>
      <c r="E398" s="26" t="s">
        <v>759</v>
      </c>
    </row>
    <row r="399" spans="1:5" x14ac:dyDescent="0.25">
      <c r="A399" s="2" t="str">
        <f t="shared" si="17"/>
        <v>25</v>
      </c>
      <c r="B399" s="1" t="s">
        <v>1161</v>
      </c>
      <c r="C399" s="6" t="str">
        <f>"4520"</f>
        <v>4520</v>
      </c>
      <c r="D399" s="3" t="s">
        <v>1311</v>
      </c>
      <c r="E399" s="26" t="s">
        <v>760</v>
      </c>
    </row>
    <row r="400" spans="1:5" x14ac:dyDescent="0.25">
      <c r="A400" s="2" t="str">
        <f t="shared" si="17"/>
        <v>25</v>
      </c>
      <c r="B400" s="1" t="s">
        <v>1161</v>
      </c>
      <c r="C400" s="6" t="str">
        <f>"4570"</f>
        <v>4570</v>
      </c>
      <c r="D400" s="3" t="s">
        <v>761</v>
      </c>
      <c r="E400" s="26" t="s">
        <v>762</v>
      </c>
    </row>
    <row r="401" spans="1:5" x14ac:dyDescent="0.25">
      <c r="A401" s="2" t="str">
        <f t="shared" si="17"/>
        <v>25</v>
      </c>
      <c r="B401" s="1" t="s">
        <v>1161</v>
      </c>
      <c r="C401" s="6" t="str">
        <f>"4580"</f>
        <v>4580</v>
      </c>
      <c r="D401" s="3" t="s">
        <v>1312</v>
      </c>
      <c r="E401" s="26" t="s">
        <v>763</v>
      </c>
    </row>
    <row r="402" spans="1:5" x14ac:dyDescent="0.25">
      <c r="A402" s="2" t="str">
        <f t="shared" si="17"/>
        <v>25</v>
      </c>
      <c r="B402" s="1" t="s">
        <v>1161</v>
      </c>
      <c r="C402" s="6" t="str">
        <f>"4690"</f>
        <v>4690</v>
      </c>
      <c r="D402" s="3" t="s">
        <v>764</v>
      </c>
      <c r="E402" s="26" t="s">
        <v>765</v>
      </c>
    </row>
    <row r="403" spans="1:5" x14ac:dyDescent="0.25">
      <c r="A403" s="2" t="str">
        <f t="shared" si="17"/>
        <v>25</v>
      </c>
      <c r="B403" s="1" t="s">
        <v>1161</v>
      </c>
      <c r="C403" s="6" t="str">
        <f>"4760"</f>
        <v>4760</v>
      </c>
      <c r="D403" s="3" t="s">
        <v>1313</v>
      </c>
      <c r="E403" s="26" t="s">
        <v>766</v>
      </c>
    </row>
    <row r="404" spans="1:5" x14ac:dyDescent="0.25">
      <c r="A404" s="2" t="str">
        <f t="shared" si="17"/>
        <v>25</v>
      </c>
      <c r="B404" s="1" t="s">
        <v>1161</v>
      </c>
      <c r="C404" s="6" t="str">
        <f>"4770"</f>
        <v>4770</v>
      </c>
      <c r="D404" s="3" t="s">
        <v>1314</v>
      </c>
      <c r="E404" s="26" t="s">
        <v>767</v>
      </c>
    </row>
    <row r="405" spans="1:5" x14ac:dyDescent="0.25">
      <c r="A405" s="2" t="str">
        <f t="shared" si="17"/>
        <v>25</v>
      </c>
      <c r="B405" s="1" t="s">
        <v>1161</v>
      </c>
      <c r="C405" s="6" t="str">
        <f>"4980"</f>
        <v>4980</v>
      </c>
      <c r="D405" s="3" t="s">
        <v>768</v>
      </c>
      <c r="E405" s="26" t="s">
        <v>769</v>
      </c>
    </row>
    <row r="406" spans="1:5" x14ac:dyDescent="0.25">
      <c r="A406" s="2" t="str">
        <f t="shared" si="17"/>
        <v>25</v>
      </c>
      <c r="B406" s="1" t="s">
        <v>1161</v>
      </c>
      <c r="C406" s="6" t="str">
        <f>"4990"</f>
        <v>4990</v>
      </c>
      <c r="D406" s="3" t="s">
        <v>1315</v>
      </c>
      <c r="E406" s="26" t="s">
        <v>770</v>
      </c>
    </row>
    <row r="407" spans="1:5" x14ac:dyDescent="0.25">
      <c r="A407" s="2" t="str">
        <f t="shared" si="17"/>
        <v>25</v>
      </c>
      <c r="B407" s="1" t="s">
        <v>1161</v>
      </c>
      <c r="C407" s="6" t="str">
        <f>"5185"</f>
        <v>5185</v>
      </c>
      <c r="D407" s="3" t="s">
        <v>771</v>
      </c>
      <c r="E407" s="26" t="s">
        <v>772</v>
      </c>
    </row>
    <row r="408" spans="1:5" x14ac:dyDescent="0.25">
      <c r="A408" s="2" t="str">
        <f t="shared" si="17"/>
        <v>25</v>
      </c>
      <c r="B408" s="1" t="s">
        <v>1161</v>
      </c>
      <c r="C408" s="6" t="str">
        <f>"3810"</f>
        <v>3810</v>
      </c>
      <c r="D408" s="3" t="s">
        <v>1316</v>
      </c>
      <c r="E408" s="26" t="s">
        <v>773</v>
      </c>
    </row>
    <row r="409" spans="1:5" x14ac:dyDescent="0.25">
      <c r="A409" s="2" t="str">
        <f t="shared" si="17"/>
        <v>25</v>
      </c>
      <c r="B409" s="1" t="s">
        <v>1161</v>
      </c>
      <c r="C409" s="6" t="str">
        <f>"5230"</f>
        <v>5230</v>
      </c>
      <c r="D409" s="3" t="s">
        <v>774</v>
      </c>
      <c r="E409" s="26" t="s">
        <v>775</v>
      </c>
    </row>
    <row r="410" spans="1:5" x14ac:dyDescent="0.25">
      <c r="A410" s="2" t="str">
        <f t="shared" si="17"/>
        <v>25</v>
      </c>
      <c r="B410" s="1" t="s">
        <v>1161</v>
      </c>
      <c r="C410" s="6" t="str">
        <f>"5310"</f>
        <v>5310</v>
      </c>
      <c r="D410" s="3" t="s">
        <v>1317</v>
      </c>
      <c r="E410" s="26" t="s">
        <v>776</v>
      </c>
    </row>
    <row r="411" spans="1:5" x14ac:dyDescent="0.25">
      <c r="A411" s="2" t="str">
        <f t="shared" si="17"/>
        <v>25</v>
      </c>
      <c r="B411" s="1" t="s">
        <v>1161</v>
      </c>
      <c r="C411" s="6" t="str">
        <f>"5420"</f>
        <v>5420</v>
      </c>
      <c r="D411" s="3" t="s">
        <v>777</v>
      </c>
      <c r="E411" s="26" t="s">
        <v>778</v>
      </c>
    </row>
    <row r="412" spans="1:5" x14ac:dyDescent="0.25">
      <c r="A412" s="2" t="str">
        <f t="shared" si="17"/>
        <v>25</v>
      </c>
      <c r="B412" s="1" t="s">
        <v>1161</v>
      </c>
      <c r="C412" s="6" t="str">
        <f>"5640"</f>
        <v>5640</v>
      </c>
      <c r="D412" s="3" t="s">
        <v>779</v>
      </c>
      <c r="E412" s="26" t="s">
        <v>780</v>
      </c>
    </row>
    <row r="413" spans="1:5" x14ac:dyDescent="0.25">
      <c r="A413" s="2" t="str">
        <f t="shared" ref="A413:A452" si="18">"27"</f>
        <v>27</v>
      </c>
      <c r="B413" s="1" t="s">
        <v>1162</v>
      </c>
      <c r="C413" s="6" t="str">
        <f>"0450"</f>
        <v>0450</v>
      </c>
      <c r="D413" s="3" t="s">
        <v>781</v>
      </c>
      <c r="E413" s="26" t="s">
        <v>782</v>
      </c>
    </row>
    <row r="414" spans="1:5" x14ac:dyDescent="0.25">
      <c r="A414" s="2" t="str">
        <f t="shared" si="18"/>
        <v>27</v>
      </c>
      <c r="B414" s="1" t="s">
        <v>1162</v>
      </c>
      <c r="C414" s="6" t="str">
        <f>"0460"</f>
        <v>0460</v>
      </c>
      <c r="D414" s="3" t="s">
        <v>783</v>
      </c>
      <c r="E414" s="26" t="s">
        <v>784</v>
      </c>
    </row>
    <row r="415" spans="1:5" x14ac:dyDescent="0.25">
      <c r="A415" s="2" t="str">
        <f t="shared" si="18"/>
        <v>27</v>
      </c>
      <c r="B415" s="1" t="s">
        <v>1162</v>
      </c>
      <c r="C415" s="6" t="str">
        <f>"0630"</f>
        <v>0630</v>
      </c>
      <c r="D415" s="3" t="s">
        <v>785</v>
      </c>
      <c r="E415" s="26" t="s">
        <v>786</v>
      </c>
    </row>
    <row r="416" spans="1:5" x14ac:dyDescent="0.25">
      <c r="A416" s="2" t="str">
        <f t="shared" si="18"/>
        <v>27</v>
      </c>
      <c r="B416" s="1" t="s">
        <v>1162</v>
      </c>
      <c r="C416" s="6" t="str">
        <f>"0820"</f>
        <v>0820</v>
      </c>
      <c r="D416" s="3" t="s">
        <v>1318</v>
      </c>
      <c r="E416" s="26" t="s">
        <v>787</v>
      </c>
    </row>
    <row r="417" spans="1:5" x14ac:dyDescent="0.25">
      <c r="A417" s="2" t="str">
        <f t="shared" si="18"/>
        <v>27</v>
      </c>
      <c r="B417" s="1" t="s">
        <v>1162</v>
      </c>
      <c r="C417" s="6" t="str">
        <f>"1090"</f>
        <v>1090</v>
      </c>
      <c r="D417" s="3" t="s">
        <v>788</v>
      </c>
      <c r="E417" s="26" t="s">
        <v>789</v>
      </c>
    </row>
    <row r="418" spans="1:5" x14ac:dyDescent="0.25">
      <c r="A418" s="2" t="str">
        <f t="shared" si="18"/>
        <v>27</v>
      </c>
      <c r="B418" s="1" t="s">
        <v>1162</v>
      </c>
      <c r="C418" s="6" t="str">
        <f>"1110"</f>
        <v>1110</v>
      </c>
      <c r="D418" s="3" t="s">
        <v>790</v>
      </c>
      <c r="E418" s="26" t="s">
        <v>791</v>
      </c>
    </row>
    <row r="419" spans="1:5" x14ac:dyDescent="0.25">
      <c r="A419" s="2" t="str">
        <f t="shared" si="18"/>
        <v>27</v>
      </c>
      <c r="B419" s="1" t="s">
        <v>1162</v>
      </c>
      <c r="C419" s="6" t="str">
        <f>"1190"</f>
        <v>1190</v>
      </c>
      <c r="D419" s="3" t="s">
        <v>792</v>
      </c>
      <c r="E419" s="26" t="s">
        <v>793</v>
      </c>
    </row>
    <row r="420" spans="1:5" x14ac:dyDescent="0.25">
      <c r="A420" s="2" t="str">
        <f t="shared" si="18"/>
        <v>27</v>
      </c>
      <c r="B420" s="1" t="s">
        <v>1162</v>
      </c>
      <c r="C420" s="6" t="str">
        <f>"3364"</f>
        <v>3364</v>
      </c>
      <c r="D420" s="3" t="s">
        <v>1319</v>
      </c>
      <c r="E420" s="26" t="s">
        <v>794</v>
      </c>
    </row>
    <row r="421" spans="1:5" x14ac:dyDescent="0.25">
      <c r="A421" s="2" t="str">
        <f t="shared" si="18"/>
        <v>27</v>
      </c>
      <c r="B421" s="1" t="s">
        <v>1162</v>
      </c>
      <c r="C421" s="6" t="str">
        <f>"1530"</f>
        <v>1530</v>
      </c>
      <c r="D421" s="3" t="s">
        <v>1320</v>
      </c>
      <c r="E421" s="26" t="s">
        <v>795</v>
      </c>
    </row>
    <row r="422" spans="1:5" x14ac:dyDescent="0.25">
      <c r="A422" s="2" t="str">
        <f t="shared" si="18"/>
        <v>27</v>
      </c>
      <c r="B422" s="1" t="s">
        <v>1162</v>
      </c>
      <c r="C422" s="6" t="str">
        <f>"1990"</f>
        <v>1990</v>
      </c>
      <c r="D422" s="3" t="s">
        <v>796</v>
      </c>
      <c r="E422" s="26" t="s">
        <v>797</v>
      </c>
    </row>
    <row r="423" spans="1:5" x14ac:dyDescent="0.25">
      <c r="A423" s="2" t="str">
        <f t="shared" si="18"/>
        <v>27</v>
      </c>
      <c r="B423" s="1" t="s">
        <v>1162</v>
      </c>
      <c r="C423" s="6" t="str">
        <f>"2000"</f>
        <v>2000</v>
      </c>
      <c r="D423" s="3" t="s">
        <v>798</v>
      </c>
      <c r="E423" s="26" t="s">
        <v>799</v>
      </c>
    </row>
    <row r="424" spans="1:5" x14ac:dyDescent="0.25">
      <c r="A424" s="2" t="str">
        <f t="shared" si="18"/>
        <v>27</v>
      </c>
      <c r="B424" s="1" t="s">
        <v>1162</v>
      </c>
      <c r="C424" s="6" t="str">
        <f>"2010"</f>
        <v>2010</v>
      </c>
      <c r="D424" s="3" t="s">
        <v>800</v>
      </c>
      <c r="E424" s="26" t="s">
        <v>801</v>
      </c>
    </row>
    <row r="425" spans="1:5" x14ac:dyDescent="0.25">
      <c r="A425" s="2" t="str">
        <f t="shared" si="18"/>
        <v>27</v>
      </c>
      <c r="B425" s="1" t="s">
        <v>1162</v>
      </c>
      <c r="C425" s="6" t="str">
        <f>"2380"</f>
        <v>2380</v>
      </c>
      <c r="D425" s="3" t="s">
        <v>802</v>
      </c>
      <c r="E425" s="26" t="s">
        <v>803</v>
      </c>
    </row>
    <row r="426" spans="1:5" x14ac:dyDescent="0.25">
      <c r="A426" s="2" t="str">
        <f t="shared" si="18"/>
        <v>27</v>
      </c>
      <c r="B426" s="1" t="s">
        <v>1162</v>
      </c>
      <c r="C426" s="6" t="str">
        <f>"2460"</f>
        <v>2460</v>
      </c>
      <c r="D426" s="3" t="s">
        <v>804</v>
      </c>
      <c r="E426" s="26" t="s">
        <v>805</v>
      </c>
    </row>
    <row r="427" spans="1:5" x14ac:dyDescent="0.25">
      <c r="A427" s="2" t="str">
        <f t="shared" si="18"/>
        <v>27</v>
      </c>
      <c r="B427" s="1" t="s">
        <v>1162</v>
      </c>
      <c r="C427" s="6" t="str">
        <f>"2650"</f>
        <v>2650</v>
      </c>
      <c r="D427" s="3" t="s">
        <v>806</v>
      </c>
      <c r="E427" s="26" t="s">
        <v>807</v>
      </c>
    </row>
    <row r="428" spans="1:5" x14ac:dyDescent="0.25">
      <c r="A428" s="2" t="str">
        <f t="shared" si="18"/>
        <v>27</v>
      </c>
      <c r="B428" s="1" t="s">
        <v>1162</v>
      </c>
      <c r="C428" s="6" t="str">
        <f>"4000"</f>
        <v>4000</v>
      </c>
      <c r="D428" s="3" t="s">
        <v>808</v>
      </c>
      <c r="E428" s="26" t="s">
        <v>809</v>
      </c>
    </row>
    <row r="429" spans="1:5" x14ac:dyDescent="0.25">
      <c r="A429" s="2" t="str">
        <f t="shared" si="18"/>
        <v>27</v>
      </c>
      <c r="B429" s="1" t="s">
        <v>1162</v>
      </c>
      <c r="C429" s="6" t="str">
        <f>"2870"</f>
        <v>2870</v>
      </c>
      <c r="D429" s="3" t="s">
        <v>810</v>
      </c>
      <c r="E429" s="26" t="s">
        <v>811</v>
      </c>
    </row>
    <row r="430" spans="1:5" x14ac:dyDescent="0.25">
      <c r="A430" s="2" t="str">
        <f t="shared" si="18"/>
        <v>27</v>
      </c>
      <c r="B430" s="1" t="s">
        <v>1162</v>
      </c>
      <c r="C430" s="6" t="str">
        <f>"3090"</f>
        <v>3090</v>
      </c>
      <c r="D430" s="3" t="s">
        <v>1321</v>
      </c>
      <c r="E430" s="26" t="s">
        <v>812</v>
      </c>
    </row>
    <row r="431" spans="1:5" x14ac:dyDescent="0.25">
      <c r="A431" s="2" t="str">
        <f t="shared" si="18"/>
        <v>27</v>
      </c>
      <c r="B431" s="1" t="s">
        <v>1162</v>
      </c>
      <c r="C431" s="6" t="str">
        <f>"3100"</f>
        <v>3100</v>
      </c>
      <c r="D431" s="3" t="s">
        <v>813</v>
      </c>
      <c r="E431" s="26" t="s">
        <v>814</v>
      </c>
    </row>
    <row r="432" spans="1:5" x14ac:dyDescent="0.25">
      <c r="A432" s="2" t="str">
        <f t="shared" si="18"/>
        <v>27</v>
      </c>
      <c r="B432" s="1" t="s">
        <v>1162</v>
      </c>
      <c r="C432" s="6" t="str">
        <f>"3240"</f>
        <v>3240</v>
      </c>
      <c r="D432" s="3" t="s">
        <v>815</v>
      </c>
      <c r="E432" s="26" t="s">
        <v>816</v>
      </c>
    </row>
    <row r="433" spans="1:5" x14ac:dyDescent="0.25">
      <c r="A433" s="2" t="str">
        <f t="shared" si="18"/>
        <v>27</v>
      </c>
      <c r="B433" s="1" t="s">
        <v>1162</v>
      </c>
      <c r="C433" s="6" t="str">
        <f>"3340"</f>
        <v>3340</v>
      </c>
      <c r="D433" s="3" t="s">
        <v>817</v>
      </c>
      <c r="E433" s="26" t="s">
        <v>818</v>
      </c>
    </row>
    <row r="434" spans="1:5" x14ac:dyDescent="0.25">
      <c r="A434" s="2" t="str">
        <f t="shared" si="18"/>
        <v>27</v>
      </c>
      <c r="B434" s="1" t="s">
        <v>1162</v>
      </c>
      <c r="C434" s="6" t="str">
        <f>"3365"</f>
        <v>3365</v>
      </c>
      <c r="D434" s="3" t="s">
        <v>819</v>
      </c>
      <c r="E434" s="26" t="s">
        <v>820</v>
      </c>
    </row>
    <row r="435" spans="1:5" x14ac:dyDescent="0.25">
      <c r="A435" s="2" t="str">
        <f t="shared" si="18"/>
        <v>27</v>
      </c>
      <c r="B435" s="1" t="s">
        <v>1162</v>
      </c>
      <c r="C435" s="6" t="str">
        <f>"3370"</f>
        <v>3370</v>
      </c>
      <c r="D435" s="3" t="s">
        <v>821</v>
      </c>
      <c r="E435" s="26" t="s">
        <v>822</v>
      </c>
    </row>
    <row r="436" spans="1:5" x14ac:dyDescent="0.25">
      <c r="A436" s="2" t="str">
        <f t="shared" si="18"/>
        <v>27</v>
      </c>
      <c r="B436" s="1" t="s">
        <v>1162</v>
      </c>
      <c r="C436" s="6" t="str">
        <f>"3380"</f>
        <v>3380</v>
      </c>
      <c r="D436" s="3" t="s">
        <v>1322</v>
      </c>
      <c r="E436" s="26" t="s">
        <v>823</v>
      </c>
    </row>
    <row r="437" spans="1:5" x14ac:dyDescent="0.25">
      <c r="A437" s="2" t="str">
        <f t="shared" si="18"/>
        <v>27</v>
      </c>
      <c r="B437" s="1" t="s">
        <v>1162</v>
      </c>
      <c r="C437" s="6" t="str">
        <f>"3385"</f>
        <v>3385</v>
      </c>
      <c r="D437" s="3" t="s">
        <v>1323</v>
      </c>
      <c r="E437" s="26" t="s">
        <v>824</v>
      </c>
    </row>
    <row r="438" spans="1:5" x14ac:dyDescent="0.25">
      <c r="A438" s="2" t="str">
        <f t="shared" si="18"/>
        <v>27</v>
      </c>
      <c r="B438" s="1" t="s">
        <v>1162</v>
      </c>
      <c r="C438" s="6" t="str">
        <f>"3410"</f>
        <v>3410</v>
      </c>
      <c r="D438" s="3" t="s">
        <v>825</v>
      </c>
      <c r="E438" s="26" t="s">
        <v>826</v>
      </c>
    </row>
    <row r="439" spans="1:5" x14ac:dyDescent="0.25">
      <c r="A439" s="2" t="str">
        <f t="shared" si="18"/>
        <v>27</v>
      </c>
      <c r="B439" s="1" t="s">
        <v>1162</v>
      </c>
      <c r="C439" s="6" t="str">
        <f>"3450"</f>
        <v>3450</v>
      </c>
      <c r="D439" s="3" t="s">
        <v>827</v>
      </c>
      <c r="E439" s="26" t="s">
        <v>828</v>
      </c>
    </row>
    <row r="440" spans="1:5" x14ac:dyDescent="0.25">
      <c r="A440" s="2" t="str">
        <f t="shared" si="18"/>
        <v>27</v>
      </c>
      <c r="B440" s="1" t="s">
        <v>1162</v>
      </c>
      <c r="C440" s="6" t="str">
        <f>"3460"</f>
        <v>3460</v>
      </c>
      <c r="D440" s="3" t="s">
        <v>829</v>
      </c>
      <c r="E440" s="26" t="s">
        <v>830</v>
      </c>
    </row>
    <row r="441" spans="1:5" x14ac:dyDescent="0.25">
      <c r="A441" s="2" t="str">
        <f t="shared" si="18"/>
        <v>27</v>
      </c>
      <c r="B441" s="1" t="s">
        <v>1162</v>
      </c>
      <c r="C441" s="6" t="str">
        <f>"3520"</f>
        <v>3520</v>
      </c>
      <c r="D441" s="3" t="s">
        <v>831</v>
      </c>
      <c r="E441" s="26" t="s">
        <v>832</v>
      </c>
    </row>
    <row r="442" spans="1:5" x14ac:dyDescent="0.25">
      <c r="A442" s="2" t="str">
        <f t="shared" si="18"/>
        <v>27</v>
      </c>
      <c r="B442" s="1" t="s">
        <v>1162</v>
      </c>
      <c r="C442" s="6" t="str">
        <f>"3950"</f>
        <v>3950</v>
      </c>
      <c r="D442" s="3" t="s">
        <v>833</v>
      </c>
      <c r="E442" s="26" t="s">
        <v>834</v>
      </c>
    </row>
    <row r="443" spans="1:5" s="8" customFormat="1" ht="15.75" thickBot="1" x14ac:dyDescent="0.3">
      <c r="A443" s="4" t="str">
        <f t="shared" si="18"/>
        <v>27</v>
      </c>
      <c r="B443" s="31" t="s">
        <v>1162</v>
      </c>
      <c r="C443" s="7" t="str">
        <f>"4080"</f>
        <v>4080</v>
      </c>
      <c r="D443" s="5" t="s">
        <v>835</v>
      </c>
      <c r="E443" s="30" t="s">
        <v>836</v>
      </c>
    </row>
    <row r="444" spans="1:5" ht="15.75" thickTop="1" x14ac:dyDescent="0.25">
      <c r="A444" s="2" t="str">
        <f t="shared" si="18"/>
        <v>27</v>
      </c>
      <c r="B444" s="1" t="s">
        <v>1162</v>
      </c>
      <c r="C444" s="6" t="str">
        <f>"4330"</f>
        <v>4330</v>
      </c>
      <c r="D444" s="3" t="s">
        <v>837</v>
      </c>
      <c r="E444" s="26" t="s">
        <v>838</v>
      </c>
    </row>
    <row r="445" spans="1:5" x14ac:dyDescent="0.25">
      <c r="A445" s="2" t="str">
        <f t="shared" si="18"/>
        <v>27</v>
      </c>
      <c r="B445" s="1" t="s">
        <v>1162</v>
      </c>
      <c r="C445" s="6" t="str">
        <f>"4440"</f>
        <v>4440</v>
      </c>
      <c r="D445" s="3" t="s">
        <v>839</v>
      </c>
      <c r="E445" s="26" t="s">
        <v>840</v>
      </c>
    </row>
    <row r="446" spans="1:5" x14ac:dyDescent="0.25">
      <c r="A446" s="2" t="str">
        <f t="shared" si="18"/>
        <v>27</v>
      </c>
      <c r="B446" s="1" t="s">
        <v>1162</v>
      </c>
      <c r="C446" s="6" t="str">
        <f>"4480"</f>
        <v>4480</v>
      </c>
      <c r="D446" s="3" t="s">
        <v>841</v>
      </c>
      <c r="E446" s="26" t="s">
        <v>842</v>
      </c>
    </row>
    <row r="447" spans="1:5" x14ac:dyDescent="0.25">
      <c r="A447" s="2" t="str">
        <f t="shared" si="18"/>
        <v>27</v>
      </c>
      <c r="B447" s="1" t="s">
        <v>1162</v>
      </c>
      <c r="C447" s="6" t="str">
        <f>"4490"</f>
        <v>4490</v>
      </c>
      <c r="D447" s="3" t="s">
        <v>843</v>
      </c>
      <c r="E447" s="26" t="s">
        <v>844</v>
      </c>
    </row>
    <row r="448" spans="1:5" x14ac:dyDescent="0.25">
      <c r="A448" s="2" t="str">
        <f t="shared" si="18"/>
        <v>27</v>
      </c>
      <c r="B448" s="1" t="s">
        <v>1162</v>
      </c>
      <c r="C448" s="6" t="str">
        <f>"4560"</f>
        <v>4560</v>
      </c>
      <c r="D448" s="3" t="s">
        <v>845</v>
      </c>
      <c r="E448" s="26" t="s">
        <v>846</v>
      </c>
    </row>
    <row r="449" spans="1:5" x14ac:dyDescent="0.25">
      <c r="A449" s="2" t="str">
        <f t="shared" si="18"/>
        <v>27</v>
      </c>
      <c r="B449" s="1" t="s">
        <v>1162</v>
      </c>
      <c r="C449" s="6" t="str">
        <f>"0785"</f>
        <v>0785</v>
      </c>
      <c r="D449" s="3" t="s">
        <v>1324</v>
      </c>
      <c r="E449" s="26" t="s">
        <v>847</v>
      </c>
    </row>
    <row r="450" spans="1:5" x14ac:dyDescent="0.25">
      <c r="A450" s="2" t="str">
        <f t="shared" si="18"/>
        <v>27</v>
      </c>
      <c r="B450" s="1" t="s">
        <v>1162</v>
      </c>
      <c r="C450" s="6" t="str">
        <f>"5520"</f>
        <v>5520</v>
      </c>
      <c r="D450" s="3" t="s">
        <v>248</v>
      </c>
      <c r="E450" s="26" t="s">
        <v>850</v>
      </c>
    </row>
    <row r="451" spans="1:5" x14ac:dyDescent="0.25">
      <c r="A451" s="2" t="str">
        <f t="shared" si="18"/>
        <v>27</v>
      </c>
      <c r="B451" s="1" t="s">
        <v>1162</v>
      </c>
      <c r="C451" s="6" t="str">
        <f>"5660"</f>
        <v>5660</v>
      </c>
      <c r="D451" s="3" t="s">
        <v>1325</v>
      </c>
      <c r="E451" s="26" t="s">
        <v>851</v>
      </c>
    </row>
    <row r="452" spans="1:5" x14ac:dyDescent="0.25">
      <c r="A452" s="2" t="str">
        <f t="shared" si="18"/>
        <v>27</v>
      </c>
      <c r="B452" s="1" t="s">
        <v>1162</v>
      </c>
      <c r="C452" s="6" t="str">
        <f>"5770"</f>
        <v>5770</v>
      </c>
      <c r="D452" s="3" t="s">
        <v>1326</v>
      </c>
      <c r="E452" s="26" t="s">
        <v>852</v>
      </c>
    </row>
    <row r="453" spans="1:5" x14ac:dyDescent="0.25">
      <c r="A453" s="2" t="str">
        <f t="shared" ref="A453:A481" si="19">"29"</f>
        <v>29</v>
      </c>
      <c r="B453" s="1" t="s">
        <v>1163</v>
      </c>
      <c r="C453" s="6" t="str">
        <f>"0185"</f>
        <v>0185</v>
      </c>
      <c r="D453" s="3" t="s">
        <v>853</v>
      </c>
      <c r="E453" s="26" t="s">
        <v>854</v>
      </c>
    </row>
    <row r="454" spans="1:5" x14ac:dyDescent="0.25">
      <c r="A454" s="2" t="str">
        <f t="shared" si="19"/>
        <v>29</v>
      </c>
      <c r="B454" s="1" t="s">
        <v>1163</v>
      </c>
      <c r="C454" s="6" t="str">
        <f>"0210"</f>
        <v>0210</v>
      </c>
      <c r="D454" s="3" t="s">
        <v>855</v>
      </c>
      <c r="E454" s="26" t="s">
        <v>856</v>
      </c>
    </row>
    <row r="455" spans="1:5" x14ac:dyDescent="0.25">
      <c r="A455" s="2" t="str">
        <f t="shared" si="19"/>
        <v>29</v>
      </c>
      <c r="B455" s="1" t="s">
        <v>1163</v>
      </c>
      <c r="C455" s="6" t="str">
        <f>"0230"</f>
        <v>0230</v>
      </c>
      <c r="D455" s="3" t="s">
        <v>857</v>
      </c>
      <c r="E455" s="26" t="s">
        <v>858</v>
      </c>
    </row>
    <row r="456" spans="1:5" x14ac:dyDescent="0.25">
      <c r="A456" s="2" t="str">
        <f t="shared" si="19"/>
        <v>29</v>
      </c>
      <c r="B456" s="1" t="s">
        <v>1163</v>
      </c>
      <c r="C456" s="6" t="str">
        <f>"0320"</f>
        <v>0320</v>
      </c>
      <c r="D456" s="3" t="s">
        <v>859</v>
      </c>
      <c r="E456" s="26" t="s">
        <v>860</v>
      </c>
    </row>
    <row r="457" spans="1:5" x14ac:dyDescent="0.25">
      <c r="A457" s="2" t="str">
        <f t="shared" si="19"/>
        <v>29</v>
      </c>
      <c r="B457" s="1" t="s">
        <v>1163</v>
      </c>
      <c r="C457" s="6" t="str">
        <f>"0530"</f>
        <v>0530</v>
      </c>
      <c r="D457" s="3" t="s">
        <v>861</v>
      </c>
      <c r="E457" s="26" t="s">
        <v>862</v>
      </c>
    </row>
    <row r="458" spans="1:5" x14ac:dyDescent="0.25">
      <c r="A458" s="2" t="str">
        <f t="shared" si="19"/>
        <v>29</v>
      </c>
      <c r="B458" s="1" t="s">
        <v>1163</v>
      </c>
      <c r="C458" s="6" t="str">
        <f>"0770"</f>
        <v>0770</v>
      </c>
      <c r="D458" s="3" t="s">
        <v>863</v>
      </c>
      <c r="E458" s="26" t="s">
        <v>864</v>
      </c>
    </row>
    <row r="459" spans="1:5" x14ac:dyDescent="0.25">
      <c r="A459" s="2" t="str">
        <f t="shared" si="19"/>
        <v>29</v>
      </c>
      <c r="B459" s="1" t="s">
        <v>1163</v>
      </c>
      <c r="C459" s="6" t="str">
        <f>"1150"</f>
        <v>1150</v>
      </c>
      <c r="D459" s="3" t="s">
        <v>865</v>
      </c>
      <c r="E459" s="26" t="s">
        <v>866</v>
      </c>
    </row>
    <row r="460" spans="1:5" x14ac:dyDescent="0.25">
      <c r="A460" s="2" t="str">
        <f t="shared" si="19"/>
        <v>29</v>
      </c>
      <c r="B460" s="1" t="s">
        <v>1163</v>
      </c>
      <c r="C460" s="6" t="str">
        <f>"2350"</f>
        <v>2350</v>
      </c>
      <c r="D460" s="3" t="s">
        <v>867</v>
      </c>
      <c r="E460" s="26" t="s">
        <v>868</v>
      </c>
    </row>
    <row r="461" spans="1:5" x14ac:dyDescent="0.25">
      <c r="A461" s="2" t="str">
        <f t="shared" si="19"/>
        <v>29</v>
      </c>
      <c r="B461" s="1" t="s">
        <v>1163</v>
      </c>
      <c r="C461" s="6" t="str">
        <f>"2360"</f>
        <v>2360</v>
      </c>
      <c r="D461" s="3" t="s">
        <v>869</v>
      </c>
      <c r="E461" s="26" t="s">
        <v>870</v>
      </c>
    </row>
    <row r="462" spans="1:5" x14ac:dyDescent="0.25">
      <c r="A462" s="2" t="str">
        <f t="shared" si="19"/>
        <v>29</v>
      </c>
      <c r="B462" s="1" t="s">
        <v>1163</v>
      </c>
      <c r="C462" s="6" t="str">
        <f>"2480"</f>
        <v>2480</v>
      </c>
      <c r="D462" s="3" t="s">
        <v>871</v>
      </c>
      <c r="E462" s="26" t="s">
        <v>872</v>
      </c>
    </row>
    <row r="463" spans="1:5" x14ac:dyDescent="0.25">
      <c r="A463" s="2" t="str">
        <f t="shared" si="19"/>
        <v>29</v>
      </c>
      <c r="B463" s="1" t="s">
        <v>1163</v>
      </c>
      <c r="C463" s="6" t="str">
        <f>"2500"</f>
        <v>2500</v>
      </c>
      <c r="D463" s="3" t="s">
        <v>873</v>
      </c>
      <c r="E463" s="26" t="s">
        <v>874</v>
      </c>
    </row>
    <row r="464" spans="1:5" x14ac:dyDescent="0.25">
      <c r="A464" s="2" t="str">
        <f t="shared" si="19"/>
        <v>29</v>
      </c>
      <c r="B464" s="1" t="s">
        <v>1163</v>
      </c>
      <c r="C464" s="6" t="str">
        <f>"2520"</f>
        <v>2520</v>
      </c>
      <c r="D464" s="3" t="s">
        <v>875</v>
      </c>
      <c r="E464" s="26" t="s">
        <v>876</v>
      </c>
    </row>
    <row r="465" spans="1:5" x14ac:dyDescent="0.25">
      <c r="A465" s="2" t="str">
        <f t="shared" si="19"/>
        <v>29</v>
      </c>
      <c r="B465" s="1" t="s">
        <v>1163</v>
      </c>
      <c r="C465" s="6" t="str">
        <f>"2550"</f>
        <v>2550</v>
      </c>
      <c r="D465" s="3" t="s">
        <v>877</v>
      </c>
      <c r="E465" s="26" t="s">
        <v>878</v>
      </c>
    </row>
    <row r="466" spans="1:5" x14ac:dyDescent="0.25">
      <c r="A466" s="2" t="str">
        <f t="shared" si="19"/>
        <v>29</v>
      </c>
      <c r="B466" s="1" t="s">
        <v>1163</v>
      </c>
      <c r="C466" s="6" t="str">
        <f>"2690"</f>
        <v>2690</v>
      </c>
      <c r="D466" s="3" t="s">
        <v>879</v>
      </c>
      <c r="E466" s="26" t="s">
        <v>880</v>
      </c>
    </row>
    <row r="467" spans="1:5" x14ac:dyDescent="0.25">
      <c r="A467" s="2" t="str">
        <f t="shared" si="19"/>
        <v>29</v>
      </c>
      <c r="B467" s="1" t="s">
        <v>1163</v>
      </c>
      <c r="C467" s="6" t="str">
        <f>"2760"</f>
        <v>2760</v>
      </c>
      <c r="D467" s="3" t="s">
        <v>881</v>
      </c>
      <c r="E467" s="26" t="s">
        <v>882</v>
      </c>
    </row>
    <row r="468" spans="1:5" x14ac:dyDescent="0.25">
      <c r="A468" s="2" t="str">
        <f t="shared" si="19"/>
        <v>29</v>
      </c>
      <c r="B468" s="1" t="s">
        <v>1163</v>
      </c>
      <c r="C468" s="6" t="str">
        <f>"2940"</f>
        <v>2940</v>
      </c>
      <c r="D468" s="3" t="s">
        <v>883</v>
      </c>
      <c r="E468" s="26" t="s">
        <v>884</v>
      </c>
    </row>
    <row r="469" spans="1:5" x14ac:dyDescent="0.25">
      <c r="A469" s="2" t="str">
        <f t="shared" si="19"/>
        <v>29</v>
      </c>
      <c r="B469" s="1" t="s">
        <v>1163</v>
      </c>
      <c r="C469" s="6" t="str">
        <f>"3790"</f>
        <v>3790</v>
      </c>
      <c r="D469" s="3" t="s">
        <v>885</v>
      </c>
      <c r="E469" s="26" t="s">
        <v>886</v>
      </c>
    </row>
    <row r="470" spans="1:5" x14ac:dyDescent="0.25">
      <c r="A470" s="2" t="str">
        <f t="shared" si="19"/>
        <v>29</v>
      </c>
      <c r="B470" s="1" t="s">
        <v>1163</v>
      </c>
      <c r="C470" s="6" t="str">
        <f>"3800"</f>
        <v>3800</v>
      </c>
      <c r="D470" s="3" t="s">
        <v>887</v>
      </c>
      <c r="E470" s="26" t="s">
        <v>888</v>
      </c>
    </row>
    <row r="471" spans="1:5" x14ac:dyDescent="0.25">
      <c r="A471" s="2" t="str">
        <f t="shared" si="19"/>
        <v>29</v>
      </c>
      <c r="B471" s="1" t="s">
        <v>1163</v>
      </c>
      <c r="C471" s="6" t="str">
        <f>"3820"</f>
        <v>3820</v>
      </c>
      <c r="D471" s="3" t="s">
        <v>889</v>
      </c>
      <c r="E471" s="26" t="s">
        <v>890</v>
      </c>
    </row>
    <row r="472" spans="1:5" x14ac:dyDescent="0.25">
      <c r="A472" s="2" t="str">
        <f t="shared" si="19"/>
        <v>29</v>
      </c>
      <c r="B472" s="1" t="s">
        <v>1163</v>
      </c>
      <c r="C472" s="6" t="str">
        <f>"4105"</f>
        <v>4105</v>
      </c>
      <c r="D472" s="3" t="s">
        <v>891</v>
      </c>
      <c r="E472" s="26" t="s">
        <v>892</v>
      </c>
    </row>
    <row r="473" spans="1:5" x14ac:dyDescent="0.25">
      <c r="A473" s="2" t="str">
        <f t="shared" si="19"/>
        <v>29</v>
      </c>
      <c r="B473" s="1" t="s">
        <v>1163</v>
      </c>
      <c r="C473" s="6" t="str">
        <f>"4190"</f>
        <v>4190</v>
      </c>
      <c r="D473" s="3" t="s">
        <v>893</v>
      </c>
      <c r="E473" s="26" t="s">
        <v>894</v>
      </c>
    </row>
    <row r="474" spans="1:5" x14ac:dyDescent="0.25">
      <c r="A474" s="2" t="str">
        <f t="shared" si="19"/>
        <v>29</v>
      </c>
      <c r="B474" s="1" t="s">
        <v>1163</v>
      </c>
      <c r="C474" s="6" t="str">
        <f>"4220"</f>
        <v>4220</v>
      </c>
      <c r="D474" s="3" t="s">
        <v>895</v>
      </c>
      <c r="E474" s="26" t="s">
        <v>896</v>
      </c>
    </row>
    <row r="475" spans="1:5" x14ac:dyDescent="0.25">
      <c r="A475" s="2" t="str">
        <f t="shared" si="19"/>
        <v>29</v>
      </c>
      <c r="B475" s="1" t="s">
        <v>1163</v>
      </c>
      <c r="C475" s="6" t="str">
        <f>"4210"</f>
        <v>4210</v>
      </c>
      <c r="D475" s="3" t="s">
        <v>897</v>
      </c>
      <c r="E475" s="26" t="s">
        <v>898</v>
      </c>
    </row>
    <row r="476" spans="1:5" x14ac:dyDescent="0.25">
      <c r="A476" s="2" t="str">
        <f t="shared" si="19"/>
        <v>29</v>
      </c>
      <c r="B476" s="1" t="s">
        <v>1163</v>
      </c>
      <c r="C476" s="6" t="str">
        <f>"4710"</f>
        <v>4710</v>
      </c>
      <c r="D476" s="3" t="s">
        <v>899</v>
      </c>
      <c r="E476" s="26" t="s">
        <v>900</v>
      </c>
    </row>
    <row r="477" spans="1:5" x14ac:dyDescent="0.25">
      <c r="A477" s="2" t="str">
        <f t="shared" si="19"/>
        <v>29</v>
      </c>
      <c r="B477" s="1" t="s">
        <v>1163</v>
      </c>
      <c r="C477" s="6" t="str">
        <f>"4720"</f>
        <v>4720</v>
      </c>
      <c r="D477" s="3" t="s">
        <v>901</v>
      </c>
      <c r="E477" s="26" t="s">
        <v>902</v>
      </c>
    </row>
    <row r="478" spans="1:5" x14ac:dyDescent="0.25">
      <c r="A478" s="2" t="str">
        <f t="shared" si="19"/>
        <v>29</v>
      </c>
      <c r="B478" s="1" t="s">
        <v>1163</v>
      </c>
      <c r="C478" s="6" t="str">
        <f>"4950"</f>
        <v>4950</v>
      </c>
      <c r="D478" s="3" t="s">
        <v>903</v>
      </c>
      <c r="E478" s="26" t="s">
        <v>904</v>
      </c>
    </row>
    <row r="479" spans="1:5" x14ac:dyDescent="0.25">
      <c r="A479" s="2" t="str">
        <f t="shared" si="19"/>
        <v>29</v>
      </c>
      <c r="B479" s="1" t="s">
        <v>1163</v>
      </c>
      <c r="C479" s="6" t="str">
        <f>"5020"</f>
        <v>5020</v>
      </c>
      <c r="D479" s="3" t="s">
        <v>905</v>
      </c>
      <c r="E479" s="26" t="s">
        <v>906</v>
      </c>
    </row>
    <row r="480" spans="1:5" x14ac:dyDescent="0.25">
      <c r="A480" s="2" t="str">
        <f t="shared" si="19"/>
        <v>29</v>
      </c>
      <c r="B480" s="1" t="s">
        <v>1163</v>
      </c>
      <c r="C480" s="6" t="str">
        <f>"5190"</f>
        <v>5190</v>
      </c>
      <c r="D480" s="3" t="s">
        <v>907</v>
      </c>
      <c r="E480" s="26" t="s">
        <v>908</v>
      </c>
    </row>
    <row r="481" spans="1:5" x14ac:dyDescent="0.25">
      <c r="A481" s="2" t="str">
        <f t="shared" si="19"/>
        <v>29</v>
      </c>
      <c r="B481" s="1" t="s">
        <v>1163</v>
      </c>
      <c r="C481" s="6" t="str">
        <f>"5220"</f>
        <v>5220</v>
      </c>
      <c r="D481" s="3" t="s">
        <v>909</v>
      </c>
      <c r="E481" s="26" t="s">
        <v>910</v>
      </c>
    </row>
    <row r="482" spans="1:5" x14ac:dyDescent="0.25">
      <c r="A482" s="2" t="str">
        <f t="shared" ref="A482:A502" si="20">"31"</f>
        <v>31</v>
      </c>
      <c r="B482" s="1" t="s">
        <v>1164</v>
      </c>
      <c r="C482" s="6" t="str">
        <f>"0420"</f>
        <v>0420</v>
      </c>
      <c r="D482" s="3" t="s">
        <v>911</v>
      </c>
      <c r="E482" s="26" t="s">
        <v>912</v>
      </c>
    </row>
    <row r="483" spans="1:5" x14ac:dyDescent="0.25">
      <c r="A483" s="2" t="str">
        <f t="shared" si="20"/>
        <v>31</v>
      </c>
      <c r="B483" s="1" t="s">
        <v>1164</v>
      </c>
      <c r="C483" s="6" t="str">
        <f>"0900"</f>
        <v>0900</v>
      </c>
      <c r="D483" s="3" t="s">
        <v>915</v>
      </c>
      <c r="E483" s="26" t="s">
        <v>916</v>
      </c>
    </row>
    <row r="484" spans="1:5" x14ac:dyDescent="0.25">
      <c r="A484" s="2" t="str">
        <f t="shared" si="20"/>
        <v>31</v>
      </c>
      <c r="B484" s="1" t="s">
        <v>1164</v>
      </c>
      <c r="C484" s="6" t="str">
        <f>"1920"</f>
        <v>1920</v>
      </c>
      <c r="D484" s="3" t="s">
        <v>918</v>
      </c>
      <c r="E484" s="26" t="s">
        <v>919</v>
      </c>
    </row>
    <row r="485" spans="1:5" x14ac:dyDescent="0.25">
      <c r="A485" s="2" t="str">
        <f t="shared" si="20"/>
        <v>31</v>
      </c>
      <c r="B485" s="1" t="s">
        <v>1164</v>
      </c>
      <c r="C485" s="6" t="str">
        <f>"2100"</f>
        <v>2100</v>
      </c>
      <c r="D485" s="3" t="s">
        <v>920</v>
      </c>
      <c r="E485" s="26" t="s">
        <v>921</v>
      </c>
    </row>
    <row r="486" spans="1:5" x14ac:dyDescent="0.25">
      <c r="A486" s="2" t="str">
        <f t="shared" si="20"/>
        <v>31</v>
      </c>
      <c r="B486" s="1" t="s">
        <v>1164</v>
      </c>
      <c r="C486" s="6" t="str">
        <f>"2510"</f>
        <v>2510</v>
      </c>
      <c r="D486" s="3" t="s">
        <v>924</v>
      </c>
      <c r="E486" s="26" t="s">
        <v>925</v>
      </c>
    </row>
    <row r="487" spans="1:5" x14ac:dyDescent="0.25">
      <c r="A487" s="2" t="str">
        <f t="shared" si="20"/>
        <v>31</v>
      </c>
      <c r="B487" s="1" t="s">
        <v>1164</v>
      </c>
      <c r="C487" s="6" t="str">
        <f>"2700"</f>
        <v>2700</v>
      </c>
      <c r="D487" s="3" t="s">
        <v>926</v>
      </c>
      <c r="E487" s="26" t="s">
        <v>927</v>
      </c>
    </row>
    <row r="488" spans="1:5" x14ac:dyDescent="0.25">
      <c r="A488" s="2" t="str">
        <f t="shared" si="20"/>
        <v>31</v>
      </c>
      <c r="B488" s="1" t="s">
        <v>1164</v>
      </c>
      <c r="C488" s="6" t="str">
        <f>"3640"</f>
        <v>3640</v>
      </c>
      <c r="D488" s="3" t="s">
        <v>928</v>
      </c>
      <c r="E488" s="26" t="s">
        <v>929</v>
      </c>
    </row>
    <row r="489" spans="1:5" x14ac:dyDescent="0.25">
      <c r="A489" s="2" t="str">
        <f t="shared" si="20"/>
        <v>31</v>
      </c>
      <c r="B489" s="1" t="s">
        <v>1164</v>
      </c>
      <c r="C489" s="6" t="str">
        <f>"3970"</f>
        <v>3970</v>
      </c>
      <c r="D489" s="3" t="s">
        <v>931</v>
      </c>
      <c r="E489" s="26" t="s">
        <v>932</v>
      </c>
    </row>
    <row r="490" spans="1:5" x14ac:dyDescent="0.25">
      <c r="A490" s="2" t="str">
        <f t="shared" si="20"/>
        <v>31</v>
      </c>
      <c r="B490" s="1" t="s">
        <v>1164</v>
      </c>
      <c r="C490" s="6" t="str">
        <f>"3975"</f>
        <v>3975</v>
      </c>
      <c r="D490" s="3" t="s">
        <v>933</v>
      </c>
      <c r="E490" s="26" t="s">
        <v>934</v>
      </c>
    </row>
    <row r="491" spans="1:5" x14ac:dyDescent="0.25">
      <c r="A491" s="2" t="str">
        <f t="shared" si="20"/>
        <v>31</v>
      </c>
      <c r="B491" s="1" t="s">
        <v>1164</v>
      </c>
      <c r="C491" s="6" t="str">
        <f>"3980"</f>
        <v>3980</v>
      </c>
      <c r="D491" s="3" t="s">
        <v>935</v>
      </c>
      <c r="E491" s="26" t="s">
        <v>936</v>
      </c>
    </row>
    <row r="492" spans="1:5" x14ac:dyDescent="0.25">
      <c r="A492" s="2" t="str">
        <f t="shared" si="20"/>
        <v>31</v>
      </c>
      <c r="B492" s="1" t="s">
        <v>1164</v>
      </c>
      <c r="C492" s="6" t="str">
        <f>"3990"</f>
        <v>3990</v>
      </c>
      <c r="D492" s="3" t="s">
        <v>937</v>
      </c>
      <c r="E492" s="26" t="s">
        <v>938</v>
      </c>
    </row>
    <row r="493" spans="1:5" x14ac:dyDescent="0.25">
      <c r="A493" s="2" t="str">
        <f t="shared" si="20"/>
        <v>31</v>
      </c>
      <c r="B493" s="1" t="s">
        <v>1164</v>
      </c>
      <c r="C493" s="6" t="str">
        <f>"3995"</f>
        <v>3995</v>
      </c>
      <c r="D493" s="3" t="s">
        <v>939</v>
      </c>
      <c r="E493" s="26" t="s">
        <v>940</v>
      </c>
    </row>
    <row r="494" spans="1:5" x14ac:dyDescent="0.25">
      <c r="A494" s="2" t="str">
        <f t="shared" si="20"/>
        <v>31</v>
      </c>
      <c r="B494" s="1" t="s">
        <v>1164</v>
      </c>
      <c r="C494" s="6" t="str">
        <f>"4010"</f>
        <v>4010</v>
      </c>
      <c r="D494" s="3" t="s">
        <v>943</v>
      </c>
      <c r="E494" s="26" t="s">
        <v>944</v>
      </c>
    </row>
    <row r="495" spans="1:5" x14ac:dyDescent="0.25">
      <c r="A495" s="2" t="str">
        <f t="shared" si="20"/>
        <v>31</v>
      </c>
      <c r="B495" s="1" t="s">
        <v>1164</v>
      </c>
      <c r="C495" s="6" t="str">
        <f>"4230"</f>
        <v>4230</v>
      </c>
      <c r="D495" s="3" t="s">
        <v>945</v>
      </c>
      <c r="E495" s="26" t="s">
        <v>946</v>
      </c>
    </row>
    <row r="496" spans="1:5" x14ac:dyDescent="0.25">
      <c r="A496" s="2" t="str">
        <f t="shared" si="20"/>
        <v>31</v>
      </c>
      <c r="B496" s="1" t="s">
        <v>1164</v>
      </c>
      <c r="C496" s="6" t="str">
        <f>"4270"</f>
        <v>4270</v>
      </c>
      <c r="D496" s="3" t="s">
        <v>947</v>
      </c>
      <c r="E496" s="26" t="s">
        <v>948</v>
      </c>
    </row>
    <row r="497" spans="1:5" x14ac:dyDescent="0.25">
      <c r="A497" s="2" t="str">
        <f t="shared" si="20"/>
        <v>31</v>
      </c>
      <c r="B497" s="1" t="s">
        <v>1164</v>
      </c>
      <c r="C497" s="6" t="str">
        <f>"4400"</f>
        <v>4400</v>
      </c>
      <c r="D497" s="3" t="s">
        <v>949</v>
      </c>
      <c r="E497" s="26" t="s">
        <v>950</v>
      </c>
    </row>
    <row r="498" spans="1:5" s="8" customFormat="1" ht="15.75" thickBot="1" x14ac:dyDescent="0.3">
      <c r="A498" s="4" t="str">
        <f t="shared" si="20"/>
        <v>31</v>
      </c>
      <c r="B498" s="31" t="s">
        <v>1164</v>
      </c>
      <c r="C498" s="7" t="str">
        <f>"5200"</f>
        <v>5200</v>
      </c>
      <c r="D498" s="5" t="s">
        <v>951</v>
      </c>
      <c r="E498" s="30" t="s">
        <v>952</v>
      </c>
    </row>
    <row r="499" spans="1:5" ht="15.75" thickTop="1" x14ac:dyDescent="0.25">
      <c r="A499" s="2" t="str">
        <f t="shared" si="20"/>
        <v>31</v>
      </c>
      <c r="B499" s="1" t="s">
        <v>1164</v>
      </c>
      <c r="C499" s="6" t="str">
        <f>"5440"</f>
        <v>5440</v>
      </c>
      <c r="D499" s="3" t="s">
        <v>953</v>
      </c>
      <c r="E499" s="26" t="s">
        <v>954</v>
      </c>
    </row>
    <row r="500" spans="1:5" x14ac:dyDescent="0.25">
      <c r="A500" s="2" t="str">
        <f t="shared" si="20"/>
        <v>31</v>
      </c>
      <c r="B500" s="1" t="s">
        <v>1164</v>
      </c>
      <c r="C500" s="6" t="str">
        <f>"5570"</f>
        <v>5570</v>
      </c>
      <c r="D500" s="3" t="s">
        <v>955</v>
      </c>
      <c r="E500" s="26" t="s">
        <v>956</v>
      </c>
    </row>
    <row r="501" spans="1:5" x14ac:dyDescent="0.25">
      <c r="A501" s="2" t="str">
        <f t="shared" si="20"/>
        <v>31</v>
      </c>
      <c r="B501" s="1" t="s">
        <v>1164</v>
      </c>
      <c r="C501" s="6" t="str">
        <f>"5650"</f>
        <v>5650</v>
      </c>
      <c r="D501" s="3" t="s">
        <v>957</v>
      </c>
      <c r="E501" s="26" t="s">
        <v>958</v>
      </c>
    </row>
    <row r="502" spans="1:5" x14ac:dyDescent="0.25">
      <c r="A502" s="2" t="str">
        <f t="shared" si="20"/>
        <v>31</v>
      </c>
      <c r="B502" s="1" t="s">
        <v>1164</v>
      </c>
      <c r="C502" s="6" t="str">
        <f>"5690"</f>
        <v>5690</v>
      </c>
      <c r="D502" s="3" t="s">
        <v>959</v>
      </c>
      <c r="E502" s="26" t="s">
        <v>960</v>
      </c>
    </row>
    <row r="503" spans="1:5" x14ac:dyDescent="0.25">
      <c r="A503" s="2" t="str">
        <f t="shared" ref="A503:A517" si="21">"33"</f>
        <v>33</v>
      </c>
      <c r="B503" s="1" t="s">
        <v>1165</v>
      </c>
      <c r="C503" s="6" t="str">
        <f>"0060"</f>
        <v>0060</v>
      </c>
      <c r="D503" s="3" t="s">
        <v>1327</v>
      </c>
      <c r="E503" s="26" t="s">
        <v>961</v>
      </c>
    </row>
    <row r="504" spans="1:5" x14ac:dyDescent="0.25">
      <c r="A504" s="2" t="str">
        <f t="shared" si="21"/>
        <v>33</v>
      </c>
      <c r="B504" s="1" t="s">
        <v>1165</v>
      </c>
      <c r="C504" s="6" t="str">
        <f>"1340"</f>
        <v>1340</v>
      </c>
      <c r="D504" s="3" t="s">
        <v>1328</v>
      </c>
      <c r="E504" s="27" t="s">
        <v>1142</v>
      </c>
    </row>
    <row r="505" spans="1:5" x14ac:dyDescent="0.25">
      <c r="A505" s="2" t="str">
        <f t="shared" si="21"/>
        <v>33</v>
      </c>
      <c r="B505" s="1" t="s">
        <v>1165</v>
      </c>
      <c r="C505" s="6" t="str">
        <f>"1350"</f>
        <v>1350</v>
      </c>
      <c r="D505" s="3" t="s">
        <v>962</v>
      </c>
      <c r="E505" s="26" t="s">
        <v>963</v>
      </c>
    </row>
    <row r="506" spans="1:5" x14ac:dyDescent="0.25">
      <c r="A506" s="2" t="str">
        <f t="shared" si="21"/>
        <v>33</v>
      </c>
      <c r="B506" s="1" t="s">
        <v>1165</v>
      </c>
      <c r="C506" s="6" t="str">
        <f>"2950"</f>
        <v>2950</v>
      </c>
      <c r="D506" s="3" t="s">
        <v>964</v>
      </c>
      <c r="E506" s="26" t="s">
        <v>965</v>
      </c>
    </row>
    <row r="507" spans="1:5" x14ac:dyDescent="0.25">
      <c r="A507" s="2" t="str">
        <f t="shared" si="21"/>
        <v>33</v>
      </c>
      <c r="B507" s="1" t="s">
        <v>1165</v>
      </c>
      <c r="C507" s="6" t="str">
        <f>"3860"</f>
        <v>3860</v>
      </c>
      <c r="D507" s="3" t="s">
        <v>1329</v>
      </c>
      <c r="E507" s="26" t="s">
        <v>966</v>
      </c>
    </row>
    <row r="508" spans="1:5" x14ac:dyDescent="0.25">
      <c r="A508" s="2" t="str">
        <f t="shared" si="21"/>
        <v>33</v>
      </c>
      <c r="B508" s="1" t="s">
        <v>1165</v>
      </c>
      <c r="C508" s="6" t="str">
        <f>"4070"</f>
        <v>4070</v>
      </c>
      <c r="D508" s="3" t="s">
        <v>967</v>
      </c>
      <c r="E508" s="26" t="s">
        <v>968</v>
      </c>
    </row>
    <row r="509" spans="1:5" x14ac:dyDescent="0.25">
      <c r="A509" s="2" t="str">
        <f t="shared" si="21"/>
        <v>33</v>
      </c>
      <c r="B509" s="1" t="s">
        <v>1165</v>
      </c>
      <c r="C509" s="6" t="str">
        <f>"4075"</f>
        <v>4075</v>
      </c>
      <c r="D509" s="3" t="s">
        <v>1330</v>
      </c>
      <c r="E509" s="26" t="s">
        <v>969</v>
      </c>
    </row>
    <row r="510" spans="1:5" x14ac:dyDescent="0.25">
      <c r="A510" s="2" t="str">
        <f t="shared" si="21"/>
        <v>33</v>
      </c>
      <c r="B510" s="1" t="s">
        <v>1165</v>
      </c>
      <c r="C510" s="6" t="str">
        <f>"4150"</f>
        <v>4150</v>
      </c>
      <c r="D510" s="3" t="s">
        <v>1331</v>
      </c>
      <c r="E510" s="26" t="s">
        <v>970</v>
      </c>
    </row>
    <row r="511" spans="1:5" x14ac:dyDescent="0.25">
      <c r="A511" s="2" t="str">
        <f t="shared" si="21"/>
        <v>33</v>
      </c>
      <c r="B511" s="1" t="s">
        <v>1165</v>
      </c>
      <c r="C511" s="6" t="str">
        <f>"4280"</f>
        <v>4280</v>
      </c>
      <c r="D511" s="3" t="s">
        <v>1332</v>
      </c>
      <c r="E511" s="26" t="s">
        <v>971</v>
      </c>
    </row>
    <row r="512" spans="1:5" x14ac:dyDescent="0.25">
      <c r="A512" s="2" t="str">
        <f t="shared" si="21"/>
        <v>33</v>
      </c>
      <c r="B512" s="1" t="s">
        <v>1165</v>
      </c>
      <c r="C512" s="6" t="str">
        <f>"4630"</f>
        <v>4630</v>
      </c>
      <c r="D512" s="3" t="s">
        <v>1333</v>
      </c>
      <c r="E512" s="26" t="s">
        <v>972</v>
      </c>
    </row>
    <row r="513" spans="1:5" x14ac:dyDescent="0.25">
      <c r="A513" s="2" t="str">
        <f t="shared" si="21"/>
        <v>33</v>
      </c>
      <c r="B513" s="1" t="s">
        <v>1165</v>
      </c>
      <c r="C513" s="6" t="str">
        <f>"4635"</f>
        <v>4635</v>
      </c>
      <c r="D513" s="3" t="s">
        <v>973</v>
      </c>
      <c r="E513" s="26" t="s">
        <v>974</v>
      </c>
    </row>
    <row r="514" spans="1:5" x14ac:dyDescent="0.25">
      <c r="A514" s="2" t="str">
        <f t="shared" si="21"/>
        <v>33</v>
      </c>
      <c r="B514" s="1" t="s">
        <v>1165</v>
      </c>
      <c r="C514" s="6" t="str">
        <f>"4640"</f>
        <v>4640</v>
      </c>
      <c r="D514" s="3" t="s">
        <v>975</v>
      </c>
      <c r="E514" s="26" t="s">
        <v>976</v>
      </c>
    </row>
    <row r="515" spans="1:5" x14ac:dyDescent="0.25">
      <c r="A515" s="2" t="str">
        <f t="shared" si="21"/>
        <v>33</v>
      </c>
      <c r="B515" s="1" t="s">
        <v>1165</v>
      </c>
      <c r="C515" s="6" t="str">
        <f>"2800"</f>
        <v>2800</v>
      </c>
      <c r="D515" s="3" t="s">
        <v>1334</v>
      </c>
      <c r="E515" s="26" t="s">
        <v>977</v>
      </c>
    </row>
    <row r="516" spans="1:5" x14ac:dyDescent="0.25">
      <c r="A516" s="1" t="str">
        <f t="shared" si="21"/>
        <v>33</v>
      </c>
      <c r="B516" s="1" t="s">
        <v>1165</v>
      </c>
      <c r="C516" s="6" t="str">
        <f>"5320"</f>
        <v>5320</v>
      </c>
      <c r="D516" s="3" t="s">
        <v>1335</v>
      </c>
      <c r="E516" s="36" t="s">
        <v>978</v>
      </c>
    </row>
    <row r="517" spans="1:5" x14ac:dyDescent="0.25">
      <c r="A517" s="2" t="str">
        <f t="shared" si="21"/>
        <v>33</v>
      </c>
      <c r="B517" s="1" t="s">
        <v>1165</v>
      </c>
      <c r="C517" s="6" t="str">
        <f>"5910"</f>
        <v>5910</v>
      </c>
      <c r="D517" s="3" t="s">
        <v>979</v>
      </c>
      <c r="E517" s="26" t="s">
        <v>980</v>
      </c>
    </row>
    <row r="518" spans="1:5" x14ac:dyDescent="0.25">
      <c r="A518" s="2" t="str">
        <f t="shared" ref="A518:A536" si="22">"35"</f>
        <v>35</v>
      </c>
      <c r="B518" s="1" t="s">
        <v>1166</v>
      </c>
      <c r="C518" s="6" t="str">
        <f>"0240"</f>
        <v>0240</v>
      </c>
      <c r="D518" s="3" t="s">
        <v>981</v>
      </c>
      <c r="E518" s="26" t="s">
        <v>982</v>
      </c>
    </row>
    <row r="519" spans="1:5" x14ac:dyDescent="0.25">
      <c r="A519" s="2" t="str">
        <f t="shared" si="22"/>
        <v>35</v>
      </c>
      <c r="B519" s="1" t="s">
        <v>1166</v>
      </c>
      <c r="C519" s="6" t="str">
        <f>"0350"</f>
        <v>0350</v>
      </c>
      <c r="D519" s="3" t="s">
        <v>983</v>
      </c>
      <c r="E519" s="26" t="s">
        <v>984</v>
      </c>
    </row>
    <row r="520" spans="1:5" x14ac:dyDescent="0.25">
      <c r="A520" s="2" t="str">
        <f t="shared" si="22"/>
        <v>35</v>
      </c>
      <c r="B520" s="1" t="s">
        <v>1166</v>
      </c>
      <c r="C520" s="6" t="str">
        <f>"0490"</f>
        <v>0490</v>
      </c>
      <c r="D520" s="3" t="s">
        <v>1336</v>
      </c>
      <c r="E520" s="26" t="s">
        <v>985</v>
      </c>
    </row>
    <row r="521" spans="1:5" x14ac:dyDescent="0.25">
      <c r="A521" s="2" t="str">
        <f t="shared" si="22"/>
        <v>35</v>
      </c>
      <c r="B521" s="1" t="s">
        <v>1166</v>
      </c>
      <c r="C521" s="6" t="str">
        <f>"0510"</f>
        <v>0510</v>
      </c>
      <c r="D521" s="3" t="s">
        <v>1337</v>
      </c>
      <c r="E521" s="26" t="s">
        <v>986</v>
      </c>
    </row>
    <row r="522" spans="1:5" x14ac:dyDescent="0.25">
      <c r="A522" s="2" t="str">
        <f t="shared" si="22"/>
        <v>35</v>
      </c>
      <c r="B522" s="1" t="s">
        <v>1166</v>
      </c>
      <c r="C522" s="6" t="str">
        <f>"0555"</f>
        <v>0555</v>
      </c>
      <c r="D522" s="3" t="s">
        <v>1338</v>
      </c>
      <c r="E522" s="26" t="s">
        <v>987</v>
      </c>
    </row>
    <row r="523" spans="1:5" x14ac:dyDescent="0.25">
      <c r="A523" s="2" t="str">
        <f t="shared" si="22"/>
        <v>35</v>
      </c>
      <c r="B523" s="1" t="s">
        <v>1166</v>
      </c>
      <c r="C523" s="6" t="str">
        <f>"1610"</f>
        <v>1610</v>
      </c>
      <c r="D523" s="3" t="s">
        <v>990</v>
      </c>
      <c r="E523" s="26" t="s">
        <v>991</v>
      </c>
    </row>
    <row r="524" spans="1:5" x14ac:dyDescent="0.25">
      <c r="A524" s="2" t="str">
        <f t="shared" si="22"/>
        <v>35</v>
      </c>
      <c r="B524" s="1" t="s">
        <v>1166</v>
      </c>
      <c r="C524" s="6" t="str">
        <f>"1810"</f>
        <v>1810</v>
      </c>
      <c r="D524" s="3" t="s">
        <v>992</v>
      </c>
      <c r="E524" s="26" t="s">
        <v>993</v>
      </c>
    </row>
    <row r="525" spans="1:5" x14ac:dyDescent="0.25">
      <c r="A525" s="2" t="str">
        <f t="shared" si="22"/>
        <v>35</v>
      </c>
      <c r="B525" s="1" t="s">
        <v>1166</v>
      </c>
      <c r="C525" s="6" t="str">
        <f>"2170"</f>
        <v>2170</v>
      </c>
      <c r="D525" s="3" t="s">
        <v>994</v>
      </c>
      <c r="E525" s="26" t="s">
        <v>995</v>
      </c>
    </row>
    <row r="526" spans="1:5" x14ac:dyDescent="0.25">
      <c r="A526" s="2" t="str">
        <f t="shared" si="22"/>
        <v>35</v>
      </c>
      <c r="B526" s="1" t="s">
        <v>1166</v>
      </c>
      <c r="C526" s="6" t="str">
        <f>"3000"</f>
        <v>3000</v>
      </c>
      <c r="D526" s="3" t="s">
        <v>1339</v>
      </c>
      <c r="E526" s="26" t="s">
        <v>996</v>
      </c>
    </row>
    <row r="527" spans="1:5" x14ac:dyDescent="0.25">
      <c r="A527" s="2" t="str">
        <f t="shared" si="22"/>
        <v>35</v>
      </c>
      <c r="B527" s="1" t="s">
        <v>1166</v>
      </c>
      <c r="C527" s="6" t="str">
        <f>"3320"</f>
        <v>3320</v>
      </c>
      <c r="D527" s="3" t="s">
        <v>997</v>
      </c>
      <c r="E527" s="26" t="s">
        <v>998</v>
      </c>
    </row>
    <row r="528" spans="1:5" x14ac:dyDescent="0.25">
      <c r="A528" s="2" t="str">
        <f t="shared" si="22"/>
        <v>35</v>
      </c>
      <c r="B528" s="1" t="s">
        <v>1166</v>
      </c>
      <c r="C528" s="6" t="str">
        <f>"3670"</f>
        <v>3670</v>
      </c>
      <c r="D528" s="3" t="s">
        <v>1340</v>
      </c>
      <c r="E528" s="26" t="s">
        <v>999</v>
      </c>
    </row>
    <row r="529" spans="1:5" x14ac:dyDescent="0.25">
      <c r="A529" s="2" t="str">
        <f t="shared" si="22"/>
        <v>35</v>
      </c>
      <c r="B529" s="1" t="s">
        <v>1166</v>
      </c>
      <c r="C529" s="6" t="str">
        <f>"4805"</f>
        <v>4805</v>
      </c>
      <c r="D529" s="3" t="s">
        <v>1000</v>
      </c>
      <c r="E529" s="26" t="s">
        <v>1001</v>
      </c>
    </row>
    <row r="530" spans="1:5" x14ac:dyDescent="0.25">
      <c r="A530" s="2" t="str">
        <f t="shared" si="22"/>
        <v>35</v>
      </c>
      <c r="B530" s="1" t="s">
        <v>1166</v>
      </c>
      <c r="C530" s="6" t="str">
        <f>"4810"</f>
        <v>4810</v>
      </c>
      <c r="D530" s="3" t="s">
        <v>1341</v>
      </c>
      <c r="E530" s="26" t="s">
        <v>1002</v>
      </c>
    </row>
    <row r="531" spans="1:5" x14ac:dyDescent="0.25">
      <c r="A531" s="2" t="str">
        <f t="shared" si="22"/>
        <v>35</v>
      </c>
      <c r="B531" s="1" t="s">
        <v>1166</v>
      </c>
      <c r="C531" s="6" t="str">
        <f>"4815"</f>
        <v>4815</v>
      </c>
      <c r="D531" s="3" t="s">
        <v>1003</v>
      </c>
      <c r="E531" s="26" t="s">
        <v>1004</v>
      </c>
    </row>
    <row r="532" spans="1:5" x14ac:dyDescent="0.25">
      <c r="A532" s="2" t="str">
        <f t="shared" si="22"/>
        <v>35</v>
      </c>
      <c r="B532" s="1" t="s">
        <v>1166</v>
      </c>
      <c r="C532" s="6" t="str">
        <f>"4820"</f>
        <v>4820</v>
      </c>
      <c r="D532" s="3" t="s">
        <v>1342</v>
      </c>
      <c r="E532" s="26" t="s">
        <v>1005</v>
      </c>
    </row>
    <row r="533" spans="1:5" x14ac:dyDescent="0.25">
      <c r="A533" s="2" t="str">
        <f t="shared" si="22"/>
        <v>35</v>
      </c>
      <c r="B533" s="1" t="s">
        <v>1166</v>
      </c>
      <c r="C533" s="6" t="str">
        <f>"4850"</f>
        <v>4850</v>
      </c>
      <c r="D533" s="3" t="s">
        <v>1006</v>
      </c>
      <c r="E533" s="26" t="s">
        <v>1007</v>
      </c>
    </row>
    <row r="534" spans="1:5" x14ac:dyDescent="0.25">
      <c r="A534" s="2" t="str">
        <f t="shared" si="22"/>
        <v>35</v>
      </c>
      <c r="B534" s="1" t="s">
        <v>1166</v>
      </c>
      <c r="C534" s="6" t="str">
        <f>"5470"</f>
        <v>5470</v>
      </c>
      <c r="D534" s="3" t="s">
        <v>1009</v>
      </c>
      <c r="E534" s="26" t="s">
        <v>1010</v>
      </c>
    </row>
    <row r="535" spans="1:5" x14ac:dyDescent="0.25">
      <c r="A535" s="2" t="str">
        <f t="shared" si="22"/>
        <v>35</v>
      </c>
      <c r="B535" s="1" t="s">
        <v>1166</v>
      </c>
      <c r="C535" s="6" t="str">
        <f>"5540"</f>
        <v>5540</v>
      </c>
      <c r="D535" s="3" t="s">
        <v>1011</v>
      </c>
      <c r="E535" s="26" t="s">
        <v>1012</v>
      </c>
    </row>
    <row r="536" spans="1:5" x14ac:dyDescent="0.25">
      <c r="A536" s="2" t="str">
        <f t="shared" si="22"/>
        <v>35</v>
      </c>
      <c r="B536" s="1" t="s">
        <v>1166</v>
      </c>
      <c r="C536" s="6" t="str">
        <f>"5550"</f>
        <v>5550</v>
      </c>
      <c r="D536" s="3" t="s">
        <v>1343</v>
      </c>
      <c r="E536" s="26" t="s">
        <v>1013</v>
      </c>
    </row>
    <row r="537" spans="1:5" x14ac:dyDescent="0.25">
      <c r="A537" s="2" t="str">
        <f t="shared" ref="A537:A562" si="23">"37"</f>
        <v>37</v>
      </c>
      <c r="B537" s="1" t="s">
        <v>1167</v>
      </c>
      <c r="C537" s="6" t="str">
        <f>"0090"</f>
        <v>0090</v>
      </c>
      <c r="D537" s="3" t="s">
        <v>1014</v>
      </c>
      <c r="E537" s="26" t="s">
        <v>1015</v>
      </c>
    </row>
    <row r="538" spans="1:5" x14ac:dyDescent="0.25">
      <c r="A538" s="2" t="str">
        <f t="shared" si="23"/>
        <v>37</v>
      </c>
      <c r="B538" s="1" t="s">
        <v>1167</v>
      </c>
      <c r="C538" s="6" t="str">
        <f>"0640"</f>
        <v>0640</v>
      </c>
      <c r="D538" s="3" t="s">
        <v>1016</v>
      </c>
      <c r="E538" s="26" t="s">
        <v>1017</v>
      </c>
    </row>
    <row r="539" spans="1:5" x14ac:dyDescent="0.25">
      <c r="A539" s="2" t="str">
        <f t="shared" si="23"/>
        <v>37</v>
      </c>
      <c r="B539" s="1" t="s">
        <v>1167</v>
      </c>
      <c r="C539" s="6" t="str">
        <f>"1560"</f>
        <v>1560</v>
      </c>
      <c r="D539" s="3" t="s">
        <v>1018</v>
      </c>
      <c r="E539" s="26" t="s">
        <v>1019</v>
      </c>
    </row>
    <row r="540" spans="1:5" x14ac:dyDescent="0.25">
      <c r="A540" s="2" t="str">
        <f t="shared" si="23"/>
        <v>37</v>
      </c>
      <c r="B540" s="1" t="s">
        <v>1167</v>
      </c>
      <c r="C540" s="6" t="str">
        <f>"1570"</f>
        <v>1570</v>
      </c>
      <c r="D540" s="3" t="s">
        <v>1020</v>
      </c>
      <c r="E540" s="26" t="s">
        <v>1021</v>
      </c>
    </row>
    <row r="541" spans="1:5" x14ac:dyDescent="0.25">
      <c r="A541" s="2" t="str">
        <f t="shared" si="23"/>
        <v>37</v>
      </c>
      <c r="B541" s="1" t="s">
        <v>1167</v>
      </c>
      <c r="C541" s="6" t="str">
        <f>"1630"</f>
        <v>1630</v>
      </c>
      <c r="D541" s="3" t="s">
        <v>1344</v>
      </c>
      <c r="E541" s="26" t="s">
        <v>1022</v>
      </c>
    </row>
    <row r="542" spans="1:5" x14ac:dyDescent="0.25">
      <c r="A542" s="2" t="str">
        <f t="shared" si="23"/>
        <v>37</v>
      </c>
      <c r="B542" s="1" t="s">
        <v>1167</v>
      </c>
      <c r="C542" s="6" t="str">
        <f>"1800"</f>
        <v>1800</v>
      </c>
      <c r="D542" s="3" t="s">
        <v>1023</v>
      </c>
      <c r="E542" s="26" t="s">
        <v>1024</v>
      </c>
    </row>
    <row r="543" spans="1:5" x14ac:dyDescent="0.25">
      <c r="A543" s="2" t="str">
        <f t="shared" si="23"/>
        <v>37</v>
      </c>
      <c r="B543" s="1" t="s">
        <v>1167</v>
      </c>
      <c r="C543" s="6" t="str">
        <f>"1930"</f>
        <v>1930</v>
      </c>
      <c r="D543" s="3" t="s">
        <v>1025</v>
      </c>
      <c r="E543" s="26" t="s">
        <v>1026</v>
      </c>
    </row>
    <row r="544" spans="1:5" x14ac:dyDescent="0.25">
      <c r="A544" s="2" t="str">
        <f t="shared" si="23"/>
        <v>37</v>
      </c>
      <c r="B544" s="1" t="s">
        <v>1167</v>
      </c>
      <c r="C544" s="6" t="str">
        <f>"1980"</f>
        <v>1980</v>
      </c>
      <c r="D544" s="3" t="s">
        <v>1345</v>
      </c>
      <c r="E544" s="26" t="s">
        <v>1027</v>
      </c>
    </row>
    <row r="545" spans="1:5" x14ac:dyDescent="0.25">
      <c r="A545" s="2" t="str">
        <f t="shared" si="23"/>
        <v>37</v>
      </c>
      <c r="B545" s="1" t="s">
        <v>1167</v>
      </c>
      <c r="C545" s="6" t="str">
        <f>"2030"</f>
        <v>2030</v>
      </c>
      <c r="D545" s="3" t="s">
        <v>1028</v>
      </c>
      <c r="E545" s="26" t="s">
        <v>1029</v>
      </c>
    </row>
    <row r="546" spans="1:5" x14ac:dyDescent="0.25">
      <c r="A546" s="2" t="str">
        <f t="shared" si="23"/>
        <v>37</v>
      </c>
      <c r="B546" s="1" t="s">
        <v>1167</v>
      </c>
      <c r="C546" s="6" t="str">
        <f>"2165"</f>
        <v>2165</v>
      </c>
      <c r="D546" s="3" t="s">
        <v>1346</v>
      </c>
      <c r="E546" s="26" t="s">
        <v>1030</v>
      </c>
    </row>
    <row r="547" spans="1:5" x14ac:dyDescent="0.25">
      <c r="A547" s="2" t="str">
        <f t="shared" si="23"/>
        <v>37</v>
      </c>
      <c r="B547" s="1" t="s">
        <v>1167</v>
      </c>
      <c r="C547" s="6" t="str">
        <f>"2240"</f>
        <v>2240</v>
      </c>
      <c r="D547" s="3" t="s">
        <v>1031</v>
      </c>
      <c r="E547" s="26" t="s">
        <v>1032</v>
      </c>
    </row>
    <row r="548" spans="1:5" x14ac:dyDescent="0.25">
      <c r="A548" s="2" t="str">
        <f t="shared" si="23"/>
        <v>37</v>
      </c>
      <c r="B548" s="1" t="s">
        <v>1167</v>
      </c>
      <c r="C548" s="6" t="str">
        <f>"2465"</f>
        <v>2465</v>
      </c>
      <c r="D548" s="3" t="s">
        <v>1033</v>
      </c>
      <c r="E548" s="26" t="s">
        <v>1034</v>
      </c>
    </row>
    <row r="549" spans="1:5" x14ac:dyDescent="0.25">
      <c r="A549" s="2" t="str">
        <f t="shared" si="23"/>
        <v>37</v>
      </c>
      <c r="B549" s="1" t="s">
        <v>1167</v>
      </c>
      <c r="C549" s="6" t="str">
        <f>"2490"</f>
        <v>2490</v>
      </c>
      <c r="D549" s="3" t="s">
        <v>1347</v>
      </c>
      <c r="E549" s="26" t="s">
        <v>1035</v>
      </c>
    </row>
    <row r="550" spans="1:5" x14ac:dyDescent="0.25">
      <c r="A550" s="2" t="str">
        <f t="shared" si="23"/>
        <v>37</v>
      </c>
      <c r="B550" s="1" t="s">
        <v>1167</v>
      </c>
      <c r="C550" s="6" t="str">
        <f>"2615"</f>
        <v>2615</v>
      </c>
      <c r="D550" s="3" t="s">
        <v>1036</v>
      </c>
      <c r="E550" s="26" t="s">
        <v>1037</v>
      </c>
    </row>
    <row r="551" spans="1:5" x14ac:dyDescent="0.25">
      <c r="A551" s="2" t="str">
        <f t="shared" si="23"/>
        <v>37</v>
      </c>
      <c r="B551" s="1" t="s">
        <v>1167</v>
      </c>
      <c r="C551" s="6" t="str">
        <f>"3300"</f>
        <v>3300</v>
      </c>
      <c r="D551" s="3" t="s">
        <v>1348</v>
      </c>
      <c r="E551" s="26" t="s">
        <v>1038</v>
      </c>
    </row>
    <row r="552" spans="1:5" x14ac:dyDescent="0.25">
      <c r="A552" s="2" t="str">
        <f t="shared" si="23"/>
        <v>37</v>
      </c>
      <c r="B552" s="1" t="s">
        <v>1167</v>
      </c>
      <c r="C552" s="6" t="str">
        <f>"3590"</f>
        <v>3590</v>
      </c>
      <c r="D552" s="3" t="s">
        <v>1349</v>
      </c>
      <c r="E552" s="26" t="s">
        <v>1039</v>
      </c>
    </row>
    <row r="553" spans="1:5" s="8" customFormat="1" ht="15.75" thickBot="1" x14ac:dyDescent="0.3">
      <c r="A553" s="4" t="str">
        <f t="shared" si="23"/>
        <v>37</v>
      </c>
      <c r="B553" s="31" t="s">
        <v>1167</v>
      </c>
      <c r="C553" s="7" t="str">
        <f>"3840"</f>
        <v>3840</v>
      </c>
      <c r="D553" s="5" t="s">
        <v>1040</v>
      </c>
      <c r="E553" s="30" t="s">
        <v>1041</v>
      </c>
    </row>
    <row r="554" spans="1:5" ht="15.75" thickTop="1" x14ac:dyDescent="0.25">
      <c r="A554" s="2" t="str">
        <f t="shared" si="23"/>
        <v>37</v>
      </c>
      <c r="B554" s="1" t="s">
        <v>1167</v>
      </c>
      <c r="C554" s="6" t="str">
        <f>"4650"</f>
        <v>4650</v>
      </c>
      <c r="D554" s="3" t="s">
        <v>1042</v>
      </c>
      <c r="E554" s="26" t="s">
        <v>1043</v>
      </c>
    </row>
    <row r="555" spans="1:5" x14ac:dyDescent="0.25">
      <c r="A555" s="2" t="str">
        <f t="shared" si="23"/>
        <v>37</v>
      </c>
      <c r="B555" s="1" t="s">
        <v>1167</v>
      </c>
      <c r="C555" s="6" t="str">
        <f>"4960"</f>
        <v>4960</v>
      </c>
      <c r="D555" s="3" t="s">
        <v>1350</v>
      </c>
      <c r="E555" s="26" t="s">
        <v>1044</v>
      </c>
    </row>
    <row r="556" spans="1:5" x14ac:dyDescent="0.25">
      <c r="A556" s="2" t="str">
        <f t="shared" si="23"/>
        <v>37</v>
      </c>
      <c r="B556" s="1" t="s">
        <v>1167</v>
      </c>
      <c r="C556" s="6" t="str">
        <f>"5030"</f>
        <v>5030</v>
      </c>
      <c r="D556" s="3" t="s">
        <v>1045</v>
      </c>
      <c r="E556" s="26" t="s">
        <v>1046</v>
      </c>
    </row>
    <row r="557" spans="1:5" x14ac:dyDescent="0.25">
      <c r="A557" s="2" t="str">
        <f t="shared" si="23"/>
        <v>37</v>
      </c>
      <c r="B557" s="1" t="s">
        <v>1167</v>
      </c>
      <c r="C557" s="6" t="str">
        <f>"5040"</f>
        <v>5040</v>
      </c>
      <c r="D557" s="3" t="s">
        <v>1351</v>
      </c>
      <c r="E557" s="26" t="s">
        <v>1047</v>
      </c>
    </row>
    <row r="558" spans="1:5" x14ac:dyDescent="0.25">
      <c r="A558" s="2" t="str">
        <f t="shared" si="23"/>
        <v>37</v>
      </c>
      <c r="B558" s="1" t="s">
        <v>1167</v>
      </c>
      <c r="C558" s="6" t="str">
        <f>"5105"</f>
        <v>5105</v>
      </c>
      <c r="D558" s="3" t="s">
        <v>1352</v>
      </c>
      <c r="E558" s="26" t="s">
        <v>1048</v>
      </c>
    </row>
    <row r="559" spans="1:5" x14ac:dyDescent="0.25">
      <c r="A559" s="2" t="str">
        <f t="shared" si="23"/>
        <v>37</v>
      </c>
      <c r="B559" s="1" t="s">
        <v>1167</v>
      </c>
      <c r="C559" s="6" t="str">
        <f>"5110"</f>
        <v>5110</v>
      </c>
      <c r="D559" s="3" t="s">
        <v>1049</v>
      </c>
      <c r="E559" s="26" t="s">
        <v>1050</v>
      </c>
    </row>
    <row r="560" spans="1:5" x14ac:dyDescent="0.25">
      <c r="A560" s="2" t="str">
        <f t="shared" si="23"/>
        <v>37</v>
      </c>
      <c r="B560" s="1" t="s">
        <v>1167</v>
      </c>
      <c r="C560" s="6" t="str">
        <f>"5100"</f>
        <v>5100</v>
      </c>
      <c r="D560" s="3" t="s">
        <v>1053</v>
      </c>
      <c r="E560" s="26" t="s">
        <v>1054</v>
      </c>
    </row>
    <row r="561" spans="1:5" x14ac:dyDescent="0.25">
      <c r="A561" s="2" t="str">
        <f t="shared" si="23"/>
        <v>37</v>
      </c>
      <c r="B561" s="1" t="s">
        <v>1167</v>
      </c>
      <c r="C561" s="6" t="str">
        <f>"5360"</f>
        <v>5360</v>
      </c>
      <c r="D561" s="3" t="s">
        <v>1055</v>
      </c>
      <c r="E561" s="26" t="s">
        <v>1056</v>
      </c>
    </row>
    <row r="562" spans="1:5" x14ac:dyDescent="0.25">
      <c r="A562" s="2" t="str">
        <f t="shared" si="23"/>
        <v>37</v>
      </c>
      <c r="B562" s="1" t="s">
        <v>1167</v>
      </c>
      <c r="C562" s="6" t="str">
        <f>"5435"</f>
        <v>5435</v>
      </c>
      <c r="D562" s="3" t="s">
        <v>1353</v>
      </c>
      <c r="E562" s="26" t="s">
        <v>1057</v>
      </c>
    </row>
    <row r="563" spans="1:5" x14ac:dyDescent="0.25">
      <c r="A563" s="2" t="str">
        <f t="shared" ref="A563:A585" si="24">"39"</f>
        <v>39</v>
      </c>
      <c r="B563" s="1" t="s">
        <v>1168</v>
      </c>
      <c r="C563" s="6" t="str">
        <f>"0310"</f>
        <v>0310</v>
      </c>
      <c r="D563" s="3" t="s">
        <v>1354</v>
      </c>
      <c r="E563" s="26" t="s">
        <v>1058</v>
      </c>
    </row>
    <row r="564" spans="1:5" x14ac:dyDescent="0.25">
      <c r="A564" s="2" t="str">
        <f t="shared" si="24"/>
        <v>39</v>
      </c>
      <c r="B564" s="1" t="s">
        <v>1168</v>
      </c>
      <c r="C564" s="6" t="str">
        <f>"0850"</f>
        <v>0850</v>
      </c>
      <c r="D564" s="3" t="s">
        <v>1059</v>
      </c>
      <c r="E564" s="26" t="s">
        <v>1060</v>
      </c>
    </row>
    <row r="565" spans="1:5" x14ac:dyDescent="0.25">
      <c r="A565" s="2" t="str">
        <f t="shared" si="24"/>
        <v>39</v>
      </c>
      <c r="B565" s="1" t="s">
        <v>1168</v>
      </c>
      <c r="C565" s="6" t="str">
        <f>"0980"</f>
        <v>0980</v>
      </c>
      <c r="D565" s="3" t="s">
        <v>1062</v>
      </c>
      <c r="E565" s="26" t="s">
        <v>1063</v>
      </c>
    </row>
    <row r="566" spans="1:5" x14ac:dyDescent="0.25">
      <c r="A566" s="2" t="str">
        <f t="shared" si="24"/>
        <v>39</v>
      </c>
      <c r="B566" s="1" t="s">
        <v>1168</v>
      </c>
      <c r="C566" s="6" t="str">
        <f>"1320"</f>
        <v>1320</v>
      </c>
      <c r="D566" s="3" t="s">
        <v>1064</v>
      </c>
      <c r="E566" s="26" t="s">
        <v>1065</v>
      </c>
    </row>
    <row r="567" spans="1:5" x14ac:dyDescent="0.25">
      <c r="A567" s="2" t="str">
        <f t="shared" si="24"/>
        <v>39</v>
      </c>
      <c r="B567" s="1" t="s">
        <v>1168</v>
      </c>
      <c r="C567" s="6" t="str">
        <f>"1710"</f>
        <v>1710</v>
      </c>
      <c r="D567" s="3" t="s">
        <v>1066</v>
      </c>
      <c r="E567" s="26" t="s">
        <v>1067</v>
      </c>
    </row>
    <row r="568" spans="1:5" x14ac:dyDescent="0.25">
      <c r="A568" s="2" t="str">
        <f t="shared" si="24"/>
        <v>39</v>
      </c>
      <c r="B568" s="1" t="s">
        <v>1168</v>
      </c>
      <c r="C568" s="6" t="str">
        <f>"2190"</f>
        <v>2190</v>
      </c>
      <c r="D568" s="3" t="s">
        <v>1355</v>
      </c>
      <c r="E568" s="26" t="s">
        <v>1068</v>
      </c>
    </row>
    <row r="569" spans="1:5" x14ac:dyDescent="0.25">
      <c r="A569" s="2" t="str">
        <f t="shared" si="24"/>
        <v>39</v>
      </c>
      <c r="B569" s="1" t="s">
        <v>1168</v>
      </c>
      <c r="C569" s="6" t="str">
        <f>"2420"</f>
        <v>2420</v>
      </c>
      <c r="D569" s="3" t="s">
        <v>1356</v>
      </c>
      <c r="E569" s="26" t="s">
        <v>1069</v>
      </c>
    </row>
    <row r="570" spans="1:5" x14ac:dyDescent="0.25">
      <c r="A570" s="2" t="str">
        <f t="shared" si="24"/>
        <v>39</v>
      </c>
      <c r="B570" s="1" t="s">
        <v>1168</v>
      </c>
      <c r="C570" s="6" t="str">
        <f>"2660"</f>
        <v>2660</v>
      </c>
      <c r="D570" s="3" t="s">
        <v>1070</v>
      </c>
      <c r="E570" s="26" t="s">
        <v>1071</v>
      </c>
    </row>
    <row r="571" spans="1:5" x14ac:dyDescent="0.25">
      <c r="A571" s="2" t="str">
        <f t="shared" si="24"/>
        <v>39</v>
      </c>
      <c r="B571" s="1" t="s">
        <v>1168</v>
      </c>
      <c r="C571" s="6" t="str">
        <f>"3395"</f>
        <v>3395</v>
      </c>
      <c r="D571" s="3" t="s">
        <v>1072</v>
      </c>
      <c r="E571" s="26" t="s">
        <v>1073</v>
      </c>
    </row>
    <row r="572" spans="1:5" x14ac:dyDescent="0.25">
      <c r="A572" s="2" t="str">
        <f t="shared" si="24"/>
        <v>39</v>
      </c>
      <c r="B572" s="1" t="s">
        <v>1168</v>
      </c>
      <c r="C572" s="6" t="str">
        <f>"3470"</f>
        <v>3470</v>
      </c>
      <c r="D572" s="3" t="s">
        <v>1357</v>
      </c>
      <c r="E572" s="26" t="s">
        <v>1074</v>
      </c>
    </row>
    <row r="573" spans="1:5" x14ac:dyDescent="0.25">
      <c r="A573" s="2" t="str">
        <f t="shared" si="24"/>
        <v>39</v>
      </c>
      <c r="B573" s="1" t="s">
        <v>1168</v>
      </c>
      <c r="C573" s="6" t="str">
        <f>"3560"</f>
        <v>3560</v>
      </c>
      <c r="D573" s="3" t="s">
        <v>1358</v>
      </c>
      <c r="E573" s="26" t="s">
        <v>1075</v>
      </c>
    </row>
    <row r="574" spans="1:5" x14ac:dyDescent="0.25">
      <c r="A574" s="2" t="str">
        <f t="shared" si="24"/>
        <v>39</v>
      </c>
      <c r="B574" s="1" t="s">
        <v>1168</v>
      </c>
      <c r="C574" s="6" t="str">
        <f>"4160"</f>
        <v>4160</v>
      </c>
      <c r="D574" s="3" t="s">
        <v>1076</v>
      </c>
      <c r="E574" s="26" t="s">
        <v>1077</v>
      </c>
    </row>
    <row r="575" spans="1:5" x14ac:dyDescent="0.25">
      <c r="A575" s="2" t="str">
        <f t="shared" si="24"/>
        <v>39</v>
      </c>
      <c r="B575" s="1" t="s">
        <v>1168</v>
      </c>
      <c r="C575" s="6" t="str">
        <f>"4290"</f>
        <v>4290</v>
      </c>
      <c r="D575" s="3" t="s">
        <v>1078</v>
      </c>
      <c r="E575" s="26" t="s">
        <v>1079</v>
      </c>
    </row>
    <row r="576" spans="1:5" x14ac:dyDescent="0.25">
      <c r="A576" s="2" t="str">
        <f t="shared" si="24"/>
        <v>39</v>
      </c>
      <c r="B576" s="1" t="s">
        <v>1168</v>
      </c>
      <c r="C576" s="6" t="str">
        <f>"4550"</f>
        <v>4550</v>
      </c>
      <c r="D576" s="3" t="s">
        <v>1359</v>
      </c>
      <c r="E576" s="26" t="s">
        <v>1080</v>
      </c>
    </row>
    <row r="577" spans="1:5" x14ac:dyDescent="0.25">
      <c r="A577" s="2" t="str">
        <f t="shared" si="24"/>
        <v>39</v>
      </c>
      <c r="B577" s="1" t="s">
        <v>1168</v>
      </c>
      <c r="C577" s="6" t="str">
        <f>"4540"</f>
        <v>4540</v>
      </c>
      <c r="D577" s="3" t="s">
        <v>1360</v>
      </c>
      <c r="E577" s="26" t="s">
        <v>1081</v>
      </c>
    </row>
    <row r="578" spans="1:5" x14ac:dyDescent="0.25">
      <c r="A578" s="2" t="str">
        <f t="shared" si="24"/>
        <v>39</v>
      </c>
      <c r="B578" s="1" t="s">
        <v>1168</v>
      </c>
      <c r="C578" s="6" t="str">
        <f>"4670"</f>
        <v>4670</v>
      </c>
      <c r="D578" s="3" t="s">
        <v>1082</v>
      </c>
      <c r="E578" s="26" t="s">
        <v>1083</v>
      </c>
    </row>
    <row r="579" spans="1:5" x14ac:dyDescent="0.25">
      <c r="A579" s="2" t="str">
        <f t="shared" si="24"/>
        <v>39</v>
      </c>
      <c r="B579" s="1" t="s">
        <v>1168</v>
      </c>
      <c r="C579" s="6" t="str">
        <f>"5000"</f>
        <v>5000</v>
      </c>
      <c r="D579" s="3" t="s">
        <v>1084</v>
      </c>
      <c r="E579" s="26" t="s">
        <v>1085</v>
      </c>
    </row>
    <row r="580" spans="1:5" x14ac:dyDescent="0.25">
      <c r="A580" s="2" t="str">
        <f t="shared" si="24"/>
        <v>39</v>
      </c>
      <c r="B580" s="1" t="s">
        <v>1168</v>
      </c>
      <c r="C580" s="6" t="str">
        <f>"5090"</f>
        <v>5090</v>
      </c>
      <c r="D580" s="3" t="s">
        <v>1086</v>
      </c>
      <c r="E580" s="26" t="s">
        <v>1087</v>
      </c>
    </row>
    <row r="581" spans="1:5" x14ac:dyDescent="0.25">
      <c r="A581" s="2" t="str">
        <f t="shared" si="24"/>
        <v>39</v>
      </c>
      <c r="B581" s="1" t="s">
        <v>1168</v>
      </c>
      <c r="C581" s="6" t="str">
        <f>"5290"</f>
        <v>5290</v>
      </c>
      <c r="D581" s="3" t="s">
        <v>1361</v>
      </c>
      <c r="E581" s="26" t="s">
        <v>1092</v>
      </c>
    </row>
    <row r="582" spans="1:5" x14ac:dyDescent="0.25">
      <c r="A582" s="2" t="str">
        <f t="shared" si="24"/>
        <v>39</v>
      </c>
      <c r="B582" s="1" t="s">
        <v>1168</v>
      </c>
      <c r="C582" s="6" t="str">
        <f>"5245"</f>
        <v>5245</v>
      </c>
      <c r="D582" s="3" t="s">
        <v>1093</v>
      </c>
      <c r="E582" s="26" t="s">
        <v>1094</v>
      </c>
    </row>
    <row r="583" spans="1:5" x14ac:dyDescent="0.25">
      <c r="A583" s="2" t="str">
        <f t="shared" si="24"/>
        <v>39</v>
      </c>
      <c r="B583" s="1" t="s">
        <v>1168</v>
      </c>
      <c r="C583" s="6" t="str">
        <f>"5260"</f>
        <v>5260</v>
      </c>
      <c r="D583" s="3" t="s">
        <v>1096</v>
      </c>
      <c r="E583" s="26" t="s">
        <v>1097</v>
      </c>
    </row>
    <row r="584" spans="1:5" x14ac:dyDescent="0.25">
      <c r="A584" s="2" t="str">
        <f t="shared" si="24"/>
        <v>39</v>
      </c>
      <c r="B584" s="1" t="s">
        <v>1168</v>
      </c>
      <c r="C584" s="6" t="str">
        <f>"5730"</f>
        <v>5730</v>
      </c>
      <c r="D584" s="3" t="s">
        <v>1098</v>
      </c>
      <c r="E584" s="26" t="s">
        <v>1099</v>
      </c>
    </row>
    <row r="585" spans="1:5" x14ac:dyDescent="0.25">
      <c r="A585" s="2" t="str">
        <f t="shared" si="24"/>
        <v>39</v>
      </c>
      <c r="B585" s="1" t="s">
        <v>1168</v>
      </c>
      <c r="C585" s="6" t="str">
        <f>"5810"</f>
        <v>5810</v>
      </c>
      <c r="D585" s="3" t="s">
        <v>1100</v>
      </c>
      <c r="E585" s="26" t="s">
        <v>1101</v>
      </c>
    </row>
    <row r="586" spans="1:5" x14ac:dyDescent="0.25">
      <c r="A586" s="2" t="str">
        <f t="shared" ref="A586:A609" si="25">"41"</f>
        <v>41</v>
      </c>
      <c r="B586" s="1" t="s">
        <v>1169</v>
      </c>
      <c r="C586" s="6" t="str">
        <f>"0030"</f>
        <v>0030</v>
      </c>
      <c r="D586" s="3" t="s">
        <v>1102</v>
      </c>
      <c r="E586" s="26" t="s">
        <v>1103</v>
      </c>
    </row>
    <row r="587" spans="1:5" x14ac:dyDescent="0.25">
      <c r="A587" s="2" t="str">
        <f t="shared" si="25"/>
        <v>41</v>
      </c>
      <c r="B587" s="1" t="s">
        <v>1169</v>
      </c>
      <c r="C587" s="6" t="str">
        <f>"0070"</f>
        <v>0070</v>
      </c>
      <c r="D587" s="3" t="s">
        <v>1104</v>
      </c>
      <c r="E587" s="26" t="s">
        <v>1105</v>
      </c>
    </row>
    <row r="588" spans="1:5" x14ac:dyDescent="0.25">
      <c r="A588" s="2" t="str">
        <f t="shared" si="25"/>
        <v>41</v>
      </c>
      <c r="B588" s="1" t="s">
        <v>1169</v>
      </c>
      <c r="C588" s="6" t="str">
        <f>"0280"</f>
        <v>0280</v>
      </c>
      <c r="D588" s="3" t="s">
        <v>1362</v>
      </c>
      <c r="E588" s="26" t="s">
        <v>1106</v>
      </c>
    </row>
    <row r="589" spans="1:5" x14ac:dyDescent="0.25">
      <c r="A589" s="2" t="str">
        <f t="shared" si="25"/>
        <v>41</v>
      </c>
      <c r="B589" s="1" t="s">
        <v>1169</v>
      </c>
      <c r="C589" s="6" t="str">
        <f>"0400"</f>
        <v>0400</v>
      </c>
      <c r="D589" s="3" t="s">
        <v>1107</v>
      </c>
      <c r="E589" s="26" t="s">
        <v>1108</v>
      </c>
    </row>
    <row r="590" spans="1:5" x14ac:dyDescent="0.25">
      <c r="A590" s="2" t="str">
        <f t="shared" si="25"/>
        <v>41</v>
      </c>
      <c r="B590" s="1" t="s">
        <v>1169</v>
      </c>
      <c r="C590" s="6" t="str">
        <f>"1620"</f>
        <v>1620</v>
      </c>
      <c r="D590" s="3" t="s">
        <v>570</v>
      </c>
      <c r="E590" s="26" t="s">
        <v>1109</v>
      </c>
    </row>
    <row r="591" spans="1:5" x14ac:dyDescent="0.25">
      <c r="A591" s="2" t="str">
        <f t="shared" si="25"/>
        <v>41</v>
      </c>
      <c r="B591" s="1" t="s">
        <v>1169</v>
      </c>
      <c r="C591" s="6" t="str">
        <f>"1670"</f>
        <v>1670</v>
      </c>
      <c r="D591" s="3" t="s">
        <v>1363</v>
      </c>
      <c r="E591" s="26" t="s">
        <v>1110</v>
      </c>
    </row>
    <row r="592" spans="1:5" x14ac:dyDescent="0.25">
      <c r="A592" s="2" t="str">
        <f t="shared" si="25"/>
        <v>41</v>
      </c>
      <c r="B592" s="1" t="s">
        <v>1169</v>
      </c>
      <c r="C592" s="6" t="str">
        <f>"1785"</f>
        <v>1785</v>
      </c>
      <c r="D592" s="3" t="s">
        <v>1364</v>
      </c>
      <c r="E592" s="26" t="s">
        <v>1111</v>
      </c>
    </row>
    <row r="593" spans="1:5" x14ac:dyDescent="0.25">
      <c r="A593" s="2" t="str">
        <f t="shared" si="25"/>
        <v>41</v>
      </c>
      <c r="B593" s="1" t="s">
        <v>1169</v>
      </c>
      <c r="C593" s="6" t="str">
        <f>"1840"</f>
        <v>1840</v>
      </c>
      <c r="D593" s="3" t="s">
        <v>477</v>
      </c>
      <c r="E593" s="26" t="s">
        <v>1112</v>
      </c>
    </row>
    <row r="594" spans="1:5" x14ac:dyDescent="0.25">
      <c r="A594" s="2" t="str">
        <f t="shared" si="25"/>
        <v>41</v>
      </c>
      <c r="B594" s="1" t="s">
        <v>1169</v>
      </c>
      <c r="C594" s="6" t="str">
        <f>"1870"</f>
        <v>1870</v>
      </c>
      <c r="D594" s="3" t="s">
        <v>1113</v>
      </c>
      <c r="E594" s="26" t="s">
        <v>1114</v>
      </c>
    </row>
    <row r="595" spans="1:5" x14ac:dyDescent="0.25">
      <c r="A595" s="2" t="str">
        <f t="shared" si="25"/>
        <v>41</v>
      </c>
      <c r="B595" s="1" t="s">
        <v>1169</v>
      </c>
      <c r="C595" s="6" t="str">
        <f>"2040"</f>
        <v>2040</v>
      </c>
      <c r="D595" s="3" t="s">
        <v>1365</v>
      </c>
      <c r="E595" s="26" t="s">
        <v>1115</v>
      </c>
    </row>
    <row r="596" spans="1:5" x14ac:dyDescent="0.25">
      <c r="A596" s="2" t="str">
        <f t="shared" si="25"/>
        <v>41</v>
      </c>
      <c r="B596" s="1" t="s">
        <v>1169</v>
      </c>
      <c r="C596" s="6" t="str">
        <f>"2250"</f>
        <v>2250</v>
      </c>
      <c r="D596" s="3" t="s">
        <v>1116</v>
      </c>
      <c r="E596" s="26" t="s">
        <v>1117</v>
      </c>
    </row>
    <row r="597" spans="1:5" x14ac:dyDescent="0.25">
      <c r="A597" s="2" t="str">
        <f t="shared" si="25"/>
        <v>41</v>
      </c>
      <c r="B597" s="1" t="s">
        <v>1169</v>
      </c>
      <c r="C597" s="6" t="str">
        <f>"2470"</f>
        <v>2470</v>
      </c>
      <c r="D597" s="3" t="s">
        <v>1366</v>
      </c>
      <c r="E597" s="26" t="s">
        <v>1118</v>
      </c>
    </row>
    <row r="598" spans="1:5" x14ac:dyDescent="0.25">
      <c r="A598" s="2" t="str">
        <f t="shared" si="25"/>
        <v>41</v>
      </c>
      <c r="B598" s="1" t="s">
        <v>1169</v>
      </c>
      <c r="C598" s="6" t="str">
        <f>"2790"</f>
        <v>2790</v>
      </c>
      <c r="D598" s="3" t="s">
        <v>1119</v>
      </c>
      <c r="E598" s="26" t="s">
        <v>1120</v>
      </c>
    </row>
    <row r="599" spans="1:5" x14ac:dyDescent="0.25">
      <c r="A599" s="2" t="str">
        <f t="shared" si="25"/>
        <v>41</v>
      </c>
      <c r="B599" s="1" t="s">
        <v>1169</v>
      </c>
      <c r="C599" s="6" t="str">
        <f>"2970"</f>
        <v>2970</v>
      </c>
      <c r="D599" s="3" t="s">
        <v>1121</v>
      </c>
      <c r="E599" s="26" t="s">
        <v>1122</v>
      </c>
    </row>
    <row r="600" spans="1:5" x14ac:dyDescent="0.25">
      <c r="A600" s="2" t="str">
        <f t="shared" si="25"/>
        <v>41</v>
      </c>
      <c r="B600" s="1" t="s">
        <v>1169</v>
      </c>
      <c r="C600" s="6" t="str">
        <f>"3675"</f>
        <v>3675</v>
      </c>
      <c r="D600" s="3" t="s">
        <v>1123</v>
      </c>
      <c r="E600" s="26" t="s">
        <v>1124</v>
      </c>
    </row>
    <row r="601" spans="1:5" x14ac:dyDescent="0.25">
      <c r="A601" s="2" t="str">
        <f t="shared" si="25"/>
        <v>41</v>
      </c>
      <c r="B601" s="1" t="s">
        <v>1169</v>
      </c>
      <c r="C601" s="6" t="str">
        <f>"3890"</f>
        <v>3890</v>
      </c>
      <c r="D601" s="3" t="s">
        <v>1125</v>
      </c>
      <c r="E601" s="26" t="s">
        <v>1126</v>
      </c>
    </row>
    <row r="602" spans="1:5" x14ac:dyDescent="0.25">
      <c r="A602" s="2" t="str">
        <f t="shared" si="25"/>
        <v>41</v>
      </c>
      <c r="B602" s="1" t="s">
        <v>1169</v>
      </c>
      <c r="C602" s="6" t="str">
        <f>"4100"</f>
        <v>4100</v>
      </c>
      <c r="D602" s="3" t="s">
        <v>1127</v>
      </c>
      <c r="E602" s="26" t="s">
        <v>1128</v>
      </c>
    </row>
    <row r="603" spans="1:5" x14ac:dyDescent="0.25">
      <c r="A603" s="2" t="str">
        <f t="shared" si="25"/>
        <v>41</v>
      </c>
      <c r="B603" s="1" t="s">
        <v>1169</v>
      </c>
      <c r="C603" s="6" t="str">
        <f>"4200"</f>
        <v>4200</v>
      </c>
      <c r="D603" s="3" t="s">
        <v>1129</v>
      </c>
      <c r="E603" s="26" t="s">
        <v>1130</v>
      </c>
    </row>
    <row r="604" spans="1:5" x14ac:dyDescent="0.25">
      <c r="A604" s="2" t="str">
        <f t="shared" si="25"/>
        <v>41</v>
      </c>
      <c r="B604" s="1" t="s">
        <v>1169</v>
      </c>
      <c r="C604" s="6" t="str">
        <f>"5450"</f>
        <v>5450</v>
      </c>
      <c r="D604" s="3" t="s">
        <v>1132</v>
      </c>
      <c r="E604" s="26" t="s">
        <v>1133</v>
      </c>
    </row>
    <row r="605" spans="1:5" x14ac:dyDescent="0.25">
      <c r="A605" s="2" t="str">
        <f t="shared" si="25"/>
        <v>41</v>
      </c>
      <c r="B605" s="1" t="s">
        <v>1169</v>
      </c>
      <c r="C605" s="6" t="str">
        <f>"5460"</f>
        <v>5460</v>
      </c>
      <c r="D605" s="3" t="s">
        <v>1178</v>
      </c>
      <c r="E605" s="26" t="s">
        <v>1134</v>
      </c>
    </row>
    <row r="606" spans="1:5" x14ac:dyDescent="0.25">
      <c r="A606" s="2" t="str">
        <f t="shared" si="25"/>
        <v>41</v>
      </c>
      <c r="B606" s="1" t="s">
        <v>1169</v>
      </c>
      <c r="C606" s="6" t="str">
        <f>"5465"</f>
        <v>5465</v>
      </c>
      <c r="D606" s="3" t="s">
        <v>1135</v>
      </c>
      <c r="E606" s="26" t="s">
        <v>1136</v>
      </c>
    </row>
    <row r="607" spans="1:5" x14ac:dyDescent="0.25">
      <c r="A607" s="2" t="str">
        <f t="shared" si="25"/>
        <v>41</v>
      </c>
      <c r="B607" s="1" t="s">
        <v>1169</v>
      </c>
      <c r="C607" s="6" t="str">
        <f>"5480"</f>
        <v>5480</v>
      </c>
      <c r="D607" s="3" t="s">
        <v>1177</v>
      </c>
      <c r="E607" s="26" t="s">
        <v>1137</v>
      </c>
    </row>
    <row r="608" spans="1:5" s="8" customFormat="1" ht="15.75" thickBot="1" x14ac:dyDescent="0.3">
      <c r="A608" s="4" t="str">
        <f t="shared" si="25"/>
        <v>41</v>
      </c>
      <c r="B608" s="31" t="s">
        <v>1169</v>
      </c>
      <c r="C608" s="7" t="str">
        <f>"5530"</f>
        <v>5530</v>
      </c>
      <c r="D608" s="5" t="s">
        <v>248</v>
      </c>
      <c r="E608" s="30" t="s">
        <v>1138</v>
      </c>
    </row>
    <row r="609" spans="1:5" ht="15.75" thickTop="1" x14ac:dyDescent="0.25">
      <c r="A609" s="2" t="str">
        <f t="shared" si="25"/>
        <v>41</v>
      </c>
      <c r="B609" s="1" t="s">
        <v>1169</v>
      </c>
      <c r="C609" s="6" t="str">
        <f>"5780"</f>
        <v>5780</v>
      </c>
      <c r="D609" s="3" t="s">
        <v>1176</v>
      </c>
      <c r="E609" s="26" t="s">
        <v>1139</v>
      </c>
    </row>
    <row r="610" spans="1:5" x14ac:dyDescent="0.25">
      <c r="A610" s="2" t="str">
        <f t="shared" ref="A610:A673" si="26">"80"</f>
        <v>80</v>
      </c>
      <c r="B610" s="1" t="s">
        <v>1148</v>
      </c>
      <c r="C610" s="6" t="str">
        <f>"6060"</f>
        <v>6060</v>
      </c>
      <c r="D610" s="3" t="s">
        <v>5</v>
      </c>
      <c r="E610" s="26" t="s">
        <v>6</v>
      </c>
    </row>
    <row r="611" spans="1:5" x14ac:dyDescent="0.25">
      <c r="A611" s="2" t="str">
        <f t="shared" si="26"/>
        <v>80</v>
      </c>
      <c r="B611" s="1" t="s">
        <v>1148</v>
      </c>
      <c r="C611" s="6" t="str">
        <f>"7410"</f>
        <v>7410</v>
      </c>
      <c r="D611" s="3" t="s">
        <v>1367</v>
      </c>
      <c r="E611" s="26" t="s">
        <v>16</v>
      </c>
    </row>
    <row r="612" spans="1:5" x14ac:dyDescent="0.25">
      <c r="A612" s="2" t="str">
        <f t="shared" si="26"/>
        <v>80</v>
      </c>
      <c r="B612" s="1" t="s">
        <v>1148</v>
      </c>
      <c r="C612" s="6" t="str">
        <f>"6104"</f>
        <v>6104</v>
      </c>
      <c r="D612" s="3" t="s">
        <v>1368</v>
      </c>
      <c r="E612" s="26" t="s">
        <v>1146</v>
      </c>
    </row>
    <row r="613" spans="1:5" x14ac:dyDescent="0.25">
      <c r="A613" s="2" t="str">
        <f t="shared" si="26"/>
        <v>80</v>
      </c>
      <c r="B613" s="1" t="s">
        <v>1149</v>
      </c>
      <c r="C613" s="6" t="str">
        <f>"6013"</f>
        <v>6013</v>
      </c>
      <c r="D613" s="3" t="s">
        <v>1369</v>
      </c>
      <c r="E613" s="26" t="s">
        <v>46</v>
      </c>
    </row>
    <row r="614" spans="1:5" x14ac:dyDescent="0.25">
      <c r="A614" s="2" t="str">
        <f t="shared" si="26"/>
        <v>80</v>
      </c>
      <c r="B614" s="1" t="s">
        <v>1149</v>
      </c>
      <c r="C614" s="6" t="str">
        <f>"6430"</f>
        <v>6430</v>
      </c>
      <c r="D614" s="3" t="s">
        <v>1370</v>
      </c>
      <c r="E614" s="26" t="s">
        <v>76</v>
      </c>
    </row>
    <row r="615" spans="1:5" x14ac:dyDescent="0.25">
      <c r="A615" s="2" t="str">
        <f t="shared" si="26"/>
        <v>80</v>
      </c>
      <c r="B615" s="1" t="s">
        <v>1149</v>
      </c>
      <c r="C615" s="6" t="str">
        <f>"7890"</f>
        <v>7890</v>
      </c>
      <c r="D615" s="3" t="s">
        <v>161</v>
      </c>
      <c r="E615" s="26" t="s">
        <v>162</v>
      </c>
    </row>
    <row r="616" spans="1:5" x14ac:dyDescent="0.25">
      <c r="A616" s="2" t="str">
        <f t="shared" si="26"/>
        <v>80</v>
      </c>
      <c r="B616" s="1" t="s">
        <v>1150</v>
      </c>
      <c r="C616" s="6" t="str">
        <f>"6076"</f>
        <v>6076</v>
      </c>
      <c r="D616" s="3" t="s">
        <v>180</v>
      </c>
      <c r="E616" s="26" t="s">
        <v>181</v>
      </c>
    </row>
    <row r="617" spans="1:5" x14ac:dyDescent="0.25">
      <c r="A617" s="2" t="str">
        <f t="shared" si="26"/>
        <v>80</v>
      </c>
      <c r="B617" s="1" t="s">
        <v>1150</v>
      </c>
      <c r="C617" s="6" t="str">
        <f>"6026"</f>
        <v>6026</v>
      </c>
      <c r="D617" s="3" t="s">
        <v>1371</v>
      </c>
      <c r="E617" s="26" t="s">
        <v>236</v>
      </c>
    </row>
    <row r="618" spans="1:5" x14ac:dyDescent="0.25">
      <c r="A618" s="2" t="str">
        <f t="shared" si="26"/>
        <v>80</v>
      </c>
      <c r="B618" s="1" t="s">
        <v>1151</v>
      </c>
      <c r="C618" s="6" t="str">
        <f>"6212"</f>
        <v>6212</v>
      </c>
      <c r="D618" s="3" t="s">
        <v>265</v>
      </c>
      <c r="E618" s="26" t="s">
        <v>266</v>
      </c>
    </row>
    <row r="619" spans="1:5" x14ac:dyDescent="0.25">
      <c r="A619" s="2" t="str">
        <f t="shared" si="26"/>
        <v>80</v>
      </c>
      <c r="B619" s="1" t="s">
        <v>1151</v>
      </c>
      <c r="C619" s="6" t="str">
        <f>"6063"</f>
        <v>6063</v>
      </c>
      <c r="D619" s="3" t="s">
        <v>268</v>
      </c>
      <c r="E619" s="26" t="s">
        <v>269</v>
      </c>
    </row>
    <row r="620" spans="1:5" x14ac:dyDescent="0.25">
      <c r="A620" s="2" t="str">
        <f t="shared" si="26"/>
        <v>80</v>
      </c>
      <c r="B620" s="1" t="s">
        <v>1151</v>
      </c>
      <c r="C620" s="6" t="str">
        <f>"6024"</f>
        <v>6024</v>
      </c>
      <c r="D620" s="3" t="s">
        <v>275</v>
      </c>
      <c r="E620" s="26" t="s">
        <v>266</v>
      </c>
    </row>
    <row r="621" spans="1:5" x14ac:dyDescent="0.25">
      <c r="A621" s="2" t="str">
        <f t="shared" si="26"/>
        <v>80</v>
      </c>
      <c r="B621" s="1" t="s">
        <v>1151</v>
      </c>
      <c r="C621" s="6" t="str">
        <f>"6215"</f>
        <v>6215</v>
      </c>
      <c r="D621" s="3" t="s">
        <v>1372</v>
      </c>
      <c r="E621" s="26" t="s">
        <v>266</v>
      </c>
    </row>
    <row r="622" spans="1:5" x14ac:dyDescent="0.25">
      <c r="A622" s="2" t="str">
        <f t="shared" si="26"/>
        <v>80</v>
      </c>
      <c r="B622" s="1" t="s">
        <v>1151</v>
      </c>
      <c r="C622" s="6" t="str">
        <f>"6232"</f>
        <v>6232</v>
      </c>
      <c r="D622" s="3" t="s">
        <v>1373</v>
      </c>
      <c r="E622" s="26" t="s">
        <v>284</v>
      </c>
    </row>
    <row r="623" spans="1:5" x14ac:dyDescent="0.25">
      <c r="A623" s="2" t="str">
        <f t="shared" si="26"/>
        <v>80</v>
      </c>
      <c r="B623" s="1" t="s">
        <v>1151</v>
      </c>
      <c r="C623" s="6" t="str">
        <f>"6240"</f>
        <v>6240</v>
      </c>
      <c r="D623" s="3" t="s">
        <v>285</v>
      </c>
      <c r="E623" s="26" t="s">
        <v>286</v>
      </c>
    </row>
    <row r="624" spans="1:5" x14ac:dyDescent="0.25">
      <c r="A624" s="2" t="str">
        <f t="shared" si="26"/>
        <v>80</v>
      </c>
      <c r="B624" s="1" t="s">
        <v>1151</v>
      </c>
      <c r="C624" s="6" t="str">
        <f>"6086"</f>
        <v>6086</v>
      </c>
      <c r="D624" s="3" t="s">
        <v>1374</v>
      </c>
      <c r="E624" s="26" t="s">
        <v>297</v>
      </c>
    </row>
    <row r="625" spans="1:5" x14ac:dyDescent="0.25">
      <c r="A625" s="2" t="str">
        <f t="shared" si="26"/>
        <v>80</v>
      </c>
      <c r="B625" s="1" t="s">
        <v>1151</v>
      </c>
      <c r="C625" s="6" t="str">
        <f>"6083"</f>
        <v>6083</v>
      </c>
      <c r="D625" s="3" t="s">
        <v>1375</v>
      </c>
      <c r="E625" s="26" t="s">
        <v>266</v>
      </c>
    </row>
    <row r="626" spans="1:5" x14ac:dyDescent="0.25">
      <c r="A626" s="2" t="str">
        <f t="shared" si="26"/>
        <v>80</v>
      </c>
      <c r="B626" s="1" t="s">
        <v>1151</v>
      </c>
      <c r="C626" s="6" t="str">
        <f>"7109"</f>
        <v>7109</v>
      </c>
      <c r="D626" s="3" t="s">
        <v>1175</v>
      </c>
      <c r="E626" s="26" t="s">
        <v>302</v>
      </c>
    </row>
    <row r="627" spans="1:5" x14ac:dyDescent="0.25">
      <c r="A627" s="2" t="str">
        <f t="shared" si="26"/>
        <v>80</v>
      </c>
      <c r="B627" s="1" t="s">
        <v>1151</v>
      </c>
      <c r="C627" s="6" t="str">
        <f>"6067"</f>
        <v>6067</v>
      </c>
      <c r="D627" s="3" t="s">
        <v>1376</v>
      </c>
      <c r="E627" s="26" t="s">
        <v>321</v>
      </c>
    </row>
    <row r="628" spans="1:5" x14ac:dyDescent="0.25">
      <c r="A628" s="2" t="str">
        <f t="shared" si="26"/>
        <v>80</v>
      </c>
      <c r="B628" s="1" t="s">
        <v>1153</v>
      </c>
      <c r="C628" s="6" t="str">
        <f>"6100"</f>
        <v>6100</v>
      </c>
      <c r="D628" s="3" t="s">
        <v>357</v>
      </c>
      <c r="E628" s="26" t="s">
        <v>358</v>
      </c>
    </row>
    <row r="629" spans="1:5" x14ac:dyDescent="0.25">
      <c r="A629" s="2" t="str">
        <f t="shared" si="26"/>
        <v>80</v>
      </c>
      <c r="B629" s="1" t="s">
        <v>1153</v>
      </c>
      <c r="C629" s="6" t="str">
        <f>"6089"</f>
        <v>6089</v>
      </c>
      <c r="D629" s="3" t="s">
        <v>361</v>
      </c>
      <c r="E629" s="26" t="s">
        <v>362</v>
      </c>
    </row>
    <row r="630" spans="1:5" x14ac:dyDescent="0.25">
      <c r="A630" s="2" t="str">
        <f t="shared" si="26"/>
        <v>80</v>
      </c>
      <c r="B630" s="1" t="s">
        <v>1153</v>
      </c>
      <c r="C630" s="6" t="str">
        <f>"6069"</f>
        <v>6069</v>
      </c>
      <c r="D630" s="3" t="s">
        <v>377</v>
      </c>
      <c r="E630" s="26" t="s">
        <v>378</v>
      </c>
    </row>
    <row r="631" spans="1:5" x14ac:dyDescent="0.25">
      <c r="A631" s="2" t="str">
        <f t="shared" si="26"/>
        <v>80</v>
      </c>
      <c r="B631" s="1" t="s">
        <v>1153</v>
      </c>
      <c r="C631" s="6" t="str">
        <f>"6028"</f>
        <v>6028</v>
      </c>
      <c r="D631" s="3" t="s">
        <v>382</v>
      </c>
      <c r="E631" s="26" t="s">
        <v>383</v>
      </c>
    </row>
    <row r="632" spans="1:5" x14ac:dyDescent="0.25">
      <c r="A632" s="2" t="str">
        <f t="shared" si="26"/>
        <v>80</v>
      </c>
      <c r="B632" s="1" t="s">
        <v>1154</v>
      </c>
      <c r="C632" s="6" t="str">
        <f>"6022"</f>
        <v>6022</v>
      </c>
      <c r="D632" s="3" t="s">
        <v>1377</v>
      </c>
      <c r="E632" s="26" t="s">
        <v>388</v>
      </c>
    </row>
    <row r="633" spans="1:5" x14ac:dyDescent="0.25">
      <c r="A633" s="2" t="str">
        <f t="shared" si="26"/>
        <v>80</v>
      </c>
      <c r="B633" s="1" t="s">
        <v>1154</v>
      </c>
      <c r="C633" s="6" t="str">
        <f>"6320"</f>
        <v>6320</v>
      </c>
      <c r="D633" s="3" t="s">
        <v>391</v>
      </c>
      <c r="E633" s="26" t="s">
        <v>392</v>
      </c>
    </row>
    <row r="634" spans="1:5" x14ac:dyDescent="0.25">
      <c r="A634" s="2" t="str">
        <f t="shared" si="26"/>
        <v>80</v>
      </c>
      <c r="B634" s="1" t="s">
        <v>1154</v>
      </c>
      <c r="C634" s="6" t="str">
        <f>"6410"</f>
        <v>6410</v>
      </c>
      <c r="D634" s="3" t="s">
        <v>1174</v>
      </c>
      <c r="E634" s="26" t="s">
        <v>393</v>
      </c>
    </row>
    <row r="635" spans="1:5" x14ac:dyDescent="0.25">
      <c r="A635" s="2" t="str">
        <f t="shared" si="26"/>
        <v>80</v>
      </c>
      <c r="B635" s="1" t="s">
        <v>1154</v>
      </c>
      <c r="C635" s="6" t="str">
        <f>"6053"</f>
        <v>6053</v>
      </c>
      <c r="D635" s="3" t="s">
        <v>404</v>
      </c>
      <c r="E635" s="26" t="s">
        <v>405</v>
      </c>
    </row>
    <row r="636" spans="1:5" x14ac:dyDescent="0.25">
      <c r="A636" s="2" t="str">
        <f t="shared" si="26"/>
        <v>80</v>
      </c>
      <c r="B636" s="1" t="s">
        <v>1154</v>
      </c>
      <c r="C636" s="6" t="str">
        <f>"7100"</f>
        <v>7100</v>
      </c>
      <c r="D636" s="3" t="s">
        <v>407</v>
      </c>
      <c r="E636" s="26" t="s">
        <v>408</v>
      </c>
    </row>
    <row r="637" spans="1:5" x14ac:dyDescent="0.25">
      <c r="A637" s="2" t="str">
        <f t="shared" si="26"/>
        <v>80</v>
      </c>
      <c r="B637" s="1" t="s">
        <v>1154</v>
      </c>
      <c r="C637" s="6" t="str">
        <f>"6099"</f>
        <v>6099</v>
      </c>
      <c r="D637" s="3" t="s">
        <v>409</v>
      </c>
      <c r="E637" s="26" t="s">
        <v>410</v>
      </c>
    </row>
    <row r="638" spans="1:5" x14ac:dyDescent="0.25">
      <c r="A638" s="2" t="str">
        <f t="shared" si="26"/>
        <v>80</v>
      </c>
      <c r="B638" s="1" t="s">
        <v>1154</v>
      </c>
      <c r="C638" s="6" t="str">
        <f>"7735"</f>
        <v>7735</v>
      </c>
      <c r="D638" s="3" t="s">
        <v>412</v>
      </c>
      <c r="E638" s="26" t="s">
        <v>413</v>
      </c>
    </row>
    <row r="639" spans="1:5" x14ac:dyDescent="0.25">
      <c r="A639" s="2" t="str">
        <f t="shared" si="26"/>
        <v>80</v>
      </c>
      <c r="B639" s="1" t="s">
        <v>1154</v>
      </c>
      <c r="C639" s="6" t="str">
        <f>"7210"</f>
        <v>7210</v>
      </c>
      <c r="D639" s="3" t="s">
        <v>414</v>
      </c>
      <c r="E639" s="26" t="s">
        <v>415</v>
      </c>
    </row>
    <row r="640" spans="1:5" x14ac:dyDescent="0.25">
      <c r="A640" s="2" t="str">
        <f t="shared" si="26"/>
        <v>80</v>
      </c>
      <c r="B640" s="1" t="s">
        <v>1154</v>
      </c>
      <c r="C640" s="6" t="str">
        <f>"6091"</f>
        <v>6091</v>
      </c>
      <c r="D640" s="3" t="s">
        <v>1378</v>
      </c>
      <c r="E640" s="26" t="s">
        <v>416</v>
      </c>
    </row>
    <row r="641" spans="1:5" x14ac:dyDescent="0.25">
      <c r="A641" s="2" t="str">
        <f t="shared" si="26"/>
        <v>80</v>
      </c>
      <c r="B641" s="1" t="s">
        <v>1154</v>
      </c>
      <c r="C641" s="6" t="str">
        <f>"7290"</f>
        <v>7290</v>
      </c>
      <c r="D641" s="3" t="s">
        <v>421</v>
      </c>
      <c r="E641" s="26" t="s">
        <v>422</v>
      </c>
    </row>
    <row r="642" spans="1:5" x14ac:dyDescent="0.25">
      <c r="A642" s="2" t="str">
        <f t="shared" si="26"/>
        <v>80</v>
      </c>
      <c r="B642" s="1" t="s">
        <v>1154</v>
      </c>
      <c r="C642" s="6" t="str">
        <f>"6029"</f>
        <v>6029</v>
      </c>
      <c r="D642" s="3" t="s">
        <v>423</v>
      </c>
      <c r="E642" s="26" t="s">
        <v>424</v>
      </c>
    </row>
    <row r="643" spans="1:5" x14ac:dyDescent="0.25">
      <c r="A643" s="2" t="str">
        <f t="shared" si="26"/>
        <v>80</v>
      </c>
      <c r="B643" s="1" t="s">
        <v>1154</v>
      </c>
      <c r="C643" s="6" t="str">
        <f>"6037"</f>
        <v>6037</v>
      </c>
      <c r="D643" s="3" t="s">
        <v>425</v>
      </c>
      <c r="E643" s="26" t="s">
        <v>426</v>
      </c>
    </row>
    <row r="644" spans="1:5" x14ac:dyDescent="0.25">
      <c r="A644" s="2" t="str">
        <f t="shared" si="26"/>
        <v>80</v>
      </c>
      <c r="B644" s="1" t="s">
        <v>1154</v>
      </c>
      <c r="C644" s="6" t="str">
        <f>"6059"</f>
        <v>6059</v>
      </c>
      <c r="D644" s="3" t="s">
        <v>427</v>
      </c>
      <c r="E644" s="26" t="s">
        <v>428</v>
      </c>
    </row>
    <row r="645" spans="1:5" x14ac:dyDescent="0.25">
      <c r="A645" s="2" t="str">
        <f t="shared" si="26"/>
        <v>80</v>
      </c>
      <c r="B645" s="1" t="s">
        <v>1154</v>
      </c>
      <c r="C645" s="6" t="str">
        <f>"7320"</f>
        <v>7320</v>
      </c>
      <c r="D645" s="3" t="s">
        <v>431</v>
      </c>
      <c r="E645" s="26" t="s">
        <v>432</v>
      </c>
    </row>
    <row r="646" spans="1:5" x14ac:dyDescent="0.25">
      <c r="A646" s="2" t="str">
        <f t="shared" si="26"/>
        <v>80</v>
      </c>
      <c r="B646" s="1" t="s">
        <v>1154</v>
      </c>
      <c r="C646" s="6" t="str">
        <f>"6090"</f>
        <v>6090</v>
      </c>
      <c r="D646" s="3" t="s">
        <v>435</v>
      </c>
      <c r="E646" s="26" t="s">
        <v>436</v>
      </c>
    </row>
    <row r="647" spans="1:5" x14ac:dyDescent="0.25">
      <c r="A647" s="2" t="str">
        <f t="shared" si="26"/>
        <v>80</v>
      </c>
      <c r="B647" s="1" t="s">
        <v>1154</v>
      </c>
      <c r="C647" s="6" t="str">
        <f>"6057"</f>
        <v>6057</v>
      </c>
      <c r="D647" s="3" t="s">
        <v>437</v>
      </c>
      <c r="E647" s="26" t="s">
        <v>438</v>
      </c>
    </row>
    <row r="648" spans="1:5" x14ac:dyDescent="0.25">
      <c r="A648" s="2" t="str">
        <f t="shared" si="26"/>
        <v>80</v>
      </c>
      <c r="B648" s="1" t="s">
        <v>1154</v>
      </c>
      <c r="C648" s="6" t="str">
        <f>"6094"</f>
        <v>6094</v>
      </c>
      <c r="D648" s="3" t="s">
        <v>1379</v>
      </c>
      <c r="E648" s="26" t="s">
        <v>439</v>
      </c>
    </row>
    <row r="649" spans="1:5" x14ac:dyDescent="0.25">
      <c r="A649" s="2" t="str">
        <f t="shared" si="26"/>
        <v>80</v>
      </c>
      <c r="B649" s="1" t="s">
        <v>1154</v>
      </c>
      <c r="C649" s="6" t="str">
        <f>"6020"</f>
        <v>6020</v>
      </c>
      <c r="D649" s="3" t="s">
        <v>440</v>
      </c>
      <c r="E649" s="26" t="s">
        <v>441</v>
      </c>
    </row>
    <row r="650" spans="1:5" x14ac:dyDescent="0.25">
      <c r="A650" s="2" t="str">
        <f t="shared" si="26"/>
        <v>80</v>
      </c>
      <c r="B650" s="1" t="s">
        <v>1154</v>
      </c>
      <c r="C650" s="6" t="str">
        <f>"7730"</f>
        <v>7730</v>
      </c>
      <c r="D650" s="3" t="s">
        <v>442</v>
      </c>
      <c r="E650" s="26" t="s">
        <v>443</v>
      </c>
    </row>
    <row r="651" spans="1:5" x14ac:dyDescent="0.25">
      <c r="A651" s="2" t="str">
        <f t="shared" si="26"/>
        <v>80</v>
      </c>
      <c r="B651" s="1" t="s">
        <v>1154</v>
      </c>
      <c r="C651" s="6" t="str">
        <f>"6058"</f>
        <v>6058</v>
      </c>
      <c r="D651" s="3" t="s">
        <v>1173</v>
      </c>
      <c r="E651" s="26" t="s">
        <v>446</v>
      </c>
    </row>
    <row r="652" spans="1:5" x14ac:dyDescent="0.25">
      <c r="A652" s="2" t="str">
        <f t="shared" si="26"/>
        <v>80</v>
      </c>
      <c r="B652" s="1" t="s">
        <v>1154</v>
      </c>
      <c r="C652" s="6" t="str">
        <f>"7325"</f>
        <v>7325</v>
      </c>
      <c r="D652" s="3" t="s">
        <v>1380</v>
      </c>
      <c r="E652" s="26" t="s">
        <v>449</v>
      </c>
    </row>
    <row r="653" spans="1:5" x14ac:dyDescent="0.25">
      <c r="A653" s="2" t="str">
        <f t="shared" si="26"/>
        <v>80</v>
      </c>
      <c r="B653" s="1" t="s">
        <v>1154</v>
      </c>
      <c r="C653" s="6" t="str">
        <f>"6665"</f>
        <v>6665</v>
      </c>
      <c r="D653" s="3" t="s">
        <v>450</v>
      </c>
      <c r="E653" s="26" t="s">
        <v>451</v>
      </c>
    </row>
    <row r="654" spans="1:5" x14ac:dyDescent="0.25">
      <c r="A654" s="2" t="str">
        <f t="shared" si="26"/>
        <v>80</v>
      </c>
      <c r="B654" s="1" t="s">
        <v>1154</v>
      </c>
      <c r="C654" s="6" t="str">
        <f>"8065"</f>
        <v>8065</v>
      </c>
      <c r="D654" s="3" t="s">
        <v>452</v>
      </c>
      <c r="E654" s="26" t="s">
        <v>453</v>
      </c>
    </row>
    <row r="655" spans="1:5" x14ac:dyDescent="0.25">
      <c r="A655" s="2" t="str">
        <f t="shared" si="26"/>
        <v>80</v>
      </c>
      <c r="B655" s="1" t="s">
        <v>1156</v>
      </c>
      <c r="C655" s="6" t="str">
        <f>"6082"</f>
        <v>6082</v>
      </c>
      <c r="D655" s="3" t="s">
        <v>1381</v>
      </c>
      <c r="E655" s="26" t="s">
        <v>506</v>
      </c>
    </row>
    <row r="656" spans="1:5" x14ac:dyDescent="0.25">
      <c r="A656" s="2" t="str">
        <f t="shared" si="26"/>
        <v>80</v>
      </c>
      <c r="B656" s="1" t="s">
        <v>1156</v>
      </c>
      <c r="C656" s="6" t="str">
        <f>"6064"</f>
        <v>6064</v>
      </c>
      <c r="D656" s="3" t="s">
        <v>507</v>
      </c>
      <c r="E656" s="26" t="s">
        <v>508</v>
      </c>
    </row>
    <row r="657" spans="1:5" x14ac:dyDescent="0.25">
      <c r="A657" s="2" t="str">
        <f t="shared" si="26"/>
        <v>80</v>
      </c>
      <c r="B657" s="1" t="s">
        <v>1156</v>
      </c>
      <c r="C657" s="6" t="str">
        <f>"6420"</f>
        <v>6420</v>
      </c>
      <c r="D657" s="3" t="s">
        <v>511</v>
      </c>
      <c r="E657" s="26" t="s">
        <v>512</v>
      </c>
    </row>
    <row r="658" spans="1:5" x14ac:dyDescent="0.25">
      <c r="A658" s="2" t="str">
        <f t="shared" si="26"/>
        <v>80</v>
      </c>
      <c r="B658" s="1" t="s">
        <v>1156</v>
      </c>
      <c r="C658" s="6" t="str">
        <f>"6103"</f>
        <v>6103</v>
      </c>
      <c r="D658" s="3" t="s">
        <v>513</v>
      </c>
      <c r="E658" s="26" t="s">
        <v>514</v>
      </c>
    </row>
    <row r="659" spans="1:5" x14ac:dyDescent="0.25">
      <c r="A659" s="2" t="str">
        <f t="shared" si="26"/>
        <v>80</v>
      </c>
      <c r="B659" s="1" t="s">
        <v>1156</v>
      </c>
      <c r="C659" s="6" t="str">
        <f>"6184"</f>
        <v>6184</v>
      </c>
      <c r="D659" s="3" t="s">
        <v>515</v>
      </c>
      <c r="E659" s="26" t="s">
        <v>516</v>
      </c>
    </row>
    <row r="660" spans="1:5" x14ac:dyDescent="0.25">
      <c r="A660" s="2" t="str">
        <f t="shared" si="26"/>
        <v>80</v>
      </c>
      <c r="B660" s="1" t="s">
        <v>1156</v>
      </c>
      <c r="C660" s="6" t="str">
        <f>"6720"</f>
        <v>6720</v>
      </c>
      <c r="D660" s="3" t="s">
        <v>520</v>
      </c>
      <c r="E660" s="26" t="s">
        <v>521</v>
      </c>
    </row>
    <row r="661" spans="1:5" x14ac:dyDescent="0.25">
      <c r="A661" s="2" t="str">
        <f t="shared" si="26"/>
        <v>80</v>
      </c>
      <c r="B661" s="1" t="s">
        <v>1156</v>
      </c>
      <c r="C661" s="6" t="str">
        <f>"6036"</f>
        <v>6036</v>
      </c>
      <c r="D661" s="3" t="s">
        <v>522</v>
      </c>
      <c r="E661" s="26" t="s">
        <v>523</v>
      </c>
    </row>
    <row r="662" spans="1:5" x14ac:dyDescent="0.25">
      <c r="A662" s="2" t="str">
        <f t="shared" si="26"/>
        <v>80</v>
      </c>
      <c r="B662" s="1" t="s">
        <v>1156</v>
      </c>
      <c r="C662" s="6" t="str">
        <f>"6910"</f>
        <v>6910</v>
      </c>
      <c r="D662" s="3" t="s">
        <v>527</v>
      </c>
      <c r="E662" s="26" t="s">
        <v>528</v>
      </c>
    </row>
    <row r="663" spans="1:5" s="8" customFormat="1" ht="15.75" thickBot="1" x14ac:dyDescent="0.3">
      <c r="A663" s="4" t="str">
        <f t="shared" si="26"/>
        <v>80</v>
      </c>
      <c r="B663" s="31" t="s">
        <v>1156</v>
      </c>
      <c r="C663" s="7" t="str">
        <f>"6093"</f>
        <v>6093</v>
      </c>
      <c r="D663" s="5" t="s">
        <v>1382</v>
      </c>
      <c r="E663" s="30" t="s">
        <v>529</v>
      </c>
    </row>
    <row r="664" spans="1:5" ht="15.75" thickTop="1" x14ac:dyDescent="0.25">
      <c r="A664" s="2" t="str">
        <f t="shared" si="26"/>
        <v>80</v>
      </c>
      <c r="B664" s="1" t="s">
        <v>1156</v>
      </c>
      <c r="C664" s="6" t="str">
        <f>"6915"</f>
        <v>6915</v>
      </c>
      <c r="D664" s="3" t="s">
        <v>530</v>
      </c>
      <c r="E664" s="26" t="s">
        <v>531</v>
      </c>
    </row>
    <row r="665" spans="1:5" x14ac:dyDescent="0.25">
      <c r="A665" s="2" t="str">
        <f t="shared" si="26"/>
        <v>80</v>
      </c>
      <c r="B665" s="1" t="s">
        <v>1156</v>
      </c>
      <c r="C665" s="6" t="str">
        <f>"7115"</f>
        <v>7115</v>
      </c>
      <c r="D665" s="3" t="s">
        <v>536</v>
      </c>
      <c r="E665" s="26" t="s">
        <v>537</v>
      </c>
    </row>
    <row r="666" spans="1:5" x14ac:dyDescent="0.25">
      <c r="A666" s="2" t="str">
        <f t="shared" si="26"/>
        <v>80</v>
      </c>
      <c r="B666" s="1" t="s">
        <v>1156</v>
      </c>
      <c r="C666" s="6" t="str">
        <f>"6068"</f>
        <v>6068</v>
      </c>
      <c r="D666" s="3" t="s">
        <v>1172</v>
      </c>
      <c r="E666" s="26" t="s">
        <v>538</v>
      </c>
    </row>
    <row r="667" spans="1:5" x14ac:dyDescent="0.25">
      <c r="A667" s="2" t="str">
        <f t="shared" si="26"/>
        <v>80</v>
      </c>
      <c r="B667" s="1" t="s">
        <v>1156</v>
      </c>
      <c r="C667" s="6" t="str">
        <f>"7830"</f>
        <v>7830</v>
      </c>
      <c r="D667" s="3" t="s">
        <v>541</v>
      </c>
      <c r="E667" s="26" t="s">
        <v>542</v>
      </c>
    </row>
    <row r="668" spans="1:5" x14ac:dyDescent="0.25">
      <c r="A668" s="2" t="str">
        <f t="shared" si="26"/>
        <v>80</v>
      </c>
      <c r="B668" s="1" t="s">
        <v>1156</v>
      </c>
      <c r="C668" s="6" t="str">
        <f>"6030"</f>
        <v>6030</v>
      </c>
      <c r="D668" s="3" t="s">
        <v>543</v>
      </c>
      <c r="E668" s="26" t="s">
        <v>544</v>
      </c>
    </row>
    <row r="669" spans="1:5" x14ac:dyDescent="0.25">
      <c r="A669" s="2" t="str">
        <f t="shared" si="26"/>
        <v>80</v>
      </c>
      <c r="B669" s="1" t="s">
        <v>1156</v>
      </c>
      <c r="C669" s="6" t="str">
        <f>"8060"</f>
        <v>8060</v>
      </c>
      <c r="D669" s="3" t="s">
        <v>547</v>
      </c>
      <c r="E669" s="26" t="s">
        <v>548</v>
      </c>
    </row>
    <row r="670" spans="1:5" x14ac:dyDescent="0.25">
      <c r="A670" s="2" t="str">
        <f t="shared" si="26"/>
        <v>80</v>
      </c>
      <c r="B670" s="1" t="s">
        <v>1158</v>
      </c>
      <c r="C670" s="6" t="str">
        <f>"6017"</f>
        <v>6017</v>
      </c>
      <c r="D670" s="3" t="s">
        <v>604</v>
      </c>
      <c r="E670" s="26" t="s">
        <v>605</v>
      </c>
    </row>
    <row r="671" spans="1:5" x14ac:dyDescent="0.25">
      <c r="A671" s="2" t="str">
        <f t="shared" si="26"/>
        <v>80</v>
      </c>
      <c r="B671" s="1" t="s">
        <v>1158</v>
      </c>
      <c r="C671" s="6" t="str">
        <f>"6182"</f>
        <v>6182</v>
      </c>
      <c r="D671" s="3" t="s">
        <v>1383</v>
      </c>
      <c r="E671" s="26" t="s">
        <v>610</v>
      </c>
    </row>
    <row r="672" spans="1:5" x14ac:dyDescent="0.25">
      <c r="A672" s="2" t="str">
        <f t="shared" si="26"/>
        <v>80</v>
      </c>
      <c r="B672" s="1" t="s">
        <v>1158</v>
      </c>
      <c r="C672" s="6" t="str">
        <f>"6810"</f>
        <v>6810</v>
      </c>
      <c r="D672" s="3" t="s">
        <v>611</v>
      </c>
      <c r="E672" s="26" t="s">
        <v>612</v>
      </c>
    </row>
    <row r="673" spans="1:5" x14ac:dyDescent="0.25">
      <c r="A673" s="2" t="str">
        <f t="shared" si="26"/>
        <v>80</v>
      </c>
      <c r="B673" s="1" t="s">
        <v>1158</v>
      </c>
      <c r="C673" s="6" t="str">
        <f>"7500"</f>
        <v>7500</v>
      </c>
      <c r="D673" s="3" t="s">
        <v>1384</v>
      </c>
      <c r="E673" s="26" t="s">
        <v>617</v>
      </c>
    </row>
    <row r="674" spans="1:5" x14ac:dyDescent="0.25">
      <c r="A674" s="2" t="str">
        <f t="shared" ref="A674:A698" si="27">"80"</f>
        <v>80</v>
      </c>
      <c r="B674" s="1" t="s">
        <v>1158</v>
      </c>
      <c r="C674" s="6" t="str">
        <f>"6025"</f>
        <v>6025</v>
      </c>
      <c r="D674" s="3" t="s">
        <v>1385</v>
      </c>
      <c r="E674" s="26" t="s">
        <v>618</v>
      </c>
    </row>
    <row r="675" spans="1:5" x14ac:dyDescent="0.25">
      <c r="A675" s="2" t="str">
        <f t="shared" si="27"/>
        <v>80</v>
      </c>
      <c r="B675" s="1" t="s">
        <v>1158</v>
      </c>
      <c r="C675" s="6" t="str">
        <f>"7540"</f>
        <v>7540</v>
      </c>
      <c r="D675" s="3" t="s">
        <v>619</v>
      </c>
      <c r="E675" s="26" t="s">
        <v>620</v>
      </c>
    </row>
    <row r="676" spans="1:5" x14ac:dyDescent="0.25">
      <c r="A676" s="2" t="str">
        <f t="shared" si="27"/>
        <v>80</v>
      </c>
      <c r="B676" s="1" t="s">
        <v>1158</v>
      </c>
      <c r="C676" s="6" t="str">
        <f>"8140"</f>
        <v>8140</v>
      </c>
      <c r="D676" s="3" t="s">
        <v>625</v>
      </c>
      <c r="E676" s="26" t="s">
        <v>626</v>
      </c>
    </row>
    <row r="677" spans="1:5" x14ac:dyDescent="0.25">
      <c r="A677" s="2" t="str">
        <f t="shared" si="27"/>
        <v>80</v>
      </c>
      <c r="B677" s="1" t="s">
        <v>1158</v>
      </c>
      <c r="C677" s="6" t="str">
        <f>"6183"</f>
        <v>6183</v>
      </c>
      <c r="D677" s="3" t="s">
        <v>1386</v>
      </c>
      <c r="E677" s="26" t="s">
        <v>628</v>
      </c>
    </row>
    <row r="678" spans="1:5" x14ac:dyDescent="0.25">
      <c r="A678" s="2" t="str">
        <f t="shared" si="27"/>
        <v>80</v>
      </c>
      <c r="B678" s="1" t="s">
        <v>1160</v>
      </c>
      <c r="C678" s="6" t="str">
        <f>"6032"</f>
        <v>6032</v>
      </c>
      <c r="D678" s="3" t="s">
        <v>1387</v>
      </c>
      <c r="E678" s="26" t="s">
        <v>631</v>
      </c>
    </row>
    <row r="679" spans="1:5" x14ac:dyDescent="0.25">
      <c r="A679" s="2" t="str">
        <f t="shared" si="27"/>
        <v>80</v>
      </c>
      <c r="B679" s="1" t="s">
        <v>1160</v>
      </c>
      <c r="C679" s="6" t="str">
        <f>"6635"</f>
        <v>6635</v>
      </c>
      <c r="D679" s="3" t="s">
        <v>642</v>
      </c>
      <c r="E679" s="26" t="s">
        <v>643</v>
      </c>
    </row>
    <row r="680" spans="1:5" x14ac:dyDescent="0.25">
      <c r="A680" s="2" t="str">
        <f t="shared" si="27"/>
        <v>80</v>
      </c>
      <c r="B680" s="1" t="s">
        <v>1160</v>
      </c>
      <c r="C680" s="6" t="str">
        <f>"6041"</f>
        <v>6041</v>
      </c>
      <c r="D680" s="3" t="s">
        <v>1171</v>
      </c>
      <c r="E680" s="26" t="s">
        <v>644</v>
      </c>
    </row>
    <row r="681" spans="1:5" x14ac:dyDescent="0.25">
      <c r="A681" s="2" t="str">
        <f t="shared" si="27"/>
        <v>80</v>
      </c>
      <c r="B681" s="1" t="s">
        <v>1161</v>
      </c>
      <c r="C681" s="6" t="str">
        <f>"6010"</f>
        <v>6010</v>
      </c>
      <c r="D681" s="3" t="s">
        <v>684</v>
      </c>
      <c r="E681" s="26" t="s">
        <v>685</v>
      </c>
    </row>
    <row r="682" spans="1:5" x14ac:dyDescent="0.25">
      <c r="A682" s="2" t="str">
        <f t="shared" si="27"/>
        <v>80</v>
      </c>
      <c r="B682" s="1" t="s">
        <v>1161</v>
      </c>
      <c r="C682" s="6" t="str">
        <f>"6740"</f>
        <v>6740</v>
      </c>
      <c r="D682" s="3" t="s">
        <v>721</v>
      </c>
      <c r="E682" s="26" t="s">
        <v>722</v>
      </c>
    </row>
    <row r="683" spans="1:5" x14ac:dyDescent="0.25">
      <c r="A683" s="2" t="str">
        <f t="shared" si="27"/>
        <v>80</v>
      </c>
      <c r="B683" s="1" t="s">
        <v>1161</v>
      </c>
      <c r="C683" s="6" t="str">
        <f>"7720"</f>
        <v>7720</v>
      </c>
      <c r="D683" s="3" t="s">
        <v>756</v>
      </c>
      <c r="E683" s="26" t="s">
        <v>757</v>
      </c>
    </row>
    <row r="684" spans="1:5" x14ac:dyDescent="0.25">
      <c r="A684" s="2" t="str">
        <f t="shared" si="27"/>
        <v>80</v>
      </c>
      <c r="B684" s="1" t="s">
        <v>1162</v>
      </c>
      <c r="C684" s="6" t="str">
        <f>"8050"</f>
        <v>8050</v>
      </c>
      <c r="D684" s="3" t="s">
        <v>848</v>
      </c>
      <c r="E684" s="26" t="s">
        <v>849</v>
      </c>
    </row>
    <row r="685" spans="1:5" x14ac:dyDescent="0.25">
      <c r="A685" s="2" t="str">
        <f t="shared" si="27"/>
        <v>80</v>
      </c>
      <c r="B685" s="1" t="s">
        <v>1170</v>
      </c>
      <c r="C685" s="6" t="str">
        <f>"6230"</f>
        <v>6230</v>
      </c>
      <c r="D685" s="3" t="s">
        <v>913</v>
      </c>
      <c r="E685" s="26" t="s">
        <v>914</v>
      </c>
    </row>
    <row r="686" spans="1:5" x14ac:dyDescent="0.25">
      <c r="A686" s="2" t="str">
        <f t="shared" si="27"/>
        <v>80</v>
      </c>
      <c r="B686" s="1" t="s">
        <v>1170</v>
      </c>
      <c r="C686" s="6" t="str">
        <f>"6021"</f>
        <v>6021</v>
      </c>
      <c r="D686" s="3" t="s">
        <v>1388</v>
      </c>
      <c r="E686" s="26" t="s">
        <v>917</v>
      </c>
    </row>
    <row r="687" spans="1:5" x14ac:dyDescent="0.25">
      <c r="A687" s="2" t="str">
        <f t="shared" si="27"/>
        <v>80</v>
      </c>
      <c r="B687" s="1" t="s">
        <v>1170</v>
      </c>
      <c r="C687" s="6" t="str">
        <f>"6079"</f>
        <v>6079</v>
      </c>
      <c r="D687" s="3" t="s">
        <v>922</v>
      </c>
      <c r="E687" s="26" t="s">
        <v>923</v>
      </c>
    </row>
    <row r="688" spans="1:5" x14ac:dyDescent="0.25">
      <c r="A688" s="2" t="str">
        <f t="shared" si="27"/>
        <v>80</v>
      </c>
      <c r="B688" s="1" t="s">
        <v>1170</v>
      </c>
      <c r="C688" s="6" t="str">
        <f>"6080"</f>
        <v>6080</v>
      </c>
      <c r="D688" s="3" t="s">
        <v>1389</v>
      </c>
      <c r="E688" s="26" t="s">
        <v>930</v>
      </c>
    </row>
    <row r="689" spans="1:5" x14ac:dyDescent="0.25">
      <c r="A689" s="2" t="str">
        <f t="shared" si="27"/>
        <v>80</v>
      </c>
      <c r="B689" s="1" t="s">
        <v>1170</v>
      </c>
      <c r="C689" s="6" t="str">
        <f>"6096"</f>
        <v>6096</v>
      </c>
      <c r="D689" s="3" t="s">
        <v>1390</v>
      </c>
      <c r="E689" s="26" t="s">
        <v>941</v>
      </c>
    </row>
    <row r="690" spans="1:5" x14ac:dyDescent="0.25">
      <c r="A690" s="2" t="str">
        <f t="shared" si="27"/>
        <v>80</v>
      </c>
      <c r="B690" s="1" t="s">
        <v>1170</v>
      </c>
      <c r="C690" s="6" t="str">
        <f>"7503"</f>
        <v>7503</v>
      </c>
      <c r="D690" s="3" t="s">
        <v>1391</v>
      </c>
      <c r="E690" s="26" t="s">
        <v>942</v>
      </c>
    </row>
    <row r="691" spans="1:5" x14ac:dyDescent="0.25">
      <c r="A691" s="2" t="str">
        <f t="shared" si="27"/>
        <v>80</v>
      </c>
      <c r="B691" s="1" t="s">
        <v>1166</v>
      </c>
      <c r="C691" s="6" t="str">
        <f>"6018"</f>
        <v>6018</v>
      </c>
      <c r="D691" s="3" t="s">
        <v>988</v>
      </c>
      <c r="E691" s="26" t="s">
        <v>989</v>
      </c>
    </row>
    <row r="692" spans="1:5" x14ac:dyDescent="0.25">
      <c r="A692" s="2" t="str">
        <f t="shared" si="27"/>
        <v>80</v>
      </c>
      <c r="B692" s="1" t="s">
        <v>1166</v>
      </c>
      <c r="C692" s="6" t="str">
        <f>"6081"</f>
        <v>6081</v>
      </c>
      <c r="D692" s="3" t="s">
        <v>1392</v>
      </c>
      <c r="E692" s="26" t="s">
        <v>1008</v>
      </c>
    </row>
    <row r="693" spans="1:5" x14ac:dyDescent="0.25">
      <c r="A693" s="2" t="str">
        <f t="shared" si="27"/>
        <v>80</v>
      </c>
      <c r="B693" s="1" t="s">
        <v>1167</v>
      </c>
      <c r="C693" s="6" t="str">
        <f>"7850"</f>
        <v>7850</v>
      </c>
      <c r="D693" s="3" t="s">
        <v>1051</v>
      </c>
      <c r="E693" s="26" t="s">
        <v>1052</v>
      </c>
    </row>
    <row r="694" spans="1:5" x14ac:dyDescent="0.25">
      <c r="A694" s="2" t="str">
        <f t="shared" si="27"/>
        <v>80</v>
      </c>
      <c r="B694" s="1" t="s">
        <v>1168</v>
      </c>
      <c r="C694" s="6" t="str">
        <f>"6101"</f>
        <v>6101</v>
      </c>
      <c r="D694" s="3" t="s">
        <v>1061</v>
      </c>
      <c r="E694" s="26" t="s">
        <v>1147</v>
      </c>
    </row>
    <row r="695" spans="1:5" x14ac:dyDescent="0.25">
      <c r="A695" s="2" t="str">
        <f t="shared" si="27"/>
        <v>80</v>
      </c>
      <c r="B695" s="1" t="s">
        <v>1168</v>
      </c>
      <c r="C695" s="6" t="str">
        <f>"6033"</f>
        <v>6033</v>
      </c>
      <c r="D695" s="3" t="s">
        <v>1088</v>
      </c>
      <c r="E695" s="26" t="s">
        <v>1089</v>
      </c>
    </row>
    <row r="696" spans="1:5" x14ac:dyDescent="0.25">
      <c r="A696" s="2" t="str">
        <f t="shared" si="27"/>
        <v>80</v>
      </c>
      <c r="B696" s="1" t="s">
        <v>1168</v>
      </c>
      <c r="C696" s="6" t="str">
        <f>"7600"</f>
        <v>7600</v>
      </c>
      <c r="D696" s="3" t="s">
        <v>1090</v>
      </c>
      <c r="E696" s="26" t="s">
        <v>1091</v>
      </c>
    </row>
    <row r="697" spans="1:5" x14ac:dyDescent="0.25">
      <c r="A697" s="2" t="str">
        <f t="shared" si="27"/>
        <v>80</v>
      </c>
      <c r="B697" s="1" t="s">
        <v>1168</v>
      </c>
      <c r="C697" s="6" t="str">
        <f>"8010"</f>
        <v>8010</v>
      </c>
      <c r="D697" s="3" t="s">
        <v>1393</v>
      </c>
      <c r="E697" s="26" t="s">
        <v>1095</v>
      </c>
    </row>
    <row r="698" spans="1:5" s="8" customFormat="1" ht="15.75" thickBot="1" x14ac:dyDescent="0.3">
      <c r="A698" s="4" t="str">
        <f t="shared" si="27"/>
        <v>80</v>
      </c>
      <c r="B698" s="31" t="s">
        <v>1169</v>
      </c>
      <c r="C698" s="7" t="str">
        <f>"7727"</f>
        <v>7727</v>
      </c>
      <c r="D698" s="5" t="s">
        <v>1394</v>
      </c>
      <c r="E698" s="30" t="s">
        <v>1131</v>
      </c>
    </row>
    <row r="699" spans="1:5" ht="15.75" thickTop="1" x14ac:dyDescent="0.25">
      <c r="A699" s="16"/>
      <c r="B699" s="16"/>
      <c r="C699" s="16"/>
      <c r="D699" s="16"/>
      <c r="E699" s="16"/>
    </row>
    <row r="700" spans="1:5" x14ac:dyDescent="0.25">
      <c r="A700" s="17" t="s">
        <v>1398</v>
      </c>
      <c r="B700" s="17"/>
      <c r="C700" s="17"/>
      <c r="D700" s="17"/>
      <c r="E700" s="17"/>
    </row>
    <row r="701" spans="1:5" hidden="1" x14ac:dyDescent="0.25">
      <c r="E701" s="13"/>
    </row>
    <row r="702" spans="1:5" hidden="1" x14ac:dyDescent="0.25">
      <c r="E702" s="13"/>
    </row>
  </sheetData>
  <sheetProtection autoFilter="0"/>
  <sortState xmlns:xlrd2="http://schemas.microsoft.com/office/spreadsheetml/2017/richdata2" ref="A7:E698">
    <sortCondition ref="A7:A698"/>
    <sortCondition ref="B7:B698"/>
  </sortState>
  <mergeCells count="7">
    <mergeCell ref="A699:E699"/>
    <mergeCell ref="A700:E700"/>
    <mergeCell ref="A1:E1"/>
    <mergeCell ref="A3:E3"/>
    <mergeCell ref="A5:E5"/>
    <mergeCell ref="A4:E4"/>
    <mergeCell ref="A2:E2"/>
  </mergeCells>
  <hyperlinks>
    <hyperlink ref="E15" r:id="rId1" tooltip="This website hyperlink will take you to the school district's website" xr:uid="{3846FEE2-B547-47DA-BF5E-0A5306DAAD70}"/>
    <hyperlink ref="E331" r:id="rId2" tooltip="This website hyperlink will take you to the school district's website" xr:uid="{4EC04068-62A1-40C5-93F2-EFDFDD228A6F}"/>
    <hyperlink ref="E695" r:id="rId3" tooltip="This website hyperlink will take you to the school's website" xr:uid="{C599B336-F26D-488F-921B-52D6C8606C99}"/>
  </hyperlinks>
  <printOptions horizontalCentered="1"/>
  <pageMargins left="0.5" right="0.5" top="0.5" bottom="0.5" header="0.3" footer="0.3"/>
  <pageSetup scale="80" orientation="landscape" r:id="rId4"/>
  <rowBreaks count="10" manualBreakCount="10">
    <brk id="61" max="16383" man="1"/>
    <brk id="225" max="16383" man="1"/>
    <brk id="279" max="16383" man="1"/>
    <brk id="333" max="16383" man="1"/>
    <brk id="388" max="16383" man="1"/>
    <brk id="443" max="16383" man="1"/>
    <brk id="498" max="16383" man="1"/>
    <brk id="553" max="16383" man="1"/>
    <brk id="608" max="16383" man="1"/>
    <brk id="663" max="16383" man="1"/>
  </rowBreaks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V School District Code</vt:lpstr>
      <vt:lpstr>'Appendix V School District Code'!Print_Area</vt:lpstr>
      <vt:lpstr>'Appendix V School District Code'!Print_Titles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V: District Code Listing</dc:title>
  <dc:creator>New Jersey Department of Education</dc:creator>
  <cp:lastModifiedBy>Thomas, Elizabeth</cp:lastModifiedBy>
  <cp:lastPrinted>2024-05-28T13:59:21Z</cp:lastPrinted>
  <dcterms:created xsi:type="dcterms:W3CDTF">2016-05-24T16:22:41Z</dcterms:created>
  <dcterms:modified xsi:type="dcterms:W3CDTF">2025-04-25T15:08:46Z</dcterms:modified>
</cp:coreProperties>
</file>