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\\DOEFS1\Office\Policy\Audit Program\2019-20 Audit Program\"/>
    </mc:Choice>
  </mc:AlternateContent>
  <xr:revisionPtr revIDLastSave="0" documentId="8_{880BE77B-E886-4C59-B4CD-755A9AFE1A30}" xr6:coauthVersionLast="37" xr6:coauthVersionMax="37" xr10:uidLastSave="{00000000-0000-0000-0000-000000000000}"/>
  <bookViews>
    <workbookView xWindow="0" yWindow="0" windowWidth="22068" windowHeight="7776" xr2:uid="{00000000-000D-0000-FFFF-FFFF00000000}"/>
  </bookViews>
  <sheets>
    <sheet name="Camden20_95" sheetId="1" r:id="rId1"/>
    <sheet name="TempFac20_90" sheetId="2" r:id="rId2"/>
  </sheets>
  <definedNames>
    <definedName name="_xlnm.Print_Area" localSheetId="0">Camden20_95!$A$1:$E$31</definedName>
    <definedName name="_xlnm.Print_Area" localSheetId="1">TempFac20_90!$A$1:$E$39</definedName>
  </definedNames>
  <calcPr calcId="179021"/>
  <fileRecoveryPr repairLoad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5" i="1" l="1"/>
  <c r="B35" i="2"/>
  <c r="B34" i="2"/>
  <c r="B29" i="2" l="1"/>
  <c r="B25" i="1" l="1"/>
  <c r="F5" i="1"/>
  <c r="B21" i="1" s="1"/>
  <c r="B4" i="1"/>
  <c r="B11" i="1" l="1"/>
  <c r="B22" i="1"/>
  <c r="B6" i="1"/>
  <c r="B12" i="1"/>
  <c r="B7" i="1"/>
  <c r="B20" i="1"/>
  <c r="B10" i="1"/>
  <c r="B4" i="2"/>
  <c r="C37" i="2" l="1"/>
  <c r="C35" i="2"/>
  <c r="D35" i="2"/>
  <c r="C34" i="2"/>
  <c r="D31" i="2"/>
  <c r="C29" i="2"/>
  <c r="D28" i="2"/>
  <c r="C25" i="2"/>
  <c r="B24" i="2"/>
  <c r="D24" i="2" s="1"/>
  <c r="B23" i="2"/>
  <c r="D23" i="2" s="1"/>
  <c r="B22" i="2"/>
  <c r="D22" i="2" s="1"/>
  <c r="C19" i="2"/>
  <c r="B18" i="2"/>
  <c r="D18" i="2" s="1"/>
  <c r="B17" i="2"/>
  <c r="D17" i="2" s="1"/>
  <c r="B16" i="2"/>
  <c r="D16" i="2" s="1"/>
  <c r="C13" i="2"/>
  <c r="B12" i="2"/>
  <c r="D12" i="2" s="1"/>
  <c r="B11" i="2"/>
  <c r="D11" i="2" s="1"/>
  <c r="B10" i="2"/>
  <c r="D10" i="2" s="1"/>
  <c r="B7" i="2"/>
  <c r="D7" i="2" s="1"/>
  <c r="B6" i="2"/>
  <c r="D6" i="2" s="1"/>
  <c r="D5" i="2"/>
  <c r="D4" i="2"/>
  <c r="C27" i="1"/>
  <c r="D25" i="1"/>
  <c r="D4" i="1"/>
  <c r="D7" i="1" l="1"/>
  <c r="D29" i="2"/>
  <c r="D34" i="2"/>
  <c r="D22" i="1"/>
  <c r="B15" i="1"/>
  <c r="D15" i="1" s="1"/>
  <c r="D12" i="1"/>
  <c r="D20" i="1"/>
  <c r="B16" i="1"/>
  <c r="D16" i="1" s="1"/>
  <c r="D21" i="1"/>
  <c r="B17" i="1"/>
  <c r="D17" i="1" s="1"/>
  <c r="D11" i="1"/>
  <c r="D10" i="1"/>
  <c r="D6" i="1"/>
  <c r="D5" i="1"/>
  <c r="D37" i="2" l="1"/>
  <c r="D27" i="1"/>
</calcChain>
</file>

<file path=xl/sharedStrings.xml><?xml version="1.0" encoding="utf-8"?>
<sst xmlns="http://schemas.openxmlformats.org/spreadsheetml/2006/main" count="99" uniqueCount="69">
  <si>
    <t>Student Description</t>
  </si>
  <si>
    <t>Costs Per Pupil</t>
  </si>
  <si>
    <t>Actual Enrollment</t>
  </si>
  <si>
    <t>Total Cost</t>
  </si>
  <si>
    <t xml:space="preserve">Total Enrollment by Grade Level: </t>
  </si>
  <si>
    <t>Preschool - all regular</t>
  </si>
  <si>
    <t>Total K-5 (w/prek disabled)</t>
  </si>
  <si>
    <t>Total Grades 6 - 8</t>
  </si>
  <si>
    <t>Total Grades 9-12</t>
  </si>
  <si>
    <t xml:space="preserve">At-risk only by grade level: </t>
  </si>
  <si>
    <t>K-5 (w/prek disabled)</t>
  </si>
  <si>
    <t>Grades 6 - 8</t>
  </si>
  <si>
    <t>Grades 9-12</t>
  </si>
  <si>
    <t xml:space="preserve">LEP only by grade level: </t>
  </si>
  <si>
    <t>At-risk &amp; LEP Combination:</t>
  </si>
  <si>
    <t>Total Special Ed, all grades:</t>
  </si>
  <si>
    <t>PreK disabled - Grade 12</t>
  </si>
  <si>
    <t>Page NET (A-5)/ Charter Aid Notice, Page BUD (G-1)</t>
  </si>
  <si>
    <t>Total School Enr &amp; Cost</t>
  </si>
  <si>
    <r>
      <t>1</t>
    </r>
    <r>
      <rPr>
        <sz val="11"/>
        <color theme="1"/>
        <rFont val="Calibri"/>
        <family val="2"/>
        <scheme val="minor"/>
      </rPr>
      <t xml:space="preserve"> District Enrollment is the projected weighted enrollment found on the Charter Aid Notice, Page BUD (H-2)</t>
    </r>
  </si>
  <si>
    <t>Subtotal At-Risk Only Enr</t>
  </si>
  <si>
    <t>Subtotal LEP Only Enr</t>
  </si>
  <si>
    <t>Subtotal At-Risk/LEP Enr</t>
  </si>
  <si>
    <t>Equalization Portion</t>
  </si>
  <si>
    <t>Page BUD (K)</t>
  </si>
  <si>
    <t>Categorical Portion</t>
  </si>
  <si>
    <t>Page BUD (A-2)/(G-1)</t>
  </si>
  <si>
    <r>
      <t xml:space="preserve">Speech-Only </t>
    </r>
    <r>
      <rPr>
        <sz val="11"/>
        <color indexed="8"/>
        <rFont val="Calibri"/>
        <family val="2"/>
      </rPr>
      <t>(from Equal. Aid)</t>
    </r>
  </si>
  <si>
    <t>Page BUD (L)</t>
  </si>
  <si>
    <t>Security Categorical:</t>
  </si>
  <si>
    <t>Regular K-12</t>
  </si>
  <si>
    <t>At-Risk K-12</t>
  </si>
  <si>
    <t>P.L. 2014, c.61 added N.J.S.A. 18A:36C-7.1 for Ren schools in temp. facilities: they will be funded pursuant to subsection b. of 18A:36A-12 (like Charter Schools).</t>
  </si>
  <si>
    <t>Camden Renaissance Funding for Temporary Facilities* - FY20</t>
  </si>
  <si>
    <t>Page BUD (J)  = "7,669" used in calculations below</t>
  </si>
  <si>
    <t>7,669 x 1.04 (MS weight)</t>
  </si>
  <si>
    <t>7,669 x 1.16 (HS weight)</t>
  </si>
  <si>
    <t>7,669 x 0.57 (at-risk weight)</t>
  </si>
  <si>
    <t>7,669 x 1.04 x 0.57 (at-risk weight)</t>
  </si>
  <si>
    <t>7,669 x 1.16 x 0.57 (at-risk weight)</t>
  </si>
  <si>
    <t>7,669 x 0.5 (LEP weight)</t>
  </si>
  <si>
    <t>7,669 x 1.04 x 0.5 (LEP weight)</t>
  </si>
  <si>
    <t>7,669 x 1.16 x 0.5 (LEP weight)</t>
  </si>
  <si>
    <t>7,669 x (0.57+0.125)</t>
  </si>
  <si>
    <t>7,669 x 1.04 x (0.57+0.125)</t>
  </si>
  <si>
    <t>7,669 x 1.16 x (0.57+0.125)</t>
  </si>
  <si>
    <r>
      <t xml:space="preserve">Data Source: </t>
    </r>
    <r>
      <rPr>
        <b/>
        <sz val="12"/>
        <color theme="1"/>
        <rFont val="Calibri"/>
        <family val="2"/>
        <scheme val="minor"/>
      </rPr>
      <t>FY20 Projected Charter Aid Notice</t>
    </r>
  </si>
  <si>
    <t>PEA amount (13,209) x GCA (0.97670)</t>
  </si>
  <si>
    <t>base</t>
  </si>
  <si>
    <t>security reg</t>
  </si>
  <si>
    <t>security AR</t>
  </si>
  <si>
    <t>Camden Renaissance School Per Pupil Funding - FY20 Rates Per Pupil</t>
  </si>
  <si>
    <t>10,732 x 1.04 (MS weight) + Security Regular</t>
  </si>
  <si>
    <t xml:space="preserve">10,732 x 1.16 (HS weight) + Security Regular </t>
  </si>
  <si>
    <t>10,732 x 1.04 x 0.57 (at-risk weight) + Security At-Risk</t>
  </si>
  <si>
    <t>10,732 x 1.16 x 0.57 (at-risk weight) + Security At-Risk</t>
  </si>
  <si>
    <t>10,732 x 0.5 (LEP weight)</t>
  </si>
  <si>
    <t>10,732 1.04 x 0.5 (LEP weight)</t>
  </si>
  <si>
    <t>10,732 x 1.16 x 0.5 (LEP weight)</t>
  </si>
  <si>
    <t>10,732 x 1.04 x (0.57+0.125) + Security At-Risk</t>
  </si>
  <si>
    <t>10,732 x 1.16 x (0.57+0.125) + Security At-Risk</t>
  </si>
  <si>
    <t>Sec Reg ($83) x GCA on Page BUD (M)</t>
  </si>
  <si>
    <t>Sec Hi ($495) x GCA on Page BUD (M)</t>
  </si>
  <si>
    <t>[Page NET (A-1) + (A-7) + Page BUD (B)]* 95% /District Enr1 = 10,732; then add Security Regular (81) 2</t>
  </si>
  <si>
    <r>
      <t xml:space="preserve">Data Source: </t>
    </r>
    <r>
      <rPr>
        <b/>
        <sz val="12"/>
        <color theme="1"/>
        <rFont val="Calibri"/>
        <family val="2"/>
        <scheme val="minor"/>
      </rPr>
      <t>FY20 District State Aid Notice, except where Charter Aid Notice is specified</t>
    </r>
  </si>
  <si>
    <t>10,732 x 0.57 (at-risk weight) + Security At-Risk (483)</t>
  </si>
  <si>
    <t>10,732 x (0.57+0.125) + Security At-Risk (483)</t>
  </si>
  <si>
    <r>
      <t xml:space="preserve">2 </t>
    </r>
    <r>
      <rPr>
        <sz val="11"/>
        <color theme="1"/>
        <rFont val="Calibri"/>
        <family val="2"/>
        <scheme val="minor"/>
      </rPr>
      <t>Security Regular (81) is calculated as the Security Amount for all districts (83) x GCA (0.97670)</t>
    </r>
  </si>
  <si>
    <t xml:space="preserve">   Security At-Risk (483) is calculated as the Security Amount for all districts (495) x GCA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</si>
</sst>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0_);_(* \(#,##0.000\);_(* &quot;-&quot;??_);_(@_)"/>
    <numFmt numFmtId="165" formatCode="_(* #,##0_);_(* \(#,##0\);_(* &quot;-&quot;??_);_(@_)"/>
    <numFmt numFmtId="166" formatCode="_(&quot;$&quot;* #,##0_);_(&quot;$&quot;* \(#,##0\);_(&quot;$&quot;* &quot;-&quot;??_);_(@_)"/>
    <numFmt numFmtId="167" formatCode="0.0%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indexed="8"/>
      <name val="Calibri"/>
      <family val="2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8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3" fillId="0" borderId="0" xfId="0" applyFont="1" applyBorder="1" applyAlignment="1">
      <alignment vertical="center"/>
    </xf>
    <xf numFmtId="0" fontId="0" fillId="0" borderId="0" xfId="0" applyAlignment="1">
      <alignment horizontal="center"/>
    </xf>
    <xf numFmtId="0" fontId="0" fillId="0" borderId="0" xfId="0" applyFill="1"/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5" fillId="2" borderId="1" xfId="0" applyFont="1" applyFill="1" applyBorder="1" applyAlignment="1" applyProtection="1">
      <alignment horizontal="center" vertical="center" wrapText="1"/>
    </xf>
    <xf numFmtId="0" fontId="2" fillId="0" borderId="0" xfId="0" applyFont="1" applyProtection="1"/>
    <xf numFmtId="0" fontId="0" fillId="0" borderId="0" xfId="0" applyAlignment="1" applyProtection="1">
      <alignment horizontal="center"/>
    </xf>
    <xf numFmtId="164" fontId="0" fillId="0" borderId="0" xfId="0" applyNumberFormat="1"/>
    <xf numFmtId="165" fontId="0" fillId="0" borderId="0" xfId="1" applyNumberFormat="1" applyFont="1"/>
    <xf numFmtId="0" fontId="7" fillId="0" borderId="0" xfId="0" applyNumberFormat="1" applyFont="1" applyFill="1" applyBorder="1" applyAlignment="1" applyProtection="1">
      <alignment horizontal="right" vertical="center" wrapText="1"/>
    </xf>
    <xf numFmtId="3" fontId="7" fillId="0" borderId="0" xfId="0" applyNumberFormat="1" applyFont="1" applyFill="1" applyBorder="1" applyAlignment="1" applyProtection="1">
      <alignment horizontal="center" vertical="center"/>
    </xf>
    <xf numFmtId="0" fontId="0" fillId="0" borderId="2" xfId="0" applyBorder="1" applyAlignment="1" applyProtection="1">
      <alignment horizontal="center"/>
      <protection locked="0"/>
    </xf>
    <xf numFmtId="166" fontId="0" fillId="0" borderId="0" xfId="2" applyNumberFormat="1" applyFont="1" applyAlignment="1" applyProtection="1">
      <alignment horizontal="center"/>
    </xf>
    <xf numFmtId="0" fontId="7" fillId="0" borderId="0" xfId="0" applyNumberFormat="1" applyFont="1" applyFill="1" applyBorder="1" applyAlignment="1" applyProtection="1">
      <alignment horizontal="right" vertical="center"/>
    </xf>
    <xf numFmtId="0" fontId="0" fillId="0" borderId="3" xfId="0" applyBorder="1" applyAlignment="1" applyProtection="1">
      <alignment horizontal="center"/>
      <protection locked="0"/>
    </xf>
    <xf numFmtId="0" fontId="0" fillId="0" borderId="4" xfId="0" applyBorder="1" applyAlignment="1" applyProtection="1">
      <alignment horizontal="center"/>
      <protection locked="0"/>
    </xf>
    <xf numFmtId="0" fontId="8" fillId="0" borderId="0" xfId="0" applyNumberFormat="1" applyFont="1" applyFill="1" applyBorder="1" applyAlignment="1" applyProtection="1">
      <alignment horizontal="left" vertical="center"/>
    </xf>
    <xf numFmtId="0" fontId="0" fillId="0" borderId="2" xfId="0" applyFill="1" applyBorder="1" applyAlignment="1" applyProtection="1">
      <alignment horizontal="center"/>
      <protection locked="0"/>
    </xf>
    <xf numFmtId="166" fontId="0" fillId="0" borderId="0" xfId="2" applyNumberFormat="1" applyFont="1" applyFill="1" applyAlignment="1" applyProtection="1">
      <alignment horizontal="center"/>
    </xf>
    <xf numFmtId="1" fontId="0" fillId="0" borderId="0" xfId="0" applyNumberFormat="1"/>
    <xf numFmtId="0" fontId="0" fillId="0" borderId="3" xfId="0" applyFill="1" applyBorder="1" applyAlignment="1" applyProtection="1">
      <alignment horizontal="center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0" fillId="0" borderId="0" xfId="0" applyProtection="1"/>
    <xf numFmtId="0" fontId="0" fillId="0" borderId="0" xfId="0" applyFill="1" applyAlignment="1" applyProtection="1">
      <alignment horizontal="center"/>
    </xf>
    <xf numFmtId="0" fontId="7" fillId="0" borderId="0" xfId="0" applyNumberFormat="1" applyFont="1" applyFill="1" applyBorder="1" applyAlignment="1" applyProtection="1"/>
    <xf numFmtId="2" fontId="0" fillId="0" borderId="0" xfId="0" applyNumberFormat="1"/>
    <xf numFmtId="0" fontId="7" fillId="0" borderId="0" xfId="0" applyNumberFormat="1" applyFont="1" applyFill="1" applyBorder="1" applyAlignment="1" applyProtection="1">
      <alignment horizontal="center"/>
    </xf>
    <xf numFmtId="3" fontId="9" fillId="0" borderId="0" xfId="0" applyNumberFormat="1" applyFont="1" applyFill="1" applyBorder="1" applyAlignment="1" applyProtection="1">
      <alignment horizontal="center"/>
    </xf>
    <xf numFmtId="0" fontId="0" fillId="0" borderId="5" xfId="0" applyFill="1" applyBorder="1" applyAlignment="1" applyProtection="1">
      <alignment horizontal="center"/>
      <protection locked="0"/>
    </xf>
    <xf numFmtId="0" fontId="10" fillId="0" borderId="0" xfId="0" applyFont="1"/>
    <xf numFmtId="0" fontId="0" fillId="0" borderId="6" xfId="0" applyBorder="1" applyProtection="1"/>
    <xf numFmtId="0" fontId="0" fillId="0" borderId="6" xfId="0" applyBorder="1" applyAlignment="1" applyProtection="1">
      <alignment horizontal="center"/>
    </xf>
    <xf numFmtId="166" fontId="0" fillId="0" borderId="6" xfId="2" applyNumberFormat="1" applyFont="1" applyBorder="1" applyAlignment="1" applyProtection="1">
      <alignment horizontal="center"/>
    </xf>
    <xf numFmtId="0" fontId="5" fillId="0" borderId="7" xfId="0" applyFont="1" applyBorder="1" applyAlignment="1" applyProtection="1">
      <alignment horizontal="center" vertical="center"/>
    </xf>
    <xf numFmtId="166" fontId="5" fillId="0" borderId="7" xfId="2" applyNumberFormat="1" applyFont="1" applyBorder="1" applyAlignment="1" applyProtection="1">
      <alignment horizontal="center" vertical="center"/>
    </xf>
    <xf numFmtId="0" fontId="5" fillId="0" borderId="0" xfId="0" applyFont="1" applyAlignment="1">
      <alignment vertical="center"/>
    </xf>
    <xf numFmtId="0" fontId="11" fillId="0" borderId="0" xfId="0" applyFont="1" applyAlignment="1">
      <alignment horizontal="left"/>
    </xf>
    <xf numFmtId="0" fontId="11" fillId="0" borderId="0" xfId="0" applyFont="1"/>
    <xf numFmtId="3" fontId="0" fillId="0" borderId="0" xfId="0" applyNumberFormat="1" applyAlignment="1">
      <alignment horizontal="center"/>
    </xf>
    <xf numFmtId="166" fontId="0" fillId="0" borderId="0" xfId="0" applyNumberFormat="1"/>
    <xf numFmtId="3" fontId="0" fillId="0" borderId="0" xfId="0" applyNumberFormat="1" applyAlignment="1" applyProtection="1">
      <alignment horizontal="center"/>
    </xf>
    <xf numFmtId="3" fontId="7" fillId="0" borderId="0" xfId="0" applyNumberFormat="1" applyFont="1" applyFill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166" fontId="0" fillId="0" borderId="0" xfId="2" applyNumberFormat="1" applyFont="1" applyFill="1" applyBorder="1" applyAlignment="1" applyProtection="1">
      <alignment horizontal="center"/>
    </xf>
    <xf numFmtId="0" fontId="0" fillId="0" borderId="0" xfId="0" applyBorder="1"/>
    <xf numFmtId="0" fontId="7" fillId="0" borderId="6" xfId="0" applyNumberFormat="1" applyFont="1" applyFill="1" applyBorder="1" applyAlignment="1" applyProtection="1">
      <alignment horizontal="right" vertical="center"/>
    </xf>
    <xf numFmtId="3" fontId="0" fillId="0" borderId="6" xfId="0" applyNumberFormat="1" applyBorder="1" applyAlignment="1" applyProtection="1">
      <alignment horizontal="center"/>
    </xf>
    <xf numFmtId="0" fontId="5" fillId="0" borderId="7" xfId="0" applyFont="1" applyBorder="1" applyAlignment="1" applyProtection="1">
      <alignment horizontal="right" vertical="center"/>
    </xf>
    <xf numFmtId="166" fontId="0" fillId="0" borderId="0" xfId="0" applyNumberFormat="1" applyAlignment="1" applyProtection="1">
      <alignment horizontal="center"/>
    </xf>
    <xf numFmtId="166" fontId="0" fillId="0" borderId="0" xfId="0" applyNumberFormat="1" applyAlignment="1">
      <alignment horizontal="center"/>
    </xf>
    <xf numFmtId="167" fontId="0" fillId="0" borderId="0" xfId="3" applyNumberFormat="1" applyFont="1"/>
    <xf numFmtId="3" fontId="0" fillId="0" borderId="0" xfId="0" applyNumberFormat="1"/>
    <xf numFmtId="165" fontId="5" fillId="0" borderId="0" xfId="1" applyNumberFormat="1" applyFont="1" applyAlignment="1">
      <alignment vertical="center"/>
    </xf>
    <xf numFmtId="0" fontId="7" fillId="0" borderId="0" xfId="0" applyNumberFormat="1" applyFont="1" applyFill="1" applyBorder="1" applyAlignment="1" applyProtection="1">
      <alignment horizontal="left" vertical="center" wrapText="1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zoomScale="90" zoomScaleNormal="90" workbookViewId="0">
      <selection activeCell="C25" sqref="C25"/>
    </sheetView>
  </sheetViews>
  <sheetFormatPr defaultRowHeight="14.4" x14ac:dyDescent="0.3"/>
  <cols>
    <col min="1" max="1" width="31" customWidth="1"/>
    <col min="2" max="2" width="11.6640625" style="2" customWidth="1"/>
    <col min="3" max="3" width="11.44140625" style="2" customWidth="1"/>
    <col min="4" max="4" width="18.5546875" style="2" customWidth="1"/>
    <col min="5" max="5" width="100.109375" hidden="1" customWidth="1"/>
    <col min="6" max="6" width="10.33203125" hidden="1" customWidth="1"/>
    <col min="7" max="7" width="13.88671875" hidden="1" customWidth="1"/>
  </cols>
  <sheetData>
    <row r="1" spans="1:7" ht="26.25" customHeight="1" x14ac:dyDescent="0.3">
      <c r="A1" s="1" t="s">
        <v>51</v>
      </c>
    </row>
    <row r="2" spans="1:7" ht="39" customHeight="1" x14ac:dyDescent="0.3">
      <c r="A2" s="4" t="s">
        <v>0</v>
      </c>
      <c r="B2" s="4" t="s">
        <v>1</v>
      </c>
      <c r="C2" s="5" t="s">
        <v>2</v>
      </c>
      <c r="D2" s="5" t="s">
        <v>3</v>
      </c>
      <c r="E2" s="5" t="s">
        <v>64</v>
      </c>
    </row>
    <row r="3" spans="1:7" ht="17.25" customHeight="1" thickBot="1" x14ac:dyDescent="0.35">
      <c r="A3" s="6" t="s">
        <v>4</v>
      </c>
      <c r="B3" s="7"/>
      <c r="C3" s="7"/>
      <c r="D3" s="7"/>
      <c r="F3" s="8"/>
    </row>
    <row r="4" spans="1:7" ht="17.25" customHeight="1" x14ac:dyDescent="0.3">
      <c r="A4" s="10" t="s">
        <v>5</v>
      </c>
      <c r="B4" s="11">
        <f>ROUND(13209*0.9767,0)</f>
        <v>12901</v>
      </c>
      <c r="C4" s="12"/>
      <c r="D4" s="13">
        <f>B4*C4</f>
        <v>0</v>
      </c>
      <c r="E4" t="s">
        <v>47</v>
      </c>
    </row>
    <row r="5" spans="1:7" ht="17.25" customHeight="1" x14ac:dyDescent="0.3">
      <c r="A5" s="14" t="s">
        <v>6</v>
      </c>
      <c r="B5" s="11">
        <f>ROUND(ROUND(((218063296+45048515+7557020)*0.95),0)/23959,0)+$F$6</f>
        <v>10813</v>
      </c>
      <c r="C5" s="15"/>
      <c r="D5" s="13">
        <f t="shared" ref="D5:D7" si="0">B5*C5</f>
        <v>0</v>
      </c>
      <c r="E5" t="s">
        <v>63</v>
      </c>
      <c r="F5" s="9">
        <f>B5-81</f>
        <v>10732</v>
      </c>
      <c r="G5" t="s">
        <v>48</v>
      </c>
    </row>
    <row r="6" spans="1:7" ht="17.25" customHeight="1" x14ac:dyDescent="0.3">
      <c r="A6" s="14" t="s">
        <v>7</v>
      </c>
      <c r="B6" s="11">
        <f>ROUND(F5*1.04+F6,0)</f>
        <v>11242</v>
      </c>
      <c r="C6" s="15"/>
      <c r="D6" s="13">
        <f t="shared" si="0"/>
        <v>0</v>
      </c>
      <c r="E6" t="s">
        <v>52</v>
      </c>
      <c r="F6">
        <v>81</v>
      </c>
      <c r="G6" t="s">
        <v>49</v>
      </c>
    </row>
    <row r="7" spans="1:7" ht="17.25" customHeight="1" thickBot="1" x14ac:dyDescent="0.35">
      <c r="A7" s="14" t="s">
        <v>8</v>
      </c>
      <c r="B7" s="11">
        <f>ROUND(F5*1.16+F6,0)</f>
        <v>12530</v>
      </c>
      <c r="C7" s="16"/>
      <c r="D7" s="13">
        <f t="shared" si="0"/>
        <v>0</v>
      </c>
      <c r="E7" t="s">
        <v>53</v>
      </c>
      <c r="F7">
        <v>483</v>
      </c>
      <c r="G7" t="s">
        <v>50</v>
      </c>
    </row>
    <row r="8" spans="1:7" x14ac:dyDescent="0.3">
      <c r="A8" s="14"/>
      <c r="B8" s="11"/>
      <c r="C8" s="7"/>
      <c r="D8" s="13"/>
    </row>
    <row r="9" spans="1:7" ht="17.25" customHeight="1" thickBot="1" x14ac:dyDescent="0.35">
      <c r="A9" s="17" t="s">
        <v>9</v>
      </c>
      <c r="B9" s="7"/>
      <c r="C9" s="7"/>
      <c r="D9" s="13"/>
      <c r="F9" s="53"/>
    </row>
    <row r="10" spans="1:7" ht="20.25" customHeight="1" x14ac:dyDescent="0.3">
      <c r="A10" s="14" t="s">
        <v>10</v>
      </c>
      <c r="B10" s="11">
        <f>ROUND(F5*0.57+F7,0)</f>
        <v>6600</v>
      </c>
      <c r="C10" s="18"/>
      <c r="D10" s="19">
        <f t="shared" ref="D10:D12" si="1">B10*C10</f>
        <v>0</v>
      </c>
      <c r="E10" s="9" t="s">
        <v>65</v>
      </c>
      <c r="F10" s="20"/>
    </row>
    <row r="11" spans="1:7" ht="17.25" customHeight="1" x14ac:dyDescent="0.3">
      <c r="A11" s="14" t="s">
        <v>11</v>
      </c>
      <c r="B11" s="11">
        <f>ROUND(F5*0.57*1.04+F7,0)</f>
        <v>6845</v>
      </c>
      <c r="C11" s="21"/>
      <c r="D11" s="19">
        <f t="shared" si="1"/>
        <v>0</v>
      </c>
      <c r="E11" s="9" t="s">
        <v>54</v>
      </c>
    </row>
    <row r="12" spans="1:7" ht="17.25" customHeight="1" thickBot="1" x14ac:dyDescent="0.35">
      <c r="A12" s="14" t="s">
        <v>12</v>
      </c>
      <c r="B12" s="11">
        <f>ROUND(F5*1.16*0.57+F7,0)</f>
        <v>7579</v>
      </c>
      <c r="C12" s="22"/>
      <c r="D12" s="19">
        <f t="shared" si="1"/>
        <v>0</v>
      </c>
      <c r="E12" s="9" t="s">
        <v>55</v>
      </c>
    </row>
    <row r="13" spans="1:7" x14ac:dyDescent="0.3">
      <c r="A13" s="23"/>
      <c r="B13" s="11"/>
      <c r="C13" s="24"/>
      <c r="D13" s="19"/>
    </row>
    <row r="14" spans="1:7" ht="17.25" customHeight="1" thickBot="1" x14ac:dyDescent="0.35">
      <c r="A14" s="17" t="s">
        <v>13</v>
      </c>
      <c r="B14" s="25"/>
      <c r="C14" s="24"/>
      <c r="D14" s="19"/>
    </row>
    <row r="15" spans="1:7" ht="17.25" customHeight="1" x14ac:dyDescent="0.3">
      <c r="A15" s="14" t="s">
        <v>10</v>
      </c>
      <c r="B15" s="11">
        <f>ROUND(F5*0.5,0)</f>
        <v>5366</v>
      </c>
      <c r="C15" s="18"/>
      <c r="D15" s="19">
        <f t="shared" ref="D15:D17" si="2">B15*C15</f>
        <v>0</v>
      </c>
      <c r="E15" s="26" t="s">
        <v>56</v>
      </c>
    </row>
    <row r="16" spans="1:7" ht="17.25" customHeight="1" x14ac:dyDescent="0.3">
      <c r="A16" s="14" t="s">
        <v>11</v>
      </c>
      <c r="B16" s="11">
        <f>ROUND(F5*1.04*0.5,0)</f>
        <v>5581</v>
      </c>
      <c r="C16" s="21"/>
      <c r="D16" s="19">
        <f t="shared" si="2"/>
        <v>0</v>
      </c>
      <c r="E16" s="26" t="s">
        <v>57</v>
      </c>
      <c r="G16" s="9"/>
    </row>
    <row r="17" spans="1:8" ht="17.25" customHeight="1" thickBot="1" x14ac:dyDescent="0.35">
      <c r="A17" s="14" t="s">
        <v>12</v>
      </c>
      <c r="B17" s="11">
        <f>ROUND(F5*0.5*1.16,0)</f>
        <v>6225</v>
      </c>
      <c r="C17" s="22"/>
      <c r="D17" s="19">
        <f t="shared" si="2"/>
        <v>0</v>
      </c>
      <c r="E17" s="26" t="s">
        <v>58</v>
      </c>
      <c r="G17" s="52"/>
    </row>
    <row r="18" spans="1:8" x14ac:dyDescent="0.3">
      <c r="A18" s="23"/>
      <c r="B18" s="25"/>
      <c r="C18" s="24"/>
      <c r="D18" s="19"/>
    </row>
    <row r="19" spans="1:8" ht="17.25" customHeight="1" thickBot="1" x14ac:dyDescent="0.35">
      <c r="A19" s="17" t="s">
        <v>14</v>
      </c>
      <c r="B19" s="25"/>
      <c r="C19" s="24"/>
      <c r="D19" s="19"/>
    </row>
    <row r="20" spans="1:8" ht="17.25" customHeight="1" x14ac:dyDescent="0.3">
      <c r="A20" s="14" t="s">
        <v>10</v>
      </c>
      <c r="B20" s="11">
        <f>ROUND(F5*(0.57+0.125),0)+F7</f>
        <v>7942</v>
      </c>
      <c r="C20" s="18"/>
      <c r="D20" s="19">
        <f t="shared" ref="D20:D22" si="3">B20*C20</f>
        <v>0</v>
      </c>
      <c r="E20" t="s">
        <v>66</v>
      </c>
    </row>
    <row r="21" spans="1:8" ht="17.25" customHeight="1" x14ac:dyDescent="0.3">
      <c r="A21" s="14" t="s">
        <v>11</v>
      </c>
      <c r="B21" s="11">
        <f>ROUND(F5*1.04*(0.57+0.125)+F7,0)</f>
        <v>8240</v>
      </c>
      <c r="C21" s="21"/>
      <c r="D21" s="19">
        <f t="shared" si="3"/>
        <v>0</v>
      </c>
      <c r="E21" t="s">
        <v>59</v>
      </c>
    </row>
    <row r="22" spans="1:8" ht="17.25" customHeight="1" thickBot="1" x14ac:dyDescent="0.35">
      <c r="A22" s="14" t="s">
        <v>12</v>
      </c>
      <c r="B22" s="11">
        <f>ROUND(F5*1.16*(0.57+0.125),0)+F7</f>
        <v>9135</v>
      </c>
      <c r="C22" s="22"/>
      <c r="D22" s="19">
        <f t="shared" si="3"/>
        <v>0</v>
      </c>
      <c r="E22" t="s">
        <v>60</v>
      </c>
    </row>
    <row r="23" spans="1:8" x14ac:dyDescent="0.3">
      <c r="A23" s="23"/>
      <c r="B23" s="27"/>
      <c r="C23" s="24"/>
      <c r="D23" s="19"/>
    </row>
    <row r="24" spans="1:8" ht="17.25" customHeight="1" thickBot="1" x14ac:dyDescent="0.35">
      <c r="A24" s="17" t="s">
        <v>15</v>
      </c>
      <c r="B24" s="27"/>
      <c r="C24" s="24"/>
      <c r="D24" s="19"/>
    </row>
    <row r="25" spans="1:8" ht="17.25" customHeight="1" thickBot="1" x14ac:dyDescent="0.35">
      <c r="A25" s="14" t="s">
        <v>16</v>
      </c>
      <c r="B25" s="28">
        <f>ROUND(9745700/2502,0)</f>
        <v>3895</v>
      </c>
      <c r="C25" s="29"/>
      <c r="D25" s="19">
        <f>B25*C25</f>
        <v>0</v>
      </c>
      <c r="E25" s="30" t="s">
        <v>17</v>
      </c>
      <c r="G25" s="9"/>
      <c r="H25" s="9"/>
    </row>
    <row r="26" spans="1:8" ht="15" thickBot="1" x14ac:dyDescent="0.35">
      <c r="A26" s="31"/>
      <c r="B26" s="32"/>
      <c r="C26" s="32"/>
      <c r="D26" s="33"/>
      <c r="G26" s="9"/>
      <c r="H26" s="9"/>
    </row>
    <row r="27" spans="1:8" s="36" customFormat="1" ht="22.5" customHeight="1" thickTop="1" thickBot="1" x14ac:dyDescent="0.35">
      <c r="A27" s="34" t="s">
        <v>18</v>
      </c>
      <c r="B27" s="34"/>
      <c r="C27" s="34">
        <f>SUM(C4:C7)</f>
        <v>0</v>
      </c>
      <c r="D27" s="35">
        <f>ROUND(SUM(D4:D25),0)</f>
        <v>0</v>
      </c>
      <c r="G27" s="54"/>
      <c r="H27" s="54"/>
    </row>
    <row r="28" spans="1:8" ht="15" thickTop="1" x14ac:dyDescent="0.3">
      <c r="G28" s="9"/>
      <c r="H28" s="9"/>
    </row>
    <row r="29" spans="1:8" ht="16.2" hidden="1" x14ac:dyDescent="0.3">
      <c r="A29" s="37" t="s">
        <v>19</v>
      </c>
      <c r="G29" s="9"/>
      <c r="H29" s="9"/>
    </row>
    <row r="30" spans="1:8" ht="16.2" hidden="1" x14ac:dyDescent="0.3">
      <c r="A30" s="38" t="s">
        <v>67</v>
      </c>
    </row>
    <row r="31" spans="1:8" hidden="1" x14ac:dyDescent="0.3">
      <c r="A31" t="s">
        <v>68</v>
      </c>
    </row>
    <row r="32" spans="1:8" x14ac:dyDescent="0.3">
      <c r="B32" s="39"/>
    </row>
  </sheetData>
  <sheetProtection algorithmName="SHA-512" hashValue="hSdtFN35aXZh5PYWdi9LDIHZDKSlAQ3WU2y4W5LT6HrnB/WXJBD3NCdrXun/tl+dyqFmfdpxLITYnemw4mnqyw==" saltValue="F7U2JwGl2jeiII2xUlSVCg==" spinCount="100000" sheet="1" selectLockedCells="1"/>
  <pageMargins left="0.25" right="0.25" top="0.75" bottom="0.75" header="0.3" footer="0.3"/>
  <pageSetup scale="7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40"/>
  <sheetViews>
    <sheetView zoomScale="82" zoomScaleNormal="82" workbookViewId="0">
      <selection activeCell="C31" activeCellId="5" sqref="C4:C7 C9:C12 C16:C18 C22:C24 C28 C31"/>
    </sheetView>
  </sheetViews>
  <sheetFormatPr defaultRowHeight="14.4" x14ac:dyDescent="0.3"/>
  <cols>
    <col min="1" max="1" width="29.44140625" customWidth="1"/>
    <col min="2" max="2" width="12.5546875" style="2" customWidth="1"/>
    <col min="3" max="3" width="14.88671875" style="2" customWidth="1"/>
    <col min="4" max="4" width="11" style="2" customWidth="1"/>
    <col min="5" max="5" width="50.5546875" hidden="1" customWidth="1"/>
    <col min="6" max="6" width="46.33203125" customWidth="1"/>
    <col min="7" max="7" width="12.109375" bestFit="1" customWidth="1"/>
  </cols>
  <sheetData>
    <row r="1" spans="1:7" ht="26.25" customHeight="1" x14ac:dyDescent="0.3">
      <c r="A1" s="1" t="s">
        <v>33</v>
      </c>
    </row>
    <row r="2" spans="1:7" ht="39" customHeight="1" x14ac:dyDescent="0.3">
      <c r="A2" s="4" t="s">
        <v>0</v>
      </c>
      <c r="B2" s="4" t="s">
        <v>1</v>
      </c>
      <c r="C2" s="5" t="s">
        <v>2</v>
      </c>
      <c r="D2" s="5" t="s">
        <v>3</v>
      </c>
      <c r="E2" s="5" t="s">
        <v>46</v>
      </c>
    </row>
    <row r="3" spans="1:7" ht="17.25" customHeight="1" thickBot="1" x14ac:dyDescent="0.35">
      <c r="A3" s="6" t="s">
        <v>4</v>
      </c>
      <c r="B3" s="7"/>
      <c r="C3" s="7"/>
      <c r="D3" s="7"/>
    </row>
    <row r="4" spans="1:7" ht="17.25" customHeight="1" x14ac:dyDescent="0.3">
      <c r="A4" s="10" t="s">
        <v>5</v>
      </c>
      <c r="B4" s="11">
        <f>ROUND(13209*0.9767,0)</f>
        <v>12901</v>
      </c>
      <c r="C4" s="12"/>
      <c r="D4" s="13">
        <f>B4*C4</f>
        <v>0</v>
      </c>
      <c r="E4" t="s">
        <v>47</v>
      </c>
    </row>
    <row r="5" spans="1:7" ht="17.25" customHeight="1" x14ac:dyDescent="0.3">
      <c r="A5" s="14" t="s">
        <v>6</v>
      </c>
      <c r="B5" s="11">
        <v>7669</v>
      </c>
      <c r="C5" s="15"/>
      <c r="D5" s="13">
        <f>B5*C5</f>
        <v>0</v>
      </c>
      <c r="E5" t="s">
        <v>34</v>
      </c>
    </row>
    <row r="6" spans="1:7" ht="17.25" customHeight="1" x14ac:dyDescent="0.3">
      <c r="A6" s="14" t="s">
        <v>7</v>
      </c>
      <c r="B6" s="11">
        <f>ROUND(B5*1.04,0)</f>
        <v>7976</v>
      </c>
      <c r="C6" s="15"/>
      <c r="D6" s="13">
        <f>B6*C6</f>
        <v>0</v>
      </c>
      <c r="E6" t="s">
        <v>35</v>
      </c>
      <c r="F6" s="40"/>
      <c r="G6" s="40"/>
    </row>
    <row r="7" spans="1:7" ht="17.25" customHeight="1" thickBot="1" x14ac:dyDescent="0.35">
      <c r="A7" s="14" t="s">
        <v>8</v>
      </c>
      <c r="B7" s="11">
        <f>ROUND(B5*1.16,0)</f>
        <v>8896</v>
      </c>
      <c r="C7" s="16"/>
      <c r="D7" s="13">
        <f>B7*C7</f>
        <v>0</v>
      </c>
      <c r="E7" t="s">
        <v>36</v>
      </c>
    </row>
    <row r="8" spans="1:7" ht="9" customHeight="1" x14ac:dyDescent="0.3">
      <c r="A8" s="14"/>
      <c r="B8" s="11"/>
      <c r="C8" s="7"/>
      <c r="D8" s="13"/>
    </row>
    <row r="9" spans="1:7" ht="17.25" customHeight="1" thickBot="1" x14ac:dyDescent="0.35">
      <c r="A9" s="17" t="s">
        <v>9</v>
      </c>
      <c r="B9" s="41"/>
      <c r="C9" s="7"/>
      <c r="D9" s="13"/>
    </row>
    <row r="10" spans="1:7" ht="17.25" customHeight="1" x14ac:dyDescent="0.3">
      <c r="A10" s="14" t="s">
        <v>10</v>
      </c>
      <c r="B10" s="42">
        <f>ROUND(B5*0.57,0)</f>
        <v>4371</v>
      </c>
      <c r="C10" s="12"/>
      <c r="D10" s="13">
        <f>B10*C10</f>
        <v>0</v>
      </c>
      <c r="E10" s="9" t="s">
        <v>37</v>
      </c>
    </row>
    <row r="11" spans="1:7" ht="17.25" customHeight="1" x14ac:dyDescent="0.3">
      <c r="A11" s="14" t="s">
        <v>11</v>
      </c>
      <c r="B11" s="42">
        <f>ROUND(B5*1.04*0.57,0)</f>
        <v>4546</v>
      </c>
      <c r="C11" s="15"/>
      <c r="D11" s="13">
        <f>B11*C11</f>
        <v>0</v>
      </c>
      <c r="E11" s="9" t="s">
        <v>38</v>
      </c>
    </row>
    <row r="12" spans="1:7" ht="17.25" customHeight="1" thickBot="1" x14ac:dyDescent="0.35">
      <c r="A12" s="14" t="s">
        <v>12</v>
      </c>
      <c r="B12" s="42">
        <f>ROUND(B5*1.16*0.57,0)</f>
        <v>5071</v>
      </c>
      <c r="C12" s="16"/>
      <c r="D12" s="13">
        <f>B12*C12</f>
        <v>0</v>
      </c>
      <c r="E12" s="9" t="s">
        <v>39</v>
      </c>
    </row>
    <row r="13" spans="1:7" ht="17.25" customHeight="1" x14ac:dyDescent="0.3">
      <c r="A13" s="14" t="s">
        <v>20</v>
      </c>
      <c r="B13" s="42"/>
      <c r="C13" s="43">
        <f>SUM(C10:C12)</f>
        <v>0</v>
      </c>
      <c r="D13" s="13"/>
      <c r="E13" s="9"/>
    </row>
    <row r="14" spans="1:7" ht="9" customHeight="1" x14ac:dyDescent="0.3">
      <c r="A14" s="23"/>
      <c r="B14" s="42"/>
      <c r="C14" s="7"/>
      <c r="D14" s="13"/>
      <c r="E14" s="9"/>
    </row>
    <row r="15" spans="1:7" ht="17.25" customHeight="1" thickBot="1" x14ac:dyDescent="0.35">
      <c r="A15" s="17" t="s">
        <v>13</v>
      </c>
      <c r="B15" s="42"/>
      <c r="C15" s="7"/>
      <c r="D15" s="13"/>
    </row>
    <row r="16" spans="1:7" ht="17.25" customHeight="1" x14ac:dyDescent="0.3">
      <c r="A16" s="14" t="s">
        <v>10</v>
      </c>
      <c r="B16" s="42">
        <f>ROUND(B5*0.5,0)</f>
        <v>3835</v>
      </c>
      <c r="C16" s="12"/>
      <c r="D16" s="13">
        <f>B16*C16</f>
        <v>0</v>
      </c>
      <c r="E16" s="26" t="s">
        <v>40</v>
      </c>
    </row>
    <row r="17" spans="1:13" ht="17.25" customHeight="1" x14ac:dyDescent="0.3">
      <c r="A17" s="14" t="s">
        <v>11</v>
      </c>
      <c r="B17" s="42">
        <f>ROUND(B5*1.04*0.5,0)</f>
        <v>3988</v>
      </c>
      <c r="C17" s="15"/>
      <c r="D17" s="13">
        <f>B17*C17</f>
        <v>0</v>
      </c>
      <c r="E17" s="26" t="s">
        <v>41</v>
      </c>
    </row>
    <row r="18" spans="1:13" ht="17.25" customHeight="1" thickBot="1" x14ac:dyDescent="0.35">
      <c r="A18" s="14" t="s">
        <v>12</v>
      </c>
      <c r="B18" s="42">
        <f>ROUND(B5*1.16*0.5,0)</f>
        <v>4448</v>
      </c>
      <c r="C18" s="16"/>
      <c r="D18" s="13">
        <f>B18*C18</f>
        <v>0</v>
      </c>
      <c r="E18" s="26" t="s">
        <v>42</v>
      </c>
    </row>
    <row r="19" spans="1:13" ht="17.25" customHeight="1" x14ac:dyDescent="0.3">
      <c r="A19" s="14" t="s">
        <v>21</v>
      </c>
      <c r="B19" s="42"/>
      <c r="C19" s="43">
        <f>SUM(C16:C18)</f>
        <v>0</v>
      </c>
      <c r="D19" s="13"/>
      <c r="E19" s="26"/>
    </row>
    <row r="20" spans="1:13" ht="9" customHeight="1" x14ac:dyDescent="0.3">
      <c r="A20" s="23"/>
      <c r="B20" s="42"/>
      <c r="C20" s="7"/>
      <c r="D20" s="13"/>
    </row>
    <row r="21" spans="1:13" ht="17.25" customHeight="1" thickBot="1" x14ac:dyDescent="0.35">
      <c r="A21" s="17" t="s">
        <v>14</v>
      </c>
      <c r="B21" s="42"/>
      <c r="C21" s="7"/>
      <c r="D21" s="13"/>
    </row>
    <row r="22" spans="1:13" ht="17.25" customHeight="1" x14ac:dyDescent="0.3">
      <c r="A22" s="14" t="s">
        <v>10</v>
      </c>
      <c r="B22" s="42">
        <f>ROUND(B5*(0.57+0.125),0)</f>
        <v>5330</v>
      </c>
      <c r="C22" s="12"/>
      <c r="D22" s="13">
        <f>B22*C22</f>
        <v>0</v>
      </c>
      <c r="E22" t="s">
        <v>43</v>
      </c>
    </row>
    <row r="23" spans="1:13" ht="17.25" customHeight="1" x14ac:dyDescent="0.3">
      <c r="A23" s="14" t="s">
        <v>11</v>
      </c>
      <c r="B23" s="42">
        <f>ROUND(B5*1.04*(0.57+0.125),0)</f>
        <v>5543</v>
      </c>
      <c r="C23" s="15"/>
      <c r="D23" s="13">
        <f>B23*C23</f>
        <v>0</v>
      </c>
      <c r="E23" t="s">
        <v>44</v>
      </c>
    </row>
    <row r="24" spans="1:13" ht="17.25" customHeight="1" thickBot="1" x14ac:dyDescent="0.35">
      <c r="A24" s="14" t="s">
        <v>12</v>
      </c>
      <c r="B24" s="42">
        <f>ROUND(B5*1.16*(0.57+0.125),0)</f>
        <v>6183</v>
      </c>
      <c r="C24" s="16"/>
      <c r="D24" s="13">
        <f>B24*C24</f>
        <v>0</v>
      </c>
      <c r="E24" t="s">
        <v>45</v>
      </c>
    </row>
    <row r="25" spans="1:13" ht="17.25" customHeight="1" x14ac:dyDescent="0.3">
      <c r="A25" s="14" t="s">
        <v>22</v>
      </c>
      <c r="B25" s="42"/>
      <c r="C25" s="43">
        <f>SUM(C22:C24)</f>
        <v>0</v>
      </c>
      <c r="D25" s="13"/>
    </row>
    <row r="26" spans="1:13" ht="9" customHeight="1" x14ac:dyDescent="0.3">
      <c r="A26" s="23"/>
      <c r="B26" s="42"/>
      <c r="C26" s="7"/>
      <c r="D26" s="13"/>
    </row>
    <row r="27" spans="1:13" ht="17.25" customHeight="1" thickBot="1" x14ac:dyDescent="0.35">
      <c r="A27" s="17" t="s">
        <v>15</v>
      </c>
      <c r="B27" s="42"/>
      <c r="C27" s="7"/>
      <c r="D27" s="13"/>
    </row>
    <row r="28" spans="1:13" ht="17.25" customHeight="1" thickBot="1" x14ac:dyDescent="0.35">
      <c r="A28" s="14" t="s">
        <v>23</v>
      </c>
      <c r="B28" s="42">
        <v>7645</v>
      </c>
      <c r="C28" s="29"/>
      <c r="D28" s="19">
        <f>B28*C28</f>
        <v>0</v>
      </c>
      <c r="E28" s="3" t="s">
        <v>24</v>
      </c>
      <c r="F28" s="3"/>
      <c r="G28" s="3"/>
    </row>
    <row r="29" spans="1:13" ht="17.25" customHeight="1" x14ac:dyDescent="0.3">
      <c r="A29" s="14" t="s">
        <v>25</v>
      </c>
      <c r="B29" s="42">
        <f>ROUND(9745700/2502,0)</f>
        <v>3895</v>
      </c>
      <c r="C29" s="44">
        <f>C28</f>
        <v>0</v>
      </c>
      <c r="D29" s="19">
        <f>B29*C29</f>
        <v>0</v>
      </c>
      <c r="E29" s="3" t="s">
        <v>26</v>
      </c>
      <c r="F29" s="3"/>
      <c r="G29" s="3"/>
    </row>
    <row r="30" spans="1:13" ht="17.25" customHeight="1" thickBot="1" x14ac:dyDescent="0.35">
      <c r="A30" s="14"/>
      <c r="B30" s="42"/>
      <c r="C30" s="44"/>
      <c r="D30" s="19"/>
      <c r="E30" s="3"/>
      <c r="F30" s="3"/>
      <c r="G30" s="3"/>
      <c r="H30" s="3"/>
      <c r="I30" s="3"/>
      <c r="J30" s="3"/>
      <c r="K30" s="3"/>
      <c r="L30" s="3"/>
      <c r="M30" s="3"/>
    </row>
    <row r="31" spans="1:13" ht="17.25" customHeight="1" thickBot="1" x14ac:dyDescent="0.35">
      <c r="A31" s="17" t="s">
        <v>27</v>
      </c>
      <c r="B31" s="42">
        <v>1224</v>
      </c>
      <c r="C31" s="29"/>
      <c r="D31" s="19">
        <f>B31*C31</f>
        <v>0</v>
      </c>
      <c r="E31" s="3" t="s">
        <v>28</v>
      </c>
    </row>
    <row r="32" spans="1:13" ht="9.75" customHeight="1" x14ac:dyDescent="0.3">
      <c r="A32" s="14"/>
      <c r="B32" s="42"/>
      <c r="C32" s="44"/>
      <c r="D32" s="19"/>
      <c r="E32" s="3"/>
    </row>
    <row r="33" spans="1:5" ht="17.25" customHeight="1" x14ac:dyDescent="0.3">
      <c r="A33" s="17" t="s">
        <v>29</v>
      </c>
      <c r="B33" s="42"/>
      <c r="C33" s="44"/>
      <c r="D33" s="19"/>
      <c r="E33" s="3"/>
    </row>
    <row r="34" spans="1:5" ht="17.25" customHeight="1" x14ac:dyDescent="0.3">
      <c r="A34" s="14" t="s">
        <v>30</v>
      </c>
      <c r="B34" s="42">
        <f>83*0.9767</f>
        <v>81.066100000000006</v>
      </c>
      <c r="C34" s="44">
        <f>SUM(C5:C7)</f>
        <v>0</v>
      </c>
      <c r="D34" s="19">
        <f>B34*C34</f>
        <v>0</v>
      </c>
      <c r="E34" s="3" t="s">
        <v>61</v>
      </c>
    </row>
    <row r="35" spans="1:5" s="46" customFormat="1" ht="17.25" customHeight="1" x14ac:dyDescent="0.3">
      <c r="A35" s="14" t="s">
        <v>31</v>
      </c>
      <c r="B35" s="42">
        <f>495*0.9767</f>
        <v>483.4665</v>
      </c>
      <c r="C35" s="44">
        <f>SUM(C10:C12,C22:C24)</f>
        <v>0</v>
      </c>
      <c r="D35" s="45">
        <f>B35*C35</f>
        <v>0</v>
      </c>
      <c r="E35" s="3" t="s">
        <v>62</v>
      </c>
    </row>
    <row r="36" spans="1:5" s="46" customFormat="1" ht="6.75" customHeight="1" thickBot="1" x14ac:dyDescent="0.35">
      <c r="A36" s="47"/>
      <c r="B36" s="48"/>
      <c r="C36" s="32"/>
      <c r="D36" s="33"/>
    </row>
    <row r="37" spans="1:5" s="36" customFormat="1" ht="27" customHeight="1" thickTop="1" thickBot="1" x14ac:dyDescent="0.35">
      <c r="A37" s="49" t="s">
        <v>18</v>
      </c>
      <c r="B37" s="34"/>
      <c r="C37" s="34">
        <f>SUM(C4:C7)</f>
        <v>0</v>
      </c>
      <c r="D37" s="35">
        <f>ROUND(SUM(D4:D35),0)</f>
        <v>0</v>
      </c>
    </row>
    <row r="38" spans="1:5" ht="6.75" customHeight="1" thickTop="1" x14ac:dyDescent="0.3">
      <c r="D38" s="50"/>
    </row>
    <row r="39" spans="1:5" ht="48" customHeight="1" x14ac:dyDescent="0.3">
      <c r="A39" s="55" t="s">
        <v>32</v>
      </c>
      <c r="B39" s="55"/>
      <c r="C39" s="55"/>
      <c r="D39" s="55"/>
    </row>
    <row r="40" spans="1:5" x14ac:dyDescent="0.3">
      <c r="D40" s="51"/>
    </row>
  </sheetData>
  <sheetProtection algorithmName="SHA-512" hashValue="tdSLa8f8QRVFDq1nNrlKuxtRWNpt5LIF4GwVzYeGO8vIQ12+9z6zAyTIK9mn+FO/LmWmqf6PppVvx9NV2t1Epg==" saltValue="Krad4ITUyQIV6j8Tr+Y98Q==" spinCount="100000" sheet="1" selectLockedCells="1"/>
  <mergeCells count="1">
    <mergeCell ref="A39:D39"/>
  </mergeCells>
  <pageMargins left="0.7" right="0.7" top="0.75" bottom="0.75" header="0.3" footer="0.3"/>
  <pageSetup scale="8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Camden20_95</vt:lpstr>
      <vt:lpstr>TempFac20_90</vt:lpstr>
      <vt:lpstr>Camden20_95!Print_Area</vt:lpstr>
      <vt:lpstr>TempFac20_90!Print_Area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susan.ecks</dc:creator>
  <cp:lastModifiedBy>Grama, Jacqueline</cp:lastModifiedBy>
  <dcterms:created xsi:type="dcterms:W3CDTF">2018-03-11T21:09:11Z</dcterms:created>
  <dcterms:modified xsi:type="dcterms:W3CDTF">2020-05-14T17:48:43Z</dcterms:modified>
</cp:coreProperties>
</file>