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onj-my.sharepoint.com/personal/humberto_garcia-santana_doh_nj_gov/Documents/Work Folder/ACH Analysis/"/>
    </mc:Choice>
  </mc:AlternateContent>
  <xr:revisionPtr revIDLastSave="9" documentId="8_{203A0C07-2417-4C1C-813F-E5DEB900F059}" xr6:coauthVersionLast="47" xr6:coauthVersionMax="47" xr10:uidLastSave="{F20BE939-2D0D-41CC-BC91-653C3CDAE54C}"/>
  <workbookProtection workbookAlgorithmName="SHA-512" workbookHashValue="LG1AbpgOHVQ+LMrZw+zMOK7/UypNo8qkvTu2q86mO5RBiQwowePGpvUiNjWCGsIkZCwcEsOvYBnXAvgfOxpiDg==" workbookSaltValue="l2pD9E8L0fpSAf4DTk5E9Q==" workbookSpinCount="100000" lockStructure="1"/>
  <bookViews>
    <workbookView xWindow="-3780" yWindow="-18120" windowWidth="29040" windowHeight="17520" tabRatio="706" xr2:uid="{09B28D7C-EA5F-4161-B453-E75FB69A8B51}"/>
  </bookViews>
  <sheets>
    <sheet name="Total Operating Expenses" sheetId="9" r:id="rId1"/>
    <sheet name="OperatingMargin19,20,21" sheetId="2" r:id="rId2"/>
    <sheet name="Year-EndCash19,20,21" sheetId="1" r:id="rId3"/>
    <sheet name="NetPatRev-PayorMix$19,20,21" sheetId="3" r:id="rId4"/>
    <sheet name="GrossPatRev-PayorMix$19,20,21" sheetId="5" r:id="rId5"/>
    <sheet name="Payor Mix % Based on Gross Rev" sheetId="7" r:id="rId6"/>
    <sheet name="NetProfitMargins19,20,21" sheetId="4" r:id="rId7"/>
    <sheet name="Glossary" sheetId="8" r:id="rId8"/>
  </sheets>
  <definedNames>
    <definedName name="_xlnm._FilterDatabase" localSheetId="3" hidden="1">'NetPatRev-PayorMix$19,20,21'!$A$3:$AA$75</definedName>
    <definedName name="_xlnm._FilterDatabase" localSheetId="6" hidden="1">'NetProfitMargins19,20,21'!$A$3:$O$75</definedName>
    <definedName name="_xlnm._FilterDatabase" localSheetId="1" hidden="1">'OperatingMargin19,20,21'!$A$3:$O$75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7" i="3" l="1"/>
  <c r="Y77" i="3"/>
  <c r="T6" i="9"/>
  <c r="S8" i="9"/>
  <c r="O6" i="9"/>
  <c r="J5" i="9"/>
  <c r="T75" i="9"/>
  <c r="S75" i="9"/>
  <c r="T74" i="9"/>
  <c r="S74" i="9"/>
  <c r="T73" i="9"/>
  <c r="S73" i="9"/>
  <c r="T72" i="9"/>
  <c r="S72" i="9"/>
  <c r="T71" i="9"/>
  <c r="S71" i="9"/>
  <c r="T70" i="9"/>
  <c r="S70" i="9"/>
  <c r="T69" i="9"/>
  <c r="S69" i="9"/>
  <c r="T68" i="9"/>
  <c r="S68" i="9"/>
  <c r="T67" i="9"/>
  <c r="S67" i="9"/>
  <c r="T66" i="9"/>
  <c r="S66" i="9"/>
  <c r="T65" i="9"/>
  <c r="S65" i="9"/>
  <c r="T64" i="9"/>
  <c r="S64" i="9"/>
  <c r="T63" i="9"/>
  <c r="S63" i="9"/>
  <c r="T62" i="9"/>
  <c r="S62" i="9"/>
  <c r="T61" i="9"/>
  <c r="S61" i="9"/>
  <c r="T60" i="9"/>
  <c r="S60" i="9"/>
  <c r="T59" i="9"/>
  <c r="S59" i="9"/>
  <c r="T58" i="9"/>
  <c r="S58" i="9"/>
  <c r="T57" i="9"/>
  <c r="S57" i="9"/>
  <c r="T56" i="9"/>
  <c r="S56" i="9"/>
  <c r="T17" i="9"/>
  <c r="S17" i="9"/>
  <c r="T55" i="9"/>
  <c r="S55" i="9"/>
  <c r="T54" i="9"/>
  <c r="S54" i="9"/>
  <c r="T53" i="9"/>
  <c r="S53" i="9"/>
  <c r="T52" i="9"/>
  <c r="S52" i="9"/>
  <c r="T51" i="9"/>
  <c r="S51" i="9"/>
  <c r="T50" i="9"/>
  <c r="S50" i="9"/>
  <c r="T49" i="9"/>
  <c r="S49" i="9"/>
  <c r="T48" i="9"/>
  <c r="S48" i="9"/>
  <c r="T47" i="9"/>
  <c r="S47" i="9"/>
  <c r="T46" i="9"/>
  <c r="S46" i="9"/>
  <c r="T45" i="9"/>
  <c r="S45" i="9"/>
  <c r="T44" i="9"/>
  <c r="S44" i="9"/>
  <c r="T43" i="9"/>
  <c r="S43" i="9"/>
  <c r="T42" i="9"/>
  <c r="S42" i="9"/>
  <c r="T41" i="9"/>
  <c r="S41" i="9"/>
  <c r="T40" i="9"/>
  <c r="S40" i="9"/>
  <c r="T39" i="9"/>
  <c r="S39" i="9"/>
  <c r="T38" i="9"/>
  <c r="S38" i="9"/>
  <c r="T37" i="9"/>
  <c r="S37" i="9"/>
  <c r="T36" i="9"/>
  <c r="S36" i="9"/>
  <c r="T35" i="9"/>
  <c r="S35" i="9"/>
  <c r="T34" i="9"/>
  <c r="S34" i="9"/>
  <c r="T33" i="9"/>
  <c r="S33" i="9"/>
  <c r="T32" i="9"/>
  <c r="S32" i="9"/>
  <c r="T31" i="9"/>
  <c r="S31" i="9"/>
  <c r="T30" i="9"/>
  <c r="S30" i="9"/>
  <c r="T29" i="9"/>
  <c r="S29" i="9"/>
  <c r="T28" i="9"/>
  <c r="S28" i="9"/>
  <c r="T27" i="9"/>
  <c r="S27" i="9"/>
  <c r="T26" i="9"/>
  <c r="S26" i="9"/>
  <c r="T25" i="9"/>
  <c r="S25" i="9"/>
  <c r="T24" i="9"/>
  <c r="S24" i="9"/>
  <c r="T23" i="9"/>
  <c r="S23" i="9"/>
  <c r="T22" i="9"/>
  <c r="S22" i="9"/>
  <c r="T21" i="9"/>
  <c r="S21" i="9"/>
  <c r="T20" i="9"/>
  <c r="S20" i="9"/>
  <c r="T19" i="9"/>
  <c r="S19" i="9"/>
  <c r="T18" i="9"/>
  <c r="S18" i="9"/>
  <c r="T16" i="9"/>
  <c r="S16" i="9"/>
  <c r="T15" i="9"/>
  <c r="S15" i="9"/>
  <c r="T14" i="9"/>
  <c r="S14" i="9"/>
  <c r="T13" i="9"/>
  <c r="S13" i="9"/>
  <c r="T12" i="9"/>
  <c r="S12" i="9"/>
  <c r="T11" i="9"/>
  <c r="S11" i="9"/>
  <c r="T10" i="9"/>
  <c r="S10" i="9"/>
  <c r="T9" i="9"/>
  <c r="S9" i="9"/>
  <c r="T8" i="9"/>
  <c r="T7" i="9"/>
  <c r="S7" i="9"/>
  <c r="S6" i="9"/>
  <c r="T5" i="9"/>
  <c r="S5" i="9"/>
  <c r="T4" i="9"/>
  <c r="S4" i="9"/>
  <c r="O75" i="9"/>
  <c r="N75" i="9"/>
  <c r="O74" i="9"/>
  <c r="N74" i="9"/>
  <c r="O73" i="9"/>
  <c r="N73" i="9"/>
  <c r="O72" i="9"/>
  <c r="N72" i="9"/>
  <c r="O71" i="9"/>
  <c r="N71" i="9"/>
  <c r="O70" i="9"/>
  <c r="N70" i="9"/>
  <c r="O69" i="9"/>
  <c r="N69" i="9"/>
  <c r="O68" i="9"/>
  <c r="N68" i="9"/>
  <c r="O67" i="9"/>
  <c r="N67" i="9"/>
  <c r="O66" i="9"/>
  <c r="N66" i="9"/>
  <c r="O65" i="9"/>
  <c r="N65" i="9"/>
  <c r="O64" i="9"/>
  <c r="N64" i="9"/>
  <c r="O63" i="9"/>
  <c r="N63" i="9"/>
  <c r="O62" i="9"/>
  <c r="N62" i="9"/>
  <c r="O61" i="9"/>
  <c r="N61" i="9"/>
  <c r="O60" i="9"/>
  <c r="N60" i="9"/>
  <c r="O59" i="9"/>
  <c r="N59" i="9"/>
  <c r="O58" i="9"/>
  <c r="N58" i="9"/>
  <c r="O57" i="9"/>
  <c r="N57" i="9"/>
  <c r="O56" i="9"/>
  <c r="N56" i="9"/>
  <c r="O17" i="9"/>
  <c r="N17" i="9"/>
  <c r="O55" i="9"/>
  <c r="N55" i="9"/>
  <c r="O54" i="9"/>
  <c r="N54" i="9"/>
  <c r="O53" i="9"/>
  <c r="N53" i="9"/>
  <c r="O52" i="9"/>
  <c r="N52" i="9"/>
  <c r="O51" i="9"/>
  <c r="N51" i="9"/>
  <c r="O50" i="9"/>
  <c r="N50" i="9"/>
  <c r="O49" i="9"/>
  <c r="N49" i="9"/>
  <c r="O48" i="9"/>
  <c r="N48" i="9"/>
  <c r="O47" i="9"/>
  <c r="N47" i="9"/>
  <c r="O46" i="9"/>
  <c r="N46" i="9"/>
  <c r="O45" i="9"/>
  <c r="N45" i="9"/>
  <c r="O44" i="9"/>
  <c r="N44" i="9"/>
  <c r="O43" i="9"/>
  <c r="N43" i="9"/>
  <c r="O42" i="9"/>
  <c r="N42" i="9"/>
  <c r="O41" i="9"/>
  <c r="N41" i="9"/>
  <c r="O40" i="9"/>
  <c r="N40" i="9"/>
  <c r="O39" i="9"/>
  <c r="N39" i="9"/>
  <c r="O38" i="9"/>
  <c r="N38" i="9"/>
  <c r="O37" i="9"/>
  <c r="N37" i="9"/>
  <c r="O36" i="9"/>
  <c r="N36" i="9"/>
  <c r="O35" i="9"/>
  <c r="N35" i="9"/>
  <c r="O34" i="9"/>
  <c r="N34" i="9"/>
  <c r="O33" i="9"/>
  <c r="N33" i="9"/>
  <c r="O32" i="9"/>
  <c r="N32" i="9"/>
  <c r="O31" i="9"/>
  <c r="N31" i="9"/>
  <c r="O30" i="9"/>
  <c r="N30" i="9"/>
  <c r="O29" i="9"/>
  <c r="N29" i="9"/>
  <c r="O28" i="9"/>
  <c r="N28" i="9"/>
  <c r="O27" i="9"/>
  <c r="N27" i="9"/>
  <c r="O26" i="9"/>
  <c r="N26" i="9"/>
  <c r="O25" i="9"/>
  <c r="N25" i="9"/>
  <c r="O24" i="9"/>
  <c r="N24" i="9"/>
  <c r="O23" i="9"/>
  <c r="N23" i="9"/>
  <c r="O22" i="9"/>
  <c r="N22" i="9"/>
  <c r="O21" i="9"/>
  <c r="N21" i="9"/>
  <c r="O20" i="9"/>
  <c r="N20" i="9"/>
  <c r="O19" i="9"/>
  <c r="N19" i="9"/>
  <c r="O18" i="9"/>
  <c r="N18" i="9"/>
  <c r="O16" i="9"/>
  <c r="N16" i="9"/>
  <c r="O15" i="9"/>
  <c r="N15" i="9"/>
  <c r="O14" i="9"/>
  <c r="N14" i="9"/>
  <c r="O13" i="9"/>
  <c r="N13" i="9"/>
  <c r="O12" i="9"/>
  <c r="N12" i="9"/>
  <c r="O11" i="9"/>
  <c r="N11" i="9"/>
  <c r="O10" i="9"/>
  <c r="N10" i="9"/>
  <c r="O9" i="9"/>
  <c r="N9" i="9"/>
  <c r="O8" i="9"/>
  <c r="N8" i="9"/>
  <c r="O7" i="9"/>
  <c r="N7" i="9"/>
  <c r="N6" i="9"/>
  <c r="O5" i="9"/>
  <c r="N5" i="9"/>
  <c r="O4" i="9"/>
  <c r="N4" i="9"/>
  <c r="J4" i="9"/>
  <c r="J6" i="9"/>
  <c r="J7" i="9"/>
  <c r="J8" i="9"/>
  <c r="J9" i="9"/>
  <c r="J10" i="9"/>
  <c r="J11" i="9"/>
  <c r="J12" i="9"/>
  <c r="J13" i="9"/>
  <c r="J14" i="9"/>
  <c r="J15" i="9"/>
  <c r="J16"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17" i="9"/>
  <c r="J56" i="9"/>
  <c r="J57" i="9"/>
  <c r="J58" i="9"/>
  <c r="J59" i="9"/>
  <c r="J60" i="9"/>
  <c r="J61" i="9"/>
  <c r="J62" i="9"/>
  <c r="J63" i="9"/>
  <c r="J64" i="9"/>
  <c r="J65" i="9"/>
  <c r="J66" i="9"/>
  <c r="J67" i="9"/>
  <c r="J68" i="9"/>
  <c r="J69" i="9"/>
  <c r="J70" i="9"/>
  <c r="J71" i="9"/>
  <c r="J72" i="9"/>
  <c r="J73" i="9"/>
  <c r="J74" i="9"/>
  <c r="J75" i="9"/>
  <c r="I4" i="9"/>
  <c r="I5" i="9"/>
  <c r="I6" i="9"/>
  <c r="I7" i="9"/>
  <c r="I8" i="9"/>
  <c r="I9" i="9"/>
  <c r="I10" i="9"/>
  <c r="I11" i="9"/>
  <c r="I12" i="9"/>
  <c r="I13" i="9"/>
  <c r="I14" i="9"/>
  <c r="I15" i="9"/>
  <c r="I16"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17" i="9"/>
  <c r="I56" i="9"/>
  <c r="I57" i="9"/>
  <c r="I58" i="9"/>
  <c r="I59" i="9"/>
  <c r="I60" i="9"/>
  <c r="I61" i="9"/>
  <c r="I62" i="9"/>
  <c r="I63" i="9"/>
  <c r="I64" i="9"/>
  <c r="I65" i="9"/>
  <c r="I66" i="9"/>
  <c r="I67" i="9"/>
  <c r="I68" i="9"/>
  <c r="I69" i="9"/>
  <c r="I70" i="9"/>
  <c r="I71" i="9"/>
  <c r="I72" i="9"/>
  <c r="I73" i="9"/>
  <c r="I74" i="9"/>
  <c r="I75" i="9"/>
  <c r="U77" i="9" l="1"/>
  <c r="P77" i="9"/>
  <c r="K77" i="9"/>
  <c r="I4" i="4"/>
  <c r="O5" i="2"/>
  <c r="L4" i="2"/>
  <c r="O4" i="2"/>
  <c r="L5" i="2"/>
  <c r="L6" i="2"/>
  <c r="O6" i="2"/>
  <c r="L7" i="2"/>
  <c r="O7" i="2"/>
  <c r="L8" i="2"/>
  <c r="O8" i="2"/>
  <c r="L9" i="2"/>
  <c r="O9" i="2"/>
  <c r="L10" i="2"/>
  <c r="O10" i="2"/>
  <c r="L11" i="2"/>
  <c r="O11" i="2"/>
  <c r="L12" i="2"/>
  <c r="O12" i="2"/>
  <c r="L13" i="2"/>
  <c r="O13" i="2"/>
  <c r="L14" i="2"/>
  <c r="O14" i="2"/>
  <c r="L15" i="2"/>
  <c r="O15" i="2"/>
  <c r="L16" i="2"/>
  <c r="O16" i="2"/>
  <c r="L18" i="2"/>
  <c r="O18" i="2"/>
  <c r="L19" i="2"/>
  <c r="O19" i="2"/>
  <c r="L20" i="2"/>
  <c r="O20" i="2"/>
  <c r="L21" i="2"/>
  <c r="O21" i="2"/>
  <c r="L22" i="2"/>
  <c r="O22" i="2"/>
  <c r="L23" i="2"/>
  <c r="O23" i="2"/>
  <c r="L24" i="2"/>
  <c r="O24" i="2"/>
  <c r="L25" i="2"/>
  <c r="O25" i="2"/>
  <c r="L26" i="2"/>
  <c r="O26" i="2"/>
  <c r="L27" i="2"/>
  <c r="O27" i="2"/>
  <c r="L28" i="2"/>
  <c r="O28" i="2"/>
  <c r="L29" i="2"/>
  <c r="O29" i="2"/>
  <c r="L30" i="2"/>
  <c r="O30" i="2"/>
  <c r="L31" i="2"/>
  <c r="O31" i="2"/>
  <c r="L32" i="2"/>
  <c r="O32" i="2"/>
  <c r="L34" i="2"/>
  <c r="O34" i="2"/>
  <c r="L35" i="2"/>
  <c r="O35" i="2"/>
  <c r="L36" i="2"/>
  <c r="O36" i="2"/>
  <c r="L37" i="2"/>
  <c r="O37" i="2"/>
  <c r="L38" i="2"/>
  <c r="O38" i="2"/>
  <c r="L39" i="2"/>
  <c r="O39" i="2"/>
  <c r="L40" i="2"/>
  <c r="O40" i="2"/>
  <c r="L41" i="2"/>
  <c r="O41" i="2"/>
  <c r="L42" i="2"/>
  <c r="O42" i="2"/>
  <c r="L43" i="2"/>
  <c r="O43" i="2"/>
  <c r="L44" i="2"/>
  <c r="O44" i="2"/>
  <c r="L45" i="2"/>
  <c r="O45" i="2"/>
  <c r="L46" i="2"/>
  <c r="O46" i="2"/>
  <c r="L47" i="2"/>
  <c r="O47" i="2"/>
  <c r="L48" i="2"/>
  <c r="O48" i="2"/>
  <c r="L49" i="2"/>
  <c r="O49" i="2"/>
  <c r="L50" i="2"/>
  <c r="O50" i="2"/>
  <c r="L51" i="2"/>
  <c r="O51" i="2"/>
  <c r="L52" i="2"/>
  <c r="O52" i="2"/>
  <c r="L53" i="2"/>
  <c r="O53" i="2"/>
  <c r="L54" i="2"/>
  <c r="O54" i="2"/>
  <c r="L55" i="2"/>
  <c r="O55" i="2"/>
  <c r="L17" i="2"/>
  <c r="O17" i="2"/>
  <c r="L56" i="2"/>
  <c r="O56" i="2"/>
  <c r="L57" i="2"/>
  <c r="O57" i="2"/>
  <c r="L58" i="2"/>
  <c r="O58" i="2"/>
  <c r="L59" i="2"/>
  <c r="O59" i="2"/>
  <c r="L60" i="2"/>
  <c r="O60" i="2"/>
  <c r="L61" i="2"/>
  <c r="O61" i="2"/>
  <c r="L62" i="2"/>
  <c r="O62" i="2"/>
  <c r="L63" i="2"/>
  <c r="O63" i="2"/>
  <c r="L64" i="2"/>
  <c r="O64" i="2"/>
  <c r="L65" i="2"/>
  <c r="O65" i="2"/>
  <c r="L66" i="2"/>
  <c r="O66" i="2"/>
  <c r="L67" i="2"/>
  <c r="O67" i="2"/>
  <c r="L68" i="2"/>
  <c r="O68" i="2"/>
  <c r="L69" i="2"/>
  <c r="O69" i="2"/>
  <c r="L70" i="2"/>
  <c r="O70" i="2"/>
  <c r="L71" i="2"/>
  <c r="O71" i="2"/>
  <c r="L72" i="2"/>
  <c r="O72" i="2"/>
  <c r="L73" i="2"/>
  <c r="O73" i="2"/>
  <c r="L74" i="2"/>
  <c r="O74" i="2"/>
  <c r="L75" i="2"/>
  <c r="O75" i="2"/>
  <c r="H77" i="1"/>
  <c r="I77" i="1"/>
  <c r="G77" i="1"/>
  <c r="AA77" i="5"/>
  <c r="Z77" i="5"/>
  <c r="Y77" i="5"/>
  <c r="X77" i="5"/>
  <c r="W77" i="5"/>
  <c r="V77" i="5"/>
  <c r="U77" i="5"/>
  <c r="T77" i="5"/>
  <c r="S77" i="5"/>
  <c r="R77" i="5"/>
  <c r="Q77" i="5"/>
  <c r="P77" i="5"/>
  <c r="O77" i="5"/>
  <c r="N77" i="5"/>
  <c r="M77" i="5"/>
  <c r="L77" i="5"/>
  <c r="K77" i="5"/>
  <c r="J77" i="5"/>
  <c r="I77" i="5"/>
  <c r="H77" i="5"/>
  <c r="G77" i="5"/>
  <c r="K77" i="2"/>
  <c r="M77" i="2"/>
  <c r="N77" i="2"/>
  <c r="H77" i="2"/>
  <c r="G77" i="2"/>
  <c r="H77" i="4"/>
  <c r="J77" i="4"/>
  <c r="K77" i="4"/>
  <c r="M77" i="4"/>
  <c r="N77" i="4"/>
  <c r="G77" i="4"/>
  <c r="G77" i="3"/>
  <c r="H77" i="3"/>
  <c r="I77" i="3"/>
  <c r="J77" i="3"/>
  <c r="K77" i="3"/>
  <c r="L77" i="3"/>
  <c r="M77" i="3"/>
  <c r="N77" i="3"/>
  <c r="O77" i="3"/>
  <c r="P77" i="3"/>
  <c r="Q77" i="3"/>
  <c r="R77" i="3"/>
  <c r="S77" i="3"/>
  <c r="T77" i="3"/>
  <c r="U77" i="3"/>
  <c r="V77" i="3"/>
  <c r="W77" i="3"/>
  <c r="X77" i="3"/>
  <c r="Z77" i="3"/>
  <c r="O75" i="4"/>
  <c r="L75" i="4"/>
  <c r="I75" i="4"/>
  <c r="O74" i="4"/>
  <c r="L74" i="4"/>
  <c r="I74" i="4"/>
  <c r="O73" i="4"/>
  <c r="L73" i="4"/>
  <c r="I73" i="4"/>
  <c r="O72" i="4"/>
  <c r="L72" i="4"/>
  <c r="I72" i="4"/>
  <c r="O71" i="4"/>
  <c r="L71" i="4"/>
  <c r="I71" i="4"/>
  <c r="O70" i="4"/>
  <c r="L70" i="4"/>
  <c r="I70" i="4"/>
  <c r="O69" i="4"/>
  <c r="L69" i="4"/>
  <c r="I69" i="4"/>
  <c r="O68" i="4"/>
  <c r="L68" i="4"/>
  <c r="I68" i="4"/>
  <c r="O67" i="4"/>
  <c r="L67" i="4"/>
  <c r="I67" i="4"/>
  <c r="O66" i="4"/>
  <c r="L66" i="4"/>
  <c r="I66" i="4"/>
  <c r="O65" i="4"/>
  <c r="L65" i="4"/>
  <c r="I65" i="4"/>
  <c r="O64" i="4"/>
  <c r="L64" i="4"/>
  <c r="I64" i="4"/>
  <c r="O63" i="4"/>
  <c r="L63" i="4"/>
  <c r="I63" i="4"/>
  <c r="O62" i="4"/>
  <c r="L62" i="4"/>
  <c r="I62" i="4"/>
  <c r="O61" i="4"/>
  <c r="L61" i="4"/>
  <c r="I61" i="4"/>
  <c r="O60" i="4"/>
  <c r="L60" i="4"/>
  <c r="I60" i="4"/>
  <c r="O59" i="4"/>
  <c r="L59" i="4"/>
  <c r="I59" i="4"/>
  <c r="O58" i="4"/>
  <c r="L58" i="4"/>
  <c r="I58" i="4"/>
  <c r="O57" i="4"/>
  <c r="L57" i="4"/>
  <c r="I57" i="4"/>
  <c r="O56" i="4"/>
  <c r="L56" i="4"/>
  <c r="I56" i="4"/>
  <c r="O17" i="4"/>
  <c r="L17" i="4"/>
  <c r="I17" i="4"/>
  <c r="O55" i="4"/>
  <c r="L55" i="4"/>
  <c r="I55" i="4"/>
  <c r="O54" i="4"/>
  <c r="L54" i="4"/>
  <c r="I54" i="4"/>
  <c r="O53" i="4"/>
  <c r="L53" i="4"/>
  <c r="I53" i="4"/>
  <c r="O52" i="4"/>
  <c r="L52" i="4"/>
  <c r="I52" i="4"/>
  <c r="O51" i="4"/>
  <c r="L51" i="4"/>
  <c r="I51" i="4"/>
  <c r="O50" i="4"/>
  <c r="L50" i="4"/>
  <c r="I50" i="4"/>
  <c r="O49" i="4"/>
  <c r="L49" i="4"/>
  <c r="I49" i="4"/>
  <c r="O48" i="4"/>
  <c r="L48" i="4"/>
  <c r="I48" i="4"/>
  <c r="O47" i="4"/>
  <c r="L47" i="4"/>
  <c r="I47" i="4"/>
  <c r="O46" i="4"/>
  <c r="L46" i="4"/>
  <c r="I46" i="4"/>
  <c r="O45" i="4"/>
  <c r="L45" i="4"/>
  <c r="I45" i="4"/>
  <c r="O44" i="4"/>
  <c r="L44" i="4"/>
  <c r="I44" i="4"/>
  <c r="O43" i="4"/>
  <c r="L43" i="4"/>
  <c r="I43" i="4"/>
  <c r="O42" i="4"/>
  <c r="L42" i="4"/>
  <c r="I42" i="4"/>
  <c r="O41" i="4"/>
  <c r="L41" i="4"/>
  <c r="I41" i="4"/>
  <c r="O40" i="4"/>
  <c r="L40" i="4"/>
  <c r="I40" i="4"/>
  <c r="O39" i="4"/>
  <c r="L39" i="4"/>
  <c r="I39" i="4"/>
  <c r="O38" i="4"/>
  <c r="L38" i="4"/>
  <c r="I38" i="4"/>
  <c r="O37" i="4"/>
  <c r="L37" i="4"/>
  <c r="I37" i="4"/>
  <c r="O36" i="4"/>
  <c r="L36" i="4"/>
  <c r="I36" i="4"/>
  <c r="O35" i="4"/>
  <c r="L35" i="4"/>
  <c r="I35" i="4"/>
  <c r="O34" i="4"/>
  <c r="L34" i="4"/>
  <c r="I34" i="4"/>
  <c r="I33" i="4"/>
  <c r="O32" i="4"/>
  <c r="L32" i="4"/>
  <c r="I32" i="4"/>
  <c r="O31" i="4"/>
  <c r="L31" i="4"/>
  <c r="I31" i="4"/>
  <c r="O30" i="4"/>
  <c r="L30" i="4"/>
  <c r="I30" i="4"/>
  <c r="O29" i="4"/>
  <c r="L29" i="4"/>
  <c r="I29" i="4"/>
  <c r="O28" i="4"/>
  <c r="L28" i="4"/>
  <c r="I28" i="4"/>
  <c r="O27" i="4"/>
  <c r="L27" i="4"/>
  <c r="I27" i="4"/>
  <c r="O26" i="4"/>
  <c r="L26" i="4"/>
  <c r="I26" i="4"/>
  <c r="O25" i="4"/>
  <c r="L25" i="4"/>
  <c r="I25" i="4"/>
  <c r="O24" i="4"/>
  <c r="L24" i="4"/>
  <c r="I24" i="4"/>
  <c r="O23" i="4"/>
  <c r="L23" i="4"/>
  <c r="I23" i="4"/>
  <c r="O22" i="4"/>
  <c r="L22" i="4"/>
  <c r="I22" i="4"/>
  <c r="O21" i="4"/>
  <c r="L21" i="4"/>
  <c r="I21" i="4"/>
  <c r="O20" i="4"/>
  <c r="L20" i="4"/>
  <c r="I20" i="4"/>
  <c r="O19" i="4"/>
  <c r="L19" i="4"/>
  <c r="I19" i="4"/>
  <c r="O18" i="4"/>
  <c r="L18" i="4"/>
  <c r="I18" i="4"/>
  <c r="O16" i="4"/>
  <c r="L16" i="4"/>
  <c r="I16" i="4"/>
  <c r="O15" i="4"/>
  <c r="L15" i="4"/>
  <c r="I15" i="4"/>
  <c r="O14" i="4"/>
  <c r="L14" i="4"/>
  <c r="I14" i="4"/>
  <c r="O13" i="4"/>
  <c r="L13" i="4"/>
  <c r="I13" i="4"/>
  <c r="O12" i="4"/>
  <c r="L12" i="4"/>
  <c r="I12" i="4"/>
  <c r="O11" i="4"/>
  <c r="L11" i="4"/>
  <c r="I11" i="4"/>
  <c r="O10" i="4"/>
  <c r="L10" i="4"/>
  <c r="I10" i="4"/>
  <c r="O9" i="4"/>
  <c r="L9" i="4"/>
  <c r="I9" i="4"/>
  <c r="O8" i="4"/>
  <c r="L8" i="4"/>
  <c r="I8" i="4"/>
  <c r="O7" i="4"/>
  <c r="L7" i="4"/>
  <c r="I7" i="4"/>
  <c r="O6" i="4"/>
  <c r="L6" i="4"/>
  <c r="I6" i="4"/>
  <c r="O5" i="4"/>
  <c r="L5" i="4"/>
  <c r="I5" i="4"/>
  <c r="O4" i="4"/>
  <c r="L4" i="4"/>
  <c r="I75" i="2"/>
  <c r="I74" i="2"/>
  <c r="I73" i="2"/>
  <c r="I72" i="2"/>
  <c r="I71" i="2"/>
  <c r="I70" i="2"/>
  <c r="I69" i="2"/>
  <c r="I68" i="2"/>
  <c r="I67" i="2"/>
  <c r="I66" i="2"/>
  <c r="I65" i="2"/>
  <c r="I64" i="2"/>
  <c r="I63" i="2"/>
  <c r="I62" i="2"/>
  <c r="I61" i="2"/>
  <c r="I60" i="2"/>
  <c r="I59" i="2"/>
  <c r="I58" i="2"/>
  <c r="I57" i="2"/>
  <c r="I56" i="2"/>
  <c r="I17"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6" i="2"/>
  <c r="I15" i="2"/>
  <c r="I14" i="2"/>
  <c r="I13" i="2"/>
  <c r="I12" i="2"/>
  <c r="I11" i="2"/>
  <c r="I10" i="2"/>
  <c r="I9" i="2"/>
  <c r="I8" i="2"/>
  <c r="I7" i="2"/>
  <c r="I6" i="2"/>
  <c r="I5" i="2"/>
  <c r="I4" i="2"/>
  <c r="J77" i="2" l="1"/>
</calcChain>
</file>

<file path=xl/sharedStrings.xml><?xml version="1.0" encoding="utf-8"?>
<sst xmlns="http://schemas.openxmlformats.org/spreadsheetml/2006/main" count="2933" uniqueCount="309">
  <si>
    <t>AtlantiCare Regional Medical Center, Inc.-City Division</t>
  </si>
  <si>
    <t>AtlantiCare Regional Medical Center, Inc.-Mainland Division</t>
  </si>
  <si>
    <t>Bayonne Hospital</t>
  </si>
  <si>
    <t>Bayshore Community Hospital</t>
  </si>
  <si>
    <t>Cape Regional Medical Center</t>
  </si>
  <si>
    <t>Capital Health Regional Medical Center</t>
  </si>
  <si>
    <t>Capital Health System at Hopewell</t>
  </si>
  <si>
    <t>CentraState Medical Center</t>
  </si>
  <si>
    <t>Chilton Memorial Hospital</t>
  </si>
  <si>
    <t>Christ Hospital</t>
  </si>
  <si>
    <t>Clara Maass Medical Center</t>
  </si>
  <si>
    <t>Community Medical Center</t>
  </si>
  <si>
    <t>Cooper Hospital/University Medical Center</t>
  </si>
  <si>
    <t>Deborah Heart and Lung Center</t>
  </si>
  <si>
    <t>Englewood Hospital and Medical Center</t>
  </si>
  <si>
    <t>Hackensack UMC - Palisades Medical Center</t>
  </si>
  <si>
    <t>Hackensack UMC at Pascack Valley</t>
  </si>
  <si>
    <t>Hackensack UMC Mountainside</t>
  </si>
  <si>
    <t>Hackensack University Medical Center</t>
  </si>
  <si>
    <t>Hackettstown Community Hospital</t>
  </si>
  <si>
    <t>Hoboken University Medical Center</t>
  </si>
  <si>
    <t>Holy Name Hospital</t>
  </si>
  <si>
    <t>Hudson Regional Hospital (Meadowlands)</t>
  </si>
  <si>
    <t>Hunterdon Medical Center</t>
  </si>
  <si>
    <t>Inspira Medical Center - Elmer</t>
  </si>
  <si>
    <t>Inspira Medical Center - Vineland (SouthJersey Healthcare MC)</t>
  </si>
  <si>
    <t>Jefferson Cherry Hill Hospital (Kennedy)</t>
  </si>
  <si>
    <t>Jefferson Stratford Hospital (Kennedy)</t>
  </si>
  <si>
    <t>Jefferson Washington Township Hospital (Kennedy)</t>
  </si>
  <si>
    <t>Jersey City Medical Center</t>
  </si>
  <si>
    <t>Jersey Shore Medical Center</t>
  </si>
  <si>
    <t>JFK Medical Center (Anthony M. Yelencsics Community Hosp.)</t>
  </si>
  <si>
    <t>Monmouth Medical Center</t>
  </si>
  <si>
    <t>Monmouth Medical Center (Kimball)</t>
  </si>
  <si>
    <t>Morristown Memorial Hospital</t>
  </si>
  <si>
    <t>New Bridge Medical Center (Bergen Regional)</t>
  </si>
  <si>
    <t>Newark Beth Israel Medical Center</t>
  </si>
  <si>
    <t>Newton Memorial Hospital</t>
  </si>
  <si>
    <t>Ocean Medical Center</t>
  </si>
  <si>
    <t>Overlook Hospital</t>
  </si>
  <si>
    <t>Penn Medicine Princeton Medical Center</t>
  </si>
  <si>
    <t>Raritan Bay Medical Center - Old Bridge Division</t>
  </si>
  <si>
    <t>Raritan Bay Medical Center - Perth Amboy Division</t>
  </si>
  <si>
    <t>Riverview Medical Center</t>
  </si>
  <si>
    <t>Robert Wood Johnson Univ. Hospital at Hamilton</t>
  </si>
  <si>
    <t>Robert Wood Johnson Univ. Hospital at Rahway</t>
  </si>
  <si>
    <t>Robert Wood Johnson University Hospital</t>
  </si>
  <si>
    <t>RWJUniversity Hospital -Somerset</t>
  </si>
  <si>
    <t>Saint Clare's Hospital / Denville Campus</t>
  </si>
  <si>
    <t>Saint Clare's Hospital / Dover Campus</t>
  </si>
  <si>
    <t>Saint Michael's Medical Center</t>
  </si>
  <si>
    <t>Saint Peter's University Hospital</t>
  </si>
  <si>
    <t>Salem Medical Center (Memorial Hosp of Salem County)</t>
  </si>
  <si>
    <t>Shore Memorial Hospital</t>
  </si>
  <si>
    <t>Southern Ocean County Hospital</t>
  </si>
  <si>
    <t>St. Francis Medical Center (Trenton)</t>
  </si>
  <si>
    <t>St. Joseph's University Medical Center</t>
  </si>
  <si>
    <t>St. Joseph's Wayne Hospital</t>
  </si>
  <si>
    <t>St. Luke's Warren Hospital</t>
  </si>
  <si>
    <t>St. Mary's Hospital (Passaic)</t>
  </si>
  <si>
    <t>Trinitas Hospital - Williamson Street Campus</t>
  </si>
  <si>
    <t>UMDNJ - University Hospital</t>
  </si>
  <si>
    <t>Valley Hospital</t>
  </si>
  <si>
    <t>Virtua - West Jersey Hospital Marlton</t>
  </si>
  <si>
    <t>Virtua - West Jersey Hospital Voorhees</t>
  </si>
  <si>
    <t>Virtua Our Lady of Lourdes Medical Center</t>
  </si>
  <si>
    <t>Virtua-Memorial Hospital of Burlington County, Inc.</t>
  </si>
  <si>
    <t>Atlantic Health System</t>
  </si>
  <si>
    <t>AtlantiCare Health System</t>
  </si>
  <si>
    <t>RWJBarnabas Health Care System</t>
  </si>
  <si>
    <t>Capital Health System</t>
  </si>
  <si>
    <t>CarePoint Health</t>
  </si>
  <si>
    <t xml:space="preserve">Hackensack Meridian Health </t>
  </si>
  <si>
    <t>Single Site</t>
  </si>
  <si>
    <t>Virtua Healthcare</t>
  </si>
  <si>
    <t>St. Luke's Health Network</t>
  </si>
  <si>
    <t>Prime Healthcare</t>
  </si>
  <si>
    <t>St. Joseph's Healthcare System</t>
  </si>
  <si>
    <t>Penn Medicine</t>
  </si>
  <si>
    <t>Jefferson Health</t>
  </si>
  <si>
    <t>Inspira Health Network</t>
  </si>
  <si>
    <t>2019 Total Revenue</t>
  </si>
  <si>
    <t>2019 Total Income</t>
  </si>
  <si>
    <t>2019 Net Profit Margin</t>
  </si>
  <si>
    <t>2020 Total Income</t>
  </si>
  <si>
    <t>2020 Total Revenue</t>
  </si>
  <si>
    <t>2021 Income</t>
  </si>
  <si>
    <t>2021 Total Revenue</t>
  </si>
  <si>
    <t>Hospital Code</t>
  </si>
  <si>
    <t>Hospital Name</t>
  </si>
  <si>
    <t xml:space="preserve">2020 Net Profit Margin </t>
  </si>
  <si>
    <t xml:space="preserve">2021  Net Profit Margain </t>
  </si>
  <si>
    <t>Legend:</t>
  </si>
  <si>
    <t>Column A</t>
  </si>
  <si>
    <t>Column B</t>
  </si>
  <si>
    <t>Column C</t>
  </si>
  <si>
    <t>Column D</t>
  </si>
  <si>
    <t>Column E</t>
  </si>
  <si>
    <t>Hospital Number (assigned by NJDOH)</t>
  </si>
  <si>
    <t>Health System (if any) or Single Site</t>
  </si>
  <si>
    <t>Column F</t>
  </si>
  <si>
    <t>Column G</t>
  </si>
  <si>
    <t>Column H</t>
  </si>
  <si>
    <t>Column I</t>
  </si>
  <si>
    <t>Column J</t>
  </si>
  <si>
    <t>Column K</t>
  </si>
  <si>
    <t>Column L</t>
  </si>
  <si>
    <t xml:space="preserve">2019 Medicare </t>
  </si>
  <si>
    <t xml:space="preserve">2019 Medicaid </t>
  </si>
  <si>
    <t xml:space="preserve">2019 Commercial Insurance </t>
  </si>
  <si>
    <t xml:space="preserve">2019 Self Pay </t>
  </si>
  <si>
    <t xml:space="preserve">2019 Others </t>
  </si>
  <si>
    <t xml:space="preserve">2019 Total </t>
  </si>
  <si>
    <t xml:space="preserve">2020 Medicare </t>
  </si>
  <si>
    <t xml:space="preserve">2020 Medicaid </t>
  </si>
  <si>
    <t xml:space="preserve">2020 Commercial Insurance </t>
  </si>
  <si>
    <t xml:space="preserve">2020 Self Pay </t>
  </si>
  <si>
    <t xml:space="preserve">2020 Others </t>
  </si>
  <si>
    <t>2020 Total</t>
  </si>
  <si>
    <t xml:space="preserve">2021 Medicare </t>
  </si>
  <si>
    <t xml:space="preserve">2021 Medicaid </t>
  </si>
  <si>
    <t xml:space="preserve">2021 Commercial Insurance </t>
  </si>
  <si>
    <t xml:space="preserve">2021 Self Pay </t>
  </si>
  <si>
    <t xml:space="preserve">2021 Others </t>
  </si>
  <si>
    <t xml:space="preserve">2021 Total </t>
  </si>
  <si>
    <t xml:space="preserve">2019 Champus/ Tricare </t>
  </si>
  <si>
    <t xml:space="preserve">2020 Champus/ Tricare </t>
  </si>
  <si>
    <t xml:space="preserve">2021 Champus/ Tricare </t>
  </si>
  <si>
    <t>2019 Total (All Payors)</t>
  </si>
  <si>
    <t>2020 Total (All Payors)</t>
  </si>
  <si>
    <t>2021 Total (All Payors)</t>
  </si>
  <si>
    <t>Inspira Medical Center- Woodbury (Underwood)*</t>
  </si>
  <si>
    <t>TOTALS</t>
  </si>
  <si>
    <t>Year-End Cash on Hand, Calendar Year (CY) 2019, 2020 &amp; 2021</t>
  </si>
  <si>
    <t>Hospital Code (assigned by NJDOH)</t>
  </si>
  <si>
    <t xml:space="preserve">2019 Year-End Total Cash on Hand </t>
  </si>
  <si>
    <t xml:space="preserve">2020 Year-End Total Cash on Hand </t>
  </si>
  <si>
    <t xml:space="preserve">2021 Year-End Total Cash on Hand </t>
  </si>
  <si>
    <t>*Inspira - Woodbury closed and Inspira - Mullica Hill opened in CY2019, so partial year data in each.</t>
  </si>
  <si>
    <t>Operating Margins, Calender Year (CY) 2019, 2020 &amp; 2021</t>
  </si>
  <si>
    <t xml:space="preserve"> CY 2019 Operating Income </t>
  </si>
  <si>
    <t xml:space="preserve">CY 2019 Operating Revenue  </t>
  </si>
  <si>
    <t>CY 2019 Operating Margin</t>
  </si>
  <si>
    <t xml:space="preserve">CY 2021 Operating Revenue </t>
  </si>
  <si>
    <t xml:space="preserve"> CY 2021 Operating Income</t>
  </si>
  <si>
    <t xml:space="preserve">CY 2020 Operating Revenue </t>
  </si>
  <si>
    <t>CY 2020 Operating Income</t>
  </si>
  <si>
    <t xml:space="preserve">CY 2020 Operating Margin </t>
  </si>
  <si>
    <t>CY 2021 Operating Margin</t>
  </si>
  <si>
    <t>Column P</t>
  </si>
  <si>
    <t>Payor Mix (Total Gross Patient Revenue), Expressed as a Percentage (%) of Total - Calendar Year (CY) 2019, 2020 &amp; 2021</t>
  </si>
  <si>
    <t>Payor Mix (Total Gross Patient Revenue), Expressed in Dollars ($) - Calendar Year (CY) 2019, 2020 &amp; 2021</t>
  </si>
  <si>
    <t>Payor Mix (Total Net Patient Revenue), Expressed in Dollars ($) - Calendar Year (CY) 2019, 2020 &amp; 2021</t>
  </si>
  <si>
    <t>Net Profit Margins, Expressed in Dollars ($) - Calendar Year (CY) 2019, 2020 &amp; 2021</t>
  </si>
  <si>
    <t>Individual 2020 Payor Sources - Gross Patient Revenue. Same formula as above.</t>
  </si>
  <si>
    <t>Individual 2021 Payor Sources - Gross Patient Revenue. Same formula as above.</t>
  </si>
  <si>
    <t>Individual 2021 Payor Sources - Net Patient Revenue. Same formula as above.</t>
  </si>
  <si>
    <t>Individual 2020 Payor Sources - Net Patient Revenue. Same formula as above.</t>
  </si>
  <si>
    <t>2020 Total Income. Same formula as above.</t>
  </si>
  <si>
    <t>2020 Total Revenue. Same formula as above.</t>
  </si>
  <si>
    <t>2020 "Net Profit". Same formula as above.</t>
  </si>
  <si>
    <t>2021 Total Income. Same formula as above.</t>
  </si>
  <si>
    <t>2021 Total Revenue. Same formula as above.</t>
  </si>
  <si>
    <t>Individual 2019 Payor Sources - Gross Patient Revenue:  (Form E6, Line 1) + (E5, Line 1 )</t>
  </si>
  <si>
    <t>CY 2021 Operating Margin: Same formula as above.</t>
  </si>
  <si>
    <t>CY 2020 Operating Margin: Same formula as above.</t>
  </si>
  <si>
    <t>Individual 2019 Payor Sources - Net Patient Revenue: ( Form E6, line 1 - line 20) + (E5, line 1 - line 20)</t>
  </si>
  <si>
    <t>2021  Net Profit Margin. Same formula as above.</t>
  </si>
  <si>
    <t>Individual 2019 Payor Sources / Gross Patient Revenue: Percentage of dollars for individual payor source divided by total dollars across all payor sources.</t>
  </si>
  <si>
    <t>Individual 2020 Payor Sources / Gross Patient Revenue. Same formula as above.</t>
  </si>
  <si>
    <t>Individual 2021 Payor Sources / Gross Patient Revenue. Same formula as above.</t>
  </si>
  <si>
    <t>**Virtua Willingboro &amp; Lady of Lourdes acquired by Virtua in 2019, submitted 6 month cost report</t>
  </si>
  <si>
    <t>Virtua Our Lady of Lourdes Medical Center**</t>
  </si>
  <si>
    <t>Virtua Willingboro Hospital (Lourdes M C of Burlington County)**</t>
  </si>
  <si>
    <t>St. Joseph's University Medical Center***</t>
  </si>
  <si>
    <t>St. Joseph's Wayne Hospital***</t>
  </si>
  <si>
    <t>Saint Clare's Hospital / Denville Campus***</t>
  </si>
  <si>
    <t>Saint Clare's Hospital / Dover Campus***</t>
  </si>
  <si>
    <t>Inspira Medical Center - Mullica Hill*</t>
  </si>
  <si>
    <t>Virtua-Memorial Hospital of Burlington County, Inc.**</t>
  </si>
  <si>
    <t>CY 2019 Operating Income, Form L3, Line 34 - Line 12</t>
  </si>
  <si>
    <t>CY 2019 Operating Margin: (Form L3, Line 34  - Line 12) / (Form L3, Line 15  - Line 12)</t>
  </si>
  <si>
    <t>CY 2020 Operating Income, Form L3, Line 34  - Line 12</t>
  </si>
  <si>
    <t>CY 2021 Operating Income, Form L3, Line 34  - Line 12</t>
  </si>
  <si>
    <t>CY 2019 Year-End Cash on Hand, Form L1, line 1, column D + Form L1, Line 2, column A</t>
  </si>
  <si>
    <t>CY 2020 Year-End Cash on Hand, Form L1, line 1, column D + Form L1, Line 2, column A</t>
  </si>
  <si>
    <t>CY 2021 Year-End Cash on Hand, Form L1, line 1, column D + Form L1, Line 2, column A</t>
  </si>
  <si>
    <t>**Virtua Willingboro &amp; Lady of Lourdes acquired by Virtua in 2019, submitted 6 month cost report.</t>
  </si>
  <si>
    <t>NOTE: Net patient revenue by payor shown includes the bad debt provision defined as a direct reduction to gross revenue from patient care.</t>
  </si>
  <si>
    <t>NOTE: Please note that all of the figures in this spreadsheet are based upon ACH financial information submitted by each hospital and then subsequently audited by the Department’s contracted vendor, Myers &amp; Stauffer (M&amp;S). Typically, the ACH figures do not change post-audit by M&amp;S; however, there are instances where a hospital may have to submit corrections and/or adjustments after an audit and, in those cases, there may be a discrepancy that should be reconciled.</t>
  </si>
  <si>
    <t>NOTE: Please note that the ACH Cost report does not have a specific line-item for any federal COVID-19 funding and instead is reported as “other revenue”. This information is captured on the Net Profit Margin tab and Operating Margin of this spreadsheet as it is reported on Form L3, line 14.</t>
  </si>
  <si>
    <t>Operating Income</t>
  </si>
  <si>
    <t>Operating Revenue</t>
  </si>
  <si>
    <t>Operating Margin</t>
  </si>
  <si>
    <t>Net Patient  Service Revenue</t>
  </si>
  <si>
    <t>Gross Patient Service Revenue</t>
  </si>
  <si>
    <t>Other Revenue, Sales and Services Not Related to Patient Care</t>
  </si>
  <si>
    <t>Assets released from restrictions</t>
  </si>
  <si>
    <t>NOTE: Jefferson Health reports consolidated “operating investment revenue” at the corporate/system level and is unable to break out this financial data between its three system member hospital sites. Therefore, Jefferson Health reports the same numbers for each site; however, that is a total number for the entire system. This information is captured on both the Operating and Net Profit Margin tabs of this spreadsheet with one exception in CY 2021 when Jefferson reported a negative $1.2 million operational investment loss at Jefferson Cherry Hill instead of the $526,000 gain attributed to Jefferson Washington Township Hospital and Jefferson Stratford Hospital.</t>
  </si>
  <si>
    <t>Operating Expenses</t>
  </si>
  <si>
    <t>Net Profit Margin</t>
  </si>
  <si>
    <t>Total Expenses</t>
  </si>
  <si>
    <t>Total Revenues</t>
  </si>
  <si>
    <t>Total Income</t>
  </si>
  <si>
    <t xml:space="preserve">Found by subtracting total expenses from total revenues </t>
  </si>
  <si>
    <t xml:space="preserve">***Please note that the following health systems/hospitals do not break out cash on hand amounts between individual sites: St. Clare's (Denville and Dover), St. Joseph's (University Medical Center and Wayne Hospital) &amp; Inspira. </t>
  </si>
  <si>
    <t>Glossary of Terms</t>
  </si>
  <si>
    <t>Term</t>
  </si>
  <si>
    <t>The operating margin assesses the profitability of an institution based on operations. It measures the percentage of total operating revenue that remains after the payment of all operating expenses. Positive and increasing values indicate an institution's revenues exceeded expenses and are therefore preferable.</t>
  </si>
  <si>
    <t>Non-Operating Revenue</t>
  </si>
  <si>
    <t>The funds (money) coming into a business that flow from its primary/core business activities. This is often reported on income statements and balance sheets.</t>
  </si>
  <si>
    <t>The funds (money) coming into a business that flow from sources other than primary/core operations (e.g., one-time sale of real estate, etc.). </t>
  </si>
  <si>
    <t xml:space="preserve">Costs incurred by a business through its normal operations. </t>
  </si>
  <si>
    <t xml:space="preserve">The funds (money) made from operational activities substracted from all operating expenses. </t>
  </si>
  <si>
    <t>The difference between charges (Gross Patient Service Revenue) and contractual adjustments, charity care, and other deductions. To this end, net patient service revenue is the amount hospitals are actually paid/reimbursed.</t>
  </si>
  <si>
    <t>Assets that may be used by the hospital for general expenses or any other business-related expenditure.</t>
  </si>
  <si>
    <t>Year-End Cash on Hand</t>
  </si>
  <si>
    <t>Definition &amp; Additional Information</t>
  </si>
  <si>
    <t>Total funds (money) brought into a businss that include both operating revenues and non-operating revenues.</t>
  </si>
  <si>
    <t>Total costs incurred by a business through its normal operations that include both operating expenses and non-operating expenses.</t>
  </si>
  <si>
    <t>Non-Operating Expenses</t>
  </si>
  <si>
    <t>Costs incurred by a business outside of a company's day-to-day activities. These types of costs can include monthly charges like interest payments on debt and can also include one-time or unusual costs.</t>
  </si>
  <si>
    <r>
      <t xml:space="preserve">The total amount of </t>
    </r>
    <r>
      <rPr>
        <u/>
        <sz val="11"/>
        <color theme="1"/>
        <rFont val="Arial"/>
        <family val="2"/>
      </rPr>
      <t>charges</t>
    </r>
    <r>
      <rPr>
        <sz val="11"/>
        <color theme="1"/>
        <rFont val="Arial"/>
        <family val="2"/>
      </rPr>
      <t xml:space="preserve"> posted by a hospital for services rendered to patients in a year. It is important to note that "charges" are so-called "list prices", i.e., the dollar amount a hospital sets for services before negotiating any discounts is known as the charge. To this end, charges are not the amount hospitals are actually paid/reimbursed.</t>
    </r>
  </si>
  <si>
    <t>The profit margin indicates the profitability of a hospital. It measures the percentage of total revenues that are in excess of total expenses. This ratio includes net non-operating revenue and therefore measures the overall or "bottom line" profitability of a hospital. Higher values are preferable.</t>
  </si>
  <si>
    <t>This includes services provided to an external organization (i.e., data processing, laundry, etc.), sale of medical supplies, medical records, cafeteria operations, parking garage, etc.; excludes services related to patient care</t>
  </si>
  <si>
    <t>Please note that this metric includes both actual cash funds as well as unrestricted short term investments reported as current assets (unrestricted marketable securities, e.g., stocks/bonds, etc.). This metric represents the year-end cash on hand, which corresponds to the number of days that an institution could meet its daily expenditures solely and/or finance  capital purchases with existing cash on hand. Higher values are generally preferable.  Please note that due to corporate accounting strategies utilized within some health/hospital systems, the year-end cash on hand may not be broken out by individual hospital site (e.g., St. Clare's (Denville and Dover), St. Joseph's (University Medical Center and Wayne Hospital) &amp; Inspira).</t>
  </si>
  <si>
    <t>NOTE: Please note that the ACH Cost report does not have a specific line-item for any federal COVID-19 funding and instead is reported as “other revenue”.This information is captured on the Net Profit Margin tab and Operating Margin of this spreadsheet as it is reported on Form L3, line 14.</t>
  </si>
  <si>
    <t>CY 2019 Operating Revenue, Form L3, Line 15  - (Line 12 + Line 31)</t>
  </si>
  <si>
    <t>CY 2020 Operating Revenue, Form L3, Line 15  - ( Line 12 + Line 31)</t>
  </si>
  <si>
    <t>CY 2021 Operating Revenue, Form L3, Line 15  - (Line 12 + Line 31)</t>
  </si>
  <si>
    <t>2019 Total Revenue: (Form L3, Line 15 + any positive values on Lines 35-38). Line 31 is then subtracted from the Total Revenue.</t>
  </si>
  <si>
    <r>
      <t xml:space="preserve">2019 Total Income:  (Form L3, Line 15 + any positive values on Lines 35-38) Line 31 is then subtracted from the Total Revenue - (Form, L3 Line 33 (plus any negative values on 35-38). </t>
    </r>
    <r>
      <rPr>
        <i/>
        <sz val="11"/>
        <color theme="1"/>
        <rFont val="Arial"/>
        <family val="2"/>
      </rPr>
      <t xml:space="preserve">One note - The expenses on Line 33 are reported as a positive number and the expenses reported on lines 35-38 are reported as a negative number, so you must invert (i.e., negatives become positives) before merging with Line 33 and doing the calculation. </t>
    </r>
  </si>
  <si>
    <r>
      <t xml:space="preserve">2019 Net Profit Margin: (Form L3, Line 15 + any positive values on Lines 35-38) Line 31 is then subtracted from the Total Revenue - (Form L3, Line 33 + any negative values on Lines 35-38) / (Form L3, Line 15 + any positive values on Line 35-38). Line 31 is then subtracted from the Total Revenue. </t>
    </r>
    <r>
      <rPr>
        <i/>
        <sz val="11"/>
        <color theme="1"/>
        <rFont val="Arial"/>
        <family val="2"/>
      </rPr>
      <t xml:space="preserve">One note - The expenses on Line 33 are reported as a positive number and the expenses reported on lines 35-38 are reported as a negative number, so you must invert (i.e., negatives become positives) before merging with Line 33 and doing the calculation. </t>
    </r>
  </si>
  <si>
    <t>County</t>
  </si>
  <si>
    <t>Hospital Region</t>
  </si>
  <si>
    <t>Rural/Urban</t>
  </si>
  <si>
    <t>Atlantic</t>
  </si>
  <si>
    <t>South</t>
  </si>
  <si>
    <t>Rural</t>
  </si>
  <si>
    <t>Bergen</t>
  </si>
  <si>
    <t>North</t>
  </si>
  <si>
    <t>Urban</t>
  </si>
  <si>
    <t>Burlington</t>
  </si>
  <si>
    <t>Camden</t>
  </si>
  <si>
    <t>Cape May</t>
  </si>
  <si>
    <t>Cumberland</t>
  </si>
  <si>
    <t>Essex</t>
  </si>
  <si>
    <t>Gloucester</t>
  </si>
  <si>
    <t>Hudson</t>
  </si>
  <si>
    <t>Hunterdon</t>
  </si>
  <si>
    <t>Mercer</t>
  </si>
  <si>
    <t>Central</t>
  </si>
  <si>
    <t>Middlesex</t>
  </si>
  <si>
    <t>Monmouth</t>
  </si>
  <si>
    <t>Morris</t>
  </si>
  <si>
    <t>Ocean</t>
  </si>
  <si>
    <t>Passaic</t>
  </si>
  <si>
    <t>Salem</t>
  </si>
  <si>
    <t>Somerset</t>
  </si>
  <si>
    <t>Sussex</t>
  </si>
  <si>
    <t>Union</t>
  </si>
  <si>
    <t>Warren</t>
  </si>
  <si>
    <t>Total Operating Expenses, Calender Year (CY) 2019, 2020 &amp; 2021</t>
  </si>
  <si>
    <t xml:space="preserve">CY 2020 Operating Expenses  </t>
  </si>
  <si>
    <t xml:space="preserve"> CY 2019 Operating Expenses </t>
  </si>
  <si>
    <t>CY 2021 Operating Expenses</t>
  </si>
  <si>
    <t>Hospital County</t>
  </si>
  <si>
    <t>Hospital Designation</t>
  </si>
  <si>
    <t>Hospital Population Designation</t>
  </si>
  <si>
    <t>CY 2019 Operating Expenses</t>
  </si>
  <si>
    <t>CY 2020 Operating Expenses</t>
  </si>
  <si>
    <t>CY 2019 Total Staffing Cost/Salaries</t>
  </si>
  <si>
    <t>CY 2020 Total Staffing Cost/Salaries</t>
  </si>
  <si>
    <t>CY 2021 Total Staffing Cost/Salaries</t>
  </si>
  <si>
    <t>CY 2019 Contract Services</t>
  </si>
  <si>
    <t>CY 2020 Contract Services</t>
  </si>
  <si>
    <t>CY 2021 Contract Services</t>
  </si>
  <si>
    <t>CY 2019 % Staffing Cost to Total</t>
  </si>
  <si>
    <t>CY 2019 % Contract Services Cost to Total</t>
  </si>
  <si>
    <t>CY 2020 % Staffing Cost to Total</t>
  </si>
  <si>
    <t>CY 2020 % Contract Services Cost to Total</t>
  </si>
  <si>
    <t>CY 2021 % Staffing Cost to Total</t>
  </si>
  <si>
    <t>CY 2021 % Contract Services Cost to Total</t>
  </si>
  <si>
    <t xml:space="preserve">NOTE: Please note that St. Joseph's is unable to break up total expenses between sites </t>
  </si>
  <si>
    <t>2019 Uninsured</t>
  </si>
  <si>
    <t>2020 Uninsured</t>
  </si>
  <si>
    <t>2021 Uninsured</t>
  </si>
  <si>
    <t>Columns G-L</t>
  </si>
  <si>
    <t>Column M-R</t>
  </si>
  <si>
    <t>Columns S-X</t>
  </si>
  <si>
    <t>Column M</t>
  </si>
  <si>
    <t>Column N</t>
  </si>
  <si>
    <t>Column O</t>
  </si>
  <si>
    <t>Column Q</t>
  </si>
  <si>
    <t>Column R</t>
  </si>
  <si>
    <t>Column S</t>
  </si>
  <si>
    <t>Column T</t>
  </si>
  <si>
    <t>Column U</t>
  </si>
  <si>
    <t>Column N-S</t>
  </si>
  <si>
    <t>Columns U-Z</t>
  </si>
  <si>
    <t>Column AA</t>
  </si>
  <si>
    <t>Columns G</t>
  </si>
  <si>
    <t>NOTE: The payor buckets have been consolidated into six categories. Medicaid (Medicaid and Medicaid HMO ), Medicare (Medicare and Medicare HMO), commercial (Commercial, Blue Cross and Other Blue cross), and Uninsured (Charity Care &amp; Self-Pay) with two separate buckets for “Tricare/CHAMPUS” and “Other”</t>
  </si>
  <si>
    <t>NOTE: Significant variances observed in hospitals' metrics for CY 2020 and CY 2021 for the vast majority of NJ hospitals are primarily due to the industry-wide impacts of the unprecedented COVID-19 pandemic on hospital admissions and overall operations.</t>
  </si>
  <si>
    <t>NOTE: The payor buckets have been consolidated into six categories. Medicaid (Medicaid and Medicaid HMO ), Medicare (Medicare and Medicare HMO), Commercial (Commercial, HMO, Blue Cross and Other Blue cross), and Uninsured (Charity Care &amp; Self-Pay) with two separate buckets for “Tricare/CHAMPUS” and “Other”</t>
  </si>
  <si>
    <t>NOTE: Please note our report omits any unit that is not under the hospital's license. As a result, there could be variances between the hospital's audited financial statements and the figures shown in this report.</t>
  </si>
  <si>
    <t>NOTE: Bad debt is excluded from this report. The definition of bad debt in the ACH Cost reports that this report is referencing is an expense in accordance with the definition found in N.J.A.C 31B Hospital Financing Rules.</t>
  </si>
  <si>
    <t>East Orange General Hospital *CareWell Health Medical Center as of 1/1/2022</t>
  </si>
  <si>
    <t>Cooperman Barnabas Medical Center * formerly Saint Barnabas Medical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</si>
</sst>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164" formatCode="0.00%;[Red]\ \(0.00%\)"/>
    <numFmt numFmtId="165" formatCode="&quot;$&quot;#,##0.00"/>
    <numFmt numFmtId="166" formatCode="&quot;$&quot;#,##0"/>
  </numFmts>
  <fonts count="18" x14ac:knownFonts="1">
    <font>
      <sz val="11"/>
      <color theme="1"/>
      <name val="Calibri"/>
      <family val="2"/>
      <scheme val="minor"/>
    </font>
    <font>
      <b/>
      <sz val="11"/>
      <color rgb="FF3F3F3F"/>
      <name val="Calibri"/>
      <family val="2"/>
      <scheme val="minor"/>
    </font>
    <font>
      <b/>
      <sz val="10"/>
      <name val="Arial"/>
      <family val="2"/>
    </font>
    <font>
      <b/>
      <sz val="18"/>
      <color theme="1"/>
      <name val="Arial"/>
      <family val="2"/>
    </font>
    <font>
      <sz val="11"/>
      <color theme="1"/>
      <name val="Arial"/>
      <family val="2"/>
    </font>
    <font>
      <sz val="11"/>
      <name val="Arial"/>
      <family val="2"/>
    </font>
    <font>
      <b/>
      <sz val="11"/>
      <color theme="1"/>
      <name val="Arial"/>
      <family val="2"/>
    </font>
    <font>
      <b/>
      <sz val="14"/>
      <color theme="1"/>
      <name val="Arial"/>
      <family val="2"/>
    </font>
    <font>
      <sz val="14"/>
      <color theme="1"/>
      <name val="Arial"/>
      <family val="2"/>
    </font>
    <font>
      <sz val="11"/>
      <color rgb="FF000000"/>
      <name val="Arial"/>
      <family val="2"/>
    </font>
    <font>
      <sz val="10"/>
      <name val="MS Sans Serif"/>
      <family val="2"/>
    </font>
    <font>
      <sz val="8"/>
      <name val="Calibri"/>
      <family val="2"/>
      <scheme val="minor"/>
    </font>
    <font>
      <b/>
      <sz val="11"/>
      <color theme="1"/>
      <name val="Calibri"/>
      <family val="2"/>
      <scheme val="minor"/>
    </font>
    <font>
      <b/>
      <sz val="11"/>
      <name val="Arial"/>
      <family val="2"/>
    </font>
    <font>
      <u/>
      <sz val="11"/>
      <color theme="1"/>
      <name val="Arial"/>
      <family val="2"/>
    </font>
    <font>
      <i/>
      <sz val="11"/>
      <color theme="1"/>
      <name val="Arial"/>
      <family val="2"/>
    </font>
    <font>
      <i/>
      <sz val="11"/>
      <color rgb="FF000000"/>
      <name val="Arial"/>
      <family val="2"/>
    </font>
    <font>
      <b/>
      <i/>
      <sz val="11"/>
      <color theme="1"/>
      <name val="Arial"/>
      <family val="2"/>
    </font>
  </fonts>
  <fills count="6">
    <fill>
      <patternFill patternType="none"/>
    </fill>
    <fill>
      <patternFill patternType="gray125"/>
    </fill>
    <fill>
      <patternFill patternType="solid">
        <fgColor rgb="FFF2F2F2"/>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s>
  <borders count="20">
    <border>
      <left/>
      <right/>
      <top/>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2" borderId="1" applyNumberFormat="0" applyAlignment="0" applyProtection="0"/>
    <xf numFmtId="0" fontId="10" fillId="0" borderId="0"/>
  </cellStyleXfs>
  <cellXfs count="105">
    <xf numFmtId="0" fontId="0" fillId="0" borderId="0" xfId="0"/>
    <xf numFmtId="0" fontId="2" fillId="3" borderId="2" xfId="0" applyFont="1" applyFill="1" applyBorder="1" applyAlignment="1">
      <alignment horizontal="center" vertical="center" wrapText="1"/>
    </xf>
    <xf numFmtId="0" fontId="4" fillId="0" borderId="0" xfId="0" applyFont="1"/>
    <xf numFmtId="0" fontId="4" fillId="0" borderId="0" xfId="0" applyFont="1" applyAlignment="1">
      <alignment wrapText="1"/>
    </xf>
    <xf numFmtId="0" fontId="4" fillId="0" borderId="0" xfId="0" applyNumberFormat="1" applyFont="1"/>
    <xf numFmtId="6" fontId="4" fillId="0" borderId="0" xfId="0" applyNumberFormat="1" applyFont="1"/>
    <xf numFmtId="0" fontId="5" fillId="0" borderId="0" xfId="0" applyFont="1"/>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4" fillId="0" borderId="15" xfId="0" applyNumberFormat="1" applyFont="1" applyBorder="1" applyAlignment="1">
      <alignment horizontal="left"/>
    </xf>
    <xf numFmtId="0" fontId="4" fillId="0" borderId="3" xfId="0" applyFont="1" applyBorder="1"/>
    <xf numFmtId="6" fontId="4" fillId="0" borderId="3" xfId="0" applyNumberFormat="1" applyFont="1" applyBorder="1" applyAlignment="1">
      <alignment horizontal="right"/>
    </xf>
    <xf numFmtId="6" fontId="4" fillId="0" borderId="16" xfId="0" applyNumberFormat="1" applyFont="1" applyBorder="1" applyAlignment="1">
      <alignment horizontal="right"/>
    </xf>
    <xf numFmtId="0" fontId="5" fillId="0" borderId="15" xfId="0" applyNumberFormat="1" applyFont="1" applyBorder="1" applyAlignment="1">
      <alignment horizontal="left"/>
    </xf>
    <xf numFmtId="0" fontId="5" fillId="0" borderId="3" xfId="0" applyFont="1" applyBorder="1"/>
    <xf numFmtId="6" fontId="5" fillId="0" borderId="3" xfId="0" applyNumberFormat="1" applyFont="1" applyBorder="1" applyAlignment="1">
      <alignment horizontal="right"/>
    </xf>
    <xf numFmtId="6" fontId="5" fillId="0" borderId="16" xfId="0" applyNumberFormat="1" applyFont="1" applyBorder="1" applyAlignment="1">
      <alignment horizontal="right"/>
    </xf>
    <xf numFmtId="0" fontId="4" fillId="0" borderId="17" xfId="0" applyNumberFormat="1" applyFont="1" applyBorder="1" applyAlignment="1">
      <alignment horizontal="left"/>
    </xf>
    <xf numFmtId="0" fontId="4" fillId="0" borderId="18" xfId="0" applyFont="1" applyBorder="1"/>
    <xf numFmtId="6" fontId="4" fillId="0" borderId="18" xfId="0" applyNumberFormat="1" applyFont="1" applyBorder="1" applyAlignment="1">
      <alignment horizontal="right"/>
    </xf>
    <xf numFmtId="6" fontId="4" fillId="0" borderId="19" xfId="0" applyNumberFormat="1" applyFont="1" applyBorder="1" applyAlignment="1">
      <alignment horizontal="right"/>
    </xf>
    <xf numFmtId="0" fontId="4" fillId="0" borderId="0" xfId="0" applyFont="1" applyAlignment="1">
      <alignment horizontal="center" vertical="center" wrapText="1"/>
    </xf>
    <xf numFmtId="3" fontId="4" fillId="0" borderId="0" xfId="0" applyNumberFormat="1" applyFont="1"/>
    <xf numFmtId="0" fontId="6" fillId="0" borderId="4" xfId="0" applyNumberFormat="1" applyFont="1" applyBorder="1"/>
    <xf numFmtId="6" fontId="6" fillId="0" borderId="9" xfId="0" applyNumberFormat="1" applyFont="1" applyBorder="1"/>
    <xf numFmtId="6" fontId="6" fillId="0" borderId="10" xfId="0" applyNumberFormat="1" applyFont="1" applyBorder="1"/>
    <xf numFmtId="6" fontId="6" fillId="0" borderId="11" xfId="0" applyNumberFormat="1" applyFont="1" applyBorder="1"/>
    <xf numFmtId="0" fontId="6" fillId="0" borderId="3" xfId="0" applyFont="1" applyBorder="1" applyAlignment="1">
      <alignment horizontal="center" vertical="center"/>
    </xf>
    <xf numFmtId="0" fontId="6" fillId="0" borderId="8" xfId="0" applyFont="1" applyFill="1" applyBorder="1" applyAlignment="1">
      <alignment horizontal="center" vertical="center"/>
    </xf>
    <xf numFmtId="6" fontId="6" fillId="0" borderId="5" xfId="0" applyNumberFormat="1" applyFont="1" applyBorder="1"/>
    <xf numFmtId="6" fontId="6" fillId="0" borderId="4" xfId="0" applyNumberFormat="1" applyFont="1" applyBorder="1"/>
    <xf numFmtId="0" fontId="8" fillId="0" borderId="0" xfId="0" applyFont="1" applyAlignment="1"/>
    <xf numFmtId="6" fontId="2" fillId="4" borderId="2" xfId="1" applyNumberFormat="1" applyFont="1" applyFill="1" applyBorder="1" applyAlignment="1">
      <alignment horizontal="center" vertical="center" wrapText="1"/>
    </xf>
    <xf numFmtId="0" fontId="2" fillId="4" borderId="2" xfId="1" applyFont="1" applyFill="1" applyBorder="1" applyAlignment="1">
      <alignment horizontal="center" vertical="center" wrapText="1"/>
    </xf>
    <xf numFmtId="0" fontId="4" fillId="0" borderId="3" xfId="0" applyNumberFormat="1" applyFont="1" applyBorder="1" applyAlignment="1">
      <alignment horizontal="left"/>
    </xf>
    <xf numFmtId="6" fontId="4" fillId="0" borderId="3" xfId="0" applyNumberFormat="1" applyFont="1" applyBorder="1"/>
    <xf numFmtId="164" fontId="4" fillId="0" borderId="3" xfId="0" applyNumberFormat="1" applyFont="1" applyBorder="1"/>
    <xf numFmtId="0" fontId="5" fillId="0" borderId="3" xfId="0" applyNumberFormat="1" applyFont="1" applyBorder="1" applyAlignment="1">
      <alignment horizontal="left"/>
    </xf>
    <xf numFmtId="164" fontId="5" fillId="0" borderId="3" xfId="0" applyNumberFormat="1" applyFont="1" applyBorder="1"/>
    <xf numFmtId="6" fontId="4" fillId="0" borderId="16" xfId="0" applyNumberFormat="1" applyFont="1" applyBorder="1"/>
    <xf numFmtId="6" fontId="4" fillId="0" borderId="18" xfId="0" applyNumberFormat="1" applyFont="1" applyBorder="1"/>
    <xf numFmtId="6" fontId="4" fillId="0" borderId="19" xfId="0" applyNumberFormat="1" applyFont="1" applyBorder="1"/>
    <xf numFmtId="6" fontId="6" fillId="0" borderId="0" xfId="0" applyNumberFormat="1" applyFont="1"/>
    <xf numFmtId="0" fontId="6" fillId="0" borderId="9" xfId="0" applyFont="1" applyBorder="1"/>
    <xf numFmtId="0" fontId="6" fillId="0" borderId="3" xfId="0" applyFont="1" applyFill="1" applyBorder="1" applyAlignment="1">
      <alignment horizontal="center" vertical="center"/>
    </xf>
    <xf numFmtId="10" fontId="4" fillId="0" borderId="0" xfId="0" applyNumberFormat="1" applyFont="1"/>
    <xf numFmtId="10" fontId="4" fillId="0" borderId="3" xfId="0" applyNumberFormat="1" applyFont="1" applyBorder="1"/>
    <xf numFmtId="10" fontId="4" fillId="0" borderId="18" xfId="0" applyNumberFormat="1" applyFont="1" applyBorder="1"/>
    <xf numFmtId="6" fontId="6" fillId="0" borderId="0" xfId="0" applyNumberFormat="1" applyFont="1" applyFill="1" applyBorder="1"/>
    <xf numFmtId="0" fontId="4" fillId="0" borderId="0" xfId="0" applyFont="1" applyFill="1"/>
    <xf numFmtId="0" fontId="4" fillId="0" borderId="3" xfId="0" applyNumberFormat="1" applyFont="1" applyBorder="1" applyAlignment="1">
      <alignment horizontal="left" vertical="top"/>
    </xf>
    <xf numFmtId="0" fontId="5" fillId="0" borderId="3" xfId="0" applyNumberFormat="1" applyFont="1" applyBorder="1" applyAlignment="1">
      <alignment horizontal="left" vertical="top"/>
    </xf>
    <xf numFmtId="6" fontId="5" fillId="0" borderId="3" xfId="0" applyNumberFormat="1" applyFont="1" applyBorder="1"/>
    <xf numFmtId="0" fontId="6" fillId="0" borderId="0" xfId="0" applyFont="1"/>
    <xf numFmtId="0" fontId="9" fillId="0" borderId="0" xfId="0" applyFont="1" applyAlignment="1">
      <alignment horizontal="left" vertical="top"/>
    </xf>
    <xf numFmtId="0" fontId="0" fillId="0" borderId="0" xfId="0" applyAlignment="1">
      <alignment wrapText="1"/>
    </xf>
    <xf numFmtId="0" fontId="12" fillId="0" borderId="0" xfId="0" applyFont="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4" fillId="0" borderId="3" xfId="0" applyFont="1" applyBorder="1" applyAlignment="1">
      <alignment vertical="top" wrapText="1"/>
    </xf>
    <xf numFmtId="0" fontId="5" fillId="0" borderId="3" xfId="0" applyFont="1" applyBorder="1" applyAlignment="1">
      <alignment vertical="top" wrapText="1"/>
    </xf>
    <xf numFmtId="0" fontId="5" fillId="0" borderId="18" xfId="0" applyFont="1" applyBorder="1" applyAlignment="1">
      <alignment vertical="top" wrapText="1"/>
    </xf>
    <xf numFmtId="0" fontId="9" fillId="0" borderId="0" xfId="0" applyFont="1" applyAlignment="1">
      <alignment horizontal="left" vertical="top" wrapText="1"/>
    </xf>
    <xf numFmtId="5" fontId="4" fillId="0" borderId="3" xfId="0" applyNumberFormat="1" applyFont="1" applyBorder="1"/>
    <xf numFmtId="0" fontId="15" fillId="0" borderId="0" xfId="0" applyFont="1"/>
    <xf numFmtId="0" fontId="16" fillId="0" borderId="0" xfId="0" applyFont="1"/>
    <xf numFmtId="0" fontId="17" fillId="0" borderId="0" xfId="0" applyFont="1"/>
    <xf numFmtId="0" fontId="16" fillId="0" borderId="0" xfId="0" applyFont="1" applyAlignment="1">
      <alignment horizontal="left" vertical="top" wrapText="1"/>
    </xf>
    <xf numFmtId="0" fontId="4" fillId="0" borderId="0" xfId="0" applyFont="1" applyBorder="1" applyAlignment="1">
      <alignment horizont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165" fontId="6" fillId="0" borderId="4" xfId="0" applyNumberFormat="1" applyFont="1" applyBorder="1" applyAlignment="1">
      <alignment horizontal="center"/>
    </xf>
    <xf numFmtId="0" fontId="6" fillId="0" borderId="0" xfId="0" applyNumberFormat="1" applyFont="1" applyBorder="1"/>
    <xf numFmtId="0" fontId="6" fillId="0" borderId="4" xfId="0" applyFont="1" applyBorder="1"/>
    <xf numFmtId="0" fontId="10" fillId="0" borderId="0" xfId="2"/>
    <xf numFmtId="166" fontId="4" fillId="0" borderId="3" xfId="0" applyNumberFormat="1" applyFont="1" applyBorder="1"/>
    <xf numFmtId="6" fontId="6" fillId="0" borderId="0" xfId="0" applyNumberFormat="1" applyFont="1" applyBorder="1"/>
    <xf numFmtId="10" fontId="5" fillId="0" borderId="3" xfId="0" applyNumberFormat="1" applyFont="1" applyBorder="1"/>
    <xf numFmtId="6" fontId="0" fillId="0" borderId="0" xfId="0" applyNumberFormat="1"/>
    <xf numFmtId="0" fontId="16" fillId="0" borderId="0" xfId="0" applyFont="1" applyAlignment="1">
      <alignment horizontal="left" vertical="top" wrapText="1"/>
    </xf>
    <xf numFmtId="0" fontId="16" fillId="0" borderId="0" xfId="0" applyFont="1" applyAlignment="1">
      <alignment vertical="top"/>
    </xf>
    <xf numFmtId="0" fontId="16" fillId="0" borderId="0" xfId="0" applyFont="1" applyAlignment="1">
      <alignment horizontal="left" vertical="top" wrapText="1"/>
    </xf>
    <xf numFmtId="0" fontId="16" fillId="0" borderId="0" xfId="0" applyFont="1" applyAlignment="1">
      <alignment horizontal="left" vertical="top"/>
    </xf>
    <xf numFmtId="0" fontId="4" fillId="0" borderId="3" xfId="0" applyFont="1" applyFill="1" applyBorder="1" applyAlignment="1">
      <alignment horizontal="center" vertical="center" wrapText="1"/>
    </xf>
    <xf numFmtId="0" fontId="3" fillId="5" borderId="5" xfId="0" applyFont="1" applyFill="1" applyBorder="1" applyAlignment="1">
      <alignment horizontal="left"/>
    </xf>
    <xf numFmtId="0" fontId="3" fillId="5" borderId="6" xfId="0" applyFont="1" applyFill="1" applyBorder="1" applyAlignment="1">
      <alignment horizontal="left"/>
    </xf>
    <xf numFmtId="0" fontId="16" fillId="0" borderId="0" xfId="0" applyFont="1" applyAlignment="1">
      <alignment horizontal="left" vertical="top" wrapText="1"/>
    </xf>
    <xf numFmtId="0" fontId="7" fillId="5" borderId="3" xfId="0" applyFont="1" applyFill="1" applyBorder="1" applyAlignment="1">
      <alignment horizontal="center"/>
    </xf>
    <xf numFmtId="0" fontId="4" fillId="0" borderId="3" xfId="0" applyFont="1" applyBorder="1" applyAlignment="1">
      <alignment horizontal="center"/>
    </xf>
    <xf numFmtId="0" fontId="4" fillId="0" borderId="3" xfId="0" applyFont="1" applyFill="1" applyBorder="1" applyAlignment="1">
      <alignment horizontal="center" wrapText="1"/>
    </xf>
    <xf numFmtId="0" fontId="3" fillId="5" borderId="7" xfId="0" applyFont="1" applyFill="1" applyBorder="1" applyAlignment="1">
      <alignment horizontal="left"/>
    </xf>
    <xf numFmtId="0" fontId="4" fillId="0" borderId="3" xfId="0" applyFont="1" applyFill="1" applyBorder="1" applyAlignment="1">
      <alignment horizontal="center"/>
    </xf>
    <xf numFmtId="0" fontId="15" fillId="0" borderId="0" xfId="0" applyFont="1" applyAlignment="1">
      <alignment horizontal="left" vertical="top"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4" borderId="5" xfId="0" applyFont="1" applyFill="1" applyBorder="1" applyAlignment="1">
      <alignment horizontal="left"/>
    </xf>
    <xf numFmtId="0" fontId="3" fillId="4" borderId="7" xfId="0" applyFont="1" applyFill="1" applyBorder="1" applyAlignment="1">
      <alignment horizontal="left"/>
    </xf>
  </cellXfs>
  <cellStyles count="3">
    <cellStyle name="Normal" xfId="0" builtinId="0"/>
    <cellStyle name="Normal 2" xfId="2" xr:uid="{EC525747-7A62-42AD-BAB2-11A508712395}"/>
    <cellStyle name="Output" xfId="1" builtinId="21"/>
  </cellStyles>
  <dxfs count="177">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name val="Arial"/>
        <family val="2"/>
        <scheme val="none"/>
      </font>
    </dxf>
    <dxf>
      <border>
        <bottom style="thin">
          <color indexed="64"/>
        </bottom>
      </border>
    </dxf>
    <dxf>
      <font>
        <strike val="0"/>
        <outline val="0"/>
        <shadow val="0"/>
        <vertAlign val="baseline"/>
        <name val="Arial"/>
        <family val="2"/>
        <scheme val="none"/>
      </font>
      <border diagonalUp="0" diagonalDown="0" outline="0">
        <left style="thin">
          <color indexed="64"/>
        </left>
        <right style="thin">
          <color indexed="64"/>
        </right>
        <top/>
        <bottom/>
      </border>
    </dxf>
    <dxf>
      <font>
        <strike val="0"/>
        <outline val="0"/>
        <shadow val="0"/>
        <u val="none"/>
        <vertAlign val="baseline"/>
        <name val="Arial"/>
        <family val="2"/>
        <scheme val="none"/>
      </font>
      <numFmt numFmtId="164" formatCode="0.00%;[Red]\ \(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64" formatCode="0.00%;[Red]\ \(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64" formatCode="0.00%;[Red]\ \(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9" formatCode="&quot;$&quot;#,##0_);\(&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9" formatCode="&quot;$&quot;#,##0_);\(&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0" formatCode="Genera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3F3F3F"/>
        </top>
      </border>
    </dxf>
    <dxf>
      <font>
        <strike val="0"/>
        <outline val="0"/>
        <shadow val="0"/>
        <u val="none"/>
        <vertAlign val="baseline"/>
        <name val="Arial"/>
        <family val="2"/>
        <scheme val="none"/>
      </font>
    </dxf>
    <dxf>
      <border outline="0">
        <bottom style="thin">
          <color rgb="FF3F3F3F"/>
        </bottom>
      </border>
    </dxf>
    <dxf>
      <font>
        <b/>
        <i val="0"/>
        <strike val="0"/>
        <condense val="0"/>
        <extend val="0"/>
        <outline val="0"/>
        <shadow val="0"/>
        <u val="none"/>
        <vertAlign val="baseline"/>
        <sz val="10"/>
        <color auto="1"/>
        <name val="Arial"/>
        <family val="2"/>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rgb="FF3F3F3F"/>
        </left>
        <right style="thin">
          <color rgb="FF3F3F3F"/>
        </right>
        <top/>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0" formatCode="Genera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border>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indexed="2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0" formatCode="Genera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dxf>
    <dxf>
      <border>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indexed="2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0" formatCode="Genera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dxf>
    <dxf>
      <border>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indexed="2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0" formatCode="&quot;$&quot;#,##0_);[Red]\(&quot;$&quot;#,##0\)"/>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0" formatCode="&quot;$&quot;#,##0_);[Red]\(&quot;$&quot;#,##0\)"/>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0" formatCode="Genera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indexed="2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64" formatCode="0.00%;[Red]\ \(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64" formatCode="0.00%;[Red]\ \(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64" formatCode="0.00%;[Red]\ \(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3F3F3F"/>
        </top>
      </border>
    </dxf>
    <dxf>
      <font>
        <b val="0"/>
        <i val="0"/>
        <strike val="0"/>
        <condense val="0"/>
        <extend val="0"/>
        <outline val="0"/>
        <shadow val="0"/>
        <u val="none"/>
        <vertAlign val="baseline"/>
        <sz val="11"/>
        <color theme="1"/>
        <name val="Arial"/>
        <family val="2"/>
        <scheme val="none"/>
      </font>
    </dxf>
    <dxf>
      <border outline="0">
        <bottom style="thin">
          <color rgb="FF3F3F3F"/>
        </bottom>
      </border>
    </dxf>
    <dxf>
      <font>
        <b/>
        <i val="0"/>
        <strike val="0"/>
        <condense val="0"/>
        <extend val="0"/>
        <outline val="0"/>
        <shadow val="0"/>
        <u val="none"/>
        <vertAlign val="baseline"/>
        <sz val="10"/>
        <color auto="1"/>
        <name val="Arial"/>
        <family val="2"/>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rgb="FF3F3F3F"/>
        </left>
        <right style="thin">
          <color rgb="FF3F3F3F"/>
        </right>
        <top/>
        <bottom/>
      </border>
    </dxf>
    <dxf>
      <font>
        <b val="0"/>
        <i val="0"/>
        <strike val="0"/>
        <condense val="0"/>
        <extend val="0"/>
        <outline val="0"/>
        <shadow val="0"/>
        <u val="none"/>
        <vertAlign val="baseline"/>
        <sz val="11"/>
        <color theme="1"/>
        <name val="Arial"/>
        <family val="2"/>
        <scheme val="none"/>
      </font>
      <numFmt numFmtId="166" formatCode="&quot;$&quot;#,##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66" formatCode="&quot;$&quot;#,##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66" formatCode="&quot;$&quot;#,##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4" formatCode="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3F3F3F"/>
        </top>
      </border>
    </dxf>
    <dxf>
      <font>
        <b val="0"/>
        <i val="0"/>
        <strike val="0"/>
        <condense val="0"/>
        <extend val="0"/>
        <outline val="0"/>
        <shadow val="0"/>
        <u val="none"/>
        <vertAlign val="baseline"/>
        <sz val="11"/>
        <color theme="1"/>
        <name val="Arial"/>
        <family val="2"/>
        <scheme val="none"/>
      </font>
    </dxf>
    <dxf>
      <border outline="0">
        <bottom style="thin">
          <color rgb="FF3F3F3F"/>
        </bottom>
      </border>
    </dxf>
    <dxf>
      <font>
        <b/>
        <i val="0"/>
        <strike val="0"/>
        <condense val="0"/>
        <extend val="0"/>
        <outline val="0"/>
        <shadow val="0"/>
        <u val="none"/>
        <vertAlign val="baseline"/>
        <sz val="10"/>
        <color auto="1"/>
        <name val="Arial"/>
        <family val="2"/>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rgb="FF3F3F3F"/>
        </left>
        <right style="thin">
          <color rgb="FF3F3F3F"/>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80A624B-EB9B-4DED-9FE7-BD9732A80251}" name="Table49" displayName="Table49" ref="A3:U75" totalsRowShown="0" headerRowDxfId="176" dataDxfId="174" headerRowBorderDxfId="175" tableBorderDxfId="173" headerRowCellStyle="Output">
  <autoFilter ref="A3:U75" xr:uid="{A80A624B-EB9B-4DED-9FE7-BD9732A80251}"/>
  <sortState xmlns:xlrd2="http://schemas.microsoft.com/office/spreadsheetml/2017/richdata2" ref="A4:U75">
    <sortCondition ref="B3:B75"/>
  </sortState>
  <tableColumns count="21">
    <tableColumn id="1" xr3:uid="{DC8A7A3A-1C4F-428B-9F8A-A718FB96B832}" name="Hospital Code" dataDxfId="172"/>
    <tableColumn id="2" xr3:uid="{BC5F8CBC-9759-4C1C-9D6B-56F193754962}" name="Hospital Name" dataDxfId="171"/>
    <tableColumn id="3" xr3:uid="{758FD94D-8C7C-4525-895C-E563BDEA1C20}" name="Health System (if any) or Single Site" dataDxfId="170"/>
    <tableColumn id="13" xr3:uid="{8ADABB4D-7CAE-4278-82C0-B118555012C2}" name="County" dataDxfId="169"/>
    <tableColumn id="14" xr3:uid="{38BC16D8-51D4-418A-9678-6B29E5C538ED}" name="Hospital Region" dataDxfId="168"/>
    <tableColumn id="15" xr3:uid="{FD75F3A7-E4E5-4F7F-A973-C84FC74626AD}" name="Rural/Urban" dataDxfId="167"/>
    <tableColumn id="12" xr3:uid="{720B1BA3-6274-4220-BB90-0C43CB8F80D7}" name="CY 2019 Total Staffing Cost/Salaries" dataDxfId="166"/>
    <tableColumn id="16" xr3:uid="{91EFB4BA-F13D-484F-A57A-11D36C685533}" name="CY 2019 Contract Services" dataDxfId="165"/>
    <tableColumn id="21" xr3:uid="{5EFD0D78-3DAE-486B-831C-B6BB44003A83}" name="CY 2019 % Staffing Cost to Total" dataDxfId="164">
      <calculatedColumnFormula>G4/K4</calculatedColumnFormula>
    </tableColumn>
    <tableColumn id="6" xr3:uid="{40870F39-0696-4EF7-BDEC-68ACE83C82D3}" name="CY 2019 % Contract Services Cost to Total" dataDxfId="163">
      <calculatedColumnFormula>H4/K4</calculatedColumnFormula>
    </tableColumn>
    <tableColumn id="4" xr3:uid="{0F1F1B2D-41EA-489C-ADE6-24E23026CC58}" name=" CY 2019 Operating Expenses " dataDxfId="162"/>
    <tableColumn id="17" xr3:uid="{0D253103-3F80-4EBB-9D73-83F16BE40986}" name="CY 2020 Total Staffing Cost/Salaries" dataDxfId="161"/>
    <tableColumn id="18" xr3:uid="{A3DE2B5C-9F32-49CB-9611-3661F823677D}" name="CY 2020 Contract Services" dataDxfId="160"/>
    <tableColumn id="22" xr3:uid="{F212C0BB-A38E-4334-94B5-0825A616041F}" name="CY 2020 % Staffing Cost to Total" dataDxfId="159">
      <calculatedColumnFormula>L4/P4</calculatedColumnFormula>
    </tableColumn>
    <tableColumn id="8" xr3:uid="{73E13F28-6E4C-49F1-89E4-C70BF23421FE}" name="CY 2020 % Contract Services Cost to Total" dataDxfId="158">
      <calculatedColumnFormula>M4/P4</calculatedColumnFormula>
    </tableColumn>
    <tableColumn id="5" xr3:uid="{0BECB4B5-6FD7-4F21-A75A-546EB15CC36A}" name="CY 2020 Operating Expenses  " dataDxfId="157"/>
    <tableColumn id="19" xr3:uid="{5CDCC5C2-9E05-41B4-BEDE-4C8D5EAEB69E}" name="CY 2021 Total Staffing Cost/Salaries" dataDxfId="156"/>
    <tableColumn id="20" xr3:uid="{DC3D3169-AEF2-4064-A00E-EEEA84A11B60}" name="CY 2021 Contract Services" dataDxfId="155"/>
    <tableColumn id="23" xr3:uid="{539994BE-C446-4001-820D-164155A061C6}" name="CY 2021 % Staffing Cost to Total" dataDxfId="154">
      <calculatedColumnFormula>Q4/U4</calculatedColumnFormula>
    </tableColumn>
    <tableColumn id="9" xr3:uid="{0F3327D6-3AE5-41EB-8130-938425F40CBC}" name="CY 2021 % Contract Services Cost to Total" dataDxfId="153">
      <calculatedColumnFormula>R4/U4</calculatedColumnFormula>
    </tableColumn>
    <tableColumn id="7" xr3:uid="{2AE82541-FDF5-4644-9BC6-2CD30F11F780}" name="CY 2021 Operating Expenses" dataDxfId="152"/>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A0D0C5D-21D2-4470-A937-64C07B52A665}" name="Table4" displayName="Table4" ref="A3:O75" totalsRowShown="0" headerRowDxfId="151" dataDxfId="149" headerRowBorderDxfId="150" tableBorderDxfId="148" headerRowCellStyle="Output">
  <autoFilter ref="A3:O75" xr:uid="{3A0D0C5D-21D2-4470-A937-64C07B52A665}"/>
  <sortState xmlns:xlrd2="http://schemas.microsoft.com/office/spreadsheetml/2017/richdata2" ref="A4:O75">
    <sortCondition ref="B3:B75"/>
  </sortState>
  <tableColumns count="15">
    <tableColumn id="1" xr3:uid="{D9FC34CE-1F72-4EEE-932C-BB422739FB9D}" name="Hospital Code" dataDxfId="147"/>
    <tableColumn id="2" xr3:uid="{C42E8BB6-395A-4DDE-92CE-7E2894DB5337}" name="Hospital Name" dataDxfId="146"/>
    <tableColumn id="3" xr3:uid="{BCE08314-FCB6-4EF0-9089-664BE975ADF0}" name="Health System (if any) or Single Site" dataDxfId="145"/>
    <tableColumn id="13" xr3:uid="{626AC905-1704-4A15-843B-D1AF05CCB54E}" name="County" dataDxfId="144"/>
    <tableColumn id="14" xr3:uid="{D3ECE90C-4A96-4F55-9012-1C5D309A9EED}" name="Hospital Region" dataDxfId="143"/>
    <tableColumn id="15" xr3:uid="{96EE6BFA-F383-4EC7-9C54-8B8E56B94CEE}" name="Rural/Urban" dataDxfId="142"/>
    <tableColumn id="4" xr3:uid="{4ECACB8C-024B-4D98-9A10-0BDCF1A5676F}" name=" CY 2019 Operating Income " dataDxfId="141"/>
    <tableColumn id="5" xr3:uid="{5A8E21E8-CC68-4313-98A3-E368010A8B44}" name="CY 2019 Operating Revenue  " dataDxfId="140"/>
    <tableColumn id="6" xr3:uid="{88D072A2-ABD6-4728-B8F0-630360523EBA}" name="CY 2019 Operating Margin" dataDxfId="139">
      <calculatedColumnFormula>G4/H4</calculatedColumnFormula>
    </tableColumn>
    <tableColumn id="7" xr3:uid="{06846946-6C9F-4A12-AB59-BFCEE08A095C}" name="CY 2020 Operating Income" dataDxfId="138"/>
    <tableColumn id="8" xr3:uid="{01D29795-0FB7-498B-9332-C2DD585FD5AB}" name="CY 2020 Operating Revenue " dataDxfId="137"/>
    <tableColumn id="9" xr3:uid="{AEE387D5-5F72-44FD-A558-4CEB08BAB2F7}" name="CY 2020 Operating Margin " dataDxfId="136">
      <calculatedColumnFormula>J4/K4</calculatedColumnFormula>
    </tableColumn>
    <tableColumn id="10" xr3:uid="{3E9FD832-A3EE-4257-B7B7-1328219ECCC2}" name=" CY 2021 Operating Income" dataDxfId="135"/>
    <tableColumn id="11" xr3:uid="{B5BF78FF-3B47-4E37-81EF-64D4C99C8B0B}" name="CY 2021 Operating Revenue " dataDxfId="134"/>
    <tableColumn id="12" xr3:uid="{48EF5297-B3DA-4B10-89DB-C3123BEACF03}" name="CY 2021 Operating Margin" dataDxfId="133">
      <calculatedColumnFormula>M4/N4</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81BC43-EC94-44EA-8835-6A557F28EEBF}" name="Table3" displayName="Table3" ref="A3:I75" totalsRowShown="0" headerRowDxfId="132" dataDxfId="130" headerRowBorderDxfId="131" tableBorderDxfId="129" totalsRowBorderDxfId="128">
  <autoFilter ref="A3:I75" xr:uid="{8281BC43-EC94-44EA-8835-6A557F28EEBF}"/>
  <sortState xmlns:xlrd2="http://schemas.microsoft.com/office/spreadsheetml/2017/richdata2" ref="A4:I75">
    <sortCondition ref="B3:B75"/>
  </sortState>
  <tableColumns count="9">
    <tableColumn id="1" xr3:uid="{CD726511-1EDE-4ADE-B464-148A510AC593}" name="Hospital Code" dataDxfId="127"/>
    <tableColumn id="2" xr3:uid="{542BE120-D972-434D-AFF4-DBE9A70CCCB0}" name="Hospital Name" dataDxfId="126"/>
    <tableColumn id="3" xr3:uid="{C7ECFEA2-EC0B-477D-8A51-713D22883C0F}" name="Health System (if any) or Single Site" dataDxfId="125"/>
    <tableColumn id="7" xr3:uid="{21CE892F-2F65-4333-80E7-B4490FD50C8C}" name="County" dataDxfId="124"/>
    <tableColumn id="8" xr3:uid="{A36AA150-EBB6-4693-B797-3CEF9230F80B}" name="Hospital Region" dataDxfId="123"/>
    <tableColumn id="9" xr3:uid="{23E65205-C499-492E-AD13-CE70589E4F40}" name="Rural/Urban" dataDxfId="122"/>
    <tableColumn id="4" xr3:uid="{7B88AE95-6AA4-41E8-8A12-928D8C7B45AF}" name="2019 Year-End Total Cash on Hand " dataDxfId="121"/>
    <tableColumn id="5" xr3:uid="{E9FBB6CE-B365-4926-B104-E6D3F94DC524}" name="2020 Year-End Total Cash on Hand " dataDxfId="120"/>
    <tableColumn id="6" xr3:uid="{CB757682-BFCE-4FC1-ADBD-980F050ED6D8}" name="2021 Year-End Total Cash on Hand " dataDxfId="119"/>
  </tableColumns>
  <tableStyleInfo name="TableStyleMedium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D4E0E0C-E5FD-4092-8F1D-B3806E2F2A68}" name="Table2" displayName="Table2" ref="A3:AA75" totalsRowShown="0" headerRowDxfId="118" dataDxfId="116" headerRowBorderDxfId="117" tableBorderDxfId="115" totalsRowBorderDxfId="114">
  <autoFilter ref="A3:AA75" xr:uid="{9D4E0E0C-E5FD-4092-8F1D-B3806E2F2A68}"/>
  <sortState xmlns:xlrd2="http://schemas.microsoft.com/office/spreadsheetml/2017/richdata2" ref="A4:AA75">
    <sortCondition ref="B3:B75"/>
  </sortState>
  <tableColumns count="27">
    <tableColumn id="1" xr3:uid="{58E2B3FB-E9E2-48F6-943B-D9C3900731AF}" name="Hospital Code" dataDxfId="113"/>
    <tableColumn id="2" xr3:uid="{7EEC00D8-9C20-4281-B43E-99D2D6BD9C81}" name="Hospital Name" dataDxfId="112"/>
    <tableColumn id="3" xr3:uid="{12522156-1A63-4C8D-884E-A291DC8E7EE1}" name="Health System (if any) or Single Site" dataDxfId="111"/>
    <tableColumn id="43" xr3:uid="{795408C7-8829-4E8B-A41C-EAF90B911F51}" name="County" dataDxfId="110"/>
    <tableColumn id="44" xr3:uid="{B6443BF5-6EC5-4FAC-B45D-E99D91192C3C}" name="Hospital Region" dataDxfId="109"/>
    <tableColumn id="45" xr3:uid="{505FCD69-713D-4470-B921-2F955B667EB7}" name="Rural/Urban" dataDxfId="108"/>
    <tableColumn id="6" xr3:uid="{14CF7BB4-F952-42E0-B517-316EACD54760}" name="2019 Medicare " dataDxfId="107"/>
    <tableColumn id="7" xr3:uid="{B27CD3AA-EB17-4DFB-8F95-EE82BECA8869}" name="2019 Medicaid " dataDxfId="106"/>
    <tableColumn id="8" xr3:uid="{C12D1C65-DC04-4FE9-95C3-ECAF69909186}" name="2019 Champus/ Tricare " dataDxfId="105"/>
    <tableColumn id="12" xr3:uid="{B79E937F-88CE-4EFC-A590-785A9B24D20D}" name="2019 Commercial Insurance " dataDxfId="104"/>
    <tableColumn id="13" xr3:uid="{13967A65-50AD-468F-BBC8-A44A87AE0C2E}" name="2019 Uninsured" dataDxfId="103"/>
    <tableColumn id="15" xr3:uid="{400FD408-EAE9-47DA-BB57-CC55E0171D9F}" name="2019 Others " dataDxfId="102"/>
    <tableColumn id="16" xr3:uid="{59ED79E2-8E5F-478E-ACCA-3F15EF617A16}" name="2019 Total " dataDxfId="101"/>
    <tableColumn id="19" xr3:uid="{8D655150-1017-447F-9242-7A0ADB70B612}" name="2020 Medicare " dataDxfId="100"/>
    <tableColumn id="20" xr3:uid="{FC20480F-93BB-4A6B-9C28-9A9437250137}" name="2020 Medicaid " dataDxfId="99"/>
    <tableColumn id="21" xr3:uid="{EAB12842-CFE6-4D95-8EBB-64355CE667DC}" name="2020 Champus/ Tricare " dataDxfId="98"/>
    <tableColumn id="25" xr3:uid="{093A7151-E919-4CAF-AAEB-749E820D2E26}" name="2020 Commercial Insurance " dataDxfId="97"/>
    <tableColumn id="27" xr3:uid="{46F982E7-4D9C-4116-AF71-890A82161F6E}" name="2020 Uninsured" dataDxfId="96"/>
    <tableColumn id="28" xr3:uid="{46BC2FB3-FE56-48D4-96B2-A03A83145F52}" name="2020 Others " dataDxfId="95"/>
    <tableColumn id="29" xr3:uid="{FB09ED66-59D5-46DB-A952-8231CDC20046}" name="2020 Total" dataDxfId="94"/>
    <tableColumn id="32" xr3:uid="{F213F1B2-6E96-40DF-855E-E6EA8D081B82}" name="2021 Medicare " dataDxfId="93"/>
    <tableColumn id="33" xr3:uid="{660FEEED-61A2-47E6-AF39-3E7FBA2416DF}" name="2021 Medicaid " dataDxfId="92"/>
    <tableColumn id="34" xr3:uid="{6FC41502-30DF-40DA-ADF6-FB3E2B8F13E5}" name="2021 Champus/ Tricare " dataDxfId="91"/>
    <tableColumn id="38" xr3:uid="{DA26E378-B9B9-43E1-BE03-8CBEA46E626F}" name="2021 Commercial Insurance " dataDxfId="90"/>
    <tableColumn id="40" xr3:uid="{5CAEED8D-B785-4CFA-A172-2D6DD01C5089}" name="2021 Uninsured" dataDxfId="89"/>
    <tableColumn id="41" xr3:uid="{742A065F-59BE-4E4F-A35E-59595219156A}" name="2021 Others " dataDxfId="88"/>
    <tableColumn id="42" xr3:uid="{8C8B42E0-1AFB-4A3B-91A0-A00812B23534}" name="2021 Total " dataDxfId="87"/>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6E8E4F1-F7BA-4DBA-A3DA-2D1315BDBCD4}" name="Table26" displayName="Table26" ref="A3:AA75" totalsRowShown="0" headerRowDxfId="86" dataDxfId="84" headerRowBorderDxfId="85" tableBorderDxfId="83" totalsRowBorderDxfId="82">
  <autoFilter ref="A3:AA75" xr:uid="{06E8E4F1-F7BA-4DBA-A3DA-2D1315BDBCD4}"/>
  <sortState xmlns:xlrd2="http://schemas.microsoft.com/office/spreadsheetml/2017/richdata2" ref="A4:AA75">
    <sortCondition ref="B3:B75"/>
  </sortState>
  <tableColumns count="27">
    <tableColumn id="1" xr3:uid="{6FF8001B-508F-4B73-8848-BF766A0A694E}" name="Hospital Code" dataDxfId="81"/>
    <tableColumn id="2" xr3:uid="{A81C83D1-6D4D-4A3E-98BB-8BD1E9417F2D}" name="Hospital Name" dataDxfId="80"/>
    <tableColumn id="3" xr3:uid="{42914D1E-A227-4C7F-87BF-A721360F7CB3}" name="Health System (if any) or Single Site" dataDxfId="79"/>
    <tableColumn id="43" xr3:uid="{9396D097-DA9C-4E5D-B6D2-026277EE1150}" name="County" dataDxfId="78"/>
    <tableColumn id="44" xr3:uid="{856B30C1-D13B-4283-A3DB-3A77E0E85ECF}" name="Hospital Region" dataDxfId="77"/>
    <tableColumn id="45" xr3:uid="{A1433E78-B0BA-453C-BB8B-03C077E2AB07}" name="Rural/Urban" dataDxfId="76"/>
    <tableColumn id="6" xr3:uid="{3499BB98-A429-4E95-AB65-4C8789975713}" name="2019 Medicare " dataDxfId="75"/>
    <tableColumn id="7" xr3:uid="{67DB4565-EFDF-4AD9-BB2A-57DBCD63F9B4}" name="2019 Medicaid " dataDxfId="74"/>
    <tableColumn id="8" xr3:uid="{3E167691-A912-4326-8FDE-DF29B43136DA}" name="2019 Champus/ Tricare " dataDxfId="73"/>
    <tableColumn id="12" xr3:uid="{FC7A3294-4760-4780-AE16-D48FB5E440BE}" name="2019 Commercial Insurance " dataDxfId="72"/>
    <tableColumn id="14" xr3:uid="{1DF56737-1AD1-4512-A0A8-5C1CF5F29859}" name="2019 Uninsured" dataDxfId="71"/>
    <tableColumn id="15" xr3:uid="{880D5C2F-6045-410B-9288-494D5C918A7A}" name="2019 Others " dataDxfId="70"/>
    <tableColumn id="16" xr3:uid="{3E0721DE-3B14-4A56-8115-7227E2FE4B1C}" name="2019 Total " dataDxfId="69"/>
    <tableColumn id="19" xr3:uid="{FF425DAF-558E-4219-8AEA-6B206F43AEE1}" name="2020 Medicare " dataDxfId="68"/>
    <tableColumn id="20" xr3:uid="{32667003-E1EE-4B2F-BB51-DF24FB6B873C}" name="2020 Medicaid " dataDxfId="67"/>
    <tableColumn id="21" xr3:uid="{26C08434-91ED-4431-8A3C-7A0E5238AF90}" name="2020 Champus/ Tricare " dataDxfId="66"/>
    <tableColumn id="25" xr3:uid="{A600DB3A-EE5C-4EB2-9CB2-0428789E2E64}" name="2020 Commercial Insurance " dataDxfId="65"/>
    <tableColumn id="27" xr3:uid="{25CC490F-FB74-459E-BC57-84320C4EB92A}" name="2020 Uninsured" dataDxfId="64"/>
    <tableColumn id="28" xr3:uid="{F29024C2-21A2-4F40-8044-24CBBD97CB86}" name="2020 Others " dataDxfId="63"/>
    <tableColumn id="29" xr3:uid="{8EC02F23-1C5B-4D61-AEF3-35D2075CC550}" name="2020 Total" dataDxfId="62"/>
    <tableColumn id="32" xr3:uid="{9E44B943-9CC1-4712-899C-521A1CFA00DA}" name="2021 Medicare " dataDxfId="61"/>
    <tableColumn id="33" xr3:uid="{BEB3EA51-7E3B-4B8A-B8BB-BE5B4D88FCA4}" name="2021 Medicaid " dataDxfId="60"/>
    <tableColumn id="34" xr3:uid="{DC4C8F7F-73FA-474B-B50B-5179D0A7C4AA}" name="2021 Champus/ Tricare " dataDxfId="59"/>
    <tableColumn id="38" xr3:uid="{39E72C05-8434-41E1-A8CA-D0072E195E14}" name="2021 Commercial Insurance " dataDxfId="58"/>
    <tableColumn id="40" xr3:uid="{93069CF5-21B8-4955-84DB-8C56030912F6}" name="2021 Uninsured" dataDxfId="57"/>
    <tableColumn id="41" xr3:uid="{3484F40E-4DF0-42B7-94CD-572E9C75FA2D}" name="2021 Others " dataDxfId="56"/>
    <tableColumn id="42" xr3:uid="{91826FD1-5225-4A66-BF23-6DE5D3F16586}" name="2021 Total " dataDxfId="55"/>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D15D22A-DA0E-4B88-B5EC-DEFB4BAE25EF}" name="Table267" displayName="Table267" ref="A3:X75" totalsRowShown="0" headerRowDxfId="54" dataDxfId="52" headerRowBorderDxfId="53" tableBorderDxfId="51" totalsRowBorderDxfId="50">
  <autoFilter ref="A3:X75" xr:uid="{06E8E4F1-F7BA-4DBA-A3DA-2D1315BDBCD4}"/>
  <sortState xmlns:xlrd2="http://schemas.microsoft.com/office/spreadsheetml/2017/richdata2" ref="A4:X75">
    <sortCondition ref="B3:B75"/>
  </sortState>
  <tableColumns count="24">
    <tableColumn id="1" xr3:uid="{FC602572-898E-414B-BA1D-BBAF335C3F82}" name="Hospital Code" dataDxfId="49"/>
    <tableColumn id="2" xr3:uid="{237737E9-AEE0-48B3-8BD7-AEC2BB1938FB}" name="Hospital Name" dataDxfId="48"/>
    <tableColumn id="3" xr3:uid="{A4FE84BC-352E-49F6-83F3-AF71E0D9BE3B}" name="Health System (if any) or Single Site" dataDxfId="47"/>
    <tableColumn id="16" xr3:uid="{63708DC7-79B8-43E4-BF63-CE8321278372}" name="County" dataDxfId="46"/>
    <tableColumn id="29" xr3:uid="{3A8158B0-0A5F-436E-8960-7C7EF3065E33}" name="Hospital Region" dataDxfId="45"/>
    <tableColumn id="42" xr3:uid="{02B9AF5E-358B-4C91-9792-0FFCB1762836}" name="Rural/Urban" dataDxfId="44"/>
    <tableColumn id="4" xr3:uid="{7F0F6AB3-88D2-486F-AF7B-CD2AD6ED8638}" name="2019 Medicare " dataDxfId="43"/>
    <tableColumn id="5" xr3:uid="{70553C16-9D16-4674-898E-FAB71F81EBB0}" name="2019 Medicaid " dataDxfId="42"/>
    <tableColumn id="6" xr3:uid="{5281B910-AEE4-4ABA-AB68-25377EF3480E}" name="2019 Champus/ Tricare " dataDxfId="41"/>
    <tableColumn id="7" xr3:uid="{73952765-B48F-4F9F-B311-66D17DF497D2}" name="2019 Commercial Insurance " dataDxfId="40"/>
    <tableColumn id="8" xr3:uid="{CFB40F3C-8E8D-4750-A5E0-4EBC757FA1E2}" name="2019 Self Pay " dataDxfId="39"/>
    <tableColumn id="9" xr3:uid="{670CCDEC-9368-42DA-AA9E-41F2F78EC1A2}" name="2019 Others " dataDxfId="38"/>
    <tableColumn id="10" xr3:uid="{D2B8D971-7F1F-47D5-8FBC-E4E159FD6A03}" name="2020 Medicare " dataDxfId="37"/>
    <tableColumn id="11" xr3:uid="{5DE54510-82AD-4C7C-A323-372E549146F0}" name="2020 Medicaid " dataDxfId="36"/>
    <tableColumn id="12" xr3:uid="{F28E0C2B-B6AD-41A4-8AFA-738757C28073}" name="2020 Champus/ Tricare " dataDxfId="35"/>
    <tableColumn id="13" xr3:uid="{9C481AA3-FB1B-4064-84B8-398736F8D49A}" name="2020 Commercial Insurance " dataDxfId="34"/>
    <tableColumn id="14" xr3:uid="{0C086925-E705-408F-BDF6-998D794AFE89}" name="2020 Self Pay " dataDxfId="33"/>
    <tableColumn id="15" xr3:uid="{32AD3D2C-95A0-4B75-A323-66DDFFF9C077}" name="2020 Others " dataDxfId="32"/>
    <tableColumn id="17" xr3:uid="{18200187-0DF7-4F5E-BD0F-E56FC62EAFFA}" name="2021 Medicare " dataDxfId="31"/>
    <tableColumn id="18" xr3:uid="{50E4342C-E3AA-4D9E-BCD2-AB23166C7669}" name="2021 Medicaid " dataDxfId="30"/>
    <tableColumn id="19" xr3:uid="{CDD36DA6-A41D-4031-BC6B-91DA72E77846}" name="2021 Champus/ Tricare " dataDxfId="29"/>
    <tableColumn id="20" xr3:uid="{1DDE770B-E310-4083-9B32-78C53AD616A6}" name="2021 Commercial Insurance " dataDxfId="28"/>
    <tableColumn id="21" xr3:uid="{1843A36B-B348-4AD6-B75B-ABC9B6CA3257}" name="2021 Self Pay " dataDxfId="27"/>
    <tableColumn id="22" xr3:uid="{871F6836-33BC-4D6D-8A8E-51860673BDA7}" name="2021 Others " dataDxfId="26"/>
  </tableColumns>
  <tableStyleInfo name="TableStyleMedium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3CBBE2-188C-4E96-8ED1-7DED4643C405}" name="Table1" displayName="Table1" ref="A3:O75" totalsRowShown="0" headerRowDxfId="25" dataDxfId="23" headerRowBorderDxfId="24" tableBorderDxfId="22" headerRowCellStyle="Output">
  <autoFilter ref="A3:O75" xr:uid="{EC3CBBE2-188C-4E96-8ED1-7DED4643C405}"/>
  <sortState xmlns:xlrd2="http://schemas.microsoft.com/office/spreadsheetml/2017/richdata2" ref="A4:O75">
    <sortCondition ref="B3:B75"/>
  </sortState>
  <tableColumns count="15">
    <tableColumn id="1" xr3:uid="{E739D1C0-2387-41DF-996F-4D2EE7064288}" name="Hospital Code" dataDxfId="21"/>
    <tableColumn id="2" xr3:uid="{68971E0E-A227-40C6-A82F-3340EC87B77C}" name="Hospital Name" dataDxfId="20"/>
    <tableColumn id="3" xr3:uid="{40260778-34EE-403C-8293-0FB823EF1A68}" name="Health System (if any) or Single Site" dataDxfId="19"/>
    <tableColumn id="13" xr3:uid="{034E6359-3816-4082-8F0F-038957B5CA2E}" name="County" dataDxfId="18"/>
    <tableColumn id="14" xr3:uid="{CAC93DFE-FBFE-4599-8F58-1114A5938AC7}" name="Hospital Region" dataDxfId="17"/>
    <tableColumn id="15" xr3:uid="{5FC0F181-0952-4C81-96D5-82317B90B726}" name="Rural/Urban" dataDxfId="16"/>
    <tableColumn id="4" xr3:uid="{D85B0F54-981C-4F65-9A6A-341A8909D17B}" name="2019 Total Income" dataDxfId="15"/>
    <tableColumn id="5" xr3:uid="{0C2F5101-0D16-42F8-AE9C-41DBEDF5BD2C}" name="2019 Total Revenue" dataDxfId="14"/>
    <tableColumn id="6" xr3:uid="{6411D65F-5901-43B2-8212-AA32996599E8}" name="2019 Net Profit Margin" dataDxfId="13">
      <calculatedColumnFormula>G4/H4</calculatedColumnFormula>
    </tableColumn>
    <tableColumn id="7" xr3:uid="{7F4222BB-4C52-4418-A690-E31221851DCB}" name="2020 Total Income" dataDxfId="12"/>
    <tableColumn id="8" xr3:uid="{E58F7EB2-29F8-47F4-9EF9-8CF31D3AECF1}" name="2020 Total Revenue" dataDxfId="11"/>
    <tableColumn id="9" xr3:uid="{8AA0E860-BFEE-4521-B11B-D8448368B7FF}" name="2020 Net Profit Margin " dataDxfId="10">
      <calculatedColumnFormula>J4/K4</calculatedColumnFormula>
    </tableColumn>
    <tableColumn id="10" xr3:uid="{75B8A409-498A-454B-B676-8FED978A6754}" name="2021 Income" dataDxfId="9"/>
    <tableColumn id="11" xr3:uid="{F875F15C-ED4E-4C50-AF4A-46C1BAE8F2B2}" name="2021 Total Revenue" dataDxfId="8"/>
    <tableColumn id="12" xr3:uid="{14AF3A08-02B0-468D-9336-D6335F967829}" name="2021  Net Profit Margain " dataDxfId="7">
      <calculatedColumnFormula>M4/N4</calculatedColumnFormula>
    </tableColumn>
  </tableColumns>
  <tableStyleInfo name="TableStyleMedium1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D9746F9-75A3-4E7D-8E2C-14408D5AE46E}" name="Table7" displayName="Table7" ref="A3:B18" totalsRowShown="0" headerRowDxfId="6" dataDxfId="4" headerRowBorderDxfId="5" tableBorderDxfId="3" totalsRowBorderDxfId="2">
  <autoFilter ref="A3:B18" xr:uid="{BD9746F9-75A3-4E7D-8E2C-14408D5AE46E}"/>
  <tableColumns count="2">
    <tableColumn id="1" xr3:uid="{F1162E51-AEE4-4213-A56B-CB8ECCFB1E00}" name="Term" dataDxfId="1"/>
    <tableColumn id="2" xr3:uid="{9F862A20-9A12-4CB6-859B-1EBD8E0D704F}" name="Definition &amp; Additional Information"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93D12-1628-4CD0-BF4D-936C86388201}">
  <dimension ref="A1:U108"/>
  <sheetViews>
    <sheetView tabSelected="1" zoomScale="80" zoomScaleNormal="80" workbookViewId="0">
      <selection sqref="A1:U1"/>
    </sheetView>
  </sheetViews>
  <sheetFormatPr defaultColWidth="9.15625" defaultRowHeight="13.8" x14ac:dyDescent="0.45"/>
  <cols>
    <col min="1" max="1" width="27.41796875" style="2" customWidth="1"/>
    <col min="2" max="2" width="79.15625" style="2" customWidth="1"/>
    <col min="3" max="3" width="42.83984375" style="2" bestFit="1" customWidth="1"/>
    <col min="4" max="4" width="13.83984375" style="2" bestFit="1" customWidth="1"/>
    <col min="5" max="5" width="14.83984375" style="2" bestFit="1" customWidth="1"/>
    <col min="6" max="6" width="15.578125" style="2" customWidth="1"/>
    <col min="7" max="7" width="20.15625" style="2" bestFit="1" customWidth="1"/>
    <col min="8" max="8" width="15.578125" style="2" bestFit="1" customWidth="1"/>
    <col min="9" max="9" width="19.15625" style="2" bestFit="1" customWidth="1"/>
    <col min="10" max="10" width="19.15625" style="2" customWidth="1"/>
    <col min="11" max="12" width="25.578125" style="2" bestFit="1" customWidth="1"/>
    <col min="13" max="13" width="23.578125" style="2" bestFit="1" customWidth="1"/>
    <col min="14" max="14" width="24.83984375" style="2" bestFit="1" customWidth="1"/>
    <col min="15" max="15" width="24.83984375" style="2" customWidth="1"/>
    <col min="16" max="16" width="25" style="2" bestFit="1" customWidth="1"/>
    <col min="17" max="17" width="28.15625" style="2" bestFit="1" customWidth="1"/>
    <col min="18" max="18" width="23.578125" style="2" bestFit="1" customWidth="1"/>
    <col min="19" max="19" width="24.83984375" style="2" bestFit="1" customWidth="1"/>
    <col min="20" max="20" width="24.83984375" style="2" customWidth="1"/>
    <col min="21" max="21" width="25" style="2" bestFit="1" customWidth="1"/>
    <col min="22" max="16384" width="9.15625" style="2"/>
  </cols>
  <sheetData>
    <row r="1" spans="1:21" ht="22.8" thickBot="1" x14ac:dyDescent="0.8">
      <c r="A1" s="92" t="s">
        <v>262</v>
      </c>
      <c r="B1" s="93"/>
      <c r="C1" s="93"/>
      <c r="D1" s="93"/>
      <c r="E1" s="93"/>
      <c r="F1" s="93"/>
      <c r="G1" s="93"/>
      <c r="H1" s="93"/>
      <c r="I1" s="93"/>
      <c r="J1" s="93"/>
      <c r="K1" s="93"/>
      <c r="L1" s="93"/>
      <c r="M1" s="93"/>
      <c r="N1" s="93"/>
      <c r="O1" s="93"/>
      <c r="P1" s="93"/>
      <c r="Q1" s="93"/>
      <c r="R1" s="93"/>
      <c r="S1" s="93"/>
      <c r="T1" s="93"/>
      <c r="U1" s="93"/>
    </row>
    <row r="3" spans="1:21" s="3" customFormat="1" ht="46.5" customHeight="1" x14ac:dyDescent="0.45">
      <c r="A3" s="1" t="s">
        <v>88</v>
      </c>
      <c r="B3" s="1" t="s">
        <v>89</v>
      </c>
      <c r="C3" s="1" t="s">
        <v>99</v>
      </c>
      <c r="D3" s="1" t="s">
        <v>233</v>
      </c>
      <c r="E3" s="1" t="s">
        <v>234</v>
      </c>
      <c r="F3" s="1" t="s">
        <v>235</v>
      </c>
      <c r="G3" s="1" t="s">
        <v>271</v>
      </c>
      <c r="H3" s="1" t="s">
        <v>274</v>
      </c>
      <c r="I3" s="1" t="s">
        <v>277</v>
      </c>
      <c r="J3" s="1" t="s">
        <v>278</v>
      </c>
      <c r="K3" s="34" t="s">
        <v>264</v>
      </c>
      <c r="L3" s="1" t="s">
        <v>272</v>
      </c>
      <c r="M3" s="34" t="s">
        <v>275</v>
      </c>
      <c r="N3" s="1" t="s">
        <v>279</v>
      </c>
      <c r="O3" s="1" t="s">
        <v>280</v>
      </c>
      <c r="P3" s="34" t="s">
        <v>263</v>
      </c>
      <c r="Q3" s="1" t="s">
        <v>273</v>
      </c>
      <c r="R3" s="34" t="s">
        <v>276</v>
      </c>
      <c r="S3" s="1" t="s">
        <v>281</v>
      </c>
      <c r="T3" s="1" t="s">
        <v>282</v>
      </c>
      <c r="U3" s="34" t="s">
        <v>265</v>
      </c>
    </row>
    <row r="4" spans="1:21" x14ac:dyDescent="0.45">
      <c r="A4" s="35">
        <v>642</v>
      </c>
      <c r="B4" s="11" t="s">
        <v>0</v>
      </c>
      <c r="C4" s="11" t="s">
        <v>68</v>
      </c>
      <c r="D4" s="11" t="s">
        <v>236</v>
      </c>
      <c r="E4" s="11" t="s">
        <v>237</v>
      </c>
      <c r="F4" s="11" t="s">
        <v>238</v>
      </c>
      <c r="G4" s="36">
        <v>99728000</v>
      </c>
      <c r="H4" s="36">
        <v>14463000</v>
      </c>
      <c r="I4" s="47">
        <f t="shared" ref="I4:I35" si="0">G4/K4</f>
        <v>0.35344735928097026</v>
      </c>
      <c r="J4" s="47">
        <f t="shared" ref="J4:J35" si="1">H4/K4</f>
        <v>5.1258514732880157E-2</v>
      </c>
      <c r="K4" s="83">
        <v>282158000</v>
      </c>
      <c r="L4" s="36">
        <v>96123000</v>
      </c>
      <c r="M4" s="36">
        <v>18875000</v>
      </c>
      <c r="N4" s="47">
        <f t="shared" ref="N4:N35" si="2">L4/P4</f>
        <v>0.34357251362702174</v>
      </c>
      <c r="O4" s="47">
        <f t="shared" ref="O4:O35" si="3">M4/P4</f>
        <v>6.7464927173621667E-2</v>
      </c>
      <c r="P4" s="83">
        <v>279775000</v>
      </c>
      <c r="Q4" s="36">
        <v>105288000</v>
      </c>
      <c r="R4" s="36">
        <v>19064000</v>
      </c>
      <c r="S4" s="47">
        <f t="shared" ref="S4:S35" si="4">Q4/U4</f>
        <v>0.34550788556577211</v>
      </c>
      <c r="T4" s="47">
        <f t="shared" ref="T4:T35" si="5">R4/U4</f>
        <v>6.2559478102213739E-2</v>
      </c>
      <c r="U4" s="83">
        <v>304734000</v>
      </c>
    </row>
    <row r="5" spans="1:21" x14ac:dyDescent="0.45">
      <c r="A5" s="51">
        <v>641</v>
      </c>
      <c r="B5" s="11" t="s">
        <v>1</v>
      </c>
      <c r="C5" s="11" t="s">
        <v>68</v>
      </c>
      <c r="D5" s="11" t="s">
        <v>236</v>
      </c>
      <c r="E5" s="11" t="s">
        <v>237</v>
      </c>
      <c r="F5" s="11" t="s">
        <v>238</v>
      </c>
      <c r="G5" s="36">
        <v>155985000</v>
      </c>
      <c r="H5" s="36">
        <v>22622000</v>
      </c>
      <c r="I5" s="47">
        <f t="shared" si="0"/>
        <v>0.35344780705332135</v>
      </c>
      <c r="J5" s="47">
        <f t="shared" si="1"/>
        <v>5.125939219258413E-2</v>
      </c>
      <c r="K5" s="83">
        <v>441324000</v>
      </c>
      <c r="L5" s="36">
        <v>150345000</v>
      </c>
      <c r="M5" s="36">
        <v>29520000</v>
      </c>
      <c r="N5" s="47">
        <f t="shared" si="2"/>
        <v>0.34357111027319781</v>
      </c>
      <c r="O5" s="47">
        <f t="shared" si="3"/>
        <v>6.7459637335892775E-2</v>
      </c>
      <c r="P5" s="83">
        <v>437595000</v>
      </c>
      <c r="Q5" s="36">
        <v>164735000</v>
      </c>
      <c r="R5" s="36">
        <v>29819000</v>
      </c>
      <c r="S5" s="47">
        <f t="shared" si="4"/>
        <v>0.34561796244117665</v>
      </c>
      <c r="T5" s="47">
        <f t="shared" si="5"/>
        <v>6.2560973818760107E-2</v>
      </c>
      <c r="U5" s="83">
        <v>476639000</v>
      </c>
    </row>
    <row r="6" spans="1:21" x14ac:dyDescent="0.45">
      <c r="A6" s="51">
        <v>25</v>
      </c>
      <c r="B6" s="11" t="s">
        <v>2</v>
      </c>
      <c r="C6" s="11" t="s">
        <v>71</v>
      </c>
      <c r="D6" s="11" t="s">
        <v>248</v>
      </c>
      <c r="E6" s="11" t="s">
        <v>240</v>
      </c>
      <c r="F6" s="11" t="s">
        <v>241</v>
      </c>
      <c r="G6" s="36">
        <v>54281000</v>
      </c>
      <c r="H6" s="36">
        <v>53197000</v>
      </c>
      <c r="I6" s="47">
        <f t="shared" si="0"/>
        <v>0.33550695972507233</v>
      </c>
      <c r="J6" s="47">
        <f t="shared" si="1"/>
        <v>0.32880683363413848</v>
      </c>
      <c r="K6" s="83">
        <v>161788000</v>
      </c>
      <c r="L6" s="36">
        <v>54488000</v>
      </c>
      <c r="M6" s="36">
        <v>49664000</v>
      </c>
      <c r="N6" s="47">
        <f t="shared" si="2"/>
        <v>0.35271879854997412</v>
      </c>
      <c r="O6" s="47">
        <f t="shared" si="3"/>
        <v>0.32149145520455724</v>
      </c>
      <c r="P6" s="83">
        <v>154480000</v>
      </c>
      <c r="Q6" s="36">
        <v>54687000</v>
      </c>
      <c r="R6" s="36">
        <v>51668000</v>
      </c>
      <c r="S6" s="47">
        <f t="shared" si="4"/>
        <v>0.34630655732514326</v>
      </c>
      <c r="T6" s="47">
        <f t="shared" si="5"/>
        <v>0.32718867745306018</v>
      </c>
      <c r="U6" s="83">
        <v>157915000</v>
      </c>
    </row>
    <row r="7" spans="1:21" x14ac:dyDescent="0.45">
      <c r="A7" s="51">
        <v>112</v>
      </c>
      <c r="B7" s="11" t="s">
        <v>3</v>
      </c>
      <c r="C7" s="11" t="s">
        <v>72</v>
      </c>
      <c r="D7" s="11" t="s">
        <v>253</v>
      </c>
      <c r="E7" s="11" t="s">
        <v>251</v>
      </c>
      <c r="F7" s="11" t="s">
        <v>241</v>
      </c>
      <c r="G7" s="36">
        <v>73502000</v>
      </c>
      <c r="H7" s="36">
        <v>13877000</v>
      </c>
      <c r="I7" s="47">
        <f t="shared" si="0"/>
        <v>0.42131147540983604</v>
      </c>
      <c r="J7" s="47">
        <f t="shared" si="1"/>
        <v>7.9542588558981997E-2</v>
      </c>
      <c r="K7" s="83">
        <v>174460000</v>
      </c>
      <c r="L7" s="36">
        <v>72907000</v>
      </c>
      <c r="M7" s="36">
        <v>15551000</v>
      </c>
      <c r="N7" s="47">
        <f t="shared" si="2"/>
        <v>0.41535350082606964</v>
      </c>
      <c r="O7" s="47">
        <f t="shared" si="3"/>
        <v>8.8594542243491142E-2</v>
      </c>
      <c r="P7" s="83">
        <v>175530000</v>
      </c>
      <c r="Q7" s="36">
        <v>76799000</v>
      </c>
      <c r="R7" s="36">
        <v>23455000</v>
      </c>
      <c r="S7" s="47">
        <f t="shared" si="4"/>
        <v>0.42676306006434872</v>
      </c>
      <c r="T7" s="47">
        <f t="shared" si="5"/>
        <v>0.13033669154297972</v>
      </c>
      <c r="U7" s="83">
        <v>179957000</v>
      </c>
    </row>
    <row r="8" spans="1:21" x14ac:dyDescent="0.45">
      <c r="A8" s="51">
        <v>11</v>
      </c>
      <c r="B8" s="11" t="s">
        <v>4</v>
      </c>
      <c r="C8" s="11" t="s">
        <v>73</v>
      </c>
      <c r="D8" s="11" t="s">
        <v>244</v>
      </c>
      <c r="E8" s="11" t="s">
        <v>237</v>
      </c>
      <c r="F8" s="11" t="s">
        <v>238</v>
      </c>
      <c r="G8" s="36">
        <v>57591000</v>
      </c>
      <c r="H8" s="36">
        <v>14066000</v>
      </c>
      <c r="I8" s="47">
        <f t="shared" si="0"/>
        <v>0.47294900221729491</v>
      </c>
      <c r="J8" s="47">
        <f t="shared" si="1"/>
        <v>0.11551285209821795</v>
      </c>
      <c r="K8" s="83">
        <v>121770000</v>
      </c>
      <c r="L8" s="36">
        <v>57245000</v>
      </c>
      <c r="M8" s="36">
        <v>18993000</v>
      </c>
      <c r="N8" s="47">
        <f t="shared" si="2"/>
        <v>0.46457932624027137</v>
      </c>
      <c r="O8" s="47">
        <f t="shared" si="3"/>
        <v>0.15414018941883964</v>
      </c>
      <c r="P8" s="83">
        <v>123219000</v>
      </c>
      <c r="Q8" s="36">
        <v>62177000</v>
      </c>
      <c r="R8" s="36">
        <v>20543000</v>
      </c>
      <c r="S8" s="47">
        <f t="shared" si="4"/>
        <v>0.41328175370728565</v>
      </c>
      <c r="T8" s="47">
        <f t="shared" si="5"/>
        <v>0.13654642498687244</v>
      </c>
      <c r="U8" s="83">
        <v>150447000</v>
      </c>
    </row>
    <row r="9" spans="1:21" x14ac:dyDescent="0.45">
      <c r="A9" s="51">
        <v>92</v>
      </c>
      <c r="B9" s="11" t="s">
        <v>5</v>
      </c>
      <c r="C9" s="11" t="s">
        <v>70</v>
      </c>
      <c r="D9" s="11" t="s">
        <v>250</v>
      </c>
      <c r="E9" s="11" t="s">
        <v>251</v>
      </c>
      <c r="F9" s="11" t="s">
        <v>241</v>
      </c>
      <c r="G9" s="36">
        <v>150195000</v>
      </c>
      <c r="H9" s="36">
        <v>22669000</v>
      </c>
      <c r="I9" s="47">
        <f t="shared" si="0"/>
        <v>0.48199517988774465</v>
      </c>
      <c r="J9" s="47">
        <f t="shared" si="1"/>
        <v>7.2747752807185886E-2</v>
      </c>
      <c r="K9" s="83">
        <v>311611000</v>
      </c>
      <c r="L9" s="36">
        <v>160747000</v>
      </c>
      <c r="M9" s="36">
        <v>20546000</v>
      </c>
      <c r="N9" s="47">
        <f t="shared" si="2"/>
        <v>0.44971491878402647</v>
      </c>
      <c r="O9" s="47">
        <f t="shared" si="3"/>
        <v>5.7480654204038695E-2</v>
      </c>
      <c r="P9" s="83">
        <v>357442000</v>
      </c>
      <c r="Q9" s="36">
        <v>171017000</v>
      </c>
      <c r="R9" s="36">
        <v>26669000</v>
      </c>
      <c r="S9" s="47">
        <f t="shared" si="4"/>
        <v>0.44599207725588275</v>
      </c>
      <c r="T9" s="47">
        <f t="shared" si="5"/>
        <v>6.9549592779297592E-2</v>
      </c>
      <c r="U9" s="83">
        <v>383453000</v>
      </c>
    </row>
    <row r="10" spans="1:21" x14ac:dyDescent="0.45">
      <c r="A10" s="51">
        <v>44</v>
      </c>
      <c r="B10" s="11" t="s">
        <v>6</v>
      </c>
      <c r="C10" s="11" t="s">
        <v>70</v>
      </c>
      <c r="D10" s="11" t="s">
        <v>250</v>
      </c>
      <c r="E10" s="11" t="s">
        <v>251</v>
      </c>
      <c r="F10" s="11" t="s">
        <v>241</v>
      </c>
      <c r="G10" s="36">
        <v>211845000</v>
      </c>
      <c r="H10" s="36">
        <v>25974000</v>
      </c>
      <c r="I10" s="47">
        <f t="shared" si="0"/>
        <v>0.4507129453514942</v>
      </c>
      <c r="J10" s="47">
        <f t="shared" si="1"/>
        <v>5.5261243090748945E-2</v>
      </c>
      <c r="K10" s="83">
        <v>470022000</v>
      </c>
      <c r="L10" s="36">
        <v>248585000</v>
      </c>
      <c r="M10" s="36">
        <v>31750000</v>
      </c>
      <c r="N10" s="47">
        <f t="shared" si="2"/>
        <v>0.46597921524814984</v>
      </c>
      <c r="O10" s="47">
        <f t="shared" si="3"/>
        <v>5.9516222153906138E-2</v>
      </c>
      <c r="P10" s="83">
        <v>533468000</v>
      </c>
      <c r="Q10" s="36">
        <v>288012000</v>
      </c>
      <c r="R10" s="36">
        <v>39820000</v>
      </c>
      <c r="S10" s="47">
        <f t="shared" si="4"/>
        <v>0.45681965257775126</v>
      </c>
      <c r="T10" s="47">
        <f t="shared" si="5"/>
        <v>6.3159030060018523E-2</v>
      </c>
      <c r="U10" s="83">
        <v>630472000</v>
      </c>
    </row>
    <row r="11" spans="1:21" x14ac:dyDescent="0.45">
      <c r="A11" s="51">
        <v>111</v>
      </c>
      <c r="B11" s="11" t="s">
        <v>7</v>
      </c>
      <c r="C11" s="11" t="s">
        <v>73</v>
      </c>
      <c r="D11" s="11" t="s">
        <v>253</v>
      </c>
      <c r="E11" s="11" t="s">
        <v>251</v>
      </c>
      <c r="F11" s="11" t="s">
        <v>241</v>
      </c>
      <c r="G11" s="36">
        <v>124588000</v>
      </c>
      <c r="H11" s="36">
        <v>3453000</v>
      </c>
      <c r="I11" s="47">
        <f t="shared" si="0"/>
        <v>0.42389414554647126</v>
      </c>
      <c r="J11" s="47">
        <f t="shared" si="1"/>
        <v>1.1748374518990313E-2</v>
      </c>
      <c r="K11" s="83">
        <v>293913000</v>
      </c>
      <c r="L11" s="36">
        <v>130305000</v>
      </c>
      <c r="M11" s="36">
        <v>8701000</v>
      </c>
      <c r="N11" s="47">
        <f t="shared" si="2"/>
        <v>0.43646394035110048</v>
      </c>
      <c r="O11" s="47">
        <f t="shared" si="3"/>
        <v>2.9144489812324356E-2</v>
      </c>
      <c r="P11" s="83">
        <v>298547000</v>
      </c>
      <c r="Q11" s="36">
        <v>141535000</v>
      </c>
      <c r="R11" s="36">
        <v>29351000</v>
      </c>
      <c r="S11" s="47">
        <f t="shared" si="4"/>
        <v>0.4109109806585724</v>
      </c>
      <c r="T11" s="47">
        <f t="shared" si="5"/>
        <v>8.5213185383896273E-2</v>
      </c>
      <c r="U11" s="83">
        <v>344442000</v>
      </c>
    </row>
    <row r="12" spans="1:21" x14ac:dyDescent="0.45">
      <c r="A12" s="51">
        <v>17</v>
      </c>
      <c r="B12" s="11" t="s">
        <v>8</v>
      </c>
      <c r="C12" s="11" t="s">
        <v>67</v>
      </c>
      <c r="D12" s="11" t="s">
        <v>254</v>
      </c>
      <c r="E12" s="11" t="s">
        <v>240</v>
      </c>
      <c r="F12" s="11" t="s">
        <v>241</v>
      </c>
      <c r="G12" s="36">
        <v>97541000</v>
      </c>
      <c r="H12" s="36">
        <v>5049000</v>
      </c>
      <c r="I12" s="47">
        <f t="shared" si="0"/>
        <v>0.49420628366156794</v>
      </c>
      <c r="J12" s="47">
        <f t="shared" si="1"/>
        <v>2.5581524960860115E-2</v>
      </c>
      <c r="K12" s="83">
        <v>197369000</v>
      </c>
      <c r="L12" s="36">
        <v>99687000</v>
      </c>
      <c r="M12" s="36">
        <v>5887000</v>
      </c>
      <c r="N12" s="47">
        <f t="shared" si="2"/>
        <v>0.46988922931887817</v>
      </c>
      <c r="O12" s="47">
        <f t="shared" si="3"/>
        <v>2.7749234032524158E-2</v>
      </c>
      <c r="P12" s="83">
        <v>212150000</v>
      </c>
      <c r="Q12" s="36">
        <v>86978000</v>
      </c>
      <c r="R12" s="36">
        <v>3788000</v>
      </c>
      <c r="S12" s="47">
        <f t="shared" si="4"/>
        <v>0.39088952106169078</v>
      </c>
      <c r="T12" s="47">
        <f t="shared" si="5"/>
        <v>1.7023724456548605E-2</v>
      </c>
      <c r="U12" s="83">
        <v>222513000</v>
      </c>
    </row>
    <row r="13" spans="1:21" x14ac:dyDescent="0.45">
      <c r="A13" s="51">
        <v>16</v>
      </c>
      <c r="B13" s="11" t="s">
        <v>9</v>
      </c>
      <c r="C13" s="11" t="s">
        <v>71</v>
      </c>
      <c r="D13" s="11" t="s">
        <v>248</v>
      </c>
      <c r="E13" s="11" t="s">
        <v>240</v>
      </c>
      <c r="F13" s="11" t="s">
        <v>241</v>
      </c>
      <c r="G13" s="36">
        <v>66331000</v>
      </c>
      <c r="H13" s="36">
        <v>66700000</v>
      </c>
      <c r="I13" s="47">
        <f t="shared" si="0"/>
        <v>0.32754917113976306</v>
      </c>
      <c r="J13" s="47">
        <f t="shared" si="1"/>
        <v>0.32937133037376487</v>
      </c>
      <c r="K13" s="83">
        <v>202507000</v>
      </c>
      <c r="L13" s="36">
        <v>63722000</v>
      </c>
      <c r="M13" s="36">
        <v>53888000</v>
      </c>
      <c r="N13" s="47">
        <f t="shared" si="2"/>
        <v>0.3273687509311633</v>
      </c>
      <c r="O13" s="47">
        <f t="shared" si="3"/>
        <v>0.27684704262544374</v>
      </c>
      <c r="P13" s="83">
        <v>194649000</v>
      </c>
      <c r="Q13" s="36">
        <v>59297000</v>
      </c>
      <c r="R13" s="36">
        <v>51080000</v>
      </c>
      <c r="S13" s="47">
        <f t="shared" si="4"/>
        <v>0.321333737956149</v>
      </c>
      <c r="T13" s="47">
        <f t="shared" si="5"/>
        <v>0.27680535836214465</v>
      </c>
      <c r="U13" s="83">
        <v>184534000</v>
      </c>
    </row>
    <row r="14" spans="1:21" x14ac:dyDescent="0.45">
      <c r="A14" s="51">
        <v>9</v>
      </c>
      <c r="B14" s="11" t="s">
        <v>10</v>
      </c>
      <c r="C14" s="11" t="s">
        <v>69</v>
      </c>
      <c r="D14" s="11" t="s">
        <v>246</v>
      </c>
      <c r="E14" s="11" t="s">
        <v>240</v>
      </c>
      <c r="F14" s="11" t="s">
        <v>241</v>
      </c>
      <c r="G14" s="36">
        <v>127832000</v>
      </c>
      <c r="H14" s="36">
        <v>16761000</v>
      </c>
      <c r="I14" s="47">
        <f t="shared" si="0"/>
        <v>0.45359288342600446</v>
      </c>
      <c r="J14" s="47">
        <f t="shared" si="1"/>
        <v>5.9473921389818357E-2</v>
      </c>
      <c r="K14" s="83">
        <v>281821000</v>
      </c>
      <c r="L14" s="36">
        <v>133749000</v>
      </c>
      <c r="M14" s="36">
        <v>32327000</v>
      </c>
      <c r="N14" s="47">
        <f t="shared" si="2"/>
        <v>0.42456495654326942</v>
      </c>
      <c r="O14" s="47">
        <f t="shared" si="3"/>
        <v>0.10261692685683087</v>
      </c>
      <c r="P14" s="83">
        <v>315026000</v>
      </c>
      <c r="Q14" s="36">
        <v>135068000</v>
      </c>
      <c r="R14" s="36">
        <v>39274000</v>
      </c>
      <c r="S14" s="47">
        <f t="shared" si="4"/>
        <v>0.37440990827417403</v>
      </c>
      <c r="T14" s="47">
        <f t="shared" si="5"/>
        <v>0.10886793864986459</v>
      </c>
      <c r="U14" s="83">
        <v>360749000</v>
      </c>
    </row>
    <row r="15" spans="1:21" x14ac:dyDescent="0.45">
      <c r="A15" s="51">
        <v>41</v>
      </c>
      <c r="B15" s="11" t="s">
        <v>11</v>
      </c>
      <c r="C15" s="11" t="s">
        <v>69</v>
      </c>
      <c r="D15" s="11" t="s">
        <v>255</v>
      </c>
      <c r="E15" s="11" t="s">
        <v>251</v>
      </c>
      <c r="F15" s="11" t="s">
        <v>241</v>
      </c>
      <c r="G15" s="36">
        <v>159092000</v>
      </c>
      <c r="H15" s="36">
        <v>23054000</v>
      </c>
      <c r="I15" s="47">
        <f t="shared" si="0"/>
        <v>0.42044118152291399</v>
      </c>
      <c r="J15" s="47">
        <f t="shared" si="1"/>
        <v>6.0926074213846451E-2</v>
      </c>
      <c r="K15" s="83">
        <v>378393000</v>
      </c>
      <c r="L15" s="36">
        <v>173206000</v>
      </c>
      <c r="M15" s="36">
        <v>25519000</v>
      </c>
      <c r="N15" s="47">
        <f t="shared" si="2"/>
        <v>0.42439760659802706</v>
      </c>
      <c r="O15" s="47">
        <f t="shared" si="3"/>
        <v>6.2527871567815502E-2</v>
      </c>
      <c r="P15" s="83">
        <v>408122000</v>
      </c>
      <c r="Q15" s="36">
        <v>186525000</v>
      </c>
      <c r="R15" s="36">
        <v>45148000</v>
      </c>
      <c r="S15" s="47">
        <f t="shared" si="4"/>
        <v>0.39014702283466052</v>
      </c>
      <c r="T15" s="47">
        <f t="shared" si="5"/>
        <v>9.443429988976948E-2</v>
      </c>
      <c r="U15" s="83">
        <v>478089000</v>
      </c>
    </row>
    <row r="16" spans="1:21" x14ac:dyDescent="0.45">
      <c r="A16" s="51">
        <v>14</v>
      </c>
      <c r="B16" s="11" t="s">
        <v>12</v>
      </c>
      <c r="C16" s="11" t="s">
        <v>73</v>
      </c>
      <c r="D16" s="11" t="s">
        <v>243</v>
      </c>
      <c r="E16" s="11" t="s">
        <v>237</v>
      </c>
      <c r="F16" s="11" t="s">
        <v>241</v>
      </c>
      <c r="G16" s="36">
        <v>452689000</v>
      </c>
      <c r="H16" s="36">
        <v>25513000</v>
      </c>
      <c r="I16" s="47">
        <f t="shared" si="0"/>
        <v>0.44425220634922191</v>
      </c>
      <c r="J16" s="47">
        <f t="shared" si="1"/>
        <v>2.5037512598246697E-2</v>
      </c>
      <c r="K16" s="83">
        <v>1018991000</v>
      </c>
      <c r="L16" s="36">
        <v>489343000</v>
      </c>
      <c r="M16" s="36">
        <v>22545000</v>
      </c>
      <c r="N16" s="47">
        <f t="shared" si="2"/>
        <v>0.41409070946046006</v>
      </c>
      <c r="O16" s="47">
        <f t="shared" si="3"/>
        <v>1.9077978115117765E-2</v>
      </c>
      <c r="P16" s="83">
        <v>1181729000</v>
      </c>
      <c r="Q16" s="36">
        <v>530355000</v>
      </c>
      <c r="R16" s="36">
        <v>42410000</v>
      </c>
      <c r="S16" s="47">
        <f t="shared" si="4"/>
        <v>0.41947646413978673</v>
      </c>
      <c r="T16" s="47">
        <f t="shared" si="5"/>
        <v>3.3543563922595915E-2</v>
      </c>
      <c r="U16" s="83">
        <v>1264326000</v>
      </c>
    </row>
    <row r="17" spans="1:21" x14ac:dyDescent="0.45">
      <c r="A17" s="51">
        <v>76</v>
      </c>
      <c r="B17" s="11" t="s">
        <v>308</v>
      </c>
      <c r="C17" s="11" t="s">
        <v>69</v>
      </c>
      <c r="D17" s="11" t="s">
        <v>246</v>
      </c>
      <c r="E17" s="11" t="s">
        <v>240</v>
      </c>
      <c r="F17" s="11" t="s">
        <v>241</v>
      </c>
      <c r="G17" s="36">
        <v>328533000</v>
      </c>
      <c r="H17" s="36">
        <v>74282000</v>
      </c>
      <c r="I17" s="47">
        <f t="shared" si="0"/>
        <v>0.37972045672835203</v>
      </c>
      <c r="J17" s="47">
        <f t="shared" si="1"/>
        <v>8.5855591269965101E-2</v>
      </c>
      <c r="K17" s="83">
        <v>865197000</v>
      </c>
      <c r="L17" s="36">
        <v>339351000</v>
      </c>
      <c r="M17" s="36">
        <v>82325000</v>
      </c>
      <c r="N17" s="47">
        <f t="shared" si="2"/>
        <v>0.37785015198583694</v>
      </c>
      <c r="O17" s="47">
        <f t="shared" si="3"/>
        <v>9.166471813029585E-2</v>
      </c>
      <c r="P17" s="83">
        <v>898110000</v>
      </c>
      <c r="Q17" s="36">
        <v>365968000</v>
      </c>
      <c r="R17" s="36">
        <v>110915000</v>
      </c>
      <c r="S17" s="47">
        <f t="shared" si="4"/>
        <v>0.35991105682469715</v>
      </c>
      <c r="T17" s="47">
        <f t="shared" si="5"/>
        <v>0.10907930438647993</v>
      </c>
      <c r="U17" s="83">
        <v>1016829000</v>
      </c>
    </row>
    <row r="18" spans="1:21" x14ac:dyDescent="0.45">
      <c r="A18" s="51">
        <v>31</v>
      </c>
      <c r="B18" s="11" t="s">
        <v>13</v>
      </c>
      <c r="C18" s="11" t="s">
        <v>73</v>
      </c>
      <c r="D18" s="11" t="s">
        <v>242</v>
      </c>
      <c r="E18" s="11" t="s">
        <v>237</v>
      </c>
      <c r="F18" s="11" t="s">
        <v>241</v>
      </c>
      <c r="G18" s="36">
        <v>86458000</v>
      </c>
      <c r="H18" s="36">
        <v>1679000</v>
      </c>
      <c r="I18" s="47">
        <f t="shared" si="0"/>
        <v>0.41605150958105158</v>
      </c>
      <c r="J18" s="47">
        <f t="shared" si="1"/>
        <v>8.0796512131507264E-3</v>
      </c>
      <c r="K18" s="83">
        <v>207806000</v>
      </c>
      <c r="L18" s="36">
        <v>86764000</v>
      </c>
      <c r="M18" s="36">
        <v>3599000</v>
      </c>
      <c r="N18" s="47">
        <f t="shared" si="2"/>
        <v>0.42959493382582303</v>
      </c>
      <c r="O18" s="47">
        <f t="shared" si="3"/>
        <v>1.781974282927409E-2</v>
      </c>
      <c r="P18" s="83">
        <v>201967000</v>
      </c>
      <c r="Q18" s="36">
        <v>92052000</v>
      </c>
      <c r="R18" s="36">
        <v>1600000</v>
      </c>
      <c r="S18" s="47">
        <f t="shared" si="4"/>
        <v>0.41893232603649933</v>
      </c>
      <c r="T18" s="47">
        <f t="shared" si="5"/>
        <v>7.2816638601920537E-3</v>
      </c>
      <c r="U18" s="83">
        <v>219730000</v>
      </c>
    </row>
    <row r="19" spans="1:21" x14ac:dyDescent="0.45">
      <c r="A19" s="51">
        <v>83</v>
      </c>
      <c r="B19" s="11" t="s">
        <v>307</v>
      </c>
      <c r="C19" s="11" t="s">
        <v>73</v>
      </c>
      <c r="D19" s="11" t="s">
        <v>246</v>
      </c>
      <c r="E19" s="11" t="s">
        <v>240</v>
      </c>
      <c r="F19" s="11" t="s">
        <v>241</v>
      </c>
      <c r="G19" s="36">
        <v>56950000</v>
      </c>
      <c r="H19" s="36">
        <v>15592000</v>
      </c>
      <c r="I19" s="47">
        <f t="shared" si="0"/>
        <v>0.33412929835780875</v>
      </c>
      <c r="J19" s="47">
        <f t="shared" si="1"/>
        <v>9.1479262862071198E-2</v>
      </c>
      <c r="K19" s="83">
        <v>170443000</v>
      </c>
      <c r="L19" s="36">
        <v>51976000</v>
      </c>
      <c r="M19" s="36">
        <v>15233000</v>
      </c>
      <c r="N19" s="47">
        <f t="shared" si="2"/>
        <v>0.4565425527242703</v>
      </c>
      <c r="O19" s="47">
        <f t="shared" si="3"/>
        <v>0.13380238390120072</v>
      </c>
      <c r="P19" s="83">
        <v>113847000</v>
      </c>
      <c r="Q19" s="36">
        <v>55774000</v>
      </c>
      <c r="R19" s="36">
        <v>11508000</v>
      </c>
      <c r="S19" s="47">
        <f t="shared" si="4"/>
        <v>0.49419624661078526</v>
      </c>
      <c r="T19" s="47">
        <f t="shared" si="5"/>
        <v>0.10196884580623439</v>
      </c>
      <c r="U19" s="83">
        <v>112858000</v>
      </c>
    </row>
    <row r="20" spans="1:21" x14ac:dyDescent="0.45">
      <c r="A20" s="51">
        <v>45</v>
      </c>
      <c r="B20" s="11" t="s">
        <v>14</v>
      </c>
      <c r="C20" s="11" t="s">
        <v>73</v>
      </c>
      <c r="D20" s="11" t="s">
        <v>239</v>
      </c>
      <c r="E20" s="11" t="s">
        <v>240</v>
      </c>
      <c r="F20" s="11" t="s">
        <v>241</v>
      </c>
      <c r="G20" s="36">
        <v>214751000</v>
      </c>
      <c r="H20" s="36">
        <v>48426000</v>
      </c>
      <c r="I20" s="47">
        <f t="shared" si="0"/>
        <v>0.29611270293450115</v>
      </c>
      <c r="J20" s="47">
        <f t="shared" si="1"/>
        <v>6.6772931219440904E-2</v>
      </c>
      <c r="K20" s="83">
        <v>725234000</v>
      </c>
      <c r="L20" s="36">
        <v>221592000</v>
      </c>
      <c r="M20" s="36">
        <v>60177000</v>
      </c>
      <c r="N20" s="47">
        <f t="shared" si="2"/>
        <v>0.2834237184078584</v>
      </c>
      <c r="O20" s="47">
        <f t="shared" si="3"/>
        <v>7.6968433439066813E-2</v>
      </c>
      <c r="P20" s="83">
        <v>781840000</v>
      </c>
      <c r="Q20" s="36">
        <v>230658000</v>
      </c>
      <c r="R20" s="36">
        <v>80212000</v>
      </c>
      <c r="S20" s="47">
        <f t="shared" si="4"/>
        <v>0.26136498839110583</v>
      </c>
      <c r="T20" s="47">
        <f t="shared" si="5"/>
        <v>9.0890445806464035E-2</v>
      </c>
      <c r="U20" s="83">
        <v>882513000</v>
      </c>
    </row>
    <row r="21" spans="1:21" x14ac:dyDescent="0.45">
      <c r="A21" s="51">
        <v>3</v>
      </c>
      <c r="B21" s="11" t="s">
        <v>15</v>
      </c>
      <c r="C21" s="11" t="s">
        <v>72</v>
      </c>
      <c r="D21" s="11" t="s">
        <v>248</v>
      </c>
      <c r="E21" s="11" t="s">
        <v>240</v>
      </c>
      <c r="F21" s="11" t="s">
        <v>241</v>
      </c>
      <c r="G21" s="36">
        <v>93015000</v>
      </c>
      <c r="H21" s="36">
        <v>2020000</v>
      </c>
      <c r="I21" s="47">
        <f t="shared" si="0"/>
        <v>0.40143543973828905</v>
      </c>
      <c r="J21" s="47">
        <f t="shared" si="1"/>
        <v>8.7179442914728147E-3</v>
      </c>
      <c r="K21" s="83">
        <v>231706000</v>
      </c>
      <c r="L21" s="36">
        <v>92237000</v>
      </c>
      <c r="M21" s="36">
        <v>7931000</v>
      </c>
      <c r="N21" s="47">
        <f t="shared" si="2"/>
        <v>0.44638726225620673</v>
      </c>
      <c r="O21" s="47">
        <f t="shared" si="3"/>
        <v>3.838261627062866E-2</v>
      </c>
      <c r="P21" s="83">
        <v>206630000</v>
      </c>
      <c r="Q21" s="36">
        <v>90474000</v>
      </c>
      <c r="R21" s="36">
        <v>17550000</v>
      </c>
      <c r="S21" s="47">
        <f t="shared" si="4"/>
        <v>0.45291803081728893</v>
      </c>
      <c r="T21" s="47">
        <f t="shared" si="5"/>
        <v>8.7856306130417811E-2</v>
      </c>
      <c r="U21" s="83">
        <v>199758000</v>
      </c>
    </row>
    <row r="22" spans="1:21" x14ac:dyDescent="0.45">
      <c r="A22" s="51">
        <v>37</v>
      </c>
      <c r="B22" s="11" t="s">
        <v>16</v>
      </c>
      <c r="C22" s="11" t="s">
        <v>72</v>
      </c>
      <c r="D22" s="11" t="s">
        <v>239</v>
      </c>
      <c r="E22" s="11" t="s">
        <v>240</v>
      </c>
      <c r="F22" s="11" t="s">
        <v>241</v>
      </c>
      <c r="G22" s="36">
        <v>41975000</v>
      </c>
      <c r="H22" s="36">
        <v>21518000</v>
      </c>
      <c r="I22" s="47">
        <f t="shared" si="0"/>
        <v>0.36235637393278602</v>
      </c>
      <c r="J22" s="47">
        <f t="shared" si="1"/>
        <v>0.18575781904194616</v>
      </c>
      <c r="K22" s="83">
        <v>115839000</v>
      </c>
      <c r="L22" s="36">
        <v>39007000</v>
      </c>
      <c r="M22" s="36">
        <v>27199000</v>
      </c>
      <c r="N22" s="47">
        <f t="shared" si="2"/>
        <v>0.37428634483817419</v>
      </c>
      <c r="O22" s="47">
        <f t="shared" si="3"/>
        <v>0.26098429238991722</v>
      </c>
      <c r="P22" s="83">
        <v>104217000</v>
      </c>
      <c r="Q22" s="36">
        <v>40395000</v>
      </c>
      <c r="R22" s="36">
        <v>21080000</v>
      </c>
      <c r="S22" s="47">
        <f t="shared" si="4"/>
        <v>0.3456936980111594</v>
      </c>
      <c r="T22" s="47">
        <f t="shared" si="5"/>
        <v>0.18039913737034882</v>
      </c>
      <c r="U22" s="83">
        <v>116852000</v>
      </c>
    </row>
    <row r="23" spans="1:21" x14ac:dyDescent="0.45">
      <c r="A23" s="51">
        <v>54</v>
      </c>
      <c r="B23" s="11" t="s">
        <v>17</v>
      </c>
      <c r="C23" s="11" t="s">
        <v>72</v>
      </c>
      <c r="D23" s="11" t="s">
        <v>246</v>
      </c>
      <c r="E23" s="11" t="s">
        <v>240</v>
      </c>
      <c r="F23" s="11" t="s">
        <v>241</v>
      </c>
      <c r="G23" s="36">
        <v>94480000</v>
      </c>
      <c r="H23" s="36">
        <v>30418000</v>
      </c>
      <c r="I23" s="47">
        <f t="shared" si="0"/>
        <v>0.40951844306705387</v>
      </c>
      <c r="J23" s="47">
        <f t="shared" si="1"/>
        <v>0.13184517359455594</v>
      </c>
      <c r="K23" s="83">
        <v>230710000</v>
      </c>
      <c r="L23" s="36">
        <v>94300000</v>
      </c>
      <c r="M23" s="36">
        <v>28664000</v>
      </c>
      <c r="N23" s="47">
        <f t="shared" si="2"/>
        <v>0.45974433729535769</v>
      </c>
      <c r="O23" s="47">
        <f t="shared" si="3"/>
        <v>0.13974667745741393</v>
      </c>
      <c r="P23" s="83">
        <v>205114000</v>
      </c>
      <c r="Q23" s="36">
        <v>94624000</v>
      </c>
      <c r="R23" s="36">
        <v>32190000</v>
      </c>
      <c r="S23" s="47">
        <f t="shared" si="4"/>
        <v>0.39752805306871791</v>
      </c>
      <c r="T23" s="47">
        <f t="shared" si="5"/>
        <v>0.13523448626439413</v>
      </c>
      <c r="U23" s="83">
        <v>238031000</v>
      </c>
    </row>
    <row r="24" spans="1:21" x14ac:dyDescent="0.45">
      <c r="A24" s="51">
        <v>1</v>
      </c>
      <c r="B24" s="11" t="s">
        <v>18</v>
      </c>
      <c r="C24" s="11" t="s">
        <v>72</v>
      </c>
      <c r="D24" s="11" t="s">
        <v>239</v>
      </c>
      <c r="E24" s="11" t="s">
        <v>240</v>
      </c>
      <c r="F24" s="11" t="s">
        <v>241</v>
      </c>
      <c r="G24" s="36">
        <v>620841000</v>
      </c>
      <c r="H24" s="36">
        <v>23835000</v>
      </c>
      <c r="I24" s="47">
        <f t="shared" si="0"/>
        <v>0.35899213600092517</v>
      </c>
      <c r="J24" s="47">
        <f t="shared" si="1"/>
        <v>1.3782236613854516E-2</v>
      </c>
      <c r="K24" s="83">
        <v>1729400000</v>
      </c>
      <c r="L24" s="36">
        <v>668779000</v>
      </c>
      <c r="M24" s="36">
        <v>25960000</v>
      </c>
      <c r="N24" s="47">
        <f t="shared" si="2"/>
        <v>0.34514989306623289</v>
      </c>
      <c r="O24" s="47">
        <f t="shared" si="3"/>
        <v>1.3397686267061922E-2</v>
      </c>
      <c r="P24" s="83">
        <v>1937648000</v>
      </c>
      <c r="Q24" s="36">
        <v>676468000</v>
      </c>
      <c r="R24" s="36">
        <v>23536000</v>
      </c>
      <c r="S24" s="47">
        <f t="shared" si="4"/>
        <v>0.32449441953524827</v>
      </c>
      <c r="T24" s="47">
        <f t="shared" si="5"/>
        <v>1.1289965908485846E-2</v>
      </c>
      <c r="U24" s="83">
        <v>2084683000</v>
      </c>
    </row>
    <row r="25" spans="1:21" x14ac:dyDescent="0.45">
      <c r="A25" s="51">
        <v>115</v>
      </c>
      <c r="B25" s="11" t="s">
        <v>19</v>
      </c>
      <c r="C25" s="11" t="s">
        <v>67</v>
      </c>
      <c r="D25" s="11" t="s">
        <v>261</v>
      </c>
      <c r="E25" s="11" t="s">
        <v>240</v>
      </c>
      <c r="F25" s="11" t="s">
        <v>238</v>
      </c>
      <c r="G25" s="36">
        <v>40800000</v>
      </c>
      <c r="H25" s="36">
        <v>1694000</v>
      </c>
      <c r="I25" s="47">
        <f t="shared" si="0"/>
        <v>0.45590667322218748</v>
      </c>
      <c r="J25" s="47">
        <f t="shared" si="1"/>
        <v>1.8929066285254547E-2</v>
      </c>
      <c r="K25" s="83">
        <v>89492000</v>
      </c>
      <c r="L25" s="36">
        <v>43972000</v>
      </c>
      <c r="M25" s="36">
        <v>1243000</v>
      </c>
      <c r="N25" s="47">
        <f t="shared" si="2"/>
        <v>0.43379864844867561</v>
      </c>
      <c r="O25" s="47">
        <f t="shared" si="3"/>
        <v>1.2262615301139446E-2</v>
      </c>
      <c r="P25" s="83">
        <v>101365000</v>
      </c>
      <c r="Q25" s="36">
        <v>39449000</v>
      </c>
      <c r="R25" s="36">
        <v>1978000</v>
      </c>
      <c r="S25" s="47">
        <f t="shared" si="4"/>
        <v>0.38245787524479863</v>
      </c>
      <c r="T25" s="47">
        <f t="shared" si="5"/>
        <v>1.9176700986950537E-2</v>
      </c>
      <c r="U25" s="83">
        <v>103146000</v>
      </c>
    </row>
    <row r="26" spans="1:21" x14ac:dyDescent="0.45">
      <c r="A26" s="51">
        <v>40</v>
      </c>
      <c r="B26" s="11" t="s">
        <v>20</v>
      </c>
      <c r="C26" s="11" t="s">
        <v>71</v>
      </c>
      <c r="D26" s="11" t="s">
        <v>248</v>
      </c>
      <c r="E26" s="11" t="s">
        <v>240</v>
      </c>
      <c r="F26" s="11" t="s">
        <v>241</v>
      </c>
      <c r="G26" s="36">
        <v>67481000</v>
      </c>
      <c r="H26" s="36">
        <v>63976000</v>
      </c>
      <c r="I26" s="47">
        <f t="shared" si="0"/>
        <v>0.34127851110099633</v>
      </c>
      <c r="J26" s="47">
        <f t="shared" si="1"/>
        <v>0.32355231881859103</v>
      </c>
      <c r="K26" s="83">
        <v>197730000</v>
      </c>
      <c r="L26" s="36">
        <v>65981000</v>
      </c>
      <c r="M26" s="36">
        <v>47923000</v>
      </c>
      <c r="N26" s="47">
        <f t="shared" si="2"/>
        <v>0.34822879942578477</v>
      </c>
      <c r="O26" s="47">
        <f t="shared" si="3"/>
        <v>0.25292385315290589</v>
      </c>
      <c r="P26" s="83">
        <v>189476000</v>
      </c>
      <c r="Q26" s="36">
        <v>64110000</v>
      </c>
      <c r="R26" s="36">
        <v>40745000</v>
      </c>
      <c r="S26" s="47">
        <f t="shared" si="4"/>
        <v>0.34242953514830066</v>
      </c>
      <c r="T26" s="47">
        <f t="shared" si="5"/>
        <v>0.21763050085193433</v>
      </c>
      <c r="U26" s="83">
        <v>187221000</v>
      </c>
    </row>
    <row r="27" spans="1:21" x14ac:dyDescent="0.45">
      <c r="A27" s="51">
        <v>8</v>
      </c>
      <c r="B27" s="11" t="s">
        <v>21</v>
      </c>
      <c r="C27" s="11" t="s">
        <v>73</v>
      </c>
      <c r="D27" s="11" t="s">
        <v>239</v>
      </c>
      <c r="E27" s="11" t="s">
        <v>240</v>
      </c>
      <c r="F27" s="11" t="s">
        <v>241</v>
      </c>
      <c r="G27" s="36">
        <v>170186000</v>
      </c>
      <c r="H27" s="36">
        <v>31746000</v>
      </c>
      <c r="I27" s="47">
        <f t="shared" si="0"/>
        <v>0.42645223692848944</v>
      </c>
      <c r="J27" s="47">
        <f t="shared" si="1"/>
        <v>7.9549156296827156E-2</v>
      </c>
      <c r="K27" s="83">
        <v>399074000</v>
      </c>
      <c r="L27" s="36">
        <v>184949000</v>
      </c>
      <c r="M27" s="36">
        <v>2027000</v>
      </c>
      <c r="N27" s="47">
        <f t="shared" si="2"/>
        <v>0.45246465521248463</v>
      </c>
      <c r="O27" s="47">
        <f t="shared" si="3"/>
        <v>4.9589122196697808E-3</v>
      </c>
      <c r="P27" s="83">
        <v>408759000</v>
      </c>
      <c r="Q27" s="36">
        <v>188264000</v>
      </c>
      <c r="R27" s="36">
        <v>40916000</v>
      </c>
      <c r="S27" s="47">
        <f t="shared" si="4"/>
        <v>0.40682507714515392</v>
      </c>
      <c r="T27" s="47">
        <f t="shared" si="5"/>
        <v>8.8416557899923073E-2</v>
      </c>
      <c r="U27" s="83">
        <v>462764000</v>
      </c>
    </row>
    <row r="28" spans="1:21" x14ac:dyDescent="0.45">
      <c r="A28" s="51">
        <v>118</v>
      </c>
      <c r="B28" s="11" t="s">
        <v>22</v>
      </c>
      <c r="C28" s="11" t="s">
        <v>73</v>
      </c>
      <c r="D28" s="11" t="s">
        <v>248</v>
      </c>
      <c r="E28" s="11" t="s">
        <v>240</v>
      </c>
      <c r="F28" s="11" t="s">
        <v>241</v>
      </c>
      <c r="G28" s="36">
        <v>39346000</v>
      </c>
      <c r="H28" s="36">
        <v>7516000</v>
      </c>
      <c r="I28" s="47">
        <f t="shared" si="0"/>
        <v>0.30060356024142409</v>
      </c>
      <c r="J28" s="47">
        <f t="shared" si="1"/>
        <v>5.7422262968905187E-2</v>
      </c>
      <c r="K28" s="83">
        <v>130890000</v>
      </c>
      <c r="L28" s="36">
        <v>43345000</v>
      </c>
      <c r="M28" s="36">
        <v>9320000</v>
      </c>
      <c r="N28" s="47">
        <f t="shared" si="2"/>
        <v>0.39859670418597809</v>
      </c>
      <c r="O28" s="47">
        <f t="shared" si="3"/>
        <v>8.5705878025454277E-2</v>
      </c>
      <c r="P28" s="83">
        <v>108744000</v>
      </c>
      <c r="Q28" s="36">
        <v>40364000</v>
      </c>
      <c r="R28" s="36">
        <v>14197000</v>
      </c>
      <c r="S28" s="47">
        <f t="shared" si="4"/>
        <v>0.30273756843921096</v>
      </c>
      <c r="T28" s="47">
        <f t="shared" si="5"/>
        <v>0.1064801620040501</v>
      </c>
      <c r="U28" s="83">
        <v>133330000</v>
      </c>
    </row>
    <row r="29" spans="1:21" x14ac:dyDescent="0.45">
      <c r="A29" s="51">
        <v>5</v>
      </c>
      <c r="B29" s="11" t="s">
        <v>23</v>
      </c>
      <c r="C29" s="11" t="s">
        <v>73</v>
      </c>
      <c r="D29" s="11" t="s">
        <v>249</v>
      </c>
      <c r="E29" s="11" t="s">
        <v>240</v>
      </c>
      <c r="F29" s="11" t="s">
        <v>238</v>
      </c>
      <c r="G29" s="36">
        <v>174161000</v>
      </c>
      <c r="H29" s="36">
        <v>5384000</v>
      </c>
      <c r="I29" s="47">
        <f t="shared" si="0"/>
        <v>0.50365098598310565</v>
      </c>
      <c r="J29" s="47">
        <f t="shared" si="1"/>
        <v>1.5569828541022623E-2</v>
      </c>
      <c r="K29" s="83">
        <v>345797000</v>
      </c>
      <c r="L29" s="36">
        <v>179306000</v>
      </c>
      <c r="M29" s="36">
        <v>3566000</v>
      </c>
      <c r="N29" s="47">
        <f t="shared" si="2"/>
        <v>0.51576734004700142</v>
      </c>
      <c r="O29" s="47">
        <f t="shared" si="3"/>
        <v>1.0257472335602863E-2</v>
      </c>
      <c r="P29" s="83">
        <v>347649000</v>
      </c>
      <c r="Q29" s="36">
        <v>189255000</v>
      </c>
      <c r="R29" s="36">
        <v>8534000</v>
      </c>
      <c r="S29" s="47">
        <f t="shared" si="4"/>
        <v>0.4899095535663438</v>
      </c>
      <c r="T29" s="47">
        <f t="shared" si="5"/>
        <v>2.2091295501493635E-2</v>
      </c>
      <c r="U29" s="83">
        <v>386306000</v>
      </c>
    </row>
    <row r="30" spans="1:21" x14ac:dyDescent="0.45">
      <c r="A30" s="51">
        <v>69</v>
      </c>
      <c r="B30" s="11" t="s">
        <v>24</v>
      </c>
      <c r="C30" s="11" t="s">
        <v>80</v>
      </c>
      <c r="D30" s="11" t="s">
        <v>257</v>
      </c>
      <c r="E30" s="11" t="s">
        <v>237</v>
      </c>
      <c r="F30" s="11" t="s">
        <v>238</v>
      </c>
      <c r="G30" s="36">
        <v>30053000</v>
      </c>
      <c r="H30" s="36">
        <v>5443000</v>
      </c>
      <c r="I30" s="47">
        <f t="shared" si="0"/>
        <v>0.49750033108197589</v>
      </c>
      <c r="J30" s="47">
        <f t="shared" si="1"/>
        <v>9.0103959740431727E-2</v>
      </c>
      <c r="K30" s="83">
        <v>60408000</v>
      </c>
      <c r="L30" s="36">
        <v>27083000</v>
      </c>
      <c r="M30" s="36">
        <v>5360000</v>
      </c>
      <c r="N30" s="47">
        <f t="shared" si="2"/>
        <v>0.49164942090549324</v>
      </c>
      <c r="O30" s="47">
        <f t="shared" si="3"/>
        <v>9.730239988381803E-2</v>
      </c>
      <c r="P30" s="83">
        <v>55086000</v>
      </c>
      <c r="Q30" s="36">
        <v>28952000</v>
      </c>
      <c r="R30" s="36">
        <v>6101000</v>
      </c>
      <c r="S30" s="47">
        <f t="shared" si="4"/>
        <v>0.49935321409475847</v>
      </c>
      <c r="T30" s="47">
        <f t="shared" si="5"/>
        <v>0.10522775487676572</v>
      </c>
      <c r="U30" s="83">
        <v>57979000</v>
      </c>
    </row>
    <row r="31" spans="1:21" x14ac:dyDescent="0.45">
      <c r="A31" s="51">
        <v>1069</v>
      </c>
      <c r="B31" s="11" t="s">
        <v>178</v>
      </c>
      <c r="C31" s="11" t="s">
        <v>80</v>
      </c>
      <c r="D31" s="11" t="s">
        <v>247</v>
      </c>
      <c r="E31" s="11" t="s">
        <v>237</v>
      </c>
      <c r="F31" s="11" t="s">
        <v>241</v>
      </c>
      <c r="G31" s="36">
        <v>5669000</v>
      </c>
      <c r="H31" s="36">
        <v>766000</v>
      </c>
      <c r="I31" s="47">
        <f t="shared" si="0"/>
        <v>0.4691327375041377</v>
      </c>
      <c r="J31" s="47">
        <f t="shared" si="1"/>
        <v>6.338960609069845E-2</v>
      </c>
      <c r="K31" s="83">
        <v>12084000</v>
      </c>
      <c r="L31" s="36">
        <v>106824000</v>
      </c>
      <c r="M31" s="36">
        <v>16141000</v>
      </c>
      <c r="N31" s="47">
        <f t="shared" si="2"/>
        <v>0.44288557213930346</v>
      </c>
      <c r="O31" s="47">
        <f t="shared" si="3"/>
        <v>6.6919568822553899E-2</v>
      </c>
      <c r="P31" s="83">
        <v>241200000</v>
      </c>
      <c r="Q31" s="36">
        <v>129379000</v>
      </c>
      <c r="R31" s="36">
        <v>25058000</v>
      </c>
      <c r="S31" s="47">
        <f t="shared" si="4"/>
        <v>0.4258339504649058</v>
      </c>
      <c r="T31" s="47">
        <f t="shared" si="5"/>
        <v>8.24751090265778E-2</v>
      </c>
      <c r="U31" s="83">
        <v>303825000</v>
      </c>
    </row>
    <row r="32" spans="1:21" s="6" customFormat="1" x14ac:dyDescent="0.45">
      <c r="A32" s="51">
        <v>324</v>
      </c>
      <c r="B32" s="11" t="s">
        <v>25</v>
      </c>
      <c r="C32" s="11" t="s">
        <v>80</v>
      </c>
      <c r="D32" s="11" t="s">
        <v>245</v>
      </c>
      <c r="E32" s="11" t="s">
        <v>237</v>
      </c>
      <c r="F32" s="11" t="s">
        <v>238</v>
      </c>
      <c r="G32" s="36">
        <v>191767000</v>
      </c>
      <c r="H32" s="36">
        <v>27032000</v>
      </c>
      <c r="I32" s="47">
        <f t="shared" si="0"/>
        <v>0.48250917755518485</v>
      </c>
      <c r="J32" s="47">
        <f t="shared" si="1"/>
        <v>6.8015811310975074E-2</v>
      </c>
      <c r="K32" s="83">
        <v>397437000</v>
      </c>
      <c r="L32" s="36">
        <v>223771000</v>
      </c>
      <c r="M32" s="36">
        <v>32712000</v>
      </c>
      <c r="N32" s="47">
        <f t="shared" si="2"/>
        <v>0.47965386709422414</v>
      </c>
      <c r="O32" s="47">
        <f t="shared" si="3"/>
        <v>7.0118278509665052E-2</v>
      </c>
      <c r="P32" s="83">
        <v>466526000</v>
      </c>
      <c r="Q32" s="36">
        <v>241038000</v>
      </c>
      <c r="R32" s="36">
        <v>41280000</v>
      </c>
      <c r="S32" s="47">
        <f t="shared" si="4"/>
        <v>0.47620910384068277</v>
      </c>
      <c r="T32" s="47">
        <f t="shared" si="5"/>
        <v>8.1555239449976294E-2</v>
      </c>
      <c r="U32" s="83">
        <v>506160000</v>
      </c>
    </row>
    <row r="33" spans="1:21" x14ac:dyDescent="0.45">
      <c r="A33" s="52">
        <v>81</v>
      </c>
      <c r="B33" s="15" t="s">
        <v>131</v>
      </c>
      <c r="C33" s="15" t="s">
        <v>80</v>
      </c>
      <c r="D33" s="15" t="s">
        <v>247</v>
      </c>
      <c r="E33" s="15" t="s">
        <v>237</v>
      </c>
      <c r="F33" s="15" t="s">
        <v>241</v>
      </c>
      <c r="G33" s="36">
        <v>106377000</v>
      </c>
      <c r="H33" s="36">
        <v>18409000</v>
      </c>
      <c r="I33" s="85">
        <f t="shared" si="0"/>
        <v>0.48546042003231016</v>
      </c>
      <c r="J33" s="85">
        <f t="shared" si="1"/>
        <v>8.4011025619962945E-2</v>
      </c>
      <c r="K33" s="83">
        <v>219126000</v>
      </c>
      <c r="L33" s="36">
        <v>0</v>
      </c>
      <c r="M33" s="36">
        <v>0</v>
      </c>
      <c r="N33" s="85" t="e">
        <f t="shared" si="2"/>
        <v>#DIV/0!</v>
      </c>
      <c r="O33" s="85" t="e">
        <f t="shared" si="3"/>
        <v>#DIV/0!</v>
      </c>
      <c r="P33" s="83">
        <v>0</v>
      </c>
      <c r="Q33" s="36">
        <v>0</v>
      </c>
      <c r="R33" s="36">
        <v>0</v>
      </c>
      <c r="S33" s="85" t="e">
        <f t="shared" si="4"/>
        <v>#DIV/0!</v>
      </c>
      <c r="T33" s="85" t="e">
        <f t="shared" si="5"/>
        <v>#DIV/0!</v>
      </c>
      <c r="U33" s="83">
        <v>0</v>
      </c>
    </row>
    <row r="34" spans="1:21" x14ac:dyDescent="0.45">
      <c r="A34" s="51">
        <v>862</v>
      </c>
      <c r="B34" s="11" t="s">
        <v>26</v>
      </c>
      <c r="C34" s="11" t="s">
        <v>79</v>
      </c>
      <c r="D34" s="11" t="s">
        <v>243</v>
      </c>
      <c r="E34" s="11" t="s">
        <v>237</v>
      </c>
      <c r="F34" s="11" t="s">
        <v>241</v>
      </c>
      <c r="G34" s="36">
        <v>69365000</v>
      </c>
      <c r="H34" s="36">
        <v>25271000</v>
      </c>
      <c r="I34" s="47">
        <f t="shared" si="0"/>
        <v>0.43058711063106014</v>
      </c>
      <c r="J34" s="47">
        <f t="shared" si="1"/>
        <v>0.15687114355593629</v>
      </c>
      <c r="K34" s="83">
        <v>161094000</v>
      </c>
      <c r="L34" s="36">
        <v>78182000</v>
      </c>
      <c r="M34" s="36">
        <v>17631000</v>
      </c>
      <c r="N34" s="47">
        <f t="shared" si="2"/>
        <v>0.43118006187920871</v>
      </c>
      <c r="O34" s="47">
        <f t="shared" si="3"/>
        <v>9.7236392916429978E-2</v>
      </c>
      <c r="P34" s="83">
        <v>181321000</v>
      </c>
      <c r="Q34" s="36">
        <v>80841000</v>
      </c>
      <c r="R34" s="36">
        <v>32072000</v>
      </c>
      <c r="S34" s="47">
        <f t="shared" si="4"/>
        <v>0.39030996523754347</v>
      </c>
      <c r="T34" s="47">
        <f t="shared" si="5"/>
        <v>0.1548474314407107</v>
      </c>
      <c r="U34" s="83">
        <v>207120000</v>
      </c>
    </row>
    <row r="35" spans="1:21" x14ac:dyDescent="0.45">
      <c r="A35" s="51">
        <v>863</v>
      </c>
      <c r="B35" s="11" t="s">
        <v>27</v>
      </c>
      <c r="C35" s="11" t="s">
        <v>79</v>
      </c>
      <c r="D35" s="11" t="s">
        <v>243</v>
      </c>
      <c r="E35" s="11" t="s">
        <v>237</v>
      </c>
      <c r="F35" s="11" t="s">
        <v>241</v>
      </c>
      <c r="G35" s="36">
        <v>56757000</v>
      </c>
      <c r="H35" s="36">
        <v>22091000</v>
      </c>
      <c r="I35" s="47">
        <f t="shared" si="0"/>
        <v>0.40121728803494933</v>
      </c>
      <c r="J35" s="47">
        <f t="shared" si="1"/>
        <v>0.15616207886216793</v>
      </c>
      <c r="K35" s="83">
        <v>141462000</v>
      </c>
      <c r="L35" s="36">
        <v>64467000</v>
      </c>
      <c r="M35" s="36">
        <v>18775000</v>
      </c>
      <c r="N35" s="47">
        <f t="shared" si="2"/>
        <v>0.39288783252582504</v>
      </c>
      <c r="O35" s="47">
        <f t="shared" si="3"/>
        <v>0.11442240302282354</v>
      </c>
      <c r="P35" s="83">
        <v>164085000</v>
      </c>
      <c r="Q35" s="36">
        <v>52164000</v>
      </c>
      <c r="R35" s="36">
        <v>15526000</v>
      </c>
      <c r="S35" s="47">
        <f t="shared" si="4"/>
        <v>0.34769277939598342</v>
      </c>
      <c r="T35" s="47">
        <f t="shared" si="5"/>
        <v>0.10348665924587913</v>
      </c>
      <c r="U35" s="83">
        <v>150029000</v>
      </c>
    </row>
    <row r="36" spans="1:21" x14ac:dyDescent="0.45">
      <c r="A36" s="51">
        <v>861</v>
      </c>
      <c r="B36" s="11" t="s">
        <v>28</v>
      </c>
      <c r="C36" s="11" t="s">
        <v>79</v>
      </c>
      <c r="D36" s="11" t="s">
        <v>247</v>
      </c>
      <c r="E36" s="11" t="s">
        <v>237</v>
      </c>
      <c r="F36" s="11" t="s">
        <v>241</v>
      </c>
      <c r="G36" s="36">
        <v>117708000</v>
      </c>
      <c r="H36" s="36">
        <v>37074000</v>
      </c>
      <c r="I36" s="47">
        <f t="shared" ref="I36:I67" si="6">G36/K36</f>
        <v>0.40989103977100594</v>
      </c>
      <c r="J36" s="47">
        <f t="shared" ref="J36:J67" si="7">H36/K36</f>
        <v>0.12910167880237769</v>
      </c>
      <c r="K36" s="83">
        <v>287169000</v>
      </c>
      <c r="L36" s="36">
        <v>136182000</v>
      </c>
      <c r="M36" s="36">
        <v>34262000</v>
      </c>
      <c r="N36" s="47">
        <f t="shared" ref="N36:N67" si="8">L36/P36</f>
        <v>0.41254271381140489</v>
      </c>
      <c r="O36" s="47">
        <f t="shared" ref="O36:O67" si="9">M36/P36</f>
        <v>0.10379153236555752</v>
      </c>
      <c r="P36" s="83">
        <v>330104000</v>
      </c>
      <c r="Q36" s="36">
        <v>133138000</v>
      </c>
      <c r="R36" s="36">
        <v>48999000</v>
      </c>
      <c r="S36" s="47">
        <f t="shared" ref="S36:S67" si="10">Q36/U36</f>
        <v>0.40194059860281733</v>
      </c>
      <c r="T36" s="47">
        <f t="shared" ref="T36:T67" si="11">R36/U36</f>
        <v>0.14792686829409668</v>
      </c>
      <c r="U36" s="83">
        <v>331238000</v>
      </c>
    </row>
    <row r="37" spans="1:21" x14ac:dyDescent="0.45">
      <c r="A37" s="51">
        <v>74</v>
      </c>
      <c r="B37" s="11" t="s">
        <v>29</v>
      </c>
      <c r="C37" s="11" t="s">
        <v>69</v>
      </c>
      <c r="D37" s="11" t="s">
        <v>248</v>
      </c>
      <c r="E37" s="11" t="s">
        <v>240</v>
      </c>
      <c r="F37" s="11" t="s">
        <v>241</v>
      </c>
      <c r="G37" s="36">
        <v>174807000</v>
      </c>
      <c r="H37" s="36">
        <v>33221000</v>
      </c>
      <c r="I37" s="47">
        <f t="shared" si="6"/>
        <v>0.4460670860073746</v>
      </c>
      <c r="J37" s="47">
        <f t="shared" si="7"/>
        <v>8.4772318409737549E-2</v>
      </c>
      <c r="K37" s="83">
        <v>391885000</v>
      </c>
      <c r="L37" s="36">
        <v>200530000</v>
      </c>
      <c r="M37" s="36">
        <v>24160000</v>
      </c>
      <c r="N37" s="47">
        <f t="shared" si="8"/>
        <v>0.47670327580468785</v>
      </c>
      <c r="O37" s="47">
        <f t="shared" si="9"/>
        <v>5.7433556791708265E-2</v>
      </c>
      <c r="P37" s="83">
        <v>420660000</v>
      </c>
      <c r="Q37" s="36">
        <v>200740000</v>
      </c>
      <c r="R37" s="36">
        <v>38956000</v>
      </c>
      <c r="S37" s="47">
        <f t="shared" si="10"/>
        <v>0.41271153162154883</v>
      </c>
      <c r="T37" s="47">
        <f t="shared" si="11"/>
        <v>8.0091613160551245E-2</v>
      </c>
      <c r="U37" s="83">
        <v>486393000</v>
      </c>
    </row>
    <row r="38" spans="1:21" x14ac:dyDescent="0.45">
      <c r="A38" s="51">
        <v>73</v>
      </c>
      <c r="B38" s="11" t="s">
        <v>30</v>
      </c>
      <c r="C38" s="11" t="s">
        <v>72</v>
      </c>
      <c r="D38" s="11" t="s">
        <v>253</v>
      </c>
      <c r="E38" s="11" t="s">
        <v>251</v>
      </c>
      <c r="F38" s="11" t="s">
        <v>241</v>
      </c>
      <c r="G38" s="36">
        <v>371385000</v>
      </c>
      <c r="H38" s="36">
        <v>54062000</v>
      </c>
      <c r="I38" s="47">
        <f t="shared" si="6"/>
        <v>0.40945398417904688</v>
      </c>
      <c r="J38" s="47">
        <f t="shared" si="7"/>
        <v>5.9603649293018382E-2</v>
      </c>
      <c r="K38" s="83">
        <v>907025000</v>
      </c>
      <c r="L38" s="36">
        <v>423317000</v>
      </c>
      <c r="M38" s="36">
        <v>51919000</v>
      </c>
      <c r="N38" s="47">
        <f t="shared" si="8"/>
        <v>0.4428437524191709</v>
      </c>
      <c r="O38" s="47">
        <f t="shared" si="9"/>
        <v>5.4313917895692676E-2</v>
      </c>
      <c r="P38" s="83">
        <v>955906000</v>
      </c>
      <c r="Q38" s="36">
        <v>461609000</v>
      </c>
      <c r="R38" s="36">
        <v>75217000</v>
      </c>
      <c r="S38" s="47">
        <f t="shared" si="10"/>
        <v>0.41699511015917956</v>
      </c>
      <c r="T38" s="47">
        <f t="shared" si="11"/>
        <v>6.794737797755894E-2</v>
      </c>
      <c r="U38" s="83">
        <v>1106989000</v>
      </c>
    </row>
    <row r="39" spans="1:21" x14ac:dyDescent="0.45">
      <c r="A39" s="51">
        <v>108</v>
      </c>
      <c r="B39" s="11" t="s">
        <v>31</v>
      </c>
      <c r="C39" s="11" t="s">
        <v>72</v>
      </c>
      <c r="D39" s="11" t="s">
        <v>252</v>
      </c>
      <c r="E39" s="11" t="s">
        <v>251</v>
      </c>
      <c r="F39" s="11" t="s">
        <v>241</v>
      </c>
      <c r="G39" s="36">
        <v>311597000</v>
      </c>
      <c r="H39" s="36">
        <v>46884000</v>
      </c>
      <c r="I39" s="47">
        <f t="shared" si="6"/>
        <v>0.48977606204309004</v>
      </c>
      <c r="J39" s="47">
        <f t="shared" si="7"/>
        <v>7.3693459477556691E-2</v>
      </c>
      <c r="K39" s="83">
        <v>636203000</v>
      </c>
      <c r="L39" s="36">
        <v>348624000</v>
      </c>
      <c r="M39" s="36">
        <v>44491000</v>
      </c>
      <c r="N39" s="47">
        <f t="shared" si="8"/>
        <v>0.46529046620603504</v>
      </c>
      <c r="O39" s="47">
        <f t="shared" si="9"/>
        <v>5.9379842271251274E-2</v>
      </c>
      <c r="P39" s="83">
        <v>749261000</v>
      </c>
      <c r="Q39" s="36">
        <v>354018000</v>
      </c>
      <c r="R39" s="36">
        <v>70730000</v>
      </c>
      <c r="S39" s="47">
        <f t="shared" si="10"/>
        <v>0.47686063850278759</v>
      </c>
      <c r="T39" s="47">
        <f t="shared" si="11"/>
        <v>9.5272988834754643E-2</v>
      </c>
      <c r="U39" s="83">
        <v>742393000</v>
      </c>
    </row>
    <row r="40" spans="1:21" x14ac:dyDescent="0.45">
      <c r="A40" s="51">
        <v>75</v>
      </c>
      <c r="B40" s="11" t="s">
        <v>32</v>
      </c>
      <c r="C40" s="11" t="s">
        <v>69</v>
      </c>
      <c r="D40" s="11" t="s">
        <v>253</v>
      </c>
      <c r="E40" s="11" t="s">
        <v>251</v>
      </c>
      <c r="F40" s="11" t="s">
        <v>241</v>
      </c>
      <c r="G40" s="36">
        <v>173574000</v>
      </c>
      <c r="H40" s="36">
        <v>20697000</v>
      </c>
      <c r="I40" s="47">
        <f t="shared" si="6"/>
        <v>0.44033080494177934</v>
      </c>
      <c r="J40" s="47">
        <f t="shared" si="7"/>
        <v>5.2505137116618888E-2</v>
      </c>
      <c r="K40" s="83">
        <v>394190000</v>
      </c>
      <c r="L40" s="36">
        <v>184570000</v>
      </c>
      <c r="M40" s="36">
        <v>22278000</v>
      </c>
      <c r="N40" s="47">
        <f t="shared" si="8"/>
        <v>0.44508697004699976</v>
      </c>
      <c r="O40" s="47">
        <f t="shared" si="9"/>
        <v>5.3722964288384141E-2</v>
      </c>
      <c r="P40" s="83">
        <v>414683000</v>
      </c>
      <c r="Q40" s="36">
        <v>197115000</v>
      </c>
      <c r="R40" s="36">
        <v>30446000</v>
      </c>
      <c r="S40" s="47">
        <f t="shared" si="10"/>
        <v>0.43025809155439915</v>
      </c>
      <c r="T40" s="47">
        <f t="shared" si="11"/>
        <v>6.6456829036172976E-2</v>
      </c>
      <c r="U40" s="83">
        <v>458132000</v>
      </c>
    </row>
    <row r="41" spans="1:21" x14ac:dyDescent="0.45">
      <c r="A41" s="51">
        <v>84</v>
      </c>
      <c r="B41" s="11" t="s">
        <v>33</v>
      </c>
      <c r="C41" s="11" t="s">
        <v>69</v>
      </c>
      <c r="D41" s="11" t="s">
        <v>255</v>
      </c>
      <c r="E41" s="11" t="s">
        <v>251</v>
      </c>
      <c r="F41" s="11" t="s">
        <v>241</v>
      </c>
      <c r="G41" s="36">
        <v>57632000</v>
      </c>
      <c r="H41" s="36">
        <v>5440000</v>
      </c>
      <c r="I41" s="47">
        <f t="shared" si="6"/>
        <v>0.44796119825267772</v>
      </c>
      <c r="J41" s="47">
        <f t="shared" si="7"/>
        <v>4.2283955415299952E-2</v>
      </c>
      <c r="K41" s="83">
        <v>128654000</v>
      </c>
      <c r="L41" s="36">
        <v>63574000</v>
      </c>
      <c r="M41" s="36">
        <v>7526000</v>
      </c>
      <c r="N41" s="47">
        <f t="shared" si="8"/>
        <v>0.44783037475345167</v>
      </c>
      <c r="O41" s="47">
        <f t="shared" si="9"/>
        <v>5.3014933784164553E-2</v>
      </c>
      <c r="P41" s="83">
        <v>141960000</v>
      </c>
      <c r="Q41" s="36">
        <v>62635000</v>
      </c>
      <c r="R41" s="36">
        <v>11105000</v>
      </c>
      <c r="S41" s="47">
        <f t="shared" si="10"/>
        <v>0.427805477767912</v>
      </c>
      <c r="T41" s="47">
        <f t="shared" si="11"/>
        <v>7.58486442182911E-2</v>
      </c>
      <c r="U41" s="83">
        <v>146410000</v>
      </c>
    </row>
    <row r="42" spans="1:21" x14ac:dyDescent="0.45">
      <c r="A42" s="51">
        <v>15</v>
      </c>
      <c r="B42" s="11" t="s">
        <v>34</v>
      </c>
      <c r="C42" s="11" t="s">
        <v>67</v>
      </c>
      <c r="D42" s="11" t="s">
        <v>254</v>
      </c>
      <c r="E42" s="11" t="s">
        <v>240</v>
      </c>
      <c r="F42" s="11" t="s">
        <v>241</v>
      </c>
      <c r="G42" s="36">
        <v>494893000</v>
      </c>
      <c r="H42" s="36">
        <v>26073000</v>
      </c>
      <c r="I42" s="47">
        <f t="shared" si="6"/>
        <v>0.39858845019466599</v>
      </c>
      <c r="J42" s="47">
        <f t="shared" si="7"/>
        <v>2.0999279969459106E-2</v>
      </c>
      <c r="K42" s="83">
        <v>1241614000</v>
      </c>
      <c r="L42" s="36">
        <v>518704000</v>
      </c>
      <c r="M42" s="36">
        <v>24833000</v>
      </c>
      <c r="N42" s="47">
        <f t="shared" si="8"/>
        <v>0.40503529878443495</v>
      </c>
      <c r="O42" s="47">
        <f t="shared" si="9"/>
        <v>1.9391100848873102E-2</v>
      </c>
      <c r="P42" s="83">
        <v>1280639000</v>
      </c>
      <c r="Q42" s="36">
        <v>446186000</v>
      </c>
      <c r="R42" s="36">
        <v>22255000</v>
      </c>
      <c r="S42" s="47">
        <f t="shared" si="10"/>
        <v>0.31360462648109388</v>
      </c>
      <c r="T42" s="47">
        <f t="shared" si="11"/>
        <v>1.5642066228740356E-2</v>
      </c>
      <c r="U42" s="83">
        <v>1422766000</v>
      </c>
    </row>
    <row r="43" spans="1:21" x14ac:dyDescent="0.45">
      <c r="A43" s="51">
        <v>58</v>
      </c>
      <c r="B43" s="11" t="s">
        <v>35</v>
      </c>
      <c r="C43" s="11" t="s">
        <v>73</v>
      </c>
      <c r="D43" s="11" t="s">
        <v>239</v>
      </c>
      <c r="E43" s="11" t="s">
        <v>240</v>
      </c>
      <c r="F43" s="11" t="s">
        <v>241</v>
      </c>
      <c r="G43" s="36">
        <v>135449000</v>
      </c>
      <c r="H43" s="36">
        <v>11535000</v>
      </c>
      <c r="I43" s="47">
        <f t="shared" si="6"/>
        <v>0.56139543751450649</v>
      </c>
      <c r="J43" s="47">
        <f t="shared" si="7"/>
        <v>4.7809111707947875E-2</v>
      </c>
      <c r="K43" s="83">
        <v>241272000</v>
      </c>
      <c r="L43" s="36">
        <v>136675000</v>
      </c>
      <c r="M43" s="36">
        <v>21137000</v>
      </c>
      <c r="N43" s="47">
        <f t="shared" si="8"/>
        <v>0.53269232268273481</v>
      </c>
      <c r="O43" s="47">
        <f t="shared" si="9"/>
        <v>8.2381691052094128E-2</v>
      </c>
      <c r="P43" s="83">
        <v>256574000</v>
      </c>
      <c r="Q43" s="36">
        <v>135772000</v>
      </c>
      <c r="R43" s="36">
        <v>16246000</v>
      </c>
      <c r="S43" s="47">
        <f t="shared" si="10"/>
        <v>0.49025781757781467</v>
      </c>
      <c r="T43" s="47">
        <f t="shared" si="11"/>
        <v>5.8662526178955732E-2</v>
      </c>
      <c r="U43" s="83">
        <v>276940000</v>
      </c>
    </row>
    <row r="44" spans="1:21" x14ac:dyDescent="0.45">
      <c r="A44" s="51">
        <v>2</v>
      </c>
      <c r="B44" s="11" t="s">
        <v>36</v>
      </c>
      <c r="C44" s="11" t="s">
        <v>69</v>
      </c>
      <c r="D44" s="11" t="s">
        <v>246</v>
      </c>
      <c r="E44" s="11" t="s">
        <v>240</v>
      </c>
      <c r="F44" s="11" t="s">
        <v>241</v>
      </c>
      <c r="G44" s="36">
        <v>297480000</v>
      </c>
      <c r="H44" s="36">
        <v>34972000</v>
      </c>
      <c r="I44" s="47">
        <f t="shared" si="6"/>
        <v>0.45491385875466034</v>
      </c>
      <c r="J44" s="47">
        <f t="shared" si="7"/>
        <v>5.3480057376522727E-2</v>
      </c>
      <c r="K44" s="83">
        <v>653926000</v>
      </c>
      <c r="L44" s="36">
        <v>294547000</v>
      </c>
      <c r="M44" s="36">
        <v>35638000</v>
      </c>
      <c r="N44" s="47">
        <f t="shared" si="8"/>
        <v>0.46595437381453703</v>
      </c>
      <c r="O44" s="47">
        <f t="shared" si="9"/>
        <v>5.6377019538486117E-2</v>
      </c>
      <c r="P44" s="83">
        <v>632137000</v>
      </c>
      <c r="Q44" s="36">
        <v>297159000</v>
      </c>
      <c r="R44" s="36">
        <v>47663000</v>
      </c>
      <c r="S44" s="47">
        <f t="shared" si="10"/>
        <v>0.41299386816840022</v>
      </c>
      <c r="T44" s="47">
        <f t="shared" si="11"/>
        <v>6.624240470088559E-2</v>
      </c>
      <c r="U44" s="83">
        <v>719524000</v>
      </c>
    </row>
    <row r="45" spans="1:21" x14ac:dyDescent="0.45">
      <c r="A45" s="51">
        <v>28</v>
      </c>
      <c r="B45" s="11" t="s">
        <v>37</v>
      </c>
      <c r="C45" s="11" t="s">
        <v>67</v>
      </c>
      <c r="D45" s="11" t="s">
        <v>259</v>
      </c>
      <c r="E45" s="11" t="s">
        <v>240</v>
      </c>
      <c r="F45" s="11" t="s">
        <v>238</v>
      </c>
      <c r="G45" s="36">
        <v>84304000</v>
      </c>
      <c r="H45" s="36">
        <v>3399000</v>
      </c>
      <c r="I45" s="47">
        <f t="shared" si="6"/>
        <v>0.49743036010361164</v>
      </c>
      <c r="J45" s="47">
        <f t="shared" si="7"/>
        <v>2.0055582107517747E-2</v>
      </c>
      <c r="K45" s="83">
        <v>169479000</v>
      </c>
      <c r="L45" s="36">
        <v>87844000</v>
      </c>
      <c r="M45" s="36">
        <v>2708000</v>
      </c>
      <c r="N45" s="47">
        <f t="shared" si="8"/>
        <v>0.47825258470031634</v>
      </c>
      <c r="O45" s="47">
        <f t="shared" si="9"/>
        <v>1.474327215710187E-2</v>
      </c>
      <c r="P45" s="83">
        <v>183677000</v>
      </c>
      <c r="Q45" s="36">
        <v>79627000</v>
      </c>
      <c r="R45" s="36">
        <v>2015000</v>
      </c>
      <c r="S45" s="47">
        <f t="shared" si="10"/>
        <v>0.41534264581616365</v>
      </c>
      <c r="T45" s="47">
        <f t="shared" si="11"/>
        <v>1.0510447854616772E-2</v>
      </c>
      <c r="U45" s="83">
        <v>191714000</v>
      </c>
    </row>
    <row r="46" spans="1:21" x14ac:dyDescent="0.45">
      <c r="A46" s="51">
        <v>52</v>
      </c>
      <c r="B46" s="11" t="s">
        <v>38</v>
      </c>
      <c r="C46" s="11" t="s">
        <v>72</v>
      </c>
      <c r="D46" s="11" t="s">
        <v>255</v>
      </c>
      <c r="E46" s="11" t="s">
        <v>251</v>
      </c>
      <c r="F46" s="11" t="s">
        <v>241</v>
      </c>
      <c r="G46" s="36">
        <v>145727000</v>
      </c>
      <c r="H46" s="36">
        <v>30168000</v>
      </c>
      <c r="I46" s="47">
        <f t="shared" si="6"/>
        <v>0.37816691795272361</v>
      </c>
      <c r="J46" s="47">
        <f t="shared" si="7"/>
        <v>7.8287068153449713E-2</v>
      </c>
      <c r="K46" s="83">
        <v>385351000</v>
      </c>
      <c r="L46" s="36">
        <v>168594000</v>
      </c>
      <c r="M46" s="36">
        <v>29776000</v>
      </c>
      <c r="N46" s="47">
        <f t="shared" si="8"/>
        <v>0.40143818084409788</v>
      </c>
      <c r="O46" s="47">
        <f t="shared" si="9"/>
        <v>7.0899458301089346E-2</v>
      </c>
      <c r="P46" s="83">
        <v>419975000</v>
      </c>
      <c r="Q46" s="36">
        <v>184439000</v>
      </c>
      <c r="R46" s="36">
        <v>45235000</v>
      </c>
      <c r="S46" s="47">
        <f t="shared" si="10"/>
        <v>0.40998106127965289</v>
      </c>
      <c r="T46" s="47">
        <f t="shared" si="11"/>
        <v>0.10055082334530711</v>
      </c>
      <c r="U46" s="83">
        <v>449872000</v>
      </c>
    </row>
    <row r="47" spans="1:21" x14ac:dyDescent="0.45">
      <c r="A47" s="51">
        <v>51</v>
      </c>
      <c r="B47" s="11" t="s">
        <v>39</v>
      </c>
      <c r="C47" s="11" t="s">
        <v>67</v>
      </c>
      <c r="D47" s="11" t="s">
        <v>260</v>
      </c>
      <c r="E47" s="11" t="s">
        <v>240</v>
      </c>
      <c r="F47" s="11" t="s">
        <v>241</v>
      </c>
      <c r="G47" s="36">
        <v>288916000</v>
      </c>
      <c r="H47" s="36">
        <v>10919000</v>
      </c>
      <c r="I47" s="47">
        <f t="shared" si="6"/>
        <v>0.4403811242586414</v>
      </c>
      <c r="J47" s="47">
        <f t="shared" si="7"/>
        <v>1.6643320189190302E-2</v>
      </c>
      <c r="K47" s="83">
        <v>656059000</v>
      </c>
      <c r="L47" s="36">
        <v>306485000</v>
      </c>
      <c r="M47" s="36">
        <v>14047000</v>
      </c>
      <c r="N47" s="47">
        <f t="shared" si="8"/>
        <v>0.46095802745428921</v>
      </c>
      <c r="O47" s="47">
        <f t="shared" si="9"/>
        <v>2.1126898254891432E-2</v>
      </c>
      <c r="P47" s="83">
        <v>664887000</v>
      </c>
      <c r="Q47" s="36">
        <v>269000000</v>
      </c>
      <c r="R47" s="36">
        <v>17259000</v>
      </c>
      <c r="S47" s="47">
        <f t="shared" si="10"/>
        <v>0.36768273763718051</v>
      </c>
      <c r="T47" s="47">
        <f t="shared" si="11"/>
        <v>2.3590469772788471E-2</v>
      </c>
      <c r="U47" s="83">
        <v>731609000</v>
      </c>
    </row>
    <row r="48" spans="1:21" x14ac:dyDescent="0.45">
      <c r="A48" s="51">
        <v>10</v>
      </c>
      <c r="B48" s="11" t="s">
        <v>40</v>
      </c>
      <c r="C48" s="11" t="s">
        <v>78</v>
      </c>
      <c r="D48" s="11" t="s">
        <v>252</v>
      </c>
      <c r="E48" s="11" t="s">
        <v>251</v>
      </c>
      <c r="F48" s="11" t="s">
        <v>241</v>
      </c>
      <c r="G48" s="36">
        <v>168290000</v>
      </c>
      <c r="H48" s="36">
        <v>27929000</v>
      </c>
      <c r="I48" s="47">
        <f t="shared" si="6"/>
        <v>0.40869506088291152</v>
      </c>
      <c r="J48" s="47">
        <f t="shared" si="7"/>
        <v>6.7826040497943052E-2</v>
      </c>
      <c r="K48" s="83">
        <v>411774000</v>
      </c>
      <c r="L48" s="36">
        <v>167251000</v>
      </c>
      <c r="M48" s="36">
        <v>9928000</v>
      </c>
      <c r="N48" s="47">
        <f t="shared" si="8"/>
        <v>0.43424673894981719</v>
      </c>
      <c r="O48" s="47">
        <f t="shared" si="9"/>
        <v>2.5776836158192089E-2</v>
      </c>
      <c r="P48" s="83">
        <v>385152000</v>
      </c>
      <c r="Q48" s="36">
        <v>167086000</v>
      </c>
      <c r="R48" s="36">
        <v>11303000</v>
      </c>
      <c r="S48" s="47">
        <f t="shared" si="10"/>
        <v>0.38983042938601814</v>
      </c>
      <c r="T48" s="47">
        <f t="shared" si="11"/>
        <v>2.6371170195888121E-2</v>
      </c>
      <c r="U48" s="83">
        <v>428612000</v>
      </c>
    </row>
    <row r="49" spans="1:21" x14ac:dyDescent="0.45">
      <c r="A49" s="51">
        <v>392</v>
      </c>
      <c r="B49" s="11" t="s">
        <v>41</v>
      </c>
      <c r="C49" s="11" t="s">
        <v>72</v>
      </c>
      <c r="D49" s="11" t="s">
        <v>252</v>
      </c>
      <c r="E49" s="11" t="s">
        <v>251</v>
      </c>
      <c r="F49" s="11" t="s">
        <v>241</v>
      </c>
      <c r="G49" s="36">
        <v>36960000</v>
      </c>
      <c r="H49" s="36">
        <v>2143000</v>
      </c>
      <c r="I49" s="47">
        <f t="shared" si="6"/>
        <v>0.40759161437598562</v>
      </c>
      <c r="J49" s="47">
        <f t="shared" si="7"/>
        <v>2.3632814653888994E-2</v>
      </c>
      <c r="K49" s="83">
        <v>90679000</v>
      </c>
      <c r="L49" s="36">
        <v>44896000</v>
      </c>
      <c r="M49" s="36">
        <v>7181000</v>
      </c>
      <c r="N49" s="47">
        <f t="shared" si="8"/>
        <v>0.41210541292235386</v>
      </c>
      <c r="O49" s="47">
        <f t="shared" si="9"/>
        <v>6.5915203363226635E-2</v>
      </c>
      <c r="P49" s="83">
        <v>108943000</v>
      </c>
      <c r="Q49" s="36">
        <v>47365000</v>
      </c>
      <c r="R49" s="36">
        <v>8887000</v>
      </c>
      <c r="S49" s="47">
        <f t="shared" si="10"/>
        <v>0.42637752392269124</v>
      </c>
      <c r="T49" s="47">
        <f t="shared" si="11"/>
        <v>8.0000360078136962E-2</v>
      </c>
      <c r="U49" s="83">
        <v>111087000</v>
      </c>
    </row>
    <row r="50" spans="1:21" x14ac:dyDescent="0.45">
      <c r="A50" s="51">
        <v>391</v>
      </c>
      <c r="B50" s="11" t="s">
        <v>42</v>
      </c>
      <c r="C50" s="11" t="s">
        <v>72</v>
      </c>
      <c r="D50" s="11" t="s">
        <v>252</v>
      </c>
      <c r="E50" s="11" t="s">
        <v>251</v>
      </c>
      <c r="F50" s="11" t="s">
        <v>241</v>
      </c>
      <c r="G50" s="36">
        <v>81075000</v>
      </c>
      <c r="H50" s="36">
        <v>7992000</v>
      </c>
      <c r="I50" s="47">
        <f t="shared" si="6"/>
        <v>0.46813289604360581</v>
      </c>
      <c r="J50" s="47">
        <f t="shared" si="7"/>
        <v>4.6146384276046837E-2</v>
      </c>
      <c r="K50" s="83">
        <v>173188000</v>
      </c>
      <c r="L50" s="36">
        <v>80083000</v>
      </c>
      <c r="M50" s="36">
        <v>12743000</v>
      </c>
      <c r="N50" s="47">
        <f t="shared" si="8"/>
        <v>0.43495475727522565</v>
      </c>
      <c r="O50" s="47">
        <f t="shared" si="9"/>
        <v>6.9211049435687982E-2</v>
      </c>
      <c r="P50" s="83">
        <v>184118000</v>
      </c>
      <c r="Q50" s="36">
        <v>76380000</v>
      </c>
      <c r="R50" s="36">
        <v>16098000</v>
      </c>
      <c r="S50" s="47">
        <f t="shared" si="10"/>
        <v>0.45890962400413365</v>
      </c>
      <c r="T50" s="47">
        <f t="shared" si="11"/>
        <v>9.6720700801499651E-2</v>
      </c>
      <c r="U50" s="83">
        <v>166438000</v>
      </c>
    </row>
    <row r="51" spans="1:21" x14ac:dyDescent="0.45">
      <c r="A51" s="51">
        <v>34</v>
      </c>
      <c r="B51" s="11" t="s">
        <v>43</v>
      </c>
      <c r="C51" s="11" t="s">
        <v>72</v>
      </c>
      <c r="D51" s="11" t="s">
        <v>253</v>
      </c>
      <c r="E51" s="11" t="s">
        <v>251</v>
      </c>
      <c r="F51" s="11" t="s">
        <v>241</v>
      </c>
      <c r="G51" s="36">
        <v>135467000</v>
      </c>
      <c r="H51" s="36">
        <v>19059000</v>
      </c>
      <c r="I51" s="47">
        <f t="shared" si="6"/>
        <v>0.45027338751225676</v>
      </c>
      <c r="J51" s="47">
        <f t="shared" si="7"/>
        <v>6.3349454055940571E-2</v>
      </c>
      <c r="K51" s="83">
        <v>300855000</v>
      </c>
      <c r="L51" s="36">
        <v>142124000</v>
      </c>
      <c r="M51" s="36">
        <v>21277000</v>
      </c>
      <c r="N51" s="47">
        <f t="shared" si="8"/>
        <v>0.4381998914705737</v>
      </c>
      <c r="O51" s="47">
        <f t="shared" si="9"/>
        <v>6.5601721671353169E-2</v>
      </c>
      <c r="P51" s="83">
        <v>324336000</v>
      </c>
      <c r="Q51" s="36">
        <v>149311000</v>
      </c>
      <c r="R51" s="36">
        <v>21862000</v>
      </c>
      <c r="S51" s="47">
        <f t="shared" si="10"/>
        <v>0.42162288851112856</v>
      </c>
      <c r="T51" s="47">
        <f t="shared" si="11"/>
        <v>6.1733694025425404E-2</v>
      </c>
      <c r="U51" s="83">
        <v>354134000</v>
      </c>
    </row>
    <row r="52" spans="1:21" x14ac:dyDescent="0.45">
      <c r="A52" s="51">
        <v>110</v>
      </c>
      <c r="B52" s="11" t="s">
        <v>44</v>
      </c>
      <c r="C52" s="11" t="s">
        <v>69</v>
      </c>
      <c r="D52" s="11" t="s">
        <v>250</v>
      </c>
      <c r="E52" s="11" t="s">
        <v>251</v>
      </c>
      <c r="F52" s="11" t="s">
        <v>241</v>
      </c>
      <c r="G52" s="36">
        <v>79200000</v>
      </c>
      <c r="H52" s="36">
        <v>15661000</v>
      </c>
      <c r="I52" s="47">
        <f t="shared" si="6"/>
        <v>0.38886243009559535</v>
      </c>
      <c r="J52" s="47">
        <f t="shared" si="7"/>
        <v>7.6893617648069679E-2</v>
      </c>
      <c r="K52" s="83">
        <v>203671000</v>
      </c>
      <c r="L52" s="36">
        <v>82381000</v>
      </c>
      <c r="M52" s="36">
        <v>15952000</v>
      </c>
      <c r="N52" s="47">
        <f t="shared" si="8"/>
        <v>0.3910020314012872</v>
      </c>
      <c r="O52" s="47">
        <f t="shared" si="9"/>
        <v>7.5712414329922345E-2</v>
      </c>
      <c r="P52" s="83">
        <v>210692000</v>
      </c>
      <c r="Q52" s="36">
        <v>86149000</v>
      </c>
      <c r="R52" s="36">
        <v>18984000</v>
      </c>
      <c r="S52" s="47">
        <f t="shared" si="10"/>
        <v>0.38722828529818948</v>
      </c>
      <c r="T52" s="47">
        <f t="shared" si="11"/>
        <v>8.5330552509034679E-2</v>
      </c>
      <c r="U52" s="83">
        <v>222476000</v>
      </c>
    </row>
    <row r="53" spans="1:21" x14ac:dyDescent="0.45">
      <c r="A53" s="51">
        <v>24</v>
      </c>
      <c r="B53" s="11" t="s">
        <v>45</v>
      </c>
      <c r="C53" s="11" t="s">
        <v>69</v>
      </c>
      <c r="D53" s="11" t="s">
        <v>260</v>
      </c>
      <c r="E53" s="11" t="s">
        <v>240</v>
      </c>
      <c r="F53" s="11" t="s">
        <v>241</v>
      </c>
      <c r="G53" s="36">
        <v>53608000</v>
      </c>
      <c r="H53" s="36">
        <v>8137000</v>
      </c>
      <c r="I53" s="47">
        <f t="shared" si="6"/>
        <v>0.42849035640921118</v>
      </c>
      <c r="J53" s="47">
        <f t="shared" si="7"/>
        <v>6.5039285742832256E-2</v>
      </c>
      <c r="K53" s="83">
        <v>125109000</v>
      </c>
      <c r="L53" s="36">
        <v>54912000</v>
      </c>
      <c r="M53" s="36">
        <v>10697000</v>
      </c>
      <c r="N53" s="47">
        <f t="shared" si="8"/>
        <v>0.4306283133097023</v>
      </c>
      <c r="O53" s="47">
        <f t="shared" si="9"/>
        <v>8.3887512155337365E-2</v>
      </c>
      <c r="P53" s="83">
        <v>127516000</v>
      </c>
      <c r="Q53" s="36">
        <v>57659000</v>
      </c>
      <c r="R53" s="36">
        <v>17911000</v>
      </c>
      <c r="S53" s="47">
        <f t="shared" si="10"/>
        <v>0.40065735072371117</v>
      </c>
      <c r="T53" s="47">
        <f t="shared" si="11"/>
        <v>0.124458866938594</v>
      </c>
      <c r="U53" s="83">
        <v>143911000</v>
      </c>
    </row>
    <row r="54" spans="1:21" x14ac:dyDescent="0.45">
      <c r="A54" s="51">
        <v>38</v>
      </c>
      <c r="B54" s="11" t="s">
        <v>46</v>
      </c>
      <c r="C54" s="11" t="s">
        <v>69</v>
      </c>
      <c r="D54" s="11" t="s">
        <v>252</v>
      </c>
      <c r="E54" s="11" t="s">
        <v>251</v>
      </c>
      <c r="F54" s="11" t="s">
        <v>241</v>
      </c>
      <c r="G54" s="36">
        <v>449520000</v>
      </c>
      <c r="H54" s="36">
        <v>84711000</v>
      </c>
      <c r="I54" s="47">
        <f t="shared" si="6"/>
        <v>0.38404888267679133</v>
      </c>
      <c r="J54" s="47">
        <f t="shared" si="7"/>
        <v>7.2373119995625707E-2</v>
      </c>
      <c r="K54" s="83">
        <v>1170476000</v>
      </c>
      <c r="L54" s="36">
        <v>495173000</v>
      </c>
      <c r="M54" s="36">
        <v>67618000</v>
      </c>
      <c r="N54" s="47">
        <f t="shared" si="8"/>
        <v>0.40265922454598752</v>
      </c>
      <c r="O54" s="47">
        <f t="shared" si="9"/>
        <v>5.49848465997754E-2</v>
      </c>
      <c r="P54" s="83">
        <v>1229757000</v>
      </c>
      <c r="Q54" s="36">
        <v>571492000</v>
      </c>
      <c r="R54" s="36">
        <v>58311000</v>
      </c>
      <c r="S54" s="47">
        <f t="shared" si="10"/>
        <v>0.41573848628334775</v>
      </c>
      <c r="T54" s="47">
        <f t="shared" si="11"/>
        <v>4.2419013518418966E-2</v>
      </c>
      <c r="U54" s="83">
        <v>1374643000</v>
      </c>
    </row>
    <row r="55" spans="1:21" x14ac:dyDescent="0.45">
      <c r="A55" s="51">
        <v>48</v>
      </c>
      <c r="B55" s="11" t="s">
        <v>47</v>
      </c>
      <c r="C55" s="11" t="s">
        <v>69</v>
      </c>
      <c r="D55" s="11" t="s">
        <v>258</v>
      </c>
      <c r="E55" s="11" t="s">
        <v>251</v>
      </c>
      <c r="F55" s="11" t="s">
        <v>241</v>
      </c>
      <c r="G55" s="36">
        <v>133826000</v>
      </c>
      <c r="H55" s="36">
        <v>16293000</v>
      </c>
      <c r="I55" s="47">
        <f t="shared" si="6"/>
        <v>0.45286300679162533</v>
      </c>
      <c r="J55" s="47">
        <f t="shared" si="7"/>
        <v>5.5135003434728318E-2</v>
      </c>
      <c r="K55" s="83">
        <v>295511000</v>
      </c>
      <c r="L55" s="36">
        <v>150951000</v>
      </c>
      <c r="M55" s="36">
        <v>15396000</v>
      </c>
      <c r="N55" s="47">
        <f t="shared" si="8"/>
        <v>0.46522041963559257</v>
      </c>
      <c r="O55" s="47">
        <f t="shared" si="9"/>
        <v>4.7449394708942529E-2</v>
      </c>
      <c r="P55" s="83">
        <v>324472000</v>
      </c>
      <c r="Q55" s="36">
        <v>165032000</v>
      </c>
      <c r="R55" s="36">
        <v>29846000</v>
      </c>
      <c r="S55" s="47">
        <f t="shared" si="10"/>
        <v>0.44474507574022221</v>
      </c>
      <c r="T55" s="47">
        <f t="shared" si="11"/>
        <v>8.0432046697262782E-2</v>
      </c>
      <c r="U55" s="83">
        <v>371071000</v>
      </c>
    </row>
    <row r="56" spans="1:21" x14ac:dyDescent="0.45">
      <c r="A56" s="51">
        <v>50</v>
      </c>
      <c r="B56" s="11" t="s">
        <v>48</v>
      </c>
      <c r="C56" s="11" t="s">
        <v>76</v>
      </c>
      <c r="D56" s="11" t="s">
        <v>254</v>
      </c>
      <c r="E56" s="11" t="s">
        <v>240</v>
      </c>
      <c r="F56" s="11" t="s">
        <v>241</v>
      </c>
      <c r="G56" s="36">
        <v>81255000</v>
      </c>
      <c r="H56" s="36">
        <v>3350000</v>
      </c>
      <c r="I56" s="47">
        <f t="shared" si="6"/>
        <v>0.46527940814374963</v>
      </c>
      <c r="J56" s="47">
        <f t="shared" si="7"/>
        <v>1.9182647434392484E-2</v>
      </c>
      <c r="K56" s="83">
        <v>174637000</v>
      </c>
      <c r="L56" s="36">
        <v>83933000</v>
      </c>
      <c r="M56" s="36">
        <v>5324000</v>
      </c>
      <c r="N56" s="47">
        <f t="shared" si="8"/>
        <v>0.45445832972364203</v>
      </c>
      <c r="O56" s="47">
        <f t="shared" si="9"/>
        <v>2.882699471541194E-2</v>
      </c>
      <c r="P56" s="83">
        <v>184688000</v>
      </c>
      <c r="Q56" s="36">
        <v>78004000</v>
      </c>
      <c r="R56" s="36">
        <v>4399000</v>
      </c>
      <c r="S56" s="47">
        <f t="shared" si="10"/>
        <v>0.45910091462337999</v>
      </c>
      <c r="T56" s="47">
        <f t="shared" si="11"/>
        <v>2.5890786670276507E-2</v>
      </c>
      <c r="U56" s="83">
        <v>169906000</v>
      </c>
    </row>
    <row r="57" spans="1:21" x14ac:dyDescent="0.45">
      <c r="A57" s="51">
        <v>502</v>
      </c>
      <c r="B57" s="11" t="s">
        <v>49</v>
      </c>
      <c r="C57" s="11" t="s">
        <v>76</v>
      </c>
      <c r="D57" s="11" t="s">
        <v>254</v>
      </c>
      <c r="E57" s="11" t="s">
        <v>240</v>
      </c>
      <c r="F57" s="11" t="s">
        <v>241</v>
      </c>
      <c r="G57" s="36">
        <v>35424000</v>
      </c>
      <c r="H57" s="36">
        <v>1575000</v>
      </c>
      <c r="I57" s="47">
        <f t="shared" si="6"/>
        <v>0.46258716602679623</v>
      </c>
      <c r="J57" s="47">
        <f t="shared" si="7"/>
        <v>2.0567264749667007E-2</v>
      </c>
      <c r="K57" s="83">
        <v>76578000</v>
      </c>
      <c r="L57" s="36">
        <v>39268000</v>
      </c>
      <c r="M57" s="36">
        <v>1215000</v>
      </c>
      <c r="N57" s="47">
        <f t="shared" si="8"/>
        <v>0.44990318626046905</v>
      </c>
      <c r="O57" s="47">
        <f t="shared" si="9"/>
        <v>1.392055544734822E-2</v>
      </c>
      <c r="P57" s="83">
        <v>87281000</v>
      </c>
      <c r="Q57" s="36">
        <v>39837000</v>
      </c>
      <c r="R57" s="36">
        <v>1225000</v>
      </c>
      <c r="S57" s="47">
        <f t="shared" si="10"/>
        <v>0.48652312502289907</v>
      </c>
      <c r="T57" s="47">
        <f t="shared" si="11"/>
        <v>1.4960735701811166E-2</v>
      </c>
      <c r="U57" s="83">
        <v>81881000</v>
      </c>
    </row>
    <row r="58" spans="1:21" x14ac:dyDescent="0.45">
      <c r="A58" s="51">
        <v>96</v>
      </c>
      <c r="B58" s="11" t="s">
        <v>50</v>
      </c>
      <c r="C58" s="11" t="s">
        <v>76</v>
      </c>
      <c r="D58" s="11" t="s">
        <v>246</v>
      </c>
      <c r="E58" s="11" t="s">
        <v>240</v>
      </c>
      <c r="F58" s="11" t="s">
        <v>241</v>
      </c>
      <c r="G58" s="36">
        <v>80928000</v>
      </c>
      <c r="H58" s="36">
        <v>18973000</v>
      </c>
      <c r="I58" s="47">
        <f t="shared" si="6"/>
        <v>0.37645132479904736</v>
      </c>
      <c r="J58" s="47">
        <f t="shared" si="7"/>
        <v>8.8256363501041976E-2</v>
      </c>
      <c r="K58" s="83">
        <v>214976000</v>
      </c>
      <c r="L58" s="36">
        <v>85477000</v>
      </c>
      <c r="M58" s="36">
        <v>13160000</v>
      </c>
      <c r="N58" s="47">
        <f t="shared" si="8"/>
        <v>0.37186386555353018</v>
      </c>
      <c r="O58" s="47">
        <f t="shared" si="9"/>
        <v>5.7251991420902197E-2</v>
      </c>
      <c r="P58" s="83">
        <v>229861000</v>
      </c>
      <c r="Q58" s="36">
        <v>84526000</v>
      </c>
      <c r="R58" s="36">
        <v>20104000</v>
      </c>
      <c r="S58" s="47">
        <f t="shared" si="10"/>
        <v>0.42498868721403793</v>
      </c>
      <c r="T58" s="47">
        <f t="shared" si="11"/>
        <v>0.10108099954748856</v>
      </c>
      <c r="U58" s="83">
        <v>198890000</v>
      </c>
    </row>
    <row r="59" spans="1:21" x14ac:dyDescent="0.45">
      <c r="A59" s="51">
        <v>70</v>
      </c>
      <c r="B59" s="11" t="s">
        <v>51</v>
      </c>
      <c r="C59" s="11" t="s">
        <v>73</v>
      </c>
      <c r="D59" s="11" t="s">
        <v>252</v>
      </c>
      <c r="E59" s="11" t="s">
        <v>251</v>
      </c>
      <c r="F59" s="11" t="s">
        <v>241</v>
      </c>
      <c r="G59" s="36">
        <v>232654000</v>
      </c>
      <c r="H59" s="36">
        <v>27492000</v>
      </c>
      <c r="I59" s="47">
        <f t="shared" si="6"/>
        <v>0.49817456901628004</v>
      </c>
      <c r="J59" s="47">
        <f t="shared" si="7"/>
        <v>5.8867740298449933E-2</v>
      </c>
      <c r="K59" s="83">
        <v>467013000</v>
      </c>
      <c r="L59" s="36">
        <v>238233000</v>
      </c>
      <c r="M59" s="36">
        <v>32062000</v>
      </c>
      <c r="N59" s="47">
        <f t="shared" si="8"/>
        <v>0.48811936163978831</v>
      </c>
      <c r="O59" s="47">
        <f t="shared" si="9"/>
        <v>6.5692338898871661E-2</v>
      </c>
      <c r="P59" s="83">
        <v>488063000</v>
      </c>
      <c r="Q59" s="36">
        <v>249635000</v>
      </c>
      <c r="R59" s="36">
        <v>31402000</v>
      </c>
      <c r="S59" s="47">
        <f t="shared" si="10"/>
        <v>0.47751626885599624</v>
      </c>
      <c r="T59" s="47">
        <f t="shared" si="11"/>
        <v>6.0067562139187188E-2</v>
      </c>
      <c r="U59" s="83">
        <v>522778000</v>
      </c>
    </row>
    <row r="60" spans="1:21" x14ac:dyDescent="0.45">
      <c r="A60" s="51">
        <v>91</v>
      </c>
      <c r="B60" s="11" t="s">
        <v>52</v>
      </c>
      <c r="C60" s="11" t="s">
        <v>73</v>
      </c>
      <c r="D60" s="11" t="s">
        <v>257</v>
      </c>
      <c r="E60" s="11" t="s">
        <v>237</v>
      </c>
      <c r="F60" s="11" t="s">
        <v>238</v>
      </c>
      <c r="G60" s="36">
        <v>18952000</v>
      </c>
      <c r="H60" s="36">
        <v>15639000</v>
      </c>
      <c r="I60" s="47">
        <f t="shared" si="6"/>
        <v>0.3308601455980168</v>
      </c>
      <c r="J60" s="47">
        <f t="shared" si="7"/>
        <v>0.27302246818316717</v>
      </c>
      <c r="K60" s="83">
        <v>57281000</v>
      </c>
      <c r="L60" s="36">
        <v>22192000</v>
      </c>
      <c r="M60" s="36">
        <v>16944000</v>
      </c>
      <c r="N60" s="47">
        <f t="shared" si="8"/>
        <v>0.34755916117210378</v>
      </c>
      <c r="O60" s="47">
        <f t="shared" si="9"/>
        <v>0.26536780943133231</v>
      </c>
      <c r="P60" s="83">
        <v>63851000</v>
      </c>
      <c r="Q60" s="36">
        <v>21056000</v>
      </c>
      <c r="R60" s="36">
        <v>17414000</v>
      </c>
      <c r="S60" s="47">
        <f t="shared" si="10"/>
        <v>0.3178839940819469</v>
      </c>
      <c r="T60" s="47">
        <f t="shared" si="11"/>
        <v>0.26290044989281075</v>
      </c>
      <c r="U60" s="83">
        <v>66238000</v>
      </c>
    </row>
    <row r="61" spans="1:21" x14ac:dyDescent="0.45">
      <c r="A61" s="51">
        <v>47</v>
      </c>
      <c r="B61" s="11" t="s">
        <v>53</v>
      </c>
      <c r="C61" s="11" t="s">
        <v>73</v>
      </c>
      <c r="D61" s="11" t="s">
        <v>236</v>
      </c>
      <c r="E61" s="11" t="s">
        <v>237</v>
      </c>
      <c r="F61" s="11" t="s">
        <v>238</v>
      </c>
      <c r="G61" s="36">
        <v>75403000</v>
      </c>
      <c r="H61" s="36">
        <v>31025000</v>
      </c>
      <c r="I61" s="47">
        <f t="shared" si="6"/>
        <v>0.41424757174878041</v>
      </c>
      <c r="J61" s="47">
        <f t="shared" si="7"/>
        <v>0.17044455676174569</v>
      </c>
      <c r="K61" s="83">
        <v>182024000</v>
      </c>
      <c r="L61" s="36">
        <v>72612000</v>
      </c>
      <c r="M61" s="36">
        <v>30525000</v>
      </c>
      <c r="N61" s="47">
        <f t="shared" si="8"/>
        <v>0.41827188940092164</v>
      </c>
      <c r="O61" s="47">
        <f t="shared" si="9"/>
        <v>0.1758352534562212</v>
      </c>
      <c r="P61" s="83">
        <v>173600000</v>
      </c>
      <c r="Q61" s="36">
        <v>79299000</v>
      </c>
      <c r="R61" s="36">
        <v>37024000</v>
      </c>
      <c r="S61" s="47">
        <f t="shared" si="10"/>
        <v>0.38827901602099574</v>
      </c>
      <c r="T61" s="47">
        <f t="shared" si="11"/>
        <v>0.18128402992674997</v>
      </c>
      <c r="U61" s="83">
        <v>204232000</v>
      </c>
    </row>
    <row r="62" spans="1:21" x14ac:dyDescent="0.45">
      <c r="A62" s="51">
        <v>113</v>
      </c>
      <c r="B62" s="11" t="s">
        <v>54</v>
      </c>
      <c r="C62" s="11" t="s">
        <v>72</v>
      </c>
      <c r="D62" s="11" t="s">
        <v>255</v>
      </c>
      <c r="E62" s="11" t="s">
        <v>251</v>
      </c>
      <c r="F62" s="11" t="s">
        <v>241</v>
      </c>
      <c r="G62" s="36">
        <v>76956000</v>
      </c>
      <c r="H62" s="36">
        <v>12001000</v>
      </c>
      <c r="I62" s="47">
        <f t="shared" si="6"/>
        <v>0.37324124685352333</v>
      </c>
      <c r="J62" s="47">
        <f t="shared" si="7"/>
        <v>5.8205574659404506E-2</v>
      </c>
      <c r="K62" s="83">
        <v>206183000</v>
      </c>
      <c r="L62" s="36">
        <v>80782000</v>
      </c>
      <c r="M62" s="36">
        <v>10079000</v>
      </c>
      <c r="N62" s="47">
        <f t="shared" si="8"/>
        <v>0.39117339428217246</v>
      </c>
      <c r="O62" s="47">
        <f t="shared" si="9"/>
        <v>4.8805880529944994E-2</v>
      </c>
      <c r="P62" s="83">
        <v>206512000</v>
      </c>
      <c r="Q62" s="36">
        <v>81465000</v>
      </c>
      <c r="R62" s="36">
        <v>16712000</v>
      </c>
      <c r="S62" s="47">
        <f t="shared" si="10"/>
        <v>0.38637754158307364</v>
      </c>
      <c r="T62" s="47">
        <f t="shared" si="11"/>
        <v>7.9262768979762199E-2</v>
      </c>
      <c r="U62" s="83">
        <v>210843000</v>
      </c>
    </row>
    <row r="63" spans="1:21" x14ac:dyDescent="0.45">
      <c r="A63" s="51">
        <v>21</v>
      </c>
      <c r="B63" s="11" t="s">
        <v>55</v>
      </c>
      <c r="C63" s="11" t="s">
        <v>73</v>
      </c>
      <c r="D63" s="11" t="s">
        <v>250</v>
      </c>
      <c r="E63" s="11" t="s">
        <v>251</v>
      </c>
      <c r="F63" s="11" t="s">
        <v>241</v>
      </c>
      <c r="G63" s="36">
        <v>62473000</v>
      </c>
      <c r="H63" s="36">
        <v>28615000</v>
      </c>
      <c r="I63" s="47">
        <f t="shared" si="6"/>
        <v>0.43875494251581953</v>
      </c>
      <c r="J63" s="47">
        <f t="shared" si="7"/>
        <v>0.20096638035775738</v>
      </c>
      <c r="K63" s="83">
        <v>142387000</v>
      </c>
      <c r="L63" s="36">
        <v>64287000</v>
      </c>
      <c r="M63" s="36">
        <v>29378000</v>
      </c>
      <c r="N63" s="47">
        <f t="shared" si="8"/>
        <v>0.43397283577253337</v>
      </c>
      <c r="O63" s="47">
        <f t="shared" si="9"/>
        <v>0.19831776205648863</v>
      </c>
      <c r="P63" s="83">
        <v>148136000</v>
      </c>
      <c r="Q63" s="36">
        <v>63076000</v>
      </c>
      <c r="R63" s="36">
        <v>31232000</v>
      </c>
      <c r="S63" s="47">
        <f t="shared" si="10"/>
        <v>0.41601097473305149</v>
      </c>
      <c r="T63" s="47">
        <f t="shared" si="11"/>
        <v>0.20598729727412429</v>
      </c>
      <c r="U63" s="83">
        <v>151621000</v>
      </c>
    </row>
    <row r="64" spans="1:21" x14ac:dyDescent="0.45">
      <c r="A64" s="51">
        <v>19</v>
      </c>
      <c r="B64" s="11" t="s">
        <v>56</v>
      </c>
      <c r="C64" s="11" t="s">
        <v>77</v>
      </c>
      <c r="D64" s="11" t="s">
        <v>256</v>
      </c>
      <c r="E64" s="11" t="s">
        <v>240</v>
      </c>
      <c r="F64" s="11" t="s">
        <v>241</v>
      </c>
      <c r="G64" s="36">
        <v>371565000</v>
      </c>
      <c r="H64" s="36">
        <v>73667000</v>
      </c>
      <c r="I64" s="47">
        <f t="shared" si="6"/>
        <v>0.45550333200935611</v>
      </c>
      <c r="J64" s="47">
        <f t="shared" si="7"/>
        <v>9.0308731874996939E-2</v>
      </c>
      <c r="K64" s="83">
        <v>815724000</v>
      </c>
      <c r="L64" s="36">
        <v>403396000</v>
      </c>
      <c r="M64" s="36">
        <v>83868000</v>
      </c>
      <c r="N64" s="47">
        <f t="shared" si="8"/>
        <v>0.4525598380012677</v>
      </c>
      <c r="O64" s="47">
        <f t="shared" si="9"/>
        <v>9.4089402208971634E-2</v>
      </c>
      <c r="P64" s="83">
        <v>891365000</v>
      </c>
      <c r="Q64" s="36">
        <v>402271000</v>
      </c>
      <c r="R64" s="36">
        <v>73428000</v>
      </c>
      <c r="S64" s="47">
        <f t="shared" si="10"/>
        <v>0.43968464588789258</v>
      </c>
      <c r="T64" s="47">
        <f t="shared" si="11"/>
        <v>8.0257249909280501E-2</v>
      </c>
      <c r="U64" s="83">
        <v>914908000</v>
      </c>
    </row>
    <row r="65" spans="1:21" x14ac:dyDescent="0.45">
      <c r="A65" s="51">
        <v>116</v>
      </c>
      <c r="B65" s="11" t="s">
        <v>57</v>
      </c>
      <c r="C65" s="11" t="s">
        <v>77</v>
      </c>
      <c r="D65" s="11" t="s">
        <v>256</v>
      </c>
      <c r="E65" s="11" t="s">
        <v>240</v>
      </c>
      <c r="F65" s="11" t="s">
        <v>241</v>
      </c>
      <c r="G65" s="36">
        <v>52561000</v>
      </c>
      <c r="H65" s="36">
        <v>11090000</v>
      </c>
      <c r="I65" s="47">
        <f t="shared" si="6"/>
        <v>6.4434784314302385E-2</v>
      </c>
      <c r="J65" s="47">
        <f t="shared" si="7"/>
        <v>1.359528467962203E-2</v>
      </c>
      <c r="K65" s="83">
        <v>815724000</v>
      </c>
      <c r="L65" s="36">
        <v>58654000</v>
      </c>
      <c r="M65" s="36">
        <v>12865000</v>
      </c>
      <c r="N65" s="47">
        <f t="shared" si="8"/>
        <v>6.5802449052857134E-2</v>
      </c>
      <c r="O65" s="47">
        <f t="shared" si="9"/>
        <v>1.4432920296399343E-2</v>
      </c>
      <c r="P65" s="83">
        <v>891365000</v>
      </c>
      <c r="Q65" s="36">
        <v>59520000</v>
      </c>
      <c r="R65" s="36">
        <v>11656000</v>
      </c>
      <c r="S65" s="47">
        <f t="shared" si="10"/>
        <v>6.5055721449588377E-2</v>
      </c>
      <c r="T65" s="47">
        <f t="shared" si="11"/>
        <v>1.2740078783877723E-2</v>
      </c>
      <c r="U65" s="83">
        <v>914908000</v>
      </c>
    </row>
    <row r="66" spans="1:21" x14ac:dyDescent="0.45">
      <c r="A66" s="51">
        <v>60</v>
      </c>
      <c r="B66" s="11" t="s">
        <v>58</v>
      </c>
      <c r="C66" s="11" t="s">
        <v>75</v>
      </c>
      <c r="D66" s="11" t="s">
        <v>261</v>
      </c>
      <c r="E66" s="11" t="s">
        <v>240</v>
      </c>
      <c r="F66" s="11" t="s">
        <v>238</v>
      </c>
      <c r="G66" s="36">
        <v>50026000</v>
      </c>
      <c r="H66" s="36">
        <v>3641000</v>
      </c>
      <c r="I66" s="47">
        <f t="shared" si="6"/>
        <v>0.43941430165046069</v>
      </c>
      <c r="J66" s="47">
        <f t="shared" si="7"/>
        <v>3.1981519056277281E-2</v>
      </c>
      <c r="K66" s="83">
        <v>113847000</v>
      </c>
      <c r="L66" s="36">
        <v>51497000</v>
      </c>
      <c r="M66" s="36">
        <v>3527000</v>
      </c>
      <c r="N66" s="47">
        <f t="shared" si="8"/>
        <v>0.42686859141736916</v>
      </c>
      <c r="O66" s="47">
        <f t="shared" si="9"/>
        <v>2.9235985046295144E-2</v>
      </c>
      <c r="P66" s="83">
        <v>120639000</v>
      </c>
      <c r="Q66" s="36">
        <v>54047000</v>
      </c>
      <c r="R66" s="36">
        <v>4447000</v>
      </c>
      <c r="S66" s="47">
        <f t="shared" si="10"/>
        <v>0.42973570383563386</v>
      </c>
      <c r="T66" s="47">
        <f t="shared" si="11"/>
        <v>3.5358755804338143E-2</v>
      </c>
      <c r="U66" s="83">
        <v>125768000</v>
      </c>
    </row>
    <row r="67" spans="1:21" x14ac:dyDescent="0.45">
      <c r="A67" s="51">
        <v>6</v>
      </c>
      <c r="B67" s="11" t="s">
        <v>59</v>
      </c>
      <c r="C67" s="11" t="s">
        <v>76</v>
      </c>
      <c r="D67" s="11" t="s">
        <v>256</v>
      </c>
      <c r="E67" s="11" t="s">
        <v>240</v>
      </c>
      <c r="F67" s="11" t="s">
        <v>241</v>
      </c>
      <c r="G67" s="36">
        <v>53289000</v>
      </c>
      <c r="H67" s="36">
        <v>16771000</v>
      </c>
      <c r="I67" s="47">
        <f t="shared" si="6"/>
        <v>0.35937605373545001</v>
      </c>
      <c r="J67" s="47">
        <f t="shared" si="7"/>
        <v>0.11310206228672394</v>
      </c>
      <c r="K67" s="83">
        <v>148282000</v>
      </c>
      <c r="L67" s="36">
        <v>61653000</v>
      </c>
      <c r="M67" s="36">
        <v>19614000</v>
      </c>
      <c r="N67" s="47">
        <f t="shared" si="8"/>
        <v>0.36228537178718756</v>
      </c>
      <c r="O67" s="47">
        <f t="shared" si="9"/>
        <v>0.11525579099531079</v>
      </c>
      <c r="P67" s="83">
        <v>170178000</v>
      </c>
      <c r="Q67" s="36">
        <v>62142000</v>
      </c>
      <c r="R67" s="36">
        <v>21401000</v>
      </c>
      <c r="S67" s="47">
        <f t="shared" si="10"/>
        <v>0.39060172352020517</v>
      </c>
      <c r="T67" s="47">
        <f t="shared" si="11"/>
        <v>0.13451880346715442</v>
      </c>
      <c r="U67" s="83">
        <v>159093000</v>
      </c>
    </row>
    <row r="68" spans="1:21" x14ac:dyDescent="0.45">
      <c r="A68" s="51">
        <v>27</v>
      </c>
      <c r="B68" s="11" t="s">
        <v>60</v>
      </c>
      <c r="C68" s="11" t="s">
        <v>73</v>
      </c>
      <c r="D68" s="11" t="s">
        <v>260</v>
      </c>
      <c r="E68" s="11" t="s">
        <v>240</v>
      </c>
      <c r="F68" s="11" t="s">
        <v>241</v>
      </c>
      <c r="G68" s="36">
        <v>156613000</v>
      </c>
      <c r="H68" s="36">
        <v>8252000</v>
      </c>
      <c r="I68" s="47">
        <f t="shared" ref="I68:I75" si="12">G68/K68</f>
        <v>0.48784537270660061</v>
      </c>
      <c r="J68" s="47">
        <f t="shared" ref="J68:J75" si="13">H68/K68</f>
        <v>2.5704762794754383E-2</v>
      </c>
      <c r="K68" s="83">
        <v>321030000</v>
      </c>
      <c r="L68" s="36">
        <v>155262000</v>
      </c>
      <c r="M68" s="36">
        <v>8771000</v>
      </c>
      <c r="N68" s="47">
        <f t="shared" ref="N68:N75" si="14">L68/P68</f>
        <v>0.47174317278594086</v>
      </c>
      <c r="O68" s="47">
        <f t="shared" ref="O68:O75" si="15">M68/P68</f>
        <v>2.6649530268227174E-2</v>
      </c>
      <c r="P68" s="83">
        <v>329124000</v>
      </c>
      <c r="Q68" s="36">
        <v>157800000</v>
      </c>
      <c r="R68" s="36">
        <v>8347000</v>
      </c>
      <c r="S68" s="47">
        <f t="shared" ref="S68:S75" si="16">Q68/U68</f>
        <v>0.47435249981963784</v>
      </c>
      <c r="T68" s="47">
        <f t="shared" ref="T68:T75" si="17">R68/U68</f>
        <v>2.5091383498064113E-2</v>
      </c>
      <c r="U68" s="83">
        <v>332664000</v>
      </c>
    </row>
    <row r="69" spans="1:21" x14ac:dyDescent="0.45">
      <c r="A69" s="51">
        <v>119</v>
      </c>
      <c r="B69" s="11" t="s">
        <v>61</v>
      </c>
      <c r="C69" s="11" t="s">
        <v>73</v>
      </c>
      <c r="D69" s="11" t="s">
        <v>246</v>
      </c>
      <c r="E69" s="11" t="s">
        <v>240</v>
      </c>
      <c r="F69" s="11" t="s">
        <v>241</v>
      </c>
      <c r="G69" s="36">
        <v>351461000</v>
      </c>
      <c r="H69" s="36">
        <v>37738000</v>
      </c>
      <c r="I69" s="47">
        <f t="shared" si="12"/>
        <v>0.37777653570035075</v>
      </c>
      <c r="J69" s="47">
        <f t="shared" si="13"/>
        <v>4.0563621295847438E-2</v>
      </c>
      <c r="K69" s="83">
        <v>930341000</v>
      </c>
      <c r="L69" s="36">
        <v>371300000</v>
      </c>
      <c r="M69" s="36">
        <v>18308000</v>
      </c>
      <c r="N69" s="47">
        <f t="shared" si="14"/>
        <v>0.38282691851653278</v>
      </c>
      <c r="O69" s="47">
        <f t="shared" si="15"/>
        <v>1.8876367423109837E-2</v>
      </c>
      <c r="P69" s="83">
        <v>969890000</v>
      </c>
      <c r="Q69" s="36">
        <v>375404000</v>
      </c>
      <c r="R69" s="36">
        <v>47361000</v>
      </c>
      <c r="S69" s="47">
        <f t="shared" si="16"/>
        <v>0.35907094014559721</v>
      </c>
      <c r="T69" s="47">
        <f t="shared" si="17"/>
        <v>4.5300419804359116E-2</v>
      </c>
      <c r="U69" s="83">
        <v>1045487000</v>
      </c>
    </row>
    <row r="70" spans="1:21" x14ac:dyDescent="0.45">
      <c r="A70" s="51">
        <v>12</v>
      </c>
      <c r="B70" s="11" t="s">
        <v>62</v>
      </c>
      <c r="C70" s="11" t="s">
        <v>73</v>
      </c>
      <c r="D70" s="11" t="s">
        <v>239</v>
      </c>
      <c r="E70" s="11" t="s">
        <v>240</v>
      </c>
      <c r="F70" s="11" t="s">
        <v>241</v>
      </c>
      <c r="G70" s="36">
        <v>276387000</v>
      </c>
      <c r="H70" s="36">
        <v>72844000</v>
      </c>
      <c r="I70" s="47">
        <f t="shared" si="12"/>
        <v>0.42433859022071557</v>
      </c>
      <c r="J70" s="47">
        <f t="shared" si="13"/>
        <v>0.11183782256776841</v>
      </c>
      <c r="K70" s="83">
        <v>651336000</v>
      </c>
      <c r="L70" s="36">
        <v>280325000</v>
      </c>
      <c r="M70" s="36">
        <v>73465000</v>
      </c>
      <c r="N70" s="47">
        <f t="shared" si="14"/>
        <v>0.39524089497230175</v>
      </c>
      <c r="O70" s="47">
        <f t="shared" si="15"/>
        <v>0.10358110175382199</v>
      </c>
      <c r="P70" s="83">
        <v>709251000</v>
      </c>
      <c r="Q70" s="36">
        <v>295635000</v>
      </c>
      <c r="R70" s="36">
        <v>88455000</v>
      </c>
      <c r="S70" s="47">
        <f t="shared" si="16"/>
        <v>0.37497241311081175</v>
      </c>
      <c r="T70" s="47">
        <f t="shared" si="17"/>
        <v>0.11219302451237795</v>
      </c>
      <c r="U70" s="83">
        <v>788418000</v>
      </c>
    </row>
    <row r="71" spans="1:21" x14ac:dyDescent="0.45">
      <c r="A71" s="51">
        <v>224</v>
      </c>
      <c r="B71" s="11" t="s">
        <v>63</v>
      </c>
      <c r="C71" s="11" t="s">
        <v>74</v>
      </c>
      <c r="D71" s="11" t="s">
        <v>242</v>
      </c>
      <c r="E71" s="11" t="s">
        <v>237</v>
      </c>
      <c r="F71" s="11" t="s">
        <v>241</v>
      </c>
      <c r="G71" s="36">
        <v>53635000</v>
      </c>
      <c r="H71" s="36">
        <v>6440000</v>
      </c>
      <c r="I71" s="47">
        <f t="shared" si="12"/>
        <v>0.37025403838188597</v>
      </c>
      <c r="J71" s="47">
        <f t="shared" si="13"/>
        <v>4.4456716830042799E-2</v>
      </c>
      <c r="K71" s="83">
        <v>144860000</v>
      </c>
      <c r="L71" s="36">
        <v>51625000</v>
      </c>
      <c r="M71" s="36">
        <v>6810000</v>
      </c>
      <c r="N71" s="47">
        <f t="shared" si="14"/>
        <v>0.38401457953657903</v>
      </c>
      <c r="O71" s="47">
        <f t="shared" si="15"/>
        <v>5.0656451073009263E-2</v>
      </c>
      <c r="P71" s="83">
        <v>134435000</v>
      </c>
      <c r="Q71" s="36">
        <v>56630000</v>
      </c>
      <c r="R71" s="36">
        <v>10545000</v>
      </c>
      <c r="S71" s="47">
        <f t="shared" si="16"/>
        <v>0.37335425470895772</v>
      </c>
      <c r="T71" s="47">
        <f t="shared" si="17"/>
        <v>6.9521819104820054E-2</v>
      </c>
      <c r="U71" s="83">
        <v>151679000</v>
      </c>
    </row>
    <row r="72" spans="1:21" x14ac:dyDescent="0.45">
      <c r="A72" s="51">
        <v>221</v>
      </c>
      <c r="B72" s="11" t="s">
        <v>64</v>
      </c>
      <c r="C72" s="11" t="s">
        <v>74</v>
      </c>
      <c r="D72" s="11" t="s">
        <v>243</v>
      </c>
      <c r="E72" s="11" t="s">
        <v>237</v>
      </c>
      <c r="F72" s="11" t="s">
        <v>241</v>
      </c>
      <c r="G72" s="36">
        <v>198686000</v>
      </c>
      <c r="H72" s="36">
        <v>25139000</v>
      </c>
      <c r="I72" s="47">
        <f t="shared" si="12"/>
        <v>0.29774346401800672</v>
      </c>
      <c r="J72" s="47">
        <f t="shared" si="13"/>
        <v>3.7672372195064932E-2</v>
      </c>
      <c r="K72" s="83">
        <v>667306000</v>
      </c>
      <c r="L72" s="36">
        <v>203033000</v>
      </c>
      <c r="M72" s="36">
        <v>26012000</v>
      </c>
      <c r="N72" s="47">
        <f t="shared" si="14"/>
        <v>0.31756357277593039</v>
      </c>
      <c r="O72" s="47">
        <f t="shared" si="15"/>
        <v>4.0685325316808116E-2</v>
      </c>
      <c r="P72" s="83">
        <v>639346000</v>
      </c>
      <c r="Q72" s="36">
        <v>236859000</v>
      </c>
      <c r="R72" s="36">
        <v>40864000</v>
      </c>
      <c r="S72" s="47">
        <f t="shared" si="16"/>
        <v>0.32959706776208131</v>
      </c>
      <c r="T72" s="47">
        <f t="shared" si="17"/>
        <v>5.6863596388694072E-2</v>
      </c>
      <c r="U72" s="83">
        <v>718632000</v>
      </c>
    </row>
    <row r="73" spans="1:21" x14ac:dyDescent="0.45">
      <c r="A73" s="51">
        <v>29</v>
      </c>
      <c r="B73" s="11" t="s">
        <v>172</v>
      </c>
      <c r="C73" s="11" t="s">
        <v>74</v>
      </c>
      <c r="D73" s="11" t="s">
        <v>243</v>
      </c>
      <c r="E73" s="11" t="s">
        <v>237</v>
      </c>
      <c r="F73" s="11" t="s">
        <v>241</v>
      </c>
      <c r="G73" s="36">
        <v>63827000</v>
      </c>
      <c r="H73" s="36">
        <v>8074000</v>
      </c>
      <c r="I73" s="47">
        <f t="shared" si="12"/>
        <v>0.38499864282052054</v>
      </c>
      <c r="J73" s="47">
        <f t="shared" si="13"/>
        <v>4.8701631631329734E-2</v>
      </c>
      <c r="K73" s="83">
        <v>165785000</v>
      </c>
      <c r="L73" s="36">
        <v>132368000</v>
      </c>
      <c r="M73" s="36">
        <v>20214000</v>
      </c>
      <c r="N73" s="47">
        <f t="shared" si="14"/>
        <v>0.37822022081514162</v>
      </c>
      <c r="O73" s="47">
        <f t="shared" si="15"/>
        <v>5.77582462797449E-2</v>
      </c>
      <c r="P73" s="83">
        <v>349976000</v>
      </c>
      <c r="Q73" s="36">
        <v>135020000</v>
      </c>
      <c r="R73" s="36">
        <v>27302000</v>
      </c>
      <c r="S73" s="47">
        <f t="shared" si="16"/>
        <v>0.35638588498623497</v>
      </c>
      <c r="T73" s="47">
        <f t="shared" si="17"/>
        <v>7.206374931042947E-2</v>
      </c>
      <c r="U73" s="83">
        <v>378859000</v>
      </c>
    </row>
    <row r="74" spans="1:21" x14ac:dyDescent="0.45">
      <c r="A74" s="51">
        <v>61</v>
      </c>
      <c r="B74" s="11" t="s">
        <v>173</v>
      </c>
      <c r="C74" s="11" t="s">
        <v>74</v>
      </c>
      <c r="D74" s="11" t="s">
        <v>242</v>
      </c>
      <c r="E74" s="11" t="s">
        <v>237</v>
      </c>
      <c r="F74" s="11" t="s">
        <v>241</v>
      </c>
      <c r="G74" s="36">
        <v>23503000</v>
      </c>
      <c r="H74" s="36">
        <v>5376000</v>
      </c>
      <c r="I74" s="47">
        <f t="shared" si="12"/>
        <v>0.37593371615029031</v>
      </c>
      <c r="J74" s="47">
        <f t="shared" si="13"/>
        <v>8.5989859082838821E-2</v>
      </c>
      <c r="K74" s="83">
        <v>62519000</v>
      </c>
      <c r="L74" s="36">
        <v>43407000</v>
      </c>
      <c r="M74" s="36">
        <v>9029000</v>
      </c>
      <c r="N74" s="47">
        <f t="shared" si="14"/>
        <v>0.36848360342617509</v>
      </c>
      <c r="O74" s="47">
        <f t="shared" si="15"/>
        <v>7.6647509741169281E-2</v>
      </c>
      <c r="P74" s="83">
        <v>117799000</v>
      </c>
      <c r="Q74" s="36">
        <v>42726000</v>
      </c>
      <c r="R74" s="36">
        <v>9655000</v>
      </c>
      <c r="S74" s="47">
        <f t="shared" si="16"/>
        <v>0.40677094738044689</v>
      </c>
      <c r="T74" s="47">
        <f t="shared" si="17"/>
        <v>9.1919990098727117E-2</v>
      </c>
      <c r="U74" s="83">
        <v>105037000</v>
      </c>
    </row>
    <row r="75" spans="1:21" x14ac:dyDescent="0.45">
      <c r="A75" s="51">
        <v>57</v>
      </c>
      <c r="B75" s="11" t="s">
        <v>66</v>
      </c>
      <c r="C75" s="11" t="s">
        <v>74</v>
      </c>
      <c r="D75" s="11" t="s">
        <v>242</v>
      </c>
      <c r="E75" s="11" t="s">
        <v>237</v>
      </c>
      <c r="F75" s="11" t="s">
        <v>241</v>
      </c>
      <c r="G75" s="36">
        <v>122994000</v>
      </c>
      <c r="H75" s="36">
        <v>18013000</v>
      </c>
      <c r="I75" s="47">
        <f t="shared" si="12"/>
        <v>0.35091112956099735</v>
      </c>
      <c r="J75" s="47">
        <f t="shared" si="13"/>
        <v>5.139244334505947E-2</v>
      </c>
      <c r="K75" s="83">
        <v>350499000</v>
      </c>
      <c r="L75" s="36">
        <v>120897000</v>
      </c>
      <c r="M75" s="36">
        <v>18668000</v>
      </c>
      <c r="N75" s="47">
        <f t="shared" si="14"/>
        <v>0.3604475742975719</v>
      </c>
      <c r="O75" s="47">
        <f t="shared" si="15"/>
        <v>5.5657587177407812E-2</v>
      </c>
      <c r="P75" s="83">
        <v>335408000</v>
      </c>
      <c r="Q75" s="36">
        <v>125509000</v>
      </c>
      <c r="R75" s="36">
        <v>22012000</v>
      </c>
      <c r="S75" s="47">
        <f t="shared" si="16"/>
        <v>0.36926249885992862</v>
      </c>
      <c r="T75" s="47">
        <f t="shared" si="17"/>
        <v>6.4761938386129675E-2</v>
      </c>
      <c r="U75" s="83">
        <v>339891000</v>
      </c>
    </row>
    <row r="76" spans="1:21" ht="14.1" thickBot="1" x14ac:dyDescent="0.5"/>
    <row r="77" spans="1:21" ht="14.4" thickBot="1" x14ac:dyDescent="0.55000000000000004">
      <c r="C77" s="81" t="s">
        <v>132</v>
      </c>
      <c r="K77" s="31">
        <f>SUM(K4:K75)</f>
        <v>26339478000</v>
      </c>
      <c r="L77" s="84"/>
      <c r="M77" s="84"/>
      <c r="N77" s="84"/>
      <c r="O77" s="84"/>
      <c r="P77" s="31">
        <f>SUM(P4:P75)</f>
        <v>27971533000</v>
      </c>
      <c r="Q77" s="84"/>
      <c r="R77" s="84"/>
      <c r="S77" s="84"/>
      <c r="T77" s="84"/>
      <c r="U77" s="31">
        <f t="shared" ref="U77" si="18">SUM(U4:U75)</f>
        <v>30325489000</v>
      </c>
    </row>
    <row r="79" spans="1:21" ht="14.1" x14ac:dyDescent="0.5">
      <c r="A79" s="69" t="s">
        <v>138</v>
      </c>
      <c r="B79" s="69"/>
      <c r="C79" s="69"/>
      <c r="D79" s="69"/>
      <c r="E79" s="69"/>
      <c r="F79" s="69"/>
      <c r="G79" s="69"/>
      <c r="H79" s="69"/>
      <c r="I79" s="69"/>
      <c r="J79" s="69"/>
      <c r="K79" s="69"/>
      <c r="L79" s="69"/>
      <c r="M79" s="69"/>
      <c r="N79" s="69"/>
      <c r="O79" s="69"/>
      <c r="P79" s="69"/>
      <c r="Q79" s="69"/>
      <c r="R79" s="69"/>
      <c r="S79" s="69"/>
      <c r="T79" s="69"/>
      <c r="U79" s="69"/>
    </row>
    <row r="80" spans="1:21" ht="14.1" x14ac:dyDescent="0.5">
      <c r="A80" s="69" t="s">
        <v>171</v>
      </c>
      <c r="B80" s="69"/>
      <c r="C80" s="69"/>
      <c r="D80" s="69"/>
      <c r="E80" s="69"/>
      <c r="F80" s="69"/>
      <c r="G80" s="69"/>
      <c r="H80" s="69"/>
      <c r="I80" s="69"/>
      <c r="J80" s="69"/>
      <c r="K80" s="69"/>
      <c r="L80" s="69"/>
      <c r="M80" s="69"/>
      <c r="N80" s="69"/>
      <c r="O80" s="69"/>
      <c r="P80" s="69"/>
      <c r="Q80" s="69"/>
      <c r="R80" s="69"/>
      <c r="S80" s="69"/>
      <c r="T80" s="69"/>
      <c r="U80" s="69"/>
    </row>
    <row r="81" spans="1:21" ht="14.1" x14ac:dyDescent="0.5">
      <c r="A81" s="69" t="s">
        <v>283</v>
      </c>
      <c r="B81" s="69"/>
      <c r="C81" s="69"/>
      <c r="D81" s="69"/>
      <c r="E81" s="69"/>
      <c r="F81" s="69"/>
      <c r="G81" s="69"/>
      <c r="H81" s="69"/>
      <c r="I81" s="69"/>
      <c r="J81" s="69"/>
      <c r="K81" s="69"/>
      <c r="L81" s="69"/>
      <c r="M81" s="69"/>
      <c r="N81" s="69"/>
      <c r="O81" s="69"/>
      <c r="P81" s="69"/>
      <c r="Q81" s="69"/>
      <c r="R81" s="69"/>
      <c r="S81" s="69"/>
      <c r="T81" s="69"/>
      <c r="U81" s="69"/>
    </row>
    <row r="82" spans="1:21" ht="30" customHeight="1" x14ac:dyDescent="0.45">
      <c r="A82" s="94" t="s">
        <v>189</v>
      </c>
      <c r="B82" s="94"/>
      <c r="C82" s="94"/>
      <c r="D82" s="94"/>
      <c r="E82" s="94"/>
      <c r="F82" s="94"/>
      <c r="G82" s="94"/>
      <c r="H82" s="94"/>
      <c r="I82" s="94"/>
      <c r="J82" s="94"/>
      <c r="K82" s="94"/>
      <c r="L82" s="94"/>
      <c r="M82" s="94"/>
      <c r="N82" s="94"/>
      <c r="O82" s="94"/>
      <c r="P82" s="94"/>
      <c r="Q82" s="94"/>
      <c r="R82" s="94"/>
      <c r="S82" s="94"/>
      <c r="T82" s="94"/>
      <c r="U82" s="94"/>
    </row>
    <row r="83" spans="1:21" ht="14.1" x14ac:dyDescent="0.45">
      <c r="A83" s="94" t="s">
        <v>303</v>
      </c>
      <c r="B83" s="94"/>
      <c r="C83" s="94"/>
      <c r="D83" s="94"/>
      <c r="E83" s="94"/>
      <c r="F83" s="94"/>
      <c r="G83" s="94"/>
      <c r="H83" s="94"/>
      <c r="I83" s="94"/>
      <c r="J83" s="94"/>
      <c r="K83" s="94"/>
      <c r="L83" s="94"/>
      <c r="M83" s="94"/>
      <c r="N83" s="94"/>
      <c r="O83" s="94"/>
      <c r="P83" s="94"/>
      <c r="Q83" s="94"/>
      <c r="R83" s="94"/>
      <c r="S83" s="94"/>
      <c r="T83" s="94"/>
      <c r="U83" s="94"/>
    </row>
    <row r="84" spans="1:21" ht="14.1" x14ac:dyDescent="0.45">
      <c r="A84" s="90" t="s">
        <v>305</v>
      </c>
      <c r="B84" s="89"/>
      <c r="C84" s="89"/>
      <c r="D84" s="89"/>
      <c r="E84" s="89"/>
      <c r="F84" s="89"/>
      <c r="G84" s="89"/>
      <c r="H84" s="89"/>
      <c r="I84" s="89"/>
      <c r="J84" s="89"/>
      <c r="K84" s="89"/>
      <c r="L84" s="89"/>
      <c r="M84" s="89"/>
      <c r="N84" s="89"/>
      <c r="O84" s="89"/>
      <c r="P84" s="89"/>
      <c r="Q84" s="89"/>
      <c r="R84" s="89"/>
      <c r="S84" s="89"/>
      <c r="T84" s="89"/>
      <c r="U84" s="89"/>
    </row>
    <row r="85" spans="1:21" ht="14.1" x14ac:dyDescent="0.45">
      <c r="A85" s="94" t="s">
        <v>306</v>
      </c>
      <c r="B85" s="94"/>
      <c r="C85" s="94"/>
      <c r="D85" s="94"/>
      <c r="E85" s="94"/>
      <c r="F85" s="94"/>
      <c r="G85" s="94"/>
      <c r="H85" s="94"/>
      <c r="I85" s="94"/>
      <c r="J85" s="94"/>
      <c r="K85" s="94"/>
      <c r="L85" s="94"/>
      <c r="M85" s="94"/>
      <c r="N85" s="94"/>
      <c r="O85" s="94"/>
      <c r="P85" s="89"/>
      <c r="Q85" s="89"/>
      <c r="R85" s="89"/>
      <c r="S85" s="89"/>
      <c r="T85" s="89"/>
      <c r="U85" s="89"/>
    </row>
    <row r="87" spans="1:21" ht="17.7" x14ac:dyDescent="0.6">
      <c r="A87" s="95" t="s">
        <v>92</v>
      </c>
      <c r="B87" s="95"/>
      <c r="C87" s="95"/>
      <c r="D87" s="82"/>
      <c r="E87" s="82"/>
      <c r="F87" s="82"/>
      <c r="G87" s="82"/>
      <c r="H87" s="82"/>
      <c r="I87" s="82"/>
      <c r="J87" s="82"/>
    </row>
    <row r="88" spans="1:21" ht="14.1" x14ac:dyDescent="0.45">
      <c r="A88" s="28" t="s">
        <v>93</v>
      </c>
      <c r="B88" s="96" t="s">
        <v>98</v>
      </c>
      <c r="C88" s="96"/>
      <c r="D88" s="73"/>
      <c r="E88" s="73"/>
      <c r="F88" s="73"/>
      <c r="G88" s="73"/>
      <c r="H88" s="73"/>
      <c r="I88" s="73"/>
      <c r="J88" s="73"/>
    </row>
    <row r="89" spans="1:21" ht="14.1" x14ac:dyDescent="0.45">
      <c r="A89" s="28" t="s">
        <v>94</v>
      </c>
      <c r="B89" s="96" t="s">
        <v>89</v>
      </c>
      <c r="C89" s="96"/>
      <c r="D89" s="73"/>
      <c r="E89" s="73"/>
      <c r="F89" s="73"/>
      <c r="G89" s="73"/>
      <c r="H89" s="73"/>
      <c r="I89" s="73"/>
      <c r="J89" s="73"/>
    </row>
    <row r="90" spans="1:21" ht="14.1" x14ac:dyDescent="0.45">
      <c r="A90" s="28" t="s">
        <v>95</v>
      </c>
      <c r="B90" s="96" t="s">
        <v>99</v>
      </c>
      <c r="C90" s="96"/>
      <c r="D90" s="73"/>
      <c r="E90" s="73"/>
      <c r="F90" s="73"/>
      <c r="G90" s="73"/>
      <c r="H90" s="73"/>
      <c r="I90" s="73"/>
      <c r="J90" s="73"/>
    </row>
    <row r="91" spans="1:21" ht="14.1" x14ac:dyDescent="0.45">
      <c r="A91" s="45" t="s">
        <v>96</v>
      </c>
      <c r="B91" s="91" t="s">
        <v>266</v>
      </c>
      <c r="C91" s="91"/>
      <c r="D91" s="74"/>
      <c r="E91" s="74"/>
      <c r="F91" s="74"/>
      <c r="G91" s="74"/>
      <c r="H91" s="74"/>
      <c r="I91" s="74"/>
      <c r="J91" s="74"/>
    </row>
    <row r="92" spans="1:21" ht="14.1" x14ac:dyDescent="0.45">
      <c r="A92" s="45" t="s">
        <v>97</v>
      </c>
      <c r="B92" s="91" t="s">
        <v>267</v>
      </c>
      <c r="C92" s="91"/>
      <c r="D92" s="74"/>
      <c r="E92" s="74"/>
      <c r="F92" s="74"/>
      <c r="G92" s="74"/>
      <c r="H92" s="74"/>
      <c r="I92" s="74"/>
      <c r="J92" s="74"/>
    </row>
    <row r="93" spans="1:21" ht="14.1" x14ac:dyDescent="0.45">
      <c r="A93" s="45" t="s">
        <v>100</v>
      </c>
      <c r="B93" s="97" t="s">
        <v>268</v>
      </c>
      <c r="C93" s="97"/>
      <c r="D93" s="75"/>
      <c r="E93" s="75"/>
      <c r="F93" s="75"/>
      <c r="G93" s="75"/>
      <c r="H93" s="75"/>
      <c r="I93" s="75"/>
      <c r="J93" s="75"/>
    </row>
    <row r="94" spans="1:21" ht="14.1" x14ac:dyDescent="0.45">
      <c r="A94" s="45" t="s">
        <v>101</v>
      </c>
      <c r="B94" s="91" t="s">
        <v>271</v>
      </c>
      <c r="C94" s="91"/>
      <c r="D94" s="74"/>
      <c r="E94" s="74"/>
      <c r="F94" s="74"/>
      <c r="G94" s="74"/>
      <c r="H94" s="74"/>
      <c r="I94" s="74"/>
      <c r="J94" s="74"/>
    </row>
    <row r="95" spans="1:21" ht="14.1" x14ac:dyDescent="0.45">
      <c r="A95" s="45" t="s">
        <v>102</v>
      </c>
      <c r="B95" s="91" t="s">
        <v>274</v>
      </c>
      <c r="C95" s="91"/>
      <c r="D95" s="74"/>
      <c r="E95" s="74"/>
      <c r="F95" s="74"/>
      <c r="G95" s="74"/>
      <c r="H95" s="74"/>
      <c r="I95" s="74"/>
      <c r="J95" s="74"/>
    </row>
    <row r="96" spans="1:21" ht="14.1" x14ac:dyDescent="0.45">
      <c r="A96" s="45" t="s">
        <v>103</v>
      </c>
      <c r="B96" s="91" t="s">
        <v>277</v>
      </c>
      <c r="C96" s="91"/>
      <c r="D96" s="74"/>
      <c r="E96" s="74"/>
      <c r="F96" s="74"/>
      <c r="G96" s="74"/>
      <c r="H96" s="74"/>
      <c r="I96" s="74"/>
      <c r="J96" s="74"/>
    </row>
    <row r="97" spans="1:10" ht="14.1" x14ac:dyDescent="0.45">
      <c r="A97" s="45" t="s">
        <v>104</v>
      </c>
      <c r="B97" s="91" t="s">
        <v>278</v>
      </c>
      <c r="C97" s="91"/>
      <c r="D97" s="74"/>
      <c r="E97" s="74"/>
      <c r="F97" s="74"/>
      <c r="G97" s="74"/>
      <c r="H97" s="74"/>
      <c r="I97" s="74"/>
      <c r="J97" s="74"/>
    </row>
    <row r="98" spans="1:10" ht="14.1" x14ac:dyDescent="0.45">
      <c r="A98" s="45" t="s">
        <v>105</v>
      </c>
      <c r="B98" s="91" t="s">
        <v>269</v>
      </c>
      <c r="C98" s="91"/>
      <c r="D98" s="74"/>
      <c r="E98" s="74"/>
      <c r="F98" s="74"/>
      <c r="G98" s="74"/>
      <c r="H98" s="74"/>
      <c r="I98" s="74"/>
      <c r="J98" s="74"/>
    </row>
    <row r="99" spans="1:10" ht="14.1" x14ac:dyDescent="0.45">
      <c r="A99" s="45" t="s">
        <v>106</v>
      </c>
      <c r="B99" s="91" t="s">
        <v>272</v>
      </c>
      <c r="C99" s="91"/>
    </row>
    <row r="100" spans="1:10" ht="14.1" x14ac:dyDescent="0.45">
      <c r="A100" s="45" t="s">
        <v>290</v>
      </c>
      <c r="B100" s="91" t="s">
        <v>275</v>
      </c>
      <c r="C100" s="91"/>
    </row>
    <row r="101" spans="1:10" ht="14.1" x14ac:dyDescent="0.45">
      <c r="A101" s="45" t="s">
        <v>291</v>
      </c>
      <c r="B101" s="91" t="s">
        <v>279</v>
      </c>
      <c r="C101" s="91"/>
    </row>
    <row r="102" spans="1:10" ht="14.1" x14ac:dyDescent="0.45">
      <c r="A102" s="45" t="s">
        <v>292</v>
      </c>
      <c r="B102" s="91" t="s">
        <v>280</v>
      </c>
      <c r="C102" s="91"/>
    </row>
    <row r="103" spans="1:10" ht="14.1" x14ac:dyDescent="0.45">
      <c r="A103" s="45" t="s">
        <v>149</v>
      </c>
      <c r="B103" s="91" t="s">
        <v>270</v>
      </c>
      <c r="C103" s="91"/>
    </row>
    <row r="104" spans="1:10" ht="14.1" x14ac:dyDescent="0.45">
      <c r="A104" s="45" t="s">
        <v>293</v>
      </c>
      <c r="B104" s="91" t="s">
        <v>273</v>
      </c>
      <c r="C104" s="91"/>
    </row>
    <row r="105" spans="1:10" ht="14.1" x14ac:dyDescent="0.45">
      <c r="A105" s="45" t="s">
        <v>294</v>
      </c>
      <c r="B105" s="91" t="s">
        <v>276</v>
      </c>
      <c r="C105" s="91"/>
    </row>
    <row r="106" spans="1:10" ht="14.1" x14ac:dyDescent="0.45">
      <c r="A106" s="45" t="s">
        <v>295</v>
      </c>
      <c r="B106" s="91" t="s">
        <v>281</v>
      </c>
      <c r="C106" s="91"/>
    </row>
    <row r="107" spans="1:10" ht="14.1" x14ac:dyDescent="0.45">
      <c r="A107" s="45" t="s">
        <v>296</v>
      </c>
      <c r="B107" s="91" t="s">
        <v>282</v>
      </c>
      <c r="C107" s="91"/>
    </row>
    <row r="108" spans="1:10" ht="14.1" x14ac:dyDescent="0.45">
      <c r="A108" s="45" t="s">
        <v>297</v>
      </c>
      <c r="B108" s="91" t="s">
        <v>265</v>
      </c>
      <c r="C108" s="91"/>
    </row>
  </sheetData>
  <sheetProtection algorithmName="SHA-512" hashValue="ouCRon10STWbju+DD4gXbx240fq9/ewx6wUKqc/OmaNJl8vGTeEy/lB4/b+5NJ+C2peNzKLV44rLOa99Cxyfcw==" saltValue="OqzhZ84AsUk5XFrJVwVvMA==" spinCount="100000" sheet="1" objects="1" scenarios="1" selectLockedCells="1" sort="0" autoFilter="0" selectUnlockedCells="1"/>
  <mergeCells count="26">
    <mergeCell ref="B108:C108"/>
    <mergeCell ref="B104:C104"/>
    <mergeCell ref="B105:C105"/>
    <mergeCell ref="B106:C106"/>
    <mergeCell ref="B97:C97"/>
    <mergeCell ref="B107:C107"/>
    <mergeCell ref="B99:C99"/>
    <mergeCell ref="B100:C100"/>
    <mergeCell ref="B101:C101"/>
    <mergeCell ref="B102:C102"/>
    <mergeCell ref="B103:C103"/>
    <mergeCell ref="B98:C98"/>
    <mergeCell ref="B94:C94"/>
    <mergeCell ref="B95:C95"/>
    <mergeCell ref="B96:C96"/>
    <mergeCell ref="A1:U1"/>
    <mergeCell ref="A82:U82"/>
    <mergeCell ref="A87:C87"/>
    <mergeCell ref="B88:C88"/>
    <mergeCell ref="B89:C89"/>
    <mergeCell ref="B90:C90"/>
    <mergeCell ref="B91:C91"/>
    <mergeCell ref="B92:C92"/>
    <mergeCell ref="B93:C93"/>
    <mergeCell ref="A83:U83"/>
    <mergeCell ref="A85:O85"/>
  </mergeCells>
  <phoneticPr fontId="11"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06399-711E-4461-85BF-C2F6570B8050}">
  <dimension ref="A1:U100"/>
  <sheetViews>
    <sheetView zoomScale="80" zoomScaleNormal="80" workbookViewId="0">
      <selection sqref="A1:O1"/>
    </sheetView>
  </sheetViews>
  <sheetFormatPr defaultColWidth="9.15625" defaultRowHeight="13.8" x14ac:dyDescent="0.45"/>
  <cols>
    <col min="1" max="1" width="16.83984375" style="2" customWidth="1"/>
    <col min="2" max="2" width="80.26171875" style="2" customWidth="1"/>
    <col min="3" max="3" width="38" style="2" customWidth="1"/>
    <col min="4" max="4" width="15.578125" style="2" customWidth="1"/>
    <col min="5" max="5" width="14.15625" style="2" customWidth="1"/>
    <col min="6" max="6" width="13.68359375" style="2" customWidth="1"/>
    <col min="7" max="7" width="21.26171875" style="2" customWidth="1"/>
    <col min="8" max="8" width="23.26171875" style="2" customWidth="1"/>
    <col min="9" max="9" width="15.15625" style="2" customWidth="1"/>
    <col min="10" max="10" width="22.41796875" style="2" customWidth="1"/>
    <col min="11" max="11" width="22.15625" style="2" customWidth="1"/>
    <col min="12" max="12" width="15" style="2" customWidth="1"/>
    <col min="13" max="13" width="20.26171875" style="2" customWidth="1"/>
    <col min="14" max="14" width="20" style="2" customWidth="1"/>
    <col min="15" max="15" width="15.68359375" style="2" customWidth="1"/>
    <col min="16" max="16384" width="9.15625" style="2"/>
  </cols>
  <sheetData>
    <row r="1" spans="1:15" ht="22.8" thickBot="1" x14ac:dyDescent="0.8">
      <c r="A1" s="92" t="s">
        <v>139</v>
      </c>
      <c r="B1" s="93"/>
      <c r="C1" s="93"/>
      <c r="D1" s="93"/>
      <c r="E1" s="93"/>
      <c r="F1" s="93"/>
      <c r="G1" s="93"/>
      <c r="H1" s="93"/>
      <c r="I1" s="93"/>
      <c r="J1" s="93"/>
      <c r="K1" s="93"/>
      <c r="L1" s="93"/>
      <c r="M1" s="93"/>
      <c r="N1" s="93"/>
      <c r="O1" s="98"/>
    </row>
    <row r="3" spans="1:15" s="3" customFormat="1" ht="46.5" customHeight="1" x14ac:dyDescent="0.45">
      <c r="A3" s="1" t="s">
        <v>88</v>
      </c>
      <c r="B3" s="1" t="s">
        <v>89</v>
      </c>
      <c r="C3" s="1" t="s">
        <v>99</v>
      </c>
      <c r="D3" s="1" t="s">
        <v>233</v>
      </c>
      <c r="E3" s="1" t="s">
        <v>234</v>
      </c>
      <c r="F3" s="1" t="s">
        <v>235</v>
      </c>
      <c r="G3" s="34" t="s">
        <v>140</v>
      </c>
      <c r="H3" s="34" t="s">
        <v>141</v>
      </c>
      <c r="I3" s="34" t="s">
        <v>142</v>
      </c>
      <c r="J3" s="34" t="s">
        <v>146</v>
      </c>
      <c r="K3" s="34" t="s">
        <v>145</v>
      </c>
      <c r="L3" s="34" t="s">
        <v>147</v>
      </c>
      <c r="M3" s="34" t="s">
        <v>144</v>
      </c>
      <c r="N3" s="34" t="s">
        <v>143</v>
      </c>
      <c r="O3" s="34" t="s">
        <v>148</v>
      </c>
    </row>
    <row r="4" spans="1:15" x14ac:dyDescent="0.45">
      <c r="A4" s="35">
        <v>642</v>
      </c>
      <c r="B4" s="11" t="s">
        <v>0</v>
      </c>
      <c r="C4" s="11" t="s">
        <v>68</v>
      </c>
      <c r="D4" s="11" t="s">
        <v>236</v>
      </c>
      <c r="E4" s="11" t="s">
        <v>237</v>
      </c>
      <c r="F4" s="11" t="s">
        <v>238</v>
      </c>
      <c r="G4" s="36">
        <v>113739000</v>
      </c>
      <c r="H4" s="36">
        <v>385999000</v>
      </c>
      <c r="I4" s="37">
        <f t="shared" ref="I4:I35" si="0">G4/H4</f>
        <v>0.29466138513312212</v>
      </c>
      <c r="J4" s="36">
        <v>14542000</v>
      </c>
      <c r="K4" s="36">
        <v>281573000</v>
      </c>
      <c r="L4" s="37">
        <f t="shared" ref="L4:L32" si="1">J4/K4</f>
        <v>5.1645576813117738E-2</v>
      </c>
      <c r="M4" s="36">
        <v>14426000</v>
      </c>
      <c r="N4" s="36">
        <v>307221000</v>
      </c>
      <c r="O4" s="37">
        <f t="shared" ref="O4:O32" si="2">M4/N4</f>
        <v>4.6956425504766926E-2</v>
      </c>
    </row>
    <row r="5" spans="1:15" x14ac:dyDescent="0.45">
      <c r="A5" s="51">
        <v>641</v>
      </c>
      <c r="B5" s="11" t="s">
        <v>1</v>
      </c>
      <c r="C5" s="11" t="s">
        <v>68</v>
      </c>
      <c r="D5" s="11" t="s">
        <v>236</v>
      </c>
      <c r="E5" s="11" t="s">
        <v>237</v>
      </c>
      <c r="F5" s="11" t="s">
        <v>238</v>
      </c>
      <c r="G5" s="36">
        <v>-46996000</v>
      </c>
      <c r="H5" s="36">
        <v>378847000</v>
      </c>
      <c r="I5" s="37">
        <f t="shared" si="0"/>
        <v>-0.12405007826378459</v>
      </c>
      <c r="J5" s="36">
        <v>22741000</v>
      </c>
      <c r="K5" s="36">
        <v>440403000</v>
      </c>
      <c r="L5" s="37">
        <f t="shared" si="1"/>
        <v>5.1636796297936209E-2</v>
      </c>
      <c r="M5" s="36">
        <v>22293000</v>
      </c>
      <c r="N5" s="36">
        <v>480258000</v>
      </c>
      <c r="O5" s="37">
        <f t="shared" si="2"/>
        <v>4.6418799895056408E-2</v>
      </c>
    </row>
    <row r="6" spans="1:15" x14ac:dyDescent="0.45">
      <c r="A6" s="51">
        <v>25</v>
      </c>
      <c r="B6" s="11" t="s">
        <v>2</v>
      </c>
      <c r="C6" s="11" t="s">
        <v>71</v>
      </c>
      <c r="D6" s="11" t="s">
        <v>248</v>
      </c>
      <c r="E6" s="11" t="s">
        <v>240</v>
      </c>
      <c r="F6" s="11" t="s">
        <v>241</v>
      </c>
      <c r="G6" s="36">
        <v>-12272000</v>
      </c>
      <c r="H6" s="36">
        <v>149516000</v>
      </c>
      <c r="I6" s="37">
        <f t="shared" si="0"/>
        <v>-8.2078172235747343E-2</v>
      </c>
      <c r="J6" s="36">
        <v>-13538000</v>
      </c>
      <c r="K6" s="36">
        <v>140942000</v>
      </c>
      <c r="L6" s="37">
        <f t="shared" si="1"/>
        <v>-9.6053695846518419E-2</v>
      </c>
      <c r="M6" s="36">
        <v>-1975000</v>
      </c>
      <c r="N6" s="36">
        <v>156392000</v>
      </c>
      <c r="O6" s="37">
        <f t="shared" si="2"/>
        <v>-1.2628523198117551E-2</v>
      </c>
    </row>
    <row r="7" spans="1:15" x14ac:dyDescent="0.45">
      <c r="A7" s="51">
        <v>112</v>
      </c>
      <c r="B7" s="11" t="s">
        <v>3</v>
      </c>
      <c r="C7" s="11" t="s">
        <v>72</v>
      </c>
      <c r="D7" s="11" t="s">
        <v>253</v>
      </c>
      <c r="E7" s="11" t="s">
        <v>251</v>
      </c>
      <c r="F7" s="11" t="s">
        <v>241</v>
      </c>
      <c r="G7" s="36">
        <v>-360000</v>
      </c>
      <c r="H7" s="36">
        <v>163979000</v>
      </c>
      <c r="I7" s="37">
        <f t="shared" si="0"/>
        <v>-2.1954030699052928E-3</v>
      </c>
      <c r="J7" s="36">
        <v>-4161000</v>
      </c>
      <c r="K7" s="36">
        <v>160398000</v>
      </c>
      <c r="L7" s="37">
        <f t="shared" si="1"/>
        <v>-2.5941719971570718E-2</v>
      </c>
      <c r="M7" s="36">
        <v>7116000</v>
      </c>
      <c r="N7" s="36">
        <v>187073000</v>
      </c>
      <c r="O7" s="37">
        <f t="shared" si="2"/>
        <v>3.8038626632384151E-2</v>
      </c>
    </row>
    <row r="8" spans="1:15" x14ac:dyDescent="0.45">
      <c r="A8" s="51">
        <v>11</v>
      </c>
      <c r="B8" s="11" t="s">
        <v>4</v>
      </c>
      <c r="C8" s="11" t="s">
        <v>73</v>
      </c>
      <c r="D8" s="11" t="s">
        <v>244</v>
      </c>
      <c r="E8" s="11" t="s">
        <v>237</v>
      </c>
      <c r="F8" s="11" t="s">
        <v>238</v>
      </c>
      <c r="G8" s="36">
        <v>484000</v>
      </c>
      <c r="H8" s="36">
        <v>124050000</v>
      </c>
      <c r="I8" s="37">
        <f t="shared" si="0"/>
        <v>3.9016525594518341E-3</v>
      </c>
      <c r="J8" s="36">
        <v>284000</v>
      </c>
      <c r="K8" s="36">
        <v>123504000</v>
      </c>
      <c r="L8" s="37">
        <f t="shared" si="1"/>
        <v>2.2995206632983548E-3</v>
      </c>
      <c r="M8" s="36">
        <v>1141000</v>
      </c>
      <c r="N8" s="36">
        <v>139659000</v>
      </c>
      <c r="O8" s="37">
        <f t="shared" si="2"/>
        <v>8.1698995410249258E-3</v>
      </c>
    </row>
    <row r="9" spans="1:15" x14ac:dyDescent="0.45">
      <c r="A9" s="51">
        <v>92</v>
      </c>
      <c r="B9" s="11" t="s">
        <v>5</v>
      </c>
      <c r="C9" s="11" t="s">
        <v>70</v>
      </c>
      <c r="D9" s="11" t="s">
        <v>250</v>
      </c>
      <c r="E9" s="11" t="s">
        <v>251</v>
      </c>
      <c r="F9" s="11" t="s">
        <v>241</v>
      </c>
      <c r="G9" s="36">
        <v>-3720000</v>
      </c>
      <c r="H9" s="36">
        <v>269508000</v>
      </c>
      <c r="I9" s="37">
        <f t="shared" si="0"/>
        <v>-1.3802929783160426E-2</v>
      </c>
      <c r="J9" s="36">
        <v>-8120000</v>
      </c>
      <c r="K9" s="36">
        <v>277661000</v>
      </c>
      <c r="L9" s="37">
        <f t="shared" si="1"/>
        <v>-2.9244294301324275E-2</v>
      </c>
      <c r="M9" s="36">
        <v>16080000</v>
      </c>
      <c r="N9" s="36">
        <v>331047000</v>
      </c>
      <c r="O9" s="37">
        <f t="shared" si="2"/>
        <v>4.8573163327261686E-2</v>
      </c>
    </row>
    <row r="10" spans="1:15" x14ac:dyDescent="0.45">
      <c r="A10" s="51">
        <v>44</v>
      </c>
      <c r="B10" s="11" t="s">
        <v>6</v>
      </c>
      <c r="C10" s="11" t="s">
        <v>70</v>
      </c>
      <c r="D10" s="11" t="s">
        <v>250</v>
      </c>
      <c r="E10" s="11" t="s">
        <v>251</v>
      </c>
      <c r="F10" s="11" t="s">
        <v>241</v>
      </c>
      <c r="G10" s="36">
        <v>12827000</v>
      </c>
      <c r="H10" s="36">
        <v>455075000</v>
      </c>
      <c r="I10" s="37">
        <f t="shared" si="0"/>
        <v>2.8186562654507499E-2</v>
      </c>
      <c r="J10" s="36">
        <v>-10277000</v>
      </c>
      <c r="K10" s="36">
        <v>496519000</v>
      </c>
      <c r="L10" s="37">
        <f t="shared" si="1"/>
        <v>-2.0698100173407261E-2</v>
      </c>
      <c r="M10" s="36">
        <v>7318000</v>
      </c>
      <c r="N10" s="36">
        <v>600702000</v>
      </c>
      <c r="O10" s="37">
        <f t="shared" si="2"/>
        <v>1.2182413243172156E-2</v>
      </c>
    </row>
    <row r="11" spans="1:15" x14ac:dyDescent="0.45">
      <c r="A11" s="51">
        <v>111</v>
      </c>
      <c r="B11" s="11" t="s">
        <v>7</v>
      </c>
      <c r="C11" s="11" t="s">
        <v>73</v>
      </c>
      <c r="D11" s="11" t="s">
        <v>253</v>
      </c>
      <c r="E11" s="11" t="s">
        <v>251</v>
      </c>
      <c r="F11" s="11" t="s">
        <v>241</v>
      </c>
      <c r="G11" s="36">
        <v>10267000</v>
      </c>
      <c r="H11" s="36">
        <v>304180000</v>
      </c>
      <c r="I11" s="37">
        <f t="shared" si="0"/>
        <v>3.3753040962587938E-2</v>
      </c>
      <c r="J11" s="36">
        <v>-3310000</v>
      </c>
      <c r="K11" s="36">
        <v>295238000</v>
      </c>
      <c r="L11" s="37">
        <f t="shared" si="1"/>
        <v>-1.1211293939127077E-2</v>
      </c>
      <c r="M11" s="36">
        <v>-8681000</v>
      </c>
      <c r="N11" s="36">
        <v>335762000</v>
      </c>
      <c r="O11" s="37">
        <f t="shared" si="2"/>
        <v>-2.5854623215253662E-2</v>
      </c>
    </row>
    <row r="12" spans="1:15" x14ac:dyDescent="0.45">
      <c r="A12" s="51">
        <v>17</v>
      </c>
      <c r="B12" s="11" t="s">
        <v>8</v>
      </c>
      <c r="C12" s="11" t="s">
        <v>67</v>
      </c>
      <c r="D12" s="11" t="s">
        <v>254</v>
      </c>
      <c r="E12" s="11" t="s">
        <v>240</v>
      </c>
      <c r="F12" s="11" t="s">
        <v>241</v>
      </c>
      <c r="G12" s="36">
        <v>7740000</v>
      </c>
      <c r="H12" s="36">
        <v>205109000</v>
      </c>
      <c r="I12" s="37">
        <f t="shared" si="0"/>
        <v>3.7736033036093006E-2</v>
      </c>
      <c r="J12" s="36">
        <v>18906000</v>
      </c>
      <c r="K12" s="36">
        <v>222457000</v>
      </c>
      <c r="L12" s="37">
        <f t="shared" si="1"/>
        <v>8.4987211011566283E-2</v>
      </c>
      <c r="M12" s="36">
        <v>24782000</v>
      </c>
      <c r="N12" s="36">
        <v>237974000</v>
      </c>
      <c r="O12" s="37">
        <f t="shared" si="2"/>
        <v>0.10413742677771522</v>
      </c>
    </row>
    <row r="13" spans="1:15" x14ac:dyDescent="0.45">
      <c r="A13" s="51">
        <v>16</v>
      </c>
      <c r="B13" s="11" t="s">
        <v>9</v>
      </c>
      <c r="C13" s="11" t="s">
        <v>71</v>
      </c>
      <c r="D13" s="11" t="s">
        <v>248</v>
      </c>
      <c r="E13" s="11" t="s">
        <v>240</v>
      </c>
      <c r="F13" s="11" t="s">
        <v>241</v>
      </c>
      <c r="G13" s="36">
        <v>-9297000</v>
      </c>
      <c r="H13" s="36">
        <v>193210000</v>
      </c>
      <c r="I13" s="37">
        <f t="shared" si="0"/>
        <v>-4.8118627400238083E-2</v>
      </c>
      <c r="J13" s="36">
        <v>-11580000</v>
      </c>
      <c r="K13" s="36">
        <v>183069000</v>
      </c>
      <c r="L13" s="37">
        <f t="shared" si="1"/>
        <v>-6.3254838339642433E-2</v>
      </c>
      <c r="M13" s="36">
        <v>-3506000</v>
      </c>
      <c r="N13" s="36">
        <v>178960000</v>
      </c>
      <c r="O13" s="37">
        <f t="shared" si="2"/>
        <v>-1.9590970049172998E-2</v>
      </c>
    </row>
    <row r="14" spans="1:15" x14ac:dyDescent="0.45">
      <c r="A14" s="51">
        <v>9</v>
      </c>
      <c r="B14" s="11" t="s">
        <v>10</v>
      </c>
      <c r="C14" s="11" t="s">
        <v>69</v>
      </c>
      <c r="D14" s="11" t="s">
        <v>246</v>
      </c>
      <c r="E14" s="11" t="s">
        <v>240</v>
      </c>
      <c r="F14" s="11" t="s">
        <v>241</v>
      </c>
      <c r="G14" s="36">
        <v>-15343000</v>
      </c>
      <c r="H14" s="36">
        <v>266478000</v>
      </c>
      <c r="I14" s="37">
        <f t="shared" si="0"/>
        <v>-5.7576985717395057E-2</v>
      </c>
      <c r="J14" s="36">
        <v>-28339000</v>
      </c>
      <c r="K14" s="36">
        <v>286686000</v>
      </c>
      <c r="L14" s="37">
        <f t="shared" si="1"/>
        <v>-9.8850310095365657E-2</v>
      </c>
      <c r="M14" s="36">
        <v>3141000</v>
      </c>
      <c r="N14" s="36">
        <v>347115000</v>
      </c>
      <c r="O14" s="37">
        <f t="shared" si="2"/>
        <v>9.0488742923814872E-3</v>
      </c>
    </row>
    <row r="15" spans="1:15" x14ac:dyDescent="0.45">
      <c r="A15" s="51">
        <v>41</v>
      </c>
      <c r="B15" s="11" t="s">
        <v>11</v>
      </c>
      <c r="C15" s="11" t="s">
        <v>69</v>
      </c>
      <c r="D15" s="11" t="s">
        <v>255</v>
      </c>
      <c r="E15" s="11" t="s">
        <v>251</v>
      </c>
      <c r="F15" s="11" t="s">
        <v>241</v>
      </c>
      <c r="G15" s="36">
        <v>16764000</v>
      </c>
      <c r="H15" s="36">
        <v>395158000</v>
      </c>
      <c r="I15" s="37">
        <f t="shared" si="0"/>
        <v>4.2423536914348185E-2</v>
      </c>
      <c r="J15" s="36">
        <v>4815000</v>
      </c>
      <c r="K15" s="36">
        <v>412937000</v>
      </c>
      <c r="L15" s="37">
        <f t="shared" si="1"/>
        <v>1.1660374342817427E-2</v>
      </c>
      <c r="M15" s="36">
        <v>-4240000</v>
      </c>
      <c r="N15" s="36">
        <v>459320000</v>
      </c>
      <c r="O15" s="37">
        <f t="shared" si="2"/>
        <v>-9.2310371854045104E-3</v>
      </c>
    </row>
    <row r="16" spans="1:15" x14ac:dyDescent="0.45">
      <c r="A16" s="51">
        <v>14</v>
      </c>
      <c r="B16" s="11" t="s">
        <v>12</v>
      </c>
      <c r="C16" s="11" t="s">
        <v>73</v>
      </c>
      <c r="D16" s="11" t="s">
        <v>243</v>
      </c>
      <c r="E16" s="11" t="s">
        <v>237</v>
      </c>
      <c r="F16" s="11" t="s">
        <v>241</v>
      </c>
      <c r="G16" s="36">
        <v>152085000</v>
      </c>
      <c r="H16" s="36">
        <v>1107668000</v>
      </c>
      <c r="I16" s="37">
        <f t="shared" si="0"/>
        <v>0.13730197134881572</v>
      </c>
      <c r="J16" s="36">
        <v>39318000</v>
      </c>
      <c r="K16" s="36">
        <v>1188051000</v>
      </c>
      <c r="L16" s="37">
        <f t="shared" si="1"/>
        <v>3.3094538870806052E-2</v>
      </c>
      <c r="M16" s="36">
        <v>160435000</v>
      </c>
      <c r="N16" s="36">
        <v>1396698000</v>
      </c>
      <c r="O16" s="37">
        <f t="shared" si="2"/>
        <v>0.11486735142457424</v>
      </c>
    </row>
    <row r="17" spans="1:15" x14ac:dyDescent="0.45">
      <c r="A17" s="51">
        <v>76</v>
      </c>
      <c r="B17" s="11" t="s">
        <v>308</v>
      </c>
      <c r="C17" s="11" t="s">
        <v>69</v>
      </c>
      <c r="D17" s="11" t="s">
        <v>246</v>
      </c>
      <c r="E17" s="11" t="s">
        <v>240</v>
      </c>
      <c r="F17" s="11" t="s">
        <v>241</v>
      </c>
      <c r="G17" s="36">
        <v>45370000</v>
      </c>
      <c r="H17" s="36">
        <v>910566000</v>
      </c>
      <c r="I17" s="37">
        <f t="shared" si="0"/>
        <v>4.9826152085625866E-2</v>
      </c>
      <c r="J17" s="36">
        <v>55905000</v>
      </c>
      <c r="K17" s="36">
        <v>954015000</v>
      </c>
      <c r="L17" s="37">
        <f t="shared" si="1"/>
        <v>5.8599707551768056E-2</v>
      </c>
      <c r="M17" s="36">
        <v>28276000</v>
      </c>
      <c r="N17" s="36">
        <v>1045104000</v>
      </c>
      <c r="O17" s="37">
        <f t="shared" si="2"/>
        <v>2.7055680582985044E-2</v>
      </c>
    </row>
    <row r="18" spans="1:15" x14ac:dyDescent="0.45">
      <c r="A18" s="51">
        <v>31</v>
      </c>
      <c r="B18" s="11" t="s">
        <v>13</v>
      </c>
      <c r="C18" s="11" t="s">
        <v>73</v>
      </c>
      <c r="D18" s="11" t="s">
        <v>242</v>
      </c>
      <c r="E18" s="11" t="s">
        <v>237</v>
      </c>
      <c r="F18" s="11" t="s">
        <v>241</v>
      </c>
      <c r="G18" s="36">
        <v>5167000</v>
      </c>
      <c r="H18" s="36">
        <v>212973000</v>
      </c>
      <c r="I18" s="37">
        <f t="shared" si="0"/>
        <v>2.4261291337399578E-2</v>
      </c>
      <c r="J18" s="36">
        <v>4969000</v>
      </c>
      <c r="K18" s="36">
        <v>206936000</v>
      </c>
      <c r="L18" s="37">
        <f t="shared" si="1"/>
        <v>2.4012254996713962E-2</v>
      </c>
      <c r="M18" s="36">
        <v>789000</v>
      </c>
      <c r="N18" s="36">
        <v>220519000</v>
      </c>
      <c r="O18" s="37">
        <f t="shared" si="2"/>
        <v>3.5779229907627009E-3</v>
      </c>
    </row>
    <row r="19" spans="1:15" x14ac:dyDescent="0.45">
      <c r="A19" s="51">
        <v>83</v>
      </c>
      <c r="B19" s="11" t="s">
        <v>307</v>
      </c>
      <c r="C19" s="11" t="s">
        <v>73</v>
      </c>
      <c r="D19" s="11" t="s">
        <v>246</v>
      </c>
      <c r="E19" s="11" t="s">
        <v>240</v>
      </c>
      <c r="F19" s="11" t="s">
        <v>241</v>
      </c>
      <c r="G19" s="36">
        <v>-80483000</v>
      </c>
      <c r="H19" s="36">
        <v>83969000</v>
      </c>
      <c r="I19" s="37">
        <f t="shared" si="0"/>
        <v>-0.95848467886958277</v>
      </c>
      <c r="J19" s="36">
        <v>-11618000</v>
      </c>
      <c r="K19" s="36">
        <v>96581000</v>
      </c>
      <c r="L19" s="37">
        <f t="shared" si="1"/>
        <v>-0.12029281121545646</v>
      </c>
      <c r="M19" s="36">
        <v>-9290000</v>
      </c>
      <c r="N19" s="36">
        <v>98610000</v>
      </c>
      <c r="O19" s="37">
        <f t="shared" si="2"/>
        <v>-9.4209512219856004E-2</v>
      </c>
    </row>
    <row r="20" spans="1:15" x14ac:dyDescent="0.45">
      <c r="A20" s="51">
        <v>45</v>
      </c>
      <c r="B20" s="11" t="s">
        <v>14</v>
      </c>
      <c r="C20" s="11" t="s">
        <v>73</v>
      </c>
      <c r="D20" s="11" t="s">
        <v>239</v>
      </c>
      <c r="E20" s="11" t="s">
        <v>240</v>
      </c>
      <c r="F20" s="11" t="s">
        <v>241</v>
      </c>
      <c r="G20" s="36">
        <v>41923000</v>
      </c>
      <c r="H20" s="36">
        <v>767157000</v>
      </c>
      <c r="I20" s="37">
        <f t="shared" si="0"/>
        <v>5.4647223449698044E-2</v>
      </c>
      <c r="J20" s="36">
        <v>34963000</v>
      </c>
      <c r="K20" s="36">
        <v>816803000</v>
      </c>
      <c r="L20" s="37">
        <f t="shared" si="1"/>
        <v>4.280469097199692E-2</v>
      </c>
      <c r="M20" s="36">
        <v>6545000</v>
      </c>
      <c r="N20" s="36">
        <v>889057000</v>
      </c>
      <c r="O20" s="37">
        <f t="shared" si="2"/>
        <v>7.3617327123007862E-3</v>
      </c>
    </row>
    <row r="21" spans="1:15" x14ac:dyDescent="0.45">
      <c r="A21" s="51">
        <v>3</v>
      </c>
      <c r="B21" s="11" t="s">
        <v>15</v>
      </c>
      <c r="C21" s="11" t="s">
        <v>72</v>
      </c>
      <c r="D21" s="11" t="s">
        <v>248</v>
      </c>
      <c r="E21" s="11" t="s">
        <v>240</v>
      </c>
      <c r="F21" s="11" t="s">
        <v>241</v>
      </c>
      <c r="G21" s="36">
        <v>-16678000</v>
      </c>
      <c r="H21" s="36">
        <v>187937000</v>
      </c>
      <c r="I21" s="37">
        <f t="shared" si="0"/>
        <v>-8.8742504137024641E-2</v>
      </c>
      <c r="J21" s="36">
        <v>-14405000</v>
      </c>
      <c r="K21" s="36">
        <v>170336000</v>
      </c>
      <c r="L21" s="37">
        <f t="shared" si="1"/>
        <v>-8.4568147661093371E-2</v>
      </c>
      <c r="M21" s="36">
        <v>-5411000</v>
      </c>
      <c r="N21" s="36">
        <v>194347000</v>
      </c>
      <c r="O21" s="37">
        <f t="shared" si="2"/>
        <v>-2.784195279577251E-2</v>
      </c>
    </row>
    <row r="22" spans="1:15" x14ac:dyDescent="0.45">
      <c r="A22" s="51">
        <v>37</v>
      </c>
      <c r="B22" s="11" t="s">
        <v>16</v>
      </c>
      <c r="C22" s="11" t="s">
        <v>72</v>
      </c>
      <c r="D22" s="11" t="s">
        <v>239</v>
      </c>
      <c r="E22" s="11" t="s">
        <v>240</v>
      </c>
      <c r="F22" s="11" t="s">
        <v>241</v>
      </c>
      <c r="G22" s="36">
        <v>12688000</v>
      </c>
      <c r="H22" s="36">
        <v>128527000</v>
      </c>
      <c r="I22" s="37">
        <f t="shared" si="0"/>
        <v>9.8718557190317982E-2</v>
      </c>
      <c r="J22" s="36">
        <v>16590000</v>
      </c>
      <c r="K22" s="36">
        <v>120807000</v>
      </c>
      <c r="L22" s="37">
        <f t="shared" si="1"/>
        <v>0.1373264794258611</v>
      </c>
      <c r="M22" s="36">
        <v>27340000</v>
      </c>
      <c r="N22" s="36">
        <v>140449000</v>
      </c>
      <c r="O22" s="37">
        <f t="shared" si="2"/>
        <v>0.19466140734359091</v>
      </c>
    </row>
    <row r="23" spans="1:15" x14ac:dyDescent="0.45">
      <c r="A23" s="51">
        <v>54</v>
      </c>
      <c r="B23" s="11" t="s">
        <v>17</v>
      </c>
      <c r="C23" s="11" t="s">
        <v>72</v>
      </c>
      <c r="D23" s="11" t="s">
        <v>246</v>
      </c>
      <c r="E23" s="11" t="s">
        <v>240</v>
      </c>
      <c r="F23" s="11" t="s">
        <v>241</v>
      </c>
      <c r="G23" s="36">
        <v>21114000</v>
      </c>
      <c r="H23" s="36">
        <v>251824000</v>
      </c>
      <c r="I23" s="37">
        <f t="shared" si="0"/>
        <v>8.384427219010103E-2</v>
      </c>
      <c r="J23" s="36">
        <v>35630000</v>
      </c>
      <c r="K23" s="36">
        <v>241076000</v>
      </c>
      <c r="L23" s="37">
        <f t="shared" si="1"/>
        <v>0.14779571587383231</v>
      </c>
      <c r="M23" s="36">
        <v>56931000</v>
      </c>
      <c r="N23" s="36">
        <v>288133000</v>
      </c>
      <c r="O23" s="37">
        <f t="shared" si="2"/>
        <v>0.19758583709606328</v>
      </c>
    </row>
    <row r="24" spans="1:15" x14ac:dyDescent="0.45">
      <c r="A24" s="51">
        <v>1</v>
      </c>
      <c r="B24" s="11" t="s">
        <v>18</v>
      </c>
      <c r="C24" s="11" t="s">
        <v>72</v>
      </c>
      <c r="D24" s="11" t="s">
        <v>239</v>
      </c>
      <c r="E24" s="11" t="s">
        <v>240</v>
      </c>
      <c r="F24" s="11" t="s">
        <v>241</v>
      </c>
      <c r="G24" s="36">
        <v>317469000</v>
      </c>
      <c r="H24" s="36">
        <v>1970785000</v>
      </c>
      <c r="I24" s="37">
        <f t="shared" si="0"/>
        <v>0.16108758692602188</v>
      </c>
      <c r="J24" s="36">
        <v>-55793000</v>
      </c>
      <c r="K24" s="36">
        <v>1815783000</v>
      </c>
      <c r="L24" s="37">
        <f t="shared" si="1"/>
        <v>-3.0726689257471844E-2</v>
      </c>
      <c r="M24" s="36">
        <v>32813000</v>
      </c>
      <c r="N24" s="36">
        <v>2117496000</v>
      </c>
      <c r="O24" s="37">
        <f t="shared" si="2"/>
        <v>1.5496133168610472E-2</v>
      </c>
    </row>
    <row r="25" spans="1:15" x14ac:dyDescent="0.45">
      <c r="A25" s="51">
        <v>115</v>
      </c>
      <c r="B25" s="11" t="s">
        <v>19</v>
      </c>
      <c r="C25" s="11" t="s">
        <v>67</v>
      </c>
      <c r="D25" s="11" t="s">
        <v>261</v>
      </c>
      <c r="E25" s="11" t="s">
        <v>240</v>
      </c>
      <c r="F25" s="11" t="s">
        <v>238</v>
      </c>
      <c r="G25" s="36">
        <v>-3341000</v>
      </c>
      <c r="H25" s="36">
        <v>86151000</v>
      </c>
      <c r="I25" s="37">
        <f t="shared" si="0"/>
        <v>-3.8780745435340276E-2</v>
      </c>
      <c r="J25" s="36">
        <v>824000</v>
      </c>
      <c r="K25" s="36">
        <v>97419000</v>
      </c>
      <c r="L25" s="37">
        <f t="shared" si="1"/>
        <v>8.4583089541054625E-3</v>
      </c>
      <c r="M25" s="36">
        <v>5974000</v>
      </c>
      <c r="N25" s="36">
        <v>109120000</v>
      </c>
      <c r="O25" s="37">
        <f t="shared" si="2"/>
        <v>5.4747067448680353E-2</v>
      </c>
    </row>
    <row r="26" spans="1:15" x14ac:dyDescent="0.45">
      <c r="A26" s="51">
        <v>40</v>
      </c>
      <c r="B26" s="11" t="s">
        <v>20</v>
      </c>
      <c r="C26" s="11" t="s">
        <v>71</v>
      </c>
      <c r="D26" s="11" t="s">
        <v>248</v>
      </c>
      <c r="E26" s="11" t="s">
        <v>240</v>
      </c>
      <c r="F26" s="11" t="s">
        <v>241</v>
      </c>
      <c r="G26" s="36">
        <v>7904000</v>
      </c>
      <c r="H26" s="36">
        <v>205634000</v>
      </c>
      <c r="I26" s="37">
        <f t="shared" si="0"/>
        <v>3.8437223416361105E-2</v>
      </c>
      <c r="J26" s="36">
        <v>-10736000</v>
      </c>
      <c r="K26" s="36">
        <v>178740000</v>
      </c>
      <c r="L26" s="37">
        <f t="shared" si="1"/>
        <v>-6.0064898735593598E-2</v>
      </c>
      <c r="M26" s="36">
        <v>3492000</v>
      </c>
      <c r="N26" s="36">
        <v>187790000</v>
      </c>
      <c r="O26" s="37">
        <f t="shared" si="2"/>
        <v>1.8595239363118379E-2</v>
      </c>
    </row>
    <row r="27" spans="1:15" x14ac:dyDescent="0.45">
      <c r="A27" s="51">
        <v>8</v>
      </c>
      <c r="B27" s="11" t="s">
        <v>21</v>
      </c>
      <c r="C27" s="11" t="s">
        <v>73</v>
      </c>
      <c r="D27" s="11" t="s">
        <v>239</v>
      </c>
      <c r="E27" s="11" t="s">
        <v>240</v>
      </c>
      <c r="F27" s="11" t="s">
        <v>241</v>
      </c>
      <c r="G27" s="36">
        <v>58323000</v>
      </c>
      <c r="H27" s="36">
        <v>457401000</v>
      </c>
      <c r="I27" s="37">
        <f t="shared" si="0"/>
        <v>0.12750955944565054</v>
      </c>
      <c r="J27" s="36">
        <v>85723000</v>
      </c>
      <c r="K27" s="36">
        <v>481979000</v>
      </c>
      <c r="L27" s="37">
        <f t="shared" si="1"/>
        <v>0.1778562966436297</v>
      </c>
      <c r="M27" s="36">
        <v>62407000</v>
      </c>
      <c r="N27" s="36">
        <v>502287000</v>
      </c>
      <c r="O27" s="37">
        <f t="shared" si="2"/>
        <v>0.12424570016743415</v>
      </c>
    </row>
    <row r="28" spans="1:15" x14ac:dyDescent="0.45">
      <c r="A28" s="51">
        <v>118</v>
      </c>
      <c r="B28" s="11" t="s">
        <v>22</v>
      </c>
      <c r="C28" s="11" t="s">
        <v>73</v>
      </c>
      <c r="D28" s="11" t="s">
        <v>248</v>
      </c>
      <c r="E28" s="11" t="s">
        <v>240</v>
      </c>
      <c r="F28" s="11" t="s">
        <v>241</v>
      </c>
      <c r="G28" s="36">
        <v>9126000</v>
      </c>
      <c r="H28" s="36">
        <v>101376000</v>
      </c>
      <c r="I28" s="37">
        <f t="shared" si="0"/>
        <v>9.0021306818181823E-2</v>
      </c>
      <c r="J28" s="36">
        <v>13340000</v>
      </c>
      <c r="K28" s="36">
        <v>120758000</v>
      </c>
      <c r="L28" s="37">
        <f t="shared" si="1"/>
        <v>0.11046887162755263</v>
      </c>
      <c r="M28" s="36">
        <v>23083000</v>
      </c>
      <c r="N28" s="36">
        <v>156413000</v>
      </c>
      <c r="O28" s="37">
        <f t="shared" si="2"/>
        <v>0.14757724741549616</v>
      </c>
    </row>
    <row r="29" spans="1:15" x14ac:dyDescent="0.45">
      <c r="A29" s="51">
        <v>5</v>
      </c>
      <c r="B29" s="11" t="s">
        <v>23</v>
      </c>
      <c r="C29" s="11" t="s">
        <v>73</v>
      </c>
      <c r="D29" s="11" t="s">
        <v>249</v>
      </c>
      <c r="E29" s="11" t="s">
        <v>240</v>
      </c>
      <c r="F29" s="11" t="s">
        <v>238</v>
      </c>
      <c r="G29" s="36">
        <v>10498000</v>
      </c>
      <c r="H29" s="36">
        <v>356295000</v>
      </c>
      <c r="I29" s="37">
        <f t="shared" si="0"/>
        <v>2.9464348363013794E-2</v>
      </c>
      <c r="J29" s="36">
        <v>-1011000</v>
      </c>
      <c r="K29" s="36">
        <v>346638000</v>
      </c>
      <c r="L29" s="37">
        <f t="shared" si="1"/>
        <v>-2.9165873331833208E-3</v>
      </c>
      <c r="M29" s="36">
        <v>10306000</v>
      </c>
      <c r="N29" s="36">
        <v>396609000</v>
      </c>
      <c r="O29" s="37">
        <f t="shared" si="2"/>
        <v>2.5985290298505583E-2</v>
      </c>
    </row>
    <row r="30" spans="1:15" x14ac:dyDescent="0.45">
      <c r="A30" s="51">
        <v>69</v>
      </c>
      <c r="B30" s="11" t="s">
        <v>24</v>
      </c>
      <c r="C30" s="11" t="s">
        <v>80</v>
      </c>
      <c r="D30" s="11" t="s">
        <v>257</v>
      </c>
      <c r="E30" s="11" t="s">
        <v>237</v>
      </c>
      <c r="F30" s="11" t="s">
        <v>238</v>
      </c>
      <c r="G30" s="36">
        <v>6406000</v>
      </c>
      <c r="H30" s="36">
        <v>66814000</v>
      </c>
      <c r="I30" s="37">
        <f t="shared" si="0"/>
        <v>9.5878109378274012E-2</v>
      </c>
      <c r="J30" s="36">
        <v>7802000</v>
      </c>
      <c r="K30" s="36">
        <v>62888000</v>
      </c>
      <c r="L30" s="37">
        <f t="shared" si="1"/>
        <v>0.12406182419539499</v>
      </c>
      <c r="M30" s="36">
        <v>10239000</v>
      </c>
      <c r="N30" s="36">
        <v>68218000</v>
      </c>
      <c r="O30" s="37">
        <f t="shared" si="2"/>
        <v>0.1500923509924067</v>
      </c>
    </row>
    <row r="31" spans="1:15" x14ac:dyDescent="0.45">
      <c r="A31" s="51">
        <v>1069</v>
      </c>
      <c r="B31" s="11" t="s">
        <v>178</v>
      </c>
      <c r="C31" s="11" t="s">
        <v>80</v>
      </c>
      <c r="D31" s="11" t="s">
        <v>247</v>
      </c>
      <c r="E31" s="11" t="s">
        <v>237</v>
      </c>
      <c r="F31" s="11" t="s">
        <v>241</v>
      </c>
      <c r="G31" s="36">
        <v>-3287000</v>
      </c>
      <c r="H31" s="36">
        <v>8797000</v>
      </c>
      <c r="I31" s="37">
        <f t="shared" si="0"/>
        <v>-0.37365010799136067</v>
      </c>
      <c r="J31" s="36">
        <v>6290000</v>
      </c>
      <c r="K31" s="36">
        <v>247490000</v>
      </c>
      <c r="L31" s="37">
        <f t="shared" si="1"/>
        <v>2.5415168289627865E-2</v>
      </c>
      <c r="M31" s="36">
        <v>28620000</v>
      </c>
      <c r="N31" s="36">
        <v>332445000</v>
      </c>
      <c r="O31" s="37">
        <f t="shared" si="2"/>
        <v>8.6089428326490094E-2</v>
      </c>
    </row>
    <row r="32" spans="1:15" s="6" customFormat="1" x14ac:dyDescent="0.45">
      <c r="A32" s="51">
        <v>324</v>
      </c>
      <c r="B32" s="11" t="s">
        <v>25</v>
      </c>
      <c r="C32" s="11" t="s">
        <v>80</v>
      </c>
      <c r="D32" s="11" t="s">
        <v>245</v>
      </c>
      <c r="E32" s="11" t="s">
        <v>237</v>
      </c>
      <c r="F32" s="11" t="s">
        <v>238</v>
      </c>
      <c r="G32" s="36">
        <v>48963000</v>
      </c>
      <c r="H32" s="36">
        <v>446400000</v>
      </c>
      <c r="I32" s="37">
        <f t="shared" si="0"/>
        <v>0.10968413978494623</v>
      </c>
      <c r="J32" s="36">
        <v>18601000</v>
      </c>
      <c r="K32" s="36">
        <v>485127000</v>
      </c>
      <c r="L32" s="37">
        <f t="shared" si="1"/>
        <v>3.8342537108839538E-2</v>
      </c>
      <c r="M32" s="36">
        <v>14708000</v>
      </c>
      <c r="N32" s="36">
        <v>520868000</v>
      </c>
      <c r="O32" s="37">
        <f t="shared" si="2"/>
        <v>2.8237480513297036E-2</v>
      </c>
    </row>
    <row r="33" spans="1:15" x14ac:dyDescent="0.45">
      <c r="A33" s="52">
        <v>81</v>
      </c>
      <c r="B33" s="15" t="s">
        <v>131</v>
      </c>
      <c r="C33" s="15" t="s">
        <v>80</v>
      </c>
      <c r="D33" s="15" t="s">
        <v>247</v>
      </c>
      <c r="E33" s="15" t="s">
        <v>237</v>
      </c>
      <c r="F33" s="15" t="s">
        <v>241</v>
      </c>
      <c r="G33" s="53">
        <v>16824000</v>
      </c>
      <c r="H33" s="53">
        <v>235950000</v>
      </c>
      <c r="I33" s="39">
        <f t="shared" si="0"/>
        <v>7.1303242212333126E-2</v>
      </c>
      <c r="J33" s="53">
        <v>0</v>
      </c>
      <c r="K33" s="53">
        <v>0</v>
      </c>
      <c r="L33" s="39">
        <v>0</v>
      </c>
      <c r="M33" s="53">
        <v>0</v>
      </c>
      <c r="N33" s="53">
        <v>0</v>
      </c>
      <c r="O33" s="39">
        <v>0</v>
      </c>
    </row>
    <row r="34" spans="1:15" x14ac:dyDescent="0.45">
      <c r="A34" s="51">
        <v>862</v>
      </c>
      <c r="B34" s="11" t="s">
        <v>26</v>
      </c>
      <c r="C34" s="11" t="s">
        <v>79</v>
      </c>
      <c r="D34" s="11" t="s">
        <v>243</v>
      </c>
      <c r="E34" s="11" t="s">
        <v>237</v>
      </c>
      <c r="F34" s="11" t="s">
        <v>241</v>
      </c>
      <c r="G34" s="36">
        <v>-58253000</v>
      </c>
      <c r="H34" s="36">
        <v>98985000</v>
      </c>
      <c r="I34" s="37">
        <f t="shared" si="0"/>
        <v>-0.58850330858210842</v>
      </c>
      <c r="J34" s="36">
        <v>-72924000</v>
      </c>
      <c r="K34" s="36">
        <v>102467000</v>
      </c>
      <c r="L34" s="37">
        <f t="shared" ref="L34:L75" si="3">J34/K34</f>
        <v>-0.71168278567734</v>
      </c>
      <c r="M34" s="36">
        <v>20714000</v>
      </c>
      <c r="N34" s="36">
        <v>221032000</v>
      </c>
      <c r="O34" s="37">
        <f t="shared" ref="O34:O75" si="4">M34/N34</f>
        <v>9.3714937203662821E-2</v>
      </c>
    </row>
    <row r="35" spans="1:15" x14ac:dyDescent="0.45">
      <c r="A35" s="51">
        <v>863</v>
      </c>
      <c r="B35" s="11" t="s">
        <v>27</v>
      </c>
      <c r="C35" s="11" t="s">
        <v>79</v>
      </c>
      <c r="D35" s="11" t="s">
        <v>243</v>
      </c>
      <c r="E35" s="11" t="s">
        <v>237</v>
      </c>
      <c r="F35" s="11" t="s">
        <v>241</v>
      </c>
      <c r="G35" s="36">
        <v>20936000</v>
      </c>
      <c r="H35" s="36">
        <v>155710000</v>
      </c>
      <c r="I35" s="37">
        <f t="shared" si="0"/>
        <v>0.13445507674523152</v>
      </c>
      <c r="J35" s="36">
        <v>39526000</v>
      </c>
      <c r="K35" s="36">
        <v>197637000</v>
      </c>
      <c r="L35" s="37">
        <f t="shared" si="3"/>
        <v>0.19999291630615726</v>
      </c>
      <c r="M35" s="36">
        <v>-37674000</v>
      </c>
      <c r="N35" s="36">
        <v>104914000</v>
      </c>
      <c r="O35" s="37">
        <f t="shared" si="4"/>
        <v>-0.35909411518005224</v>
      </c>
    </row>
    <row r="36" spans="1:15" x14ac:dyDescent="0.45">
      <c r="A36" s="51">
        <v>861</v>
      </c>
      <c r="B36" s="11" t="s">
        <v>28</v>
      </c>
      <c r="C36" s="11" t="s">
        <v>79</v>
      </c>
      <c r="D36" s="11" t="s">
        <v>247</v>
      </c>
      <c r="E36" s="11" t="s">
        <v>237</v>
      </c>
      <c r="F36" s="11" t="s">
        <v>241</v>
      </c>
      <c r="G36" s="36">
        <v>117920000</v>
      </c>
      <c r="H36" s="36">
        <v>387012000</v>
      </c>
      <c r="I36" s="37">
        <f t="shared" ref="I36:I67" si="5">G36/H36</f>
        <v>0.30469339452006655</v>
      </c>
      <c r="J36" s="36">
        <v>-52102000</v>
      </c>
      <c r="K36" s="36">
        <v>269224000</v>
      </c>
      <c r="L36" s="37">
        <f t="shared" si="3"/>
        <v>-0.19352658009687101</v>
      </c>
      <c r="M36" s="36">
        <v>10449000</v>
      </c>
      <c r="N36" s="36">
        <v>330600000</v>
      </c>
      <c r="O36" s="37">
        <f t="shared" si="4"/>
        <v>3.1606170598911069E-2</v>
      </c>
    </row>
    <row r="37" spans="1:15" x14ac:dyDescent="0.45">
      <c r="A37" s="51">
        <v>74</v>
      </c>
      <c r="B37" s="11" t="s">
        <v>29</v>
      </c>
      <c r="C37" s="11" t="s">
        <v>69</v>
      </c>
      <c r="D37" s="11" t="s">
        <v>248</v>
      </c>
      <c r="E37" s="11" t="s">
        <v>240</v>
      </c>
      <c r="F37" s="11" t="s">
        <v>241</v>
      </c>
      <c r="G37" s="36">
        <v>7966000</v>
      </c>
      <c r="H37" s="36">
        <v>399849000</v>
      </c>
      <c r="I37" s="37">
        <f t="shared" si="5"/>
        <v>1.9922520751583721E-2</v>
      </c>
      <c r="J37" s="36">
        <v>-7097000</v>
      </c>
      <c r="K37" s="36">
        <v>413562000</v>
      </c>
      <c r="L37" s="37">
        <f t="shared" si="3"/>
        <v>-1.716066756616904E-2</v>
      </c>
      <c r="M37" s="36">
        <v>-15571000</v>
      </c>
      <c r="N37" s="36">
        <v>444940000</v>
      </c>
      <c r="O37" s="37">
        <f t="shared" si="4"/>
        <v>-3.4995729761316131E-2</v>
      </c>
    </row>
    <row r="38" spans="1:15" x14ac:dyDescent="0.45">
      <c r="A38" s="51">
        <v>73</v>
      </c>
      <c r="B38" s="11" t="s">
        <v>30</v>
      </c>
      <c r="C38" s="11" t="s">
        <v>72</v>
      </c>
      <c r="D38" s="11" t="s">
        <v>253</v>
      </c>
      <c r="E38" s="11" t="s">
        <v>251</v>
      </c>
      <c r="F38" s="11" t="s">
        <v>241</v>
      </c>
      <c r="G38" s="36">
        <v>56657000</v>
      </c>
      <c r="H38" s="36">
        <v>928826000</v>
      </c>
      <c r="I38" s="37">
        <f t="shared" si="5"/>
        <v>6.0998507793709481E-2</v>
      </c>
      <c r="J38" s="36">
        <v>-55932000</v>
      </c>
      <c r="K38" s="36">
        <v>899978000</v>
      </c>
      <c r="L38" s="37">
        <f t="shared" si="3"/>
        <v>-6.2148185844542868E-2</v>
      </c>
      <c r="M38" s="36">
        <v>29691000</v>
      </c>
      <c r="N38" s="36">
        <v>1096326000</v>
      </c>
      <c r="O38" s="37">
        <f t="shared" si="4"/>
        <v>2.7082272973549839E-2</v>
      </c>
    </row>
    <row r="39" spans="1:15" x14ac:dyDescent="0.45">
      <c r="A39" s="51">
        <v>108</v>
      </c>
      <c r="B39" s="11" t="s">
        <v>31</v>
      </c>
      <c r="C39" s="11" t="s">
        <v>72</v>
      </c>
      <c r="D39" s="11" t="s">
        <v>252</v>
      </c>
      <c r="E39" s="11" t="s">
        <v>251</v>
      </c>
      <c r="F39" s="11" t="s">
        <v>241</v>
      </c>
      <c r="G39" s="36">
        <v>22393000</v>
      </c>
      <c r="H39" s="36">
        <v>621158000</v>
      </c>
      <c r="I39" s="37">
        <f t="shared" si="5"/>
        <v>3.6050409074663774E-2</v>
      </c>
      <c r="J39" s="36">
        <v>-100038000</v>
      </c>
      <c r="K39" s="36">
        <v>590070000</v>
      </c>
      <c r="L39" s="37">
        <f t="shared" si="3"/>
        <v>-0.16953581778433066</v>
      </c>
      <c r="M39" s="36">
        <v>-63931000</v>
      </c>
      <c r="N39" s="36">
        <v>677917000</v>
      </c>
      <c r="O39" s="37">
        <f t="shared" si="4"/>
        <v>-9.430505504361153E-2</v>
      </c>
    </row>
    <row r="40" spans="1:15" x14ac:dyDescent="0.45">
      <c r="A40" s="51">
        <v>75</v>
      </c>
      <c r="B40" s="11" t="s">
        <v>32</v>
      </c>
      <c r="C40" s="11" t="s">
        <v>69</v>
      </c>
      <c r="D40" s="11" t="s">
        <v>253</v>
      </c>
      <c r="E40" s="11" t="s">
        <v>251</v>
      </c>
      <c r="F40" s="11" t="s">
        <v>241</v>
      </c>
      <c r="G40" s="36">
        <v>28114000</v>
      </c>
      <c r="H40" s="36">
        <v>422305000</v>
      </c>
      <c r="I40" s="37">
        <f t="shared" si="5"/>
        <v>6.6572737713264107E-2</v>
      </c>
      <c r="J40" s="36">
        <v>19998000</v>
      </c>
      <c r="K40" s="36">
        <v>434680000</v>
      </c>
      <c r="L40" s="37">
        <f t="shared" si="3"/>
        <v>4.6006257476764519E-2</v>
      </c>
      <c r="M40" s="36">
        <v>3404000</v>
      </c>
      <c r="N40" s="36">
        <v>461536000</v>
      </c>
      <c r="O40" s="37">
        <f t="shared" si="4"/>
        <v>7.3753726686542325E-3</v>
      </c>
    </row>
    <row r="41" spans="1:15" x14ac:dyDescent="0.45">
      <c r="A41" s="51">
        <v>84</v>
      </c>
      <c r="B41" s="11" t="s">
        <v>33</v>
      </c>
      <c r="C41" s="11" t="s">
        <v>69</v>
      </c>
      <c r="D41" s="11" t="s">
        <v>255</v>
      </c>
      <c r="E41" s="11" t="s">
        <v>251</v>
      </c>
      <c r="F41" s="11" t="s">
        <v>241</v>
      </c>
      <c r="G41" s="36">
        <v>3425000</v>
      </c>
      <c r="H41" s="36">
        <v>132079000</v>
      </c>
      <c r="I41" s="37">
        <f t="shared" si="5"/>
        <v>2.5931450116975445E-2</v>
      </c>
      <c r="J41" s="36">
        <v>-4672000</v>
      </c>
      <c r="K41" s="36">
        <v>129739000</v>
      </c>
      <c r="L41" s="37">
        <f t="shared" si="3"/>
        <v>-3.6010760064437063E-2</v>
      </c>
      <c r="M41" s="36">
        <v>-9595000</v>
      </c>
      <c r="N41" s="36">
        <v>125034000</v>
      </c>
      <c r="O41" s="37">
        <f t="shared" si="4"/>
        <v>-7.6739126957467568E-2</v>
      </c>
    </row>
    <row r="42" spans="1:15" x14ac:dyDescent="0.45">
      <c r="A42" s="51">
        <v>15</v>
      </c>
      <c r="B42" s="11" t="s">
        <v>34</v>
      </c>
      <c r="C42" s="11" t="s">
        <v>67</v>
      </c>
      <c r="D42" s="11" t="s">
        <v>254</v>
      </c>
      <c r="E42" s="11" t="s">
        <v>240</v>
      </c>
      <c r="F42" s="11" t="s">
        <v>241</v>
      </c>
      <c r="G42" s="36">
        <v>206273000</v>
      </c>
      <c r="H42" s="36">
        <v>1447887000</v>
      </c>
      <c r="I42" s="37">
        <f t="shared" si="5"/>
        <v>0.14246484704952803</v>
      </c>
      <c r="J42" s="36">
        <v>160902000</v>
      </c>
      <c r="K42" s="36">
        <v>1441539000</v>
      </c>
      <c r="L42" s="37">
        <f t="shared" si="3"/>
        <v>0.11161820804015708</v>
      </c>
      <c r="M42" s="36">
        <v>297879000</v>
      </c>
      <c r="N42" s="36">
        <v>1679535000</v>
      </c>
      <c r="O42" s="37">
        <f t="shared" si="4"/>
        <v>0.17735801873732909</v>
      </c>
    </row>
    <row r="43" spans="1:15" x14ac:dyDescent="0.45">
      <c r="A43" s="51">
        <v>58</v>
      </c>
      <c r="B43" s="11" t="s">
        <v>35</v>
      </c>
      <c r="C43" s="11" t="s">
        <v>73</v>
      </c>
      <c r="D43" s="11" t="s">
        <v>239</v>
      </c>
      <c r="E43" s="11" t="s">
        <v>240</v>
      </c>
      <c r="F43" s="11" t="s">
        <v>241</v>
      </c>
      <c r="G43" s="36">
        <v>-21422000</v>
      </c>
      <c r="H43" s="36">
        <v>207799000</v>
      </c>
      <c r="I43" s="37">
        <f t="shared" si="5"/>
        <v>-0.10309000524545354</v>
      </c>
      <c r="J43" s="36">
        <v>8942000</v>
      </c>
      <c r="K43" s="36">
        <v>256574000</v>
      </c>
      <c r="L43" s="37">
        <f t="shared" si="3"/>
        <v>3.4851543804126688E-2</v>
      </c>
      <c r="M43" s="36">
        <v>2580000</v>
      </c>
      <c r="N43" s="36">
        <v>267269000</v>
      </c>
      <c r="O43" s="37">
        <f t="shared" si="4"/>
        <v>9.6531958438876193E-3</v>
      </c>
    </row>
    <row r="44" spans="1:15" x14ac:dyDescent="0.45">
      <c r="A44" s="51">
        <v>2</v>
      </c>
      <c r="B44" s="11" t="s">
        <v>36</v>
      </c>
      <c r="C44" s="11" t="s">
        <v>69</v>
      </c>
      <c r="D44" s="11" t="s">
        <v>246</v>
      </c>
      <c r="E44" s="11" t="s">
        <v>240</v>
      </c>
      <c r="F44" s="11" t="s">
        <v>241</v>
      </c>
      <c r="G44" s="36">
        <v>5919000</v>
      </c>
      <c r="H44" s="36">
        <v>659845000</v>
      </c>
      <c r="I44" s="37">
        <f t="shared" si="5"/>
        <v>8.9702884768392572E-3</v>
      </c>
      <c r="J44" s="36">
        <v>11156000</v>
      </c>
      <c r="K44" s="36">
        <v>643292000</v>
      </c>
      <c r="L44" s="37">
        <f t="shared" si="3"/>
        <v>1.7342046846533146E-2</v>
      </c>
      <c r="M44" s="36">
        <v>3709000</v>
      </c>
      <c r="N44" s="36">
        <v>692822000</v>
      </c>
      <c r="O44" s="37">
        <f t="shared" si="4"/>
        <v>5.3534674129863081E-3</v>
      </c>
    </row>
    <row r="45" spans="1:15" x14ac:dyDescent="0.45">
      <c r="A45" s="51">
        <v>28</v>
      </c>
      <c r="B45" s="11" t="s">
        <v>37</v>
      </c>
      <c r="C45" s="11" t="s">
        <v>67</v>
      </c>
      <c r="D45" s="11" t="s">
        <v>259</v>
      </c>
      <c r="E45" s="11" t="s">
        <v>240</v>
      </c>
      <c r="F45" s="11" t="s">
        <v>238</v>
      </c>
      <c r="G45" s="36">
        <v>935000</v>
      </c>
      <c r="H45" s="36">
        <v>170414000</v>
      </c>
      <c r="I45" s="37">
        <f t="shared" si="5"/>
        <v>5.4866384217259149E-3</v>
      </c>
      <c r="J45" s="36">
        <v>3758000</v>
      </c>
      <c r="K45" s="36">
        <v>176751000</v>
      </c>
      <c r="L45" s="37">
        <f t="shared" si="3"/>
        <v>2.1261548732397554E-2</v>
      </c>
      <c r="M45" s="36">
        <v>5988000</v>
      </c>
      <c r="N45" s="36">
        <v>197702000</v>
      </c>
      <c r="O45" s="37">
        <f t="shared" si="4"/>
        <v>3.0288009226006819E-2</v>
      </c>
    </row>
    <row r="46" spans="1:15" x14ac:dyDescent="0.45">
      <c r="A46" s="51">
        <v>52</v>
      </c>
      <c r="B46" s="11" t="s">
        <v>38</v>
      </c>
      <c r="C46" s="11" t="s">
        <v>72</v>
      </c>
      <c r="D46" s="11" t="s">
        <v>255</v>
      </c>
      <c r="E46" s="11" t="s">
        <v>251</v>
      </c>
      <c r="F46" s="11" t="s">
        <v>241</v>
      </c>
      <c r="G46" s="36">
        <v>15564000</v>
      </c>
      <c r="H46" s="36">
        <v>383389000</v>
      </c>
      <c r="I46" s="37">
        <f t="shared" si="5"/>
        <v>4.0595843907884684E-2</v>
      </c>
      <c r="J46" s="36">
        <v>-2996000</v>
      </c>
      <c r="K46" s="36">
        <v>398590000</v>
      </c>
      <c r="L46" s="37">
        <f t="shared" si="3"/>
        <v>-7.516495647156226E-3</v>
      </c>
      <c r="M46" s="36">
        <v>8632000</v>
      </c>
      <c r="N46" s="36">
        <v>458504000</v>
      </c>
      <c r="O46" s="37">
        <f t="shared" si="4"/>
        <v>1.8826444262209273E-2</v>
      </c>
    </row>
    <row r="47" spans="1:15" x14ac:dyDescent="0.45">
      <c r="A47" s="51">
        <v>51</v>
      </c>
      <c r="B47" s="11" t="s">
        <v>39</v>
      </c>
      <c r="C47" s="11" t="s">
        <v>67</v>
      </c>
      <c r="D47" s="11" t="s">
        <v>260</v>
      </c>
      <c r="E47" s="11" t="s">
        <v>240</v>
      </c>
      <c r="F47" s="11" t="s">
        <v>241</v>
      </c>
      <c r="G47" s="36">
        <v>98513000</v>
      </c>
      <c r="H47" s="36">
        <v>754572000</v>
      </c>
      <c r="I47" s="37">
        <f t="shared" si="5"/>
        <v>0.13055480457795943</v>
      </c>
      <c r="J47" s="36">
        <v>118124000</v>
      </c>
      <c r="K47" s="36">
        <v>741361000</v>
      </c>
      <c r="L47" s="37">
        <f t="shared" si="3"/>
        <v>0.15933398169043153</v>
      </c>
      <c r="M47" s="36">
        <v>131474000</v>
      </c>
      <c r="N47" s="36">
        <v>863083000</v>
      </c>
      <c r="O47" s="37">
        <f t="shared" si="4"/>
        <v>0.15233065649537761</v>
      </c>
    </row>
    <row r="48" spans="1:15" x14ac:dyDescent="0.45">
      <c r="A48" s="51">
        <v>10</v>
      </c>
      <c r="B48" s="11" t="s">
        <v>40</v>
      </c>
      <c r="C48" s="11" t="s">
        <v>78</v>
      </c>
      <c r="D48" s="11" t="s">
        <v>252</v>
      </c>
      <c r="E48" s="11" t="s">
        <v>251</v>
      </c>
      <c r="F48" s="11" t="s">
        <v>241</v>
      </c>
      <c r="G48" s="36">
        <v>3658000</v>
      </c>
      <c r="H48" s="36">
        <v>404935000</v>
      </c>
      <c r="I48" s="37">
        <f t="shared" si="5"/>
        <v>9.0335485942188258E-3</v>
      </c>
      <c r="J48" s="36">
        <v>-9247000</v>
      </c>
      <c r="K48" s="36">
        <v>375905000</v>
      </c>
      <c r="L48" s="37">
        <f t="shared" si="3"/>
        <v>-2.4599300355142923E-2</v>
      </c>
      <c r="M48" s="36">
        <v>-15031000</v>
      </c>
      <c r="N48" s="36">
        <v>413581000</v>
      </c>
      <c r="O48" s="37">
        <f t="shared" si="4"/>
        <v>-3.6343545762498763E-2</v>
      </c>
    </row>
    <row r="49" spans="1:15" x14ac:dyDescent="0.45">
      <c r="A49" s="51">
        <v>392</v>
      </c>
      <c r="B49" s="11" t="s">
        <v>41</v>
      </c>
      <c r="C49" s="11" t="s">
        <v>72</v>
      </c>
      <c r="D49" s="11" t="s">
        <v>252</v>
      </c>
      <c r="E49" s="11" t="s">
        <v>251</v>
      </c>
      <c r="F49" s="11" t="s">
        <v>241</v>
      </c>
      <c r="G49" s="36">
        <v>10840000</v>
      </c>
      <c r="H49" s="36">
        <v>95876000</v>
      </c>
      <c r="I49" s="37">
        <f t="shared" si="5"/>
        <v>0.11306270599524386</v>
      </c>
      <c r="J49" s="36">
        <v>3880000</v>
      </c>
      <c r="K49" s="36">
        <v>106917000</v>
      </c>
      <c r="L49" s="37">
        <f t="shared" si="3"/>
        <v>3.6289832299821356E-2</v>
      </c>
      <c r="M49" s="36">
        <v>27833000</v>
      </c>
      <c r="N49" s="36">
        <v>138921000</v>
      </c>
      <c r="O49" s="37">
        <f t="shared" si="4"/>
        <v>0.20035127878434505</v>
      </c>
    </row>
    <row r="50" spans="1:15" x14ac:dyDescent="0.45">
      <c r="A50" s="51">
        <v>391</v>
      </c>
      <c r="B50" s="11" t="s">
        <v>42</v>
      </c>
      <c r="C50" s="11" t="s">
        <v>72</v>
      </c>
      <c r="D50" s="11" t="s">
        <v>252</v>
      </c>
      <c r="E50" s="11" t="s">
        <v>251</v>
      </c>
      <c r="F50" s="11" t="s">
        <v>241</v>
      </c>
      <c r="G50" s="36">
        <v>-29666000</v>
      </c>
      <c r="H50" s="36">
        <v>132071000</v>
      </c>
      <c r="I50" s="37">
        <f t="shared" si="5"/>
        <v>-0.22462160504577083</v>
      </c>
      <c r="J50" s="36">
        <v>-34825000</v>
      </c>
      <c r="K50" s="36">
        <v>129843000</v>
      </c>
      <c r="L50" s="37">
        <f t="shared" si="3"/>
        <v>-0.26820852876165829</v>
      </c>
      <c r="M50" s="36">
        <v>-24859000</v>
      </c>
      <c r="N50" s="36">
        <v>141580000</v>
      </c>
      <c r="O50" s="37">
        <f t="shared" si="4"/>
        <v>-0.17558270942223478</v>
      </c>
    </row>
    <row r="51" spans="1:15" x14ac:dyDescent="0.45">
      <c r="A51" s="51">
        <v>34</v>
      </c>
      <c r="B51" s="11" t="s">
        <v>43</v>
      </c>
      <c r="C51" s="11" t="s">
        <v>72</v>
      </c>
      <c r="D51" s="11" t="s">
        <v>253</v>
      </c>
      <c r="E51" s="11" t="s">
        <v>251</v>
      </c>
      <c r="F51" s="11" t="s">
        <v>241</v>
      </c>
      <c r="G51" s="36">
        <v>21482000</v>
      </c>
      <c r="H51" s="36">
        <v>314365000</v>
      </c>
      <c r="I51" s="37">
        <f t="shared" si="5"/>
        <v>6.833457923114851E-2</v>
      </c>
      <c r="J51" s="36">
        <v>-4709000</v>
      </c>
      <c r="K51" s="36">
        <v>303915000</v>
      </c>
      <c r="L51" s="37">
        <f t="shared" si="3"/>
        <v>-1.5494463912607143E-2</v>
      </c>
      <c r="M51" s="36">
        <v>13090000</v>
      </c>
      <c r="N51" s="36">
        <v>354240000</v>
      </c>
      <c r="O51" s="37">
        <f t="shared" si="4"/>
        <v>3.6952348690153569E-2</v>
      </c>
    </row>
    <row r="52" spans="1:15" x14ac:dyDescent="0.45">
      <c r="A52" s="51">
        <v>110</v>
      </c>
      <c r="B52" s="11" t="s">
        <v>44</v>
      </c>
      <c r="C52" s="11" t="s">
        <v>69</v>
      </c>
      <c r="D52" s="11" t="s">
        <v>250</v>
      </c>
      <c r="E52" s="11" t="s">
        <v>251</v>
      </c>
      <c r="F52" s="11" t="s">
        <v>241</v>
      </c>
      <c r="G52" s="36">
        <v>-2645000</v>
      </c>
      <c r="H52" s="36">
        <v>194861000</v>
      </c>
      <c r="I52" s="37">
        <f t="shared" si="5"/>
        <v>-1.3573778231662569E-2</v>
      </c>
      <c r="J52" s="36">
        <v>-3328000</v>
      </c>
      <c r="K52" s="36">
        <v>201018000</v>
      </c>
      <c r="L52" s="37">
        <f t="shared" si="3"/>
        <v>-1.6555731327542806E-2</v>
      </c>
      <c r="M52" s="36">
        <v>-12453000</v>
      </c>
      <c r="N52" s="36">
        <v>203459000</v>
      </c>
      <c r="O52" s="37">
        <f t="shared" si="4"/>
        <v>-6.120643471166181E-2</v>
      </c>
    </row>
    <row r="53" spans="1:15" x14ac:dyDescent="0.45">
      <c r="A53" s="51">
        <v>24</v>
      </c>
      <c r="B53" s="11" t="s">
        <v>45</v>
      </c>
      <c r="C53" s="11" t="s">
        <v>69</v>
      </c>
      <c r="D53" s="11" t="s">
        <v>260</v>
      </c>
      <c r="E53" s="11" t="s">
        <v>240</v>
      </c>
      <c r="F53" s="11" t="s">
        <v>241</v>
      </c>
      <c r="G53" s="36">
        <v>-2358000</v>
      </c>
      <c r="H53" s="36">
        <v>115209000</v>
      </c>
      <c r="I53" s="37">
        <f t="shared" si="5"/>
        <v>-2.0467151003827826E-2</v>
      </c>
      <c r="J53" s="36">
        <v>691000</v>
      </c>
      <c r="K53" s="36">
        <v>122537000</v>
      </c>
      <c r="L53" s="37">
        <f t="shared" si="3"/>
        <v>5.6391130842112997E-3</v>
      </c>
      <c r="M53" s="36">
        <v>-409000</v>
      </c>
      <c r="N53" s="36">
        <v>137300000</v>
      </c>
      <c r="O53" s="37">
        <f t="shared" si="4"/>
        <v>-2.9788783685360523E-3</v>
      </c>
    </row>
    <row r="54" spans="1:15" x14ac:dyDescent="0.45">
      <c r="A54" s="51">
        <v>38</v>
      </c>
      <c r="B54" s="11" t="s">
        <v>46</v>
      </c>
      <c r="C54" s="11" t="s">
        <v>69</v>
      </c>
      <c r="D54" s="11" t="s">
        <v>252</v>
      </c>
      <c r="E54" s="11" t="s">
        <v>251</v>
      </c>
      <c r="F54" s="11" t="s">
        <v>241</v>
      </c>
      <c r="G54" s="36">
        <v>14992000</v>
      </c>
      <c r="H54" s="36">
        <v>1150376000</v>
      </c>
      <c r="I54" s="37">
        <f t="shared" si="5"/>
        <v>1.3032260756483097E-2</v>
      </c>
      <c r="J54" s="36">
        <v>22009000</v>
      </c>
      <c r="K54" s="36">
        <v>1213800000</v>
      </c>
      <c r="L54" s="37">
        <f t="shared" si="3"/>
        <v>1.8132311748228703E-2</v>
      </c>
      <c r="M54" s="36">
        <v>25837000</v>
      </c>
      <c r="N54" s="36">
        <v>1354815000</v>
      </c>
      <c r="O54" s="37">
        <f t="shared" si="4"/>
        <v>1.9070500400423674E-2</v>
      </c>
    </row>
    <row r="55" spans="1:15" x14ac:dyDescent="0.45">
      <c r="A55" s="51">
        <v>48</v>
      </c>
      <c r="B55" s="11" t="s">
        <v>47</v>
      </c>
      <c r="C55" s="11" t="s">
        <v>69</v>
      </c>
      <c r="D55" s="11" t="s">
        <v>258</v>
      </c>
      <c r="E55" s="11" t="s">
        <v>251</v>
      </c>
      <c r="F55" s="11" t="s">
        <v>241</v>
      </c>
      <c r="G55" s="36">
        <v>14051000</v>
      </c>
      <c r="H55" s="36">
        <v>297310000</v>
      </c>
      <c r="I55" s="37">
        <f t="shared" si="5"/>
        <v>4.7260435235949007E-2</v>
      </c>
      <c r="J55" s="36">
        <v>15797000</v>
      </c>
      <c r="K55" s="36">
        <v>326293000</v>
      </c>
      <c r="L55" s="37">
        <f t="shared" si="3"/>
        <v>4.8413542429656779E-2</v>
      </c>
      <c r="M55" s="36">
        <v>-6669000</v>
      </c>
      <c r="N55" s="36">
        <v>347927000</v>
      </c>
      <c r="O55" s="37">
        <f t="shared" si="4"/>
        <v>-1.9167813937981244E-2</v>
      </c>
    </row>
    <row r="56" spans="1:15" x14ac:dyDescent="0.45">
      <c r="A56" s="51">
        <v>50</v>
      </c>
      <c r="B56" s="11" t="s">
        <v>48</v>
      </c>
      <c r="C56" s="11" t="s">
        <v>76</v>
      </c>
      <c r="D56" s="11" t="s">
        <v>254</v>
      </c>
      <c r="E56" s="11" t="s">
        <v>240</v>
      </c>
      <c r="F56" s="11" t="s">
        <v>241</v>
      </c>
      <c r="G56" s="36">
        <v>55386000</v>
      </c>
      <c r="H56" s="36">
        <v>230023000</v>
      </c>
      <c r="I56" s="37">
        <f t="shared" si="5"/>
        <v>0.24078461719045488</v>
      </c>
      <c r="J56" s="36">
        <v>55340000</v>
      </c>
      <c r="K56" s="36">
        <v>228274000</v>
      </c>
      <c r="L56" s="37">
        <f t="shared" si="3"/>
        <v>0.24242795938214601</v>
      </c>
      <c r="M56" s="36">
        <v>57046000</v>
      </c>
      <c r="N56" s="36">
        <v>226952000</v>
      </c>
      <c r="O56" s="37">
        <f t="shared" si="4"/>
        <v>0.25135711516091508</v>
      </c>
    </row>
    <row r="57" spans="1:15" x14ac:dyDescent="0.45">
      <c r="A57" s="51">
        <v>502</v>
      </c>
      <c r="B57" s="11" t="s">
        <v>49</v>
      </c>
      <c r="C57" s="11" t="s">
        <v>76</v>
      </c>
      <c r="D57" s="11" t="s">
        <v>254</v>
      </c>
      <c r="E57" s="11" t="s">
        <v>240</v>
      </c>
      <c r="F57" s="11" t="s">
        <v>241</v>
      </c>
      <c r="G57" s="36">
        <v>2066000</v>
      </c>
      <c r="H57" s="36">
        <v>78644000</v>
      </c>
      <c r="I57" s="37">
        <f t="shared" si="5"/>
        <v>2.6270281267483851E-2</v>
      </c>
      <c r="J57" s="36">
        <v>2075000</v>
      </c>
      <c r="K57" s="36">
        <v>81728000</v>
      </c>
      <c r="L57" s="37">
        <f t="shared" si="3"/>
        <v>2.538909553641347E-2</v>
      </c>
      <c r="M57" s="36">
        <v>3080000</v>
      </c>
      <c r="N57" s="36">
        <v>84960000</v>
      </c>
      <c r="O57" s="37">
        <f t="shared" si="4"/>
        <v>3.6252354048964215E-2</v>
      </c>
    </row>
    <row r="58" spans="1:15" x14ac:dyDescent="0.45">
      <c r="A58" s="51">
        <v>96</v>
      </c>
      <c r="B58" s="11" t="s">
        <v>50</v>
      </c>
      <c r="C58" s="11" t="s">
        <v>76</v>
      </c>
      <c r="D58" s="11" t="s">
        <v>246</v>
      </c>
      <c r="E58" s="11" t="s">
        <v>240</v>
      </c>
      <c r="F58" s="11" t="s">
        <v>241</v>
      </c>
      <c r="G58" s="36">
        <v>-2072000</v>
      </c>
      <c r="H58" s="36">
        <v>177030000</v>
      </c>
      <c r="I58" s="37">
        <f t="shared" si="5"/>
        <v>-1.1704230921312772E-2</v>
      </c>
      <c r="J58" s="36">
        <v>14329000</v>
      </c>
      <c r="K58" s="36">
        <v>185750000</v>
      </c>
      <c r="L58" s="37">
        <f t="shared" si="3"/>
        <v>7.7141318977119788E-2</v>
      </c>
      <c r="M58" s="36">
        <v>17355000</v>
      </c>
      <c r="N58" s="36">
        <v>190816000</v>
      </c>
      <c r="O58" s="37">
        <f t="shared" si="4"/>
        <v>9.0951492537313439E-2</v>
      </c>
    </row>
    <row r="59" spans="1:15" x14ac:dyDescent="0.45">
      <c r="A59" s="51">
        <v>70</v>
      </c>
      <c r="B59" s="11" t="s">
        <v>51</v>
      </c>
      <c r="C59" s="11" t="s">
        <v>73</v>
      </c>
      <c r="D59" s="11" t="s">
        <v>252</v>
      </c>
      <c r="E59" s="11" t="s">
        <v>251</v>
      </c>
      <c r="F59" s="11" t="s">
        <v>241</v>
      </c>
      <c r="G59" s="36">
        <v>15775000</v>
      </c>
      <c r="H59" s="36">
        <v>482788000</v>
      </c>
      <c r="I59" s="37">
        <f t="shared" si="5"/>
        <v>3.2674797219483499E-2</v>
      </c>
      <c r="J59" s="36">
        <v>15716000</v>
      </c>
      <c r="K59" s="36">
        <v>490458000</v>
      </c>
      <c r="L59" s="37">
        <f t="shared" si="3"/>
        <v>3.204351850719124E-2</v>
      </c>
      <c r="M59" s="36">
        <v>65565000</v>
      </c>
      <c r="N59" s="36">
        <v>574738000</v>
      </c>
      <c r="O59" s="37">
        <f t="shared" si="4"/>
        <v>0.11407806687568944</v>
      </c>
    </row>
    <row r="60" spans="1:15" x14ac:dyDescent="0.45">
      <c r="A60" s="51">
        <v>91</v>
      </c>
      <c r="B60" s="11" t="s">
        <v>52</v>
      </c>
      <c r="C60" s="11" t="s">
        <v>73</v>
      </c>
      <c r="D60" s="11" t="s">
        <v>257</v>
      </c>
      <c r="E60" s="11" t="s">
        <v>237</v>
      </c>
      <c r="F60" s="11" t="s">
        <v>238</v>
      </c>
      <c r="G60" s="36">
        <v>-3766000</v>
      </c>
      <c r="H60" s="36">
        <v>50395000</v>
      </c>
      <c r="I60" s="37">
        <f t="shared" si="5"/>
        <v>-7.4729635876575051E-2</v>
      </c>
      <c r="J60" s="36">
        <v>-16257000</v>
      </c>
      <c r="K60" s="36">
        <v>47594000</v>
      </c>
      <c r="L60" s="37">
        <f t="shared" si="3"/>
        <v>-0.34157666932806657</v>
      </c>
      <c r="M60" s="36">
        <v>-10667000</v>
      </c>
      <c r="N60" s="36">
        <v>52858000</v>
      </c>
      <c r="O60" s="37">
        <f t="shared" si="4"/>
        <v>-0.20180483559726059</v>
      </c>
    </row>
    <row r="61" spans="1:15" x14ac:dyDescent="0.45">
      <c r="A61" s="51">
        <v>47</v>
      </c>
      <c r="B61" s="11" t="s">
        <v>53</v>
      </c>
      <c r="C61" s="11" t="s">
        <v>73</v>
      </c>
      <c r="D61" s="11" t="s">
        <v>236</v>
      </c>
      <c r="E61" s="11" t="s">
        <v>237</v>
      </c>
      <c r="F61" s="11" t="s">
        <v>238</v>
      </c>
      <c r="G61" s="36">
        <v>14196000</v>
      </c>
      <c r="H61" s="36">
        <v>186837000</v>
      </c>
      <c r="I61" s="37">
        <f t="shared" si="5"/>
        <v>7.5980667640777794E-2</v>
      </c>
      <c r="J61" s="36">
        <v>20233000</v>
      </c>
      <c r="K61" s="36">
        <v>186286000</v>
      </c>
      <c r="L61" s="37">
        <f t="shared" si="3"/>
        <v>0.10861256347766338</v>
      </c>
      <c r="M61" s="36">
        <v>33991000</v>
      </c>
      <c r="N61" s="36">
        <v>225926000</v>
      </c>
      <c r="O61" s="37">
        <f t="shared" si="4"/>
        <v>0.15045191788461709</v>
      </c>
    </row>
    <row r="62" spans="1:15" x14ac:dyDescent="0.45">
      <c r="A62" s="51">
        <v>113</v>
      </c>
      <c r="B62" s="11" t="s">
        <v>54</v>
      </c>
      <c r="C62" s="11" t="s">
        <v>72</v>
      </c>
      <c r="D62" s="11" t="s">
        <v>255</v>
      </c>
      <c r="E62" s="11" t="s">
        <v>251</v>
      </c>
      <c r="F62" s="11" t="s">
        <v>241</v>
      </c>
      <c r="G62" s="36">
        <v>1914000</v>
      </c>
      <c r="H62" s="36">
        <v>199584000</v>
      </c>
      <c r="I62" s="37">
        <f t="shared" si="5"/>
        <v>9.5899470899470894E-3</v>
      </c>
      <c r="J62" s="36">
        <v>-3834000</v>
      </c>
      <c r="K62" s="36">
        <v>194025000</v>
      </c>
      <c r="L62" s="37">
        <f t="shared" si="3"/>
        <v>-1.9760340162350211E-2</v>
      </c>
      <c r="M62" s="36">
        <v>20757000</v>
      </c>
      <c r="N62" s="36">
        <v>231600000</v>
      </c>
      <c r="O62" s="37">
        <f t="shared" si="4"/>
        <v>8.9624352331606219E-2</v>
      </c>
    </row>
    <row r="63" spans="1:15" x14ac:dyDescent="0.45">
      <c r="A63" s="51">
        <v>21</v>
      </c>
      <c r="B63" s="11" t="s">
        <v>55</v>
      </c>
      <c r="C63" s="11" t="s">
        <v>73</v>
      </c>
      <c r="D63" s="11" t="s">
        <v>250</v>
      </c>
      <c r="E63" s="11" t="s">
        <v>251</v>
      </c>
      <c r="F63" s="11" t="s">
        <v>241</v>
      </c>
      <c r="G63" s="36">
        <v>-9452000</v>
      </c>
      <c r="H63" s="36">
        <v>128360000</v>
      </c>
      <c r="I63" s="37">
        <f t="shared" si="5"/>
        <v>-7.3636646930507949E-2</v>
      </c>
      <c r="J63" s="36">
        <v>-25101000</v>
      </c>
      <c r="K63" s="36">
        <v>118841000</v>
      </c>
      <c r="L63" s="37">
        <f t="shared" si="3"/>
        <v>-0.21121498472749303</v>
      </c>
      <c r="M63" s="36">
        <v>-3435000</v>
      </c>
      <c r="N63" s="36">
        <v>138191000</v>
      </c>
      <c r="O63" s="37">
        <f t="shared" si="4"/>
        <v>-2.4856900955923324E-2</v>
      </c>
    </row>
    <row r="64" spans="1:15" x14ac:dyDescent="0.45">
      <c r="A64" s="51">
        <v>19</v>
      </c>
      <c r="B64" s="11" t="s">
        <v>56</v>
      </c>
      <c r="C64" s="11" t="s">
        <v>77</v>
      </c>
      <c r="D64" s="11" t="s">
        <v>256</v>
      </c>
      <c r="E64" s="11" t="s">
        <v>240</v>
      </c>
      <c r="F64" s="11" t="s">
        <v>241</v>
      </c>
      <c r="G64" s="36">
        <v>-13568000</v>
      </c>
      <c r="H64" s="36">
        <v>684920000</v>
      </c>
      <c r="I64" s="37">
        <f t="shared" si="5"/>
        <v>-1.9809612801495066E-2</v>
      </c>
      <c r="J64" s="36">
        <v>8059000</v>
      </c>
      <c r="K64" s="36">
        <v>769840000</v>
      </c>
      <c r="L64" s="37">
        <f t="shared" si="3"/>
        <v>1.0468409020056116E-2</v>
      </c>
      <c r="M64" s="36">
        <v>14572000</v>
      </c>
      <c r="N64" s="36">
        <v>785747000</v>
      </c>
      <c r="O64" s="37">
        <f t="shared" si="4"/>
        <v>1.8545409654761646E-2</v>
      </c>
    </row>
    <row r="65" spans="1:15" x14ac:dyDescent="0.45">
      <c r="A65" s="51">
        <v>116</v>
      </c>
      <c r="B65" s="11" t="s">
        <v>57</v>
      </c>
      <c r="C65" s="11" t="s">
        <v>77</v>
      </c>
      <c r="D65" s="11" t="s">
        <v>256</v>
      </c>
      <c r="E65" s="11" t="s">
        <v>240</v>
      </c>
      <c r="F65" s="11" t="s">
        <v>241</v>
      </c>
      <c r="G65" s="36">
        <v>18562000</v>
      </c>
      <c r="H65" s="36">
        <v>121201000</v>
      </c>
      <c r="I65" s="37">
        <f t="shared" si="5"/>
        <v>0.15315055156310592</v>
      </c>
      <c r="J65" s="36">
        <v>4634000</v>
      </c>
      <c r="K65" s="36">
        <v>118899000</v>
      </c>
      <c r="L65" s="37">
        <f t="shared" si="3"/>
        <v>3.8974255460516909E-2</v>
      </c>
      <c r="M65" s="36">
        <v>8641000</v>
      </c>
      <c r="N65" s="36">
        <v>130920000</v>
      </c>
      <c r="O65" s="37">
        <f t="shared" si="4"/>
        <v>6.6002138710663003E-2</v>
      </c>
    </row>
    <row r="66" spans="1:15" x14ac:dyDescent="0.45">
      <c r="A66" s="51">
        <v>60</v>
      </c>
      <c r="B66" s="11" t="s">
        <v>58</v>
      </c>
      <c r="C66" s="11" t="s">
        <v>75</v>
      </c>
      <c r="D66" s="11" t="s">
        <v>261</v>
      </c>
      <c r="E66" s="11" t="s">
        <v>240</v>
      </c>
      <c r="F66" s="11" t="s">
        <v>238</v>
      </c>
      <c r="G66" s="36">
        <v>14258000</v>
      </c>
      <c r="H66" s="36">
        <v>123587000</v>
      </c>
      <c r="I66" s="37">
        <f t="shared" si="5"/>
        <v>0.1153681212425255</v>
      </c>
      <c r="J66" s="36">
        <v>26174000</v>
      </c>
      <c r="K66" s="36">
        <v>141047000</v>
      </c>
      <c r="L66" s="37">
        <f t="shared" si="3"/>
        <v>0.18556934922401752</v>
      </c>
      <c r="M66" s="36">
        <v>26731000</v>
      </c>
      <c r="N66" s="36">
        <v>146800000</v>
      </c>
      <c r="O66" s="37">
        <f t="shared" si="4"/>
        <v>0.18209128065395094</v>
      </c>
    </row>
    <row r="67" spans="1:15" x14ac:dyDescent="0.45">
      <c r="A67" s="51">
        <v>6</v>
      </c>
      <c r="B67" s="11" t="s">
        <v>59</v>
      </c>
      <c r="C67" s="11" t="s">
        <v>76</v>
      </c>
      <c r="D67" s="11" t="s">
        <v>256</v>
      </c>
      <c r="E67" s="11" t="s">
        <v>240</v>
      </c>
      <c r="F67" s="11" t="s">
        <v>241</v>
      </c>
      <c r="G67" s="36">
        <v>-4406000</v>
      </c>
      <c r="H67" s="36">
        <v>125713000</v>
      </c>
      <c r="I67" s="37">
        <f t="shared" si="5"/>
        <v>-3.5048085719058493E-2</v>
      </c>
      <c r="J67" s="36">
        <v>-3687000</v>
      </c>
      <c r="K67" s="36">
        <v>129454000</v>
      </c>
      <c r="L67" s="37">
        <f t="shared" si="3"/>
        <v>-2.8481159330727517E-2</v>
      </c>
      <c r="M67" s="36">
        <v>11248000</v>
      </c>
      <c r="N67" s="36">
        <v>157357000</v>
      </c>
      <c r="O67" s="37">
        <f t="shared" si="4"/>
        <v>7.1480773019312771E-2</v>
      </c>
    </row>
    <row r="68" spans="1:15" x14ac:dyDescent="0.45">
      <c r="A68" s="51">
        <v>27</v>
      </c>
      <c r="B68" s="11" t="s">
        <v>60</v>
      </c>
      <c r="C68" s="11" t="s">
        <v>73</v>
      </c>
      <c r="D68" s="11" t="s">
        <v>260</v>
      </c>
      <c r="E68" s="11" t="s">
        <v>240</v>
      </c>
      <c r="F68" s="11" t="s">
        <v>241</v>
      </c>
      <c r="G68" s="36">
        <v>147000</v>
      </c>
      <c r="H68" s="36">
        <v>302588000</v>
      </c>
      <c r="I68" s="37">
        <f t="shared" ref="I68:I75" si="6">G68/H68</f>
        <v>4.8580908694330246E-4</v>
      </c>
      <c r="J68" s="36">
        <v>3197000</v>
      </c>
      <c r="K68" s="36">
        <v>313466000</v>
      </c>
      <c r="L68" s="37">
        <f t="shared" si="3"/>
        <v>1.0198873243031143E-2</v>
      </c>
      <c r="M68" s="36">
        <v>8427000</v>
      </c>
      <c r="N68" s="36">
        <v>324090000</v>
      </c>
      <c r="O68" s="37">
        <f t="shared" si="4"/>
        <v>2.6002036471350552E-2</v>
      </c>
    </row>
    <row r="69" spans="1:15" x14ac:dyDescent="0.45">
      <c r="A69" s="51">
        <v>119</v>
      </c>
      <c r="B69" s="11" t="s">
        <v>61</v>
      </c>
      <c r="C69" s="11" t="s">
        <v>73</v>
      </c>
      <c r="D69" s="11" t="s">
        <v>246</v>
      </c>
      <c r="E69" s="11" t="s">
        <v>240</v>
      </c>
      <c r="F69" s="11" t="s">
        <v>241</v>
      </c>
      <c r="G69" s="36">
        <v>-216426000</v>
      </c>
      <c r="H69" s="36">
        <v>551170000</v>
      </c>
      <c r="I69" s="37">
        <f t="shared" si="6"/>
        <v>-0.39266650942540415</v>
      </c>
      <c r="J69" s="36">
        <v>-254234000</v>
      </c>
      <c r="K69" s="36">
        <v>567894000</v>
      </c>
      <c r="L69" s="37">
        <f t="shared" si="3"/>
        <v>-0.44767861607976134</v>
      </c>
      <c r="M69" s="36">
        <v>-259829000</v>
      </c>
      <c r="N69" s="36">
        <v>625404000</v>
      </c>
      <c r="O69" s="37">
        <f t="shared" si="4"/>
        <v>-0.4154578480470224</v>
      </c>
    </row>
    <row r="70" spans="1:15" x14ac:dyDescent="0.45">
      <c r="A70" s="51">
        <v>12</v>
      </c>
      <c r="B70" s="11" t="s">
        <v>62</v>
      </c>
      <c r="C70" s="11" t="s">
        <v>73</v>
      </c>
      <c r="D70" s="11" t="s">
        <v>239</v>
      </c>
      <c r="E70" s="11" t="s">
        <v>240</v>
      </c>
      <c r="F70" s="11" t="s">
        <v>241</v>
      </c>
      <c r="G70" s="36">
        <v>168914000</v>
      </c>
      <c r="H70" s="36">
        <v>864312000</v>
      </c>
      <c r="I70" s="37">
        <f t="shared" si="6"/>
        <v>0.1954317422412277</v>
      </c>
      <c r="J70" s="36">
        <v>162849000</v>
      </c>
      <c r="K70" s="36">
        <v>851837000</v>
      </c>
      <c r="L70" s="37">
        <f t="shared" si="3"/>
        <v>0.1911738982927485</v>
      </c>
      <c r="M70" s="36">
        <v>159798000</v>
      </c>
      <c r="N70" s="36">
        <v>892723000</v>
      </c>
      <c r="O70" s="37">
        <f t="shared" si="4"/>
        <v>0.17900065305811544</v>
      </c>
    </row>
    <row r="71" spans="1:15" x14ac:dyDescent="0.45">
      <c r="A71" s="51">
        <v>224</v>
      </c>
      <c r="B71" s="11" t="s">
        <v>63</v>
      </c>
      <c r="C71" s="11" t="s">
        <v>74</v>
      </c>
      <c r="D71" s="11" t="s">
        <v>242</v>
      </c>
      <c r="E71" s="11" t="s">
        <v>237</v>
      </c>
      <c r="F71" s="11" t="s">
        <v>241</v>
      </c>
      <c r="G71" s="36">
        <v>18258000</v>
      </c>
      <c r="H71" s="36">
        <v>157029000</v>
      </c>
      <c r="I71" s="37">
        <f t="shared" si="6"/>
        <v>0.11627151672620981</v>
      </c>
      <c r="J71" s="36">
        <v>6848000</v>
      </c>
      <c r="K71" s="36">
        <v>135496000</v>
      </c>
      <c r="L71" s="37">
        <f t="shared" si="3"/>
        <v>5.0540237350180081E-2</v>
      </c>
      <c r="M71" s="36">
        <v>21064000</v>
      </c>
      <c r="N71" s="36">
        <v>166072000</v>
      </c>
      <c r="O71" s="37">
        <f t="shared" si="4"/>
        <v>0.12683655282046341</v>
      </c>
    </row>
    <row r="72" spans="1:15" x14ac:dyDescent="0.45">
      <c r="A72" s="51">
        <v>221</v>
      </c>
      <c r="B72" s="11" t="s">
        <v>64</v>
      </c>
      <c r="C72" s="11" t="s">
        <v>74</v>
      </c>
      <c r="D72" s="11" t="s">
        <v>243</v>
      </c>
      <c r="E72" s="11" t="s">
        <v>237</v>
      </c>
      <c r="F72" s="11" t="s">
        <v>241</v>
      </c>
      <c r="G72" s="36">
        <v>59369000</v>
      </c>
      <c r="H72" s="36">
        <v>691663000</v>
      </c>
      <c r="I72" s="37">
        <f t="shared" si="6"/>
        <v>8.5835153824911845E-2</v>
      </c>
      <c r="J72" s="36">
        <v>40785000</v>
      </c>
      <c r="K72" s="36">
        <v>647642000</v>
      </c>
      <c r="L72" s="37">
        <f t="shared" si="3"/>
        <v>6.2974606341157618E-2</v>
      </c>
      <c r="M72" s="36">
        <v>90165000</v>
      </c>
      <c r="N72" s="36">
        <v>773277000</v>
      </c>
      <c r="O72" s="37">
        <f t="shared" si="4"/>
        <v>0.1166011662056417</v>
      </c>
    </row>
    <row r="73" spans="1:15" x14ac:dyDescent="0.45">
      <c r="A73" s="51">
        <v>29</v>
      </c>
      <c r="B73" s="11" t="s">
        <v>172</v>
      </c>
      <c r="C73" s="11" t="s">
        <v>74</v>
      </c>
      <c r="D73" s="11" t="s">
        <v>243</v>
      </c>
      <c r="E73" s="11" t="s">
        <v>237</v>
      </c>
      <c r="F73" s="11" t="s">
        <v>241</v>
      </c>
      <c r="G73" s="36">
        <v>599000</v>
      </c>
      <c r="H73" s="36">
        <v>162606000</v>
      </c>
      <c r="I73" s="37">
        <f t="shared" si="6"/>
        <v>3.683750907100599E-3</v>
      </c>
      <c r="J73" s="36">
        <v>27414000</v>
      </c>
      <c r="K73" s="36">
        <v>366931000</v>
      </c>
      <c r="L73" s="37">
        <f t="shared" si="3"/>
        <v>7.4711594277943258E-2</v>
      </c>
      <c r="M73" s="36">
        <v>30279000</v>
      </c>
      <c r="N73" s="36">
        <v>409138000</v>
      </c>
      <c r="O73" s="37">
        <f t="shared" si="4"/>
        <v>7.4006814326706388E-2</v>
      </c>
    </row>
    <row r="74" spans="1:15" x14ac:dyDescent="0.45">
      <c r="A74" s="51">
        <v>61</v>
      </c>
      <c r="B74" s="11" t="s">
        <v>173</v>
      </c>
      <c r="C74" s="11" t="s">
        <v>74</v>
      </c>
      <c r="D74" s="11" t="s">
        <v>242</v>
      </c>
      <c r="E74" s="11" t="s">
        <v>237</v>
      </c>
      <c r="F74" s="11" t="s">
        <v>241</v>
      </c>
      <c r="G74" s="36">
        <v>-1159000</v>
      </c>
      <c r="H74" s="36">
        <v>58528000</v>
      </c>
      <c r="I74" s="37">
        <f t="shared" si="6"/>
        <v>-1.9802487698195734E-2</v>
      </c>
      <c r="J74" s="36">
        <v>1808000</v>
      </c>
      <c r="K74" s="36">
        <v>112687000</v>
      </c>
      <c r="L74" s="37">
        <f t="shared" si="3"/>
        <v>1.6044441683601481E-2</v>
      </c>
      <c r="M74" s="36">
        <v>6468000</v>
      </c>
      <c r="N74" s="36">
        <v>111505000</v>
      </c>
      <c r="O74" s="37">
        <f t="shared" si="4"/>
        <v>5.8006367427469618E-2</v>
      </c>
    </row>
    <row r="75" spans="1:15" x14ac:dyDescent="0.45">
      <c r="A75" s="51">
        <v>57</v>
      </c>
      <c r="B75" s="11" t="s">
        <v>66</v>
      </c>
      <c r="C75" s="11" t="s">
        <v>74</v>
      </c>
      <c r="D75" s="11" t="s">
        <v>242</v>
      </c>
      <c r="E75" s="11" t="s">
        <v>237</v>
      </c>
      <c r="F75" s="11" t="s">
        <v>241</v>
      </c>
      <c r="G75" s="36">
        <v>-5483000</v>
      </c>
      <c r="H75" s="36">
        <v>327027000</v>
      </c>
      <c r="I75" s="37">
        <f t="shared" si="6"/>
        <v>-1.6766199732743778E-2</v>
      </c>
      <c r="J75" s="36">
        <v>18038000</v>
      </c>
      <c r="K75" s="36">
        <v>353445000</v>
      </c>
      <c r="L75" s="37">
        <f t="shared" si="3"/>
        <v>5.1034814469012153E-2</v>
      </c>
      <c r="M75" s="36">
        <v>40277000</v>
      </c>
      <c r="N75" s="36">
        <v>380168000</v>
      </c>
      <c r="O75" s="37">
        <f t="shared" si="4"/>
        <v>0.10594526630331853</v>
      </c>
    </row>
    <row r="76" spans="1:15" ht="14.1" thickBot="1" x14ac:dyDescent="0.5"/>
    <row r="77" spans="1:15" ht="14.4" thickBot="1" x14ac:dyDescent="0.55000000000000004">
      <c r="C77" s="81" t="s">
        <v>132</v>
      </c>
      <c r="G77" s="26">
        <f>SUM(G4:G75)</f>
        <v>1372310000</v>
      </c>
      <c r="H77" s="27">
        <f>SUM(H4:H75)</f>
        <v>26056171000</v>
      </c>
      <c r="I77" s="43"/>
      <c r="J77" s="25">
        <f t="shared" ref="J77:N77" si="7">SUM(J4:J75)</f>
        <v>369654000</v>
      </c>
      <c r="K77" s="27">
        <f t="shared" si="7"/>
        <v>26470100000</v>
      </c>
      <c r="L77" s="43"/>
      <c r="M77" s="25">
        <f t="shared" si="7"/>
        <v>1271773000</v>
      </c>
      <c r="N77" s="27">
        <f t="shared" si="7"/>
        <v>29767925000</v>
      </c>
      <c r="O77" s="5"/>
    </row>
    <row r="79" spans="1:15" ht="14.1" x14ac:dyDescent="0.5">
      <c r="A79" s="69" t="s">
        <v>138</v>
      </c>
      <c r="B79" s="69"/>
      <c r="C79" s="69"/>
      <c r="D79" s="69"/>
      <c r="E79" s="69"/>
      <c r="F79" s="69"/>
      <c r="G79" s="69"/>
      <c r="H79" s="69"/>
      <c r="I79" s="69"/>
      <c r="J79" s="69"/>
      <c r="K79" s="69"/>
      <c r="L79" s="69"/>
      <c r="M79" s="69"/>
      <c r="N79" s="69"/>
      <c r="O79" s="69"/>
    </row>
    <row r="80" spans="1:15" ht="14.1" x14ac:dyDescent="0.5">
      <c r="A80" s="69" t="s">
        <v>171</v>
      </c>
      <c r="B80" s="69"/>
      <c r="C80" s="69"/>
      <c r="D80" s="69"/>
      <c r="E80" s="69"/>
      <c r="F80" s="69"/>
      <c r="G80" s="69"/>
      <c r="H80" s="69"/>
      <c r="I80" s="69"/>
      <c r="J80" s="69"/>
      <c r="K80" s="71"/>
      <c r="L80" s="71"/>
      <c r="M80" s="69"/>
      <c r="N80" s="69"/>
      <c r="O80" s="69"/>
    </row>
    <row r="81" spans="1:21" ht="14.1" x14ac:dyDescent="0.5">
      <c r="A81" s="69" t="s">
        <v>190</v>
      </c>
      <c r="B81" s="69"/>
      <c r="C81" s="69"/>
      <c r="D81" s="69"/>
      <c r="E81" s="69"/>
      <c r="F81" s="69"/>
      <c r="G81" s="69"/>
      <c r="H81" s="69"/>
      <c r="I81" s="69"/>
      <c r="J81" s="69"/>
      <c r="K81" s="71"/>
      <c r="L81" s="71"/>
      <c r="M81" s="69"/>
      <c r="N81" s="69"/>
      <c r="O81" s="69"/>
    </row>
    <row r="82" spans="1:21" ht="44.25" customHeight="1" x14ac:dyDescent="0.45">
      <c r="A82" s="94" t="s">
        <v>198</v>
      </c>
      <c r="B82" s="94"/>
      <c r="C82" s="94"/>
      <c r="D82" s="94"/>
      <c r="E82" s="94"/>
      <c r="F82" s="94"/>
      <c r="G82" s="94"/>
      <c r="H82" s="94"/>
      <c r="I82" s="94"/>
      <c r="J82" s="94"/>
      <c r="K82" s="94"/>
      <c r="L82" s="94"/>
      <c r="M82" s="94"/>
      <c r="N82" s="94"/>
      <c r="O82" s="94"/>
    </row>
    <row r="83" spans="1:21" ht="30" customHeight="1" x14ac:dyDescent="0.45">
      <c r="A83" s="94" t="s">
        <v>189</v>
      </c>
      <c r="B83" s="94"/>
      <c r="C83" s="94"/>
      <c r="D83" s="94"/>
      <c r="E83" s="94"/>
      <c r="F83" s="94"/>
      <c r="G83" s="94"/>
      <c r="H83" s="94"/>
      <c r="I83" s="94"/>
      <c r="J83" s="94"/>
      <c r="K83" s="94"/>
      <c r="L83" s="94"/>
      <c r="M83" s="94"/>
      <c r="N83" s="94"/>
      <c r="O83" s="94"/>
    </row>
    <row r="84" spans="1:21" ht="16.5" customHeight="1" x14ac:dyDescent="0.45">
      <c r="A84" s="94" t="s">
        <v>306</v>
      </c>
      <c r="B84" s="94"/>
      <c r="C84" s="94"/>
      <c r="D84" s="94"/>
      <c r="E84" s="94"/>
      <c r="F84" s="94"/>
      <c r="G84" s="94"/>
      <c r="H84" s="94"/>
      <c r="I84" s="94"/>
      <c r="J84" s="94"/>
      <c r="K84" s="94"/>
      <c r="L84" s="94"/>
      <c r="M84" s="94"/>
      <c r="N84" s="94"/>
      <c r="O84" s="94"/>
    </row>
    <row r="85" spans="1:21" ht="14.1" x14ac:dyDescent="0.45">
      <c r="A85" s="94" t="s">
        <v>303</v>
      </c>
      <c r="B85" s="94"/>
      <c r="C85" s="94"/>
      <c r="D85" s="94"/>
      <c r="E85" s="94"/>
      <c r="F85" s="94"/>
      <c r="G85" s="94"/>
      <c r="H85" s="94"/>
      <c r="I85" s="94"/>
      <c r="J85" s="94"/>
      <c r="K85" s="94"/>
      <c r="L85" s="94"/>
      <c r="M85" s="94"/>
      <c r="N85" s="94"/>
      <c r="O85" s="94"/>
      <c r="P85" s="94"/>
      <c r="Q85" s="94"/>
      <c r="R85" s="94"/>
      <c r="S85" s="94"/>
      <c r="T85" s="94"/>
      <c r="U85" s="94"/>
    </row>
    <row r="86" spans="1:21" ht="14.1" x14ac:dyDescent="0.45">
      <c r="A86" s="90" t="s">
        <v>305</v>
      </c>
      <c r="B86" s="89"/>
      <c r="C86" s="89"/>
      <c r="D86" s="89"/>
      <c r="E86" s="89"/>
      <c r="F86" s="89"/>
      <c r="G86" s="89"/>
      <c r="H86" s="89"/>
      <c r="I86" s="89"/>
      <c r="J86" s="89"/>
      <c r="K86" s="89"/>
      <c r="L86" s="89"/>
      <c r="M86" s="89"/>
      <c r="N86" s="89"/>
      <c r="O86" s="89"/>
      <c r="P86" s="89"/>
      <c r="Q86" s="89"/>
      <c r="R86" s="89"/>
      <c r="S86" s="89"/>
      <c r="T86" s="89"/>
      <c r="U86" s="89"/>
    </row>
    <row r="87" spans="1:21" s="88" customFormat="1" ht="14.1" x14ac:dyDescent="0.55000000000000004"/>
    <row r="88" spans="1:21" ht="17.7" x14ac:dyDescent="0.6">
      <c r="A88" s="95" t="s">
        <v>92</v>
      </c>
      <c r="B88" s="95"/>
      <c r="C88" s="95"/>
      <c r="D88" s="82"/>
      <c r="E88" s="82"/>
      <c r="F88" s="82"/>
      <c r="K88" s="54"/>
      <c r="L88" s="54"/>
    </row>
    <row r="89" spans="1:21" ht="14.1" x14ac:dyDescent="0.5">
      <c r="A89" s="28" t="s">
        <v>93</v>
      </c>
      <c r="B89" s="96" t="s">
        <v>98</v>
      </c>
      <c r="C89" s="96"/>
      <c r="D89" s="73"/>
      <c r="E89" s="73"/>
      <c r="F89" s="73"/>
      <c r="K89" s="54"/>
      <c r="L89" s="54"/>
    </row>
    <row r="90" spans="1:21" ht="14.1" x14ac:dyDescent="0.5">
      <c r="A90" s="28" t="s">
        <v>94</v>
      </c>
      <c r="B90" s="96" t="s">
        <v>89</v>
      </c>
      <c r="C90" s="96"/>
      <c r="D90" s="73"/>
      <c r="E90" s="73"/>
      <c r="F90" s="73"/>
      <c r="K90" s="54"/>
      <c r="L90" s="54"/>
    </row>
    <row r="91" spans="1:21" ht="14.1" x14ac:dyDescent="0.5">
      <c r="A91" s="28" t="s">
        <v>95</v>
      </c>
      <c r="B91" s="96" t="s">
        <v>99</v>
      </c>
      <c r="C91" s="96"/>
      <c r="D91" s="73"/>
      <c r="E91" s="73"/>
      <c r="F91" s="73"/>
      <c r="K91" s="54"/>
      <c r="L91" s="54"/>
    </row>
    <row r="92" spans="1:21" ht="14.1" x14ac:dyDescent="0.5">
      <c r="A92" s="45" t="s">
        <v>96</v>
      </c>
      <c r="B92" s="91" t="s">
        <v>180</v>
      </c>
      <c r="C92" s="91"/>
      <c r="D92" s="74"/>
      <c r="E92" s="74"/>
      <c r="F92" s="74"/>
      <c r="K92" s="54"/>
      <c r="L92" s="54"/>
    </row>
    <row r="93" spans="1:21" ht="14.1" x14ac:dyDescent="0.45">
      <c r="A93" s="45" t="s">
        <v>97</v>
      </c>
      <c r="B93" s="91" t="s">
        <v>227</v>
      </c>
      <c r="C93" s="91"/>
      <c r="D93" s="74"/>
      <c r="E93" s="74"/>
      <c r="F93" s="74"/>
    </row>
    <row r="94" spans="1:21" ht="14.1" x14ac:dyDescent="0.45">
      <c r="A94" s="45" t="s">
        <v>100</v>
      </c>
      <c r="B94" s="97" t="s">
        <v>181</v>
      </c>
      <c r="C94" s="97"/>
      <c r="D94" s="75"/>
      <c r="E94" s="75"/>
      <c r="F94" s="75"/>
    </row>
    <row r="95" spans="1:21" ht="14.1" x14ac:dyDescent="0.45">
      <c r="A95" s="45" t="s">
        <v>101</v>
      </c>
      <c r="B95" s="91" t="s">
        <v>182</v>
      </c>
      <c r="C95" s="91"/>
      <c r="D95" s="74"/>
      <c r="E95" s="74"/>
      <c r="F95" s="74"/>
    </row>
    <row r="96" spans="1:21" ht="14.1" x14ac:dyDescent="0.45">
      <c r="A96" s="45" t="s">
        <v>102</v>
      </c>
      <c r="B96" s="91" t="s">
        <v>228</v>
      </c>
      <c r="C96" s="91"/>
      <c r="D96" s="74"/>
      <c r="E96" s="74"/>
      <c r="F96" s="74"/>
    </row>
    <row r="97" spans="1:6" ht="14.1" x14ac:dyDescent="0.45">
      <c r="A97" s="45" t="s">
        <v>103</v>
      </c>
      <c r="B97" s="97" t="s">
        <v>165</v>
      </c>
      <c r="C97" s="97"/>
      <c r="D97" s="75"/>
      <c r="E97" s="75"/>
      <c r="F97" s="75"/>
    </row>
    <row r="98" spans="1:6" ht="14.1" x14ac:dyDescent="0.45">
      <c r="A98" s="45" t="s">
        <v>104</v>
      </c>
      <c r="B98" s="91" t="s">
        <v>183</v>
      </c>
      <c r="C98" s="91"/>
      <c r="D98" s="74"/>
      <c r="E98" s="74"/>
      <c r="F98" s="74"/>
    </row>
    <row r="99" spans="1:6" ht="14.1" x14ac:dyDescent="0.45">
      <c r="A99" s="45" t="s">
        <v>105</v>
      </c>
      <c r="B99" s="91" t="s">
        <v>229</v>
      </c>
      <c r="C99" s="91"/>
      <c r="D99" s="74"/>
      <c r="E99" s="74"/>
      <c r="F99" s="74"/>
    </row>
    <row r="100" spans="1:6" ht="14.1" x14ac:dyDescent="0.45">
      <c r="A100" s="45" t="s">
        <v>106</v>
      </c>
      <c r="B100" s="97" t="s">
        <v>164</v>
      </c>
      <c r="C100" s="97"/>
      <c r="D100" s="75"/>
      <c r="E100" s="75"/>
      <c r="F100" s="75"/>
    </row>
  </sheetData>
  <sheetProtection algorithmName="SHA-512" hashValue="FBZPzvfDgCAvKXL+EJealaULh2SASXrLYGL0qGGnjTIDHdVsMtm1OgXeJ1hATTC3032u3v7otSdvJOSrVty3WQ==" saltValue="boYZeKXhl6TvT/NejfoyXA==" spinCount="100000" sheet="1" objects="1" scenarios="1" selectLockedCells="1" sort="0" autoFilter="0" selectUnlockedCells="1"/>
  <mergeCells count="18">
    <mergeCell ref="B97:C97"/>
    <mergeCell ref="A88:C88"/>
    <mergeCell ref="B98:C98"/>
    <mergeCell ref="B99:C99"/>
    <mergeCell ref="B100:C100"/>
    <mergeCell ref="B95:C95"/>
    <mergeCell ref="B96:C96"/>
    <mergeCell ref="B94:C94"/>
    <mergeCell ref="B89:C89"/>
    <mergeCell ref="B90:C90"/>
    <mergeCell ref="B91:C91"/>
    <mergeCell ref="B92:C92"/>
    <mergeCell ref="B93:C93"/>
    <mergeCell ref="A82:O82"/>
    <mergeCell ref="A83:O83"/>
    <mergeCell ref="A84:O84"/>
    <mergeCell ref="A85:U85"/>
    <mergeCell ref="A1:O1"/>
  </mergeCells>
  <phoneticPr fontId="11"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B65AC-75CF-4AA6-84F2-6D7142FB45B6}">
  <dimension ref="A1:U95"/>
  <sheetViews>
    <sheetView zoomScale="90" zoomScaleNormal="90" workbookViewId="0">
      <selection sqref="A1:I1"/>
    </sheetView>
  </sheetViews>
  <sheetFormatPr defaultColWidth="9.15625" defaultRowHeight="13.8" x14ac:dyDescent="0.45"/>
  <cols>
    <col min="1" max="1" width="11.41796875" style="2" customWidth="1"/>
    <col min="2" max="2" width="75.83984375" style="2" customWidth="1"/>
    <col min="3" max="3" width="34.578125" style="2" customWidth="1"/>
    <col min="4" max="4" width="13" style="2" customWidth="1"/>
    <col min="5" max="5" width="12.41796875" style="2" customWidth="1"/>
    <col min="6" max="6" width="17.26171875" style="2" customWidth="1"/>
    <col min="7" max="7" width="25" style="2" customWidth="1"/>
    <col min="8" max="8" width="23.83984375" style="2" customWidth="1"/>
    <col min="9" max="9" width="26.578125" style="2" customWidth="1"/>
    <col min="10" max="16384" width="9.15625" style="2"/>
  </cols>
  <sheetData>
    <row r="1" spans="1:9" ht="22.8" thickBot="1" x14ac:dyDescent="0.8">
      <c r="A1" s="92" t="s">
        <v>133</v>
      </c>
      <c r="B1" s="93"/>
      <c r="C1" s="93"/>
      <c r="D1" s="93"/>
      <c r="E1" s="93"/>
      <c r="F1" s="93"/>
      <c r="G1" s="93"/>
      <c r="H1" s="93"/>
      <c r="I1" s="98"/>
    </row>
    <row r="3" spans="1:9" s="3" customFormat="1" ht="24.6" x14ac:dyDescent="0.45">
      <c r="A3" s="7" t="s">
        <v>88</v>
      </c>
      <c r="B3" s="8" t="s">
        <v>89</v>
      </c>
      <c r="C3" s="8" t="s">
        <v>99</v>
      </c>
      <c r="D3" s="8" t="s">
        <v>233</v>
      </c>
      <c r="E3" s="8" t="s">
        <v>234</v>
      </c>
      <c r="F3" s="8" t="s">
        <v>235</v>
      </c>
      <c r="G3" s="8" t="s">
        <v>135</v>
      </c>
      <c r="H3" s="8" t="s">
        <v>136</v>
      </c>
      <c r="I3" s="9" t="s">
        <v>137</v>
      </c>
    </row>
    <row r="4" spans="1:9" x14ac:dyDescent="0.45">
      <c r="A4" s="10">
        <v>642</v>
      </c>
      <c r="B4" s="11" t="s">
        <v>0</v>
      </c>
      <c r="C4" s="11" t="s">
        <v>68</v>
      </c>
      <c r="D4" s="11" t="s">
        <v>236</v>
      </c>
      <c r="E4" s="11" t="s">
        <v>237</v>
      </c>
      <c r="F4" s="11" t="s">
        <v>238</v>
      </c>
      <c r="G4" s="12">
        <v>6804000</v>
      </c>
      <c r="H4" s="12">
        <v>60939000</v>
      </c>
      <c r="I4" s="13">
        <v>14068000</v>
      </c>
    </row>
    <row r="5" spans="1:9" x14ac:dyDescent="0.45">
      <c r="A5" s="10">
        <v>641</v>
      </c>
      <c r="B5" s="11" t="s">
        <v>1</v>
      </c>
      <c r="C5" s="11" t="s">
        <v>68</v>
      </c>
      <c r="D5" s="11" t="s">
        <v>236</v>
      </c>
      <c r="E5" s="11" t="s">
        <v>237</v>
      </c>
      <c r="F5" s="11" t="s">
        <v>238</v>
      </c>
      <c r="G5" s="12">
        <v>10642000</v>
      </c>
      <c r="H5" s="12">
        <v>95315000</v>
      </c>
      <c r="I5" s="13">
        <v>22003000</v>
      </c>
    </row>
    <row r="6" spans="1:9" x14ac:dyDescent="0.45">
      <c r="A6" s="10">
        <v>25</v>
      </c>
      <c r="B6" s="11" t="s">
        <v>2</v>
      </c>
      <c r="C6" s="11" t="s">
        <v>71</v>
      </c>
      <c r="D6" s="11" t="s">
        <v>248</v>
      </c>
      <c r="E6" s="11" t="s">
        <v>240</v>
      </c>
      <c r="F6" s="11" t="s">
        <v>241</v>
      </c>
      <c r="G6" s="12">
        <v>17449000</v>
      </c>
      <c r="H6" s="12">
        <v>65667000</v>
      </c>
      <c r="I6" s="13">
        <v>32391000</v>
      </c>
    </row>
    <row r="7" spans="1:9" x14ac:dyDescent="0.45">
      <c r="A7" s="10">
        <v>112</v>
      </c>
      <c r="B7" s="11" t="s">
        <v>3</v>
      </c>
      <c r="C7" s="11" t="s">
        <v>72</v>
      </c>
      <c r="D7" s="11" t="s">
        <v>253</v>
      </c>
      <c r="E7" s="11" t="s">
        <v>251</v>
      </c>
      <c r="F7" s="11" t="s">
        <v>241</v>
      </c>
      <c r="G7" s="12">
        <v>12000</v>
      </c>
      <c r="H7" s="12">
        <v>10000</v>
      </c>
      <c r="I7" s="13">
        <v>12000</v>
      </c>
    </row>
    <row r="8" spans="1:9" x14ac:dyDescent="0.45">
      <c r="A8" s="10">
        <v>11</v>
      </c>
      <c r="B8" s="11" t="s">
        <v>4</v>
      </c>
      <c r="C8" s="11" t="s">
        <v>73</v>
      </c>
      <c r="D8" s="11" t="s">
        <v>244</v>
      </c>
      <c r="E8" s="11" t="s">
        <v>237</v>
      </c>
      <c r="F8" s="11" t="s">
        <v>238</v>
      </c>
      <c r="G8" s="12">
        <v>2116000</v>
      </c>
      <c r="H8" s="12">
        <v>7679000</v>
      </c>
      <c r="I8" s="13">
        <v>3981000</v>
      </c>
    </row>
    <row r="9" spans="1:9" x14ac:dyDescent="0.45">
      <c r="A9" s="10">
        <v>92</v>
      </c>
      <c r="B9" s="11" t="s">
        <v>5</v>
      </c>
      <c r="C9" s="11" t="s">
        <v>70</v>
      </c>
      <c r="D9" s="11" t="s">
        <v>250</v>
      </c>
      <c r="E9" s="11" t="s">
        <v>251</v>
      </c>
      <c r="F9" s="11" t="s">
        <v>241</v>
      </c>
      <c r="G9" s="12">
        <v>2000</v>
      </c>
      <c r="H9" s="12">
        <v>2000</v>
      </c>
      <c r="I9" s="13">
        <v>2000</v>
      </c>
    </row>
    <row r="10" spans="1:9" x14ac:dyDescent="0.45">
      <c r="A10" s="10">
        <v>44</v>
      </c>
      <c r="B10" s="11" t="s">
        <v>6</v>
      </c>
      <c r="C10" s="11" t="s">
        <v>70</v>
      </c>
      <c r="D10" s="11" t="s">
        <v>250</v>
      </c>
      <c r="E10" s="11" t="s">
        <v>251</v>
      </c>
      <c r="F10" s="11" t="s">
        <v>241</v>
      </c>
      <c r="G10" s="12">
        <v>82404000</v>
      </c>
      <c r="H10" s="12">
        <v>154967000</v>
      </c>
      <c r="I10" s="13">
        <v>117675000</v>
      </c>
    </row>
    <row r="11" spans="1:9" x14ac:dyDescent="0.45">
      <c r="A11" s="10">
        <v>111</v>
      </c>
      <c r="B11" s="11" t="s">
        <v>7</v>
      </c>
      <c r="C11" s="11" t="s">
        <v>73</v>
      </c>
      <c r="D11" s="11" t="s">
        <v>253</v>
      </c>
      <c r="E11" s="11" t="s">
        <v>251</v>
      </c>
      <c r="F11" s="11" t="s">
        <v>241</v>
      </c>
      <c r="G11" s="12">
        <v>138924000</v>
      </c>
      <c r="H11" s="12">
        <v>205463000</v>
      </c>
      <c r="I11" s="13">
        <v>173420000</v>
      </c>
    </row>
    <row r="12" spans="1:9" x14ac:dyDescent="0.45">
      <c r="A12" s="10">
        <v>17</v>
      </c>
      <c r="B12" s="11" t="s">
        <v>8</v>
      </c>
      <c r="C12" s="11" t="s">
        <v>67</v>
      </c>
      <c r="D12" s="11" t="s">
        <v>254</v>
      </c>
      <c r="E12" s="11" t="s">
        <v>240</v>
      </c>
      <c r="F12" s="11" t="s">
        <v>241</v>
      </c>
      <c r="G12" s="12">
        <v>0</v>
      </c>
      <c r="H12" s="12">
        <v>0</v>
      </c>
      <c r="I12" s="13">
        <v>6407000</v>
      </c>
    </row>
    <row r="13" spans="1:9" x14ac:dyDescent="0.45">
      <c r="A13" s="10">
        <v>16</v>
      </c>
      <c r="B13" s="11" t="s">
        <v>9</v>
      </c>
      <c r="C13" s="11" t="s">
        <v>71</v>
      </c>
      <c r="D13" s="11" t="s">
        <v>248</v>
      </c>
      <c r="E13" s="11" t="s">
        <v>240</v>
      </c>
      <c r="F13" s="11" t="s">
        <v>241</v>
      </c>
      <c r="G13" s="12">
        <v>8102000</v>
      </c>
      <c r="H13" s="12">
        <v>68819000</v>
      </c>
      <c r="I13" s="13">
        <v>26482000</v>
      </c>
    </row>
    <row r="14" spans="1:9" x14ac:dyDescent="0.45">
      <c r="A14" s="10">
        <v>9</v>
      </c>
      <c r="B14" s="11" t="s">
        <v>10</v>
      </c>
      <c r="C14" s="11" t="s">
        <v>69</v>
      </c>
      <c r="D14" s="11" t="s">
        <v>246</v>
      </c>
      <c r="E14" s="11" t="s">
        <v>240</v>
      </c>
      <c r="F14" s="11" t="s">
        <v>241</v>
      </c>
      <c r="G14" s="12">
        <v>7000</v>
      </c>
      <c r="H14" s="12">
        <v>6000</v>
      </c>
      <c r="I14" s="13">
        <v>6000</v>
      </c>
    </row>
    <row r="15" spans="1:9" x14ac:dyDescent="0.45">
      <c r="A15" s="10">
        <v>41</v>
      </c>
      <c r="B15" s="11" t="s">
        <v>11</v>
      </c>
      <c r="C15" s="11" t="s">
        <v>69</v>
      </c>
      <c r="D15" s="11" t="s">
        <v>255</v>
      </c>
      <c r="E15" s="11" t="s">
        <v>251</v>
      </c>
      <c r="F15" s="11" t="s">
        <v>241</v>
      </c>
      <c r="G15" s="12">
        <v>9000</v>
      </c>
      <c r="H15" s="12">
        <v>10000</v>
      </c>
      <c r="I15" s="13">
        <v>10000</v>
      </c>
    </row>
    <row r="16" spans="1:9" x14ac:dyDescent="0.45">
      <c r="A16" s="10">
        <v>14</v>
      </c>
      <c r="B16" s="11" t="s">
        <v>12</v>
      </c>
      <c r="C16" s="11" t="s">
        <v>73</v>
      </c>
      <c r="D16" s="11" t="s">
        <v>243</v>
      </c>
      <c r="E16" s="11" t="s">
        <v>237</v>
      </c>
      <c r="F16" s="11" t="s">
        <v>241</v>
      </c>
      <c r="G16" s="12">
        <v>585271000</v>
      </c>
      <c r="H16" s="12">
        <v>556462000</v>
      </c>
      <c r="I16" s="13">
        <v>647175000</v>
      </c>
    </row>
    <row r="17" spans="1:9" x14ac:dyDescent="0.45">
      <c r="A17" s="10">
        <v>76</v>
      </c>
      <c r="B17" s="11" t="s">
        <v>308</v>
      </c>
      <c r="C17" s="11" t="s">
        <v>69</v>
      </c>
      <c r="D17" s="11" t="s">
        <v>246</v>
      </c>
      <c r="E17" s="11" t="s">
        <v>240</v>
      </c>
      <c r="F17" s="11" t="s">
        <v>241</v>
      </c>
      <c r="G17" s="12">
        <v>74000</v>
      </c>
      <c r="H17" s="12">
        <v>78000</v>
      </c>
      <c r="I17" s="13">
        <v>63000</v>
      </c>
    </row>
    <row r="18" spans="1:9" x14ac:dyDescent="0.45">
      <c r="A18" s="10">
        <v>31</v>
      </c>
      <c r="B18" s="11" t="s">
        <v>13</v>
      </c>
      <c r="C18" s="11" t="s">
        <v>73</v>
      </c>
      <c r="D18" s="11" t="s">
        <v>242</v>
      </c>
      <c r="E18" s="11" t="s">
        <v>237</v>
      </c>
      <c r="F18" s="11" t="s">
        <v>241</v>
      </c>
      <c r="G18" s="12">
        <v>14306000</v>
      </c>
      <c r="H18" s="12">
        <v>41809000</v>
      </c>
      <c r="I18" s="13">
        <v>32168000</v>
      </c>
    </row>
    <row r="19" spans="1:9" x14ac:dyDescent="0.45">
      <c r="A19" s="10">
        <v>83</v>
      </c>
      <c r="B19" s="11" t="s">
        <v>307</v>
      </c>
      <c r="C19" s="11" t="s">
        <v>73</v>
      </c>
      <c r="D19" s="11" t="s">
        <v>246</v>
      </c>
      <c r="E19" s="11" t="s">
        <v>240</v>
      </c>
      <c r="F19" s="11" t="s">
        <v>241</v>
      </c>
      <c r="G19" s="12">
        <v>706000</v>
      </c>
      <c r="H19" s="12">
        <v>171000</v>
      </c>
      <c r="I19" s="13">
        <v>100000</v>
      </c>
    </row>
    <row r="20" spans="1:9" x14ac:dyDescent="0.45">
      <c r="A20" s="10">
        <v>45</v>
      </c>
      <c r="B20" s="11" t="s">
        <v>14</v>
      </c>
      <c r="C20" s="11" t="s">
        <v>73</v>
      </c>
      <c r="D20" s="11" t="s">
        <v>239</v>
      </c>
      <c r="E20" s="11" t="s">
        <v>240</v>
      </c>
      <c r="F20" s="11" t="s">
        <v>241</v>
      </c>
      <c r="G20" s="12">
        <v>74513000</v>
      </c>
      <c r="H20" s="12">
        <v>236379000</v>
      </c>
      <c r="I20" s="13">
        <v>175962000</v>
      </c>
    </row>
    <row r="21" spans="1:9" x14ac:dyDescent="0.45">
      <c r="A21" s="10">
        <v>3</v>
      </c>
      <c r="B21" s="11" t="s">
        <v>15</v>
      </c>
      <c r="C21" s="11" t="s">
        <v>72</v>
      </c>
      <c r="D21" s="11" t="s">
        <v>248</v>
      </c>
      <c r="E21" s="11" t="s">
        <v>240</v>
      </c>
      <c r="F21" s="11" t="s">
        <v>241</v>
      </c>
      <c r="G21" s="12">
        <v>0</v>
      </c>
      <c r="H21" s="12">
        <v>0</v>
      </c>
      <c r="I21" s="13">
        <v>0</v>
      </c>
    </row>
    <row r="22" spans="1:9" x14ac:dyDescent="0.45">
      <c r="A22" s="10">
        <v>37</v>
      </c>
      <c r="B22" s="11" t="s">
        <v>16</v>
      </c>
      <c r="C22" s="11" t="s">
        <v>72</v>
      </c>
      <c r="D22" s="11" t="s">
        <v>239</v>
      </c>
      <c r="E22" s="11" t="s">
        <v>240</v>
      </c>
      <c r="F22" s="11" t="s">
        <v>241</v>
      </c>
      <c r="G22" s="12">
        <v>906000</v>
      </c>
      <c r="H22" s="12">
        <v>0</v>
      </c>
      <c r="I22" s="13">
        <v>0</v>
      </c>
    </row>
    <row r="23" spans="1:9" x14ac:dyDescent="0.45">
      <c r="A23" s="10">
        <v>54</v>
      </c>
      <c r="B23" s="11" t="s">
        <v>17</v>
      </c>
      <c r="C23" s="11" t="s">
        <v>72</v>
      </c>
      <c r="D23" s="11" t="s">
        <v>246</v>
      </c>
      <c r="E23" s="11" t="s">
        <v>240</v>
      </c>
      <c r="F23" s="11" t="s">
        <v>241</v>
      </c>
      <c r="G23" s="12">
        <v>0</v>
      </c>
      <c r="H23" s="12">
        <v>0</v>
      </c>
      <c r="I23" s="13">
        <v>0</v>
      </c>
    </row>
    <row r="24" spans="1:9" x14ac:dyDescent="0.45">
      <c r="A24" s="10">
        <v>1</v>
      </c>
      <c r="B24" s="11" t="s">
        <v>18</v>
      </c>
      <c r="C24" s="11" t="s">
        <v>72</v>
      </c>
      <c r="D24" s="11" t="s">
        <v>239</v>
      </c>
      <c r="E24" s="11" t="s">
        <v>240</v>
      </c>
      <c r="F24" s="11" t="s">
        <v>241</v>
      </c>
      <c r="G24" s="12">
        <v>613000</v>
      </c>
      <c r="H24" s="12">
        <v>462000</v>
      </c>
      <c r="I24" s="13">
        <v>555000</v>
      </c>
    </row>
    <row r="25" spans="1:9" x14ac:dyDescent="0.45">
      <c r="A25" s="10">
        <v>115</v>
      </c>
      <c r="B25" s="11" t="s">
        <v>19</v>
      </c>
      <c r="C25" s="11" t="s">
        <v>67</v>
      </c>
      <c r="D25" s="11" t="s">
        <v>261</v>
      </c>
      <c r="E25" s="11" t="s">
        <v>240</v>
      </c>
      <c r="F25" s="11" t="s">
        <v>238</v>
      </c>
      <c r="G25" s="12">
        <v>0</v>
      </c>
      <c r="H25" s="12">
        <v>0</v>
      </c>
      <c r="I25" s="13">
        <v>656000</v>
      </c>
    </row>
    <row r="26" spans="1:9" x14ac:dyDescent="0.45">
      <c r="A26" s="10">
        <v>40</v>
      </c>
      <c r="B26" s="11" t="s">
        <v>20</v>
      </c>
      <c r="C26" s="11" t="s">
        <v>71</v>
      </c>
      <c r="D26" s="11" t="s">
        <v>248</v>
      </c>
      <c r="E26" s="11" t="s">
        <v>240</v>
      </c>
      <c r="F26" s="11" t="s">
        <v>241</v>
      </c>
      <c r="G26" s="12">
        <v>22909000</v>
      </c>
      <c r="H26" s="12">
        <v>63548000</v>
      </c>
      <c r="I26" s="13">
        <v>53941000</v>
      </c>
    </row>
    <row r="27" spans="1:9" x14ac:dyDescent="0.45">
      <c r="A27" s="10">
        <v>8</v>
      </c>
      <c r="B27" s="11" t="s">
        <v>21</v>
      </c>
      <c r="C27" s="11" t="s">
        <v>73</v>
      </c>
      <c r="D27" s="11" t="s">
        <v>239</v>
      </c>
      <c r="E27" s="11" t="s">
        <v>240</v>
      </c>
      <c r="F27" s="11" t="s">
        <v>241</v>
      </c>
      <c r="G27" s="12">
        <v>113987000</v>
      </c>
      <c r="H27" s="12">
        <v>199659000</v>
      </c>
      <c r="I27" s="13">
        <v>166987000</v>
      </c>
    </row>
    <row r="28" spans="1:9" x14ac:dyDescent="0.45">
      <c r="A28" s="10">
        <v>118</v>
      </c>
      <c r="B28" s="11" t="s">
        <v>22</v>
      </c>
      <c r="C28" s="11" t="s">
        <v>73</v>
      </c>
      <c r="D28" s="11" t="s">
        <v>248</v>
      </c>
      <c r="E28" s="11" t="s">
        <v>240</v>
      </c>
      <c r="F28" s="11" t="s">
        <v>241</v>
      </c>
      <c r="G28" s="12">
        <v>793000</v>
      </c>
      <c r="H28" s="12">
        <v>4258000</v>
      </c>
      <c r="I28" s="13">
        <v>4018000</v>
      </c>
    </row>
    <row r="29" spans="1:9" x14ac:dyDescent="0.45">
      <c r="A29" s="10">
        <v>5</v>
      </c>
      <c r="B29" s="11" t="s">
        <v>23</v>
      </c>
      <c r="C29" s="11" t="s">
        <v>73</v>
      </c>
      <c r="D29" s="11" t="s">
        <v>249</v>
      </c>
      <c r="E29" s="11" t="s">
        <v>240</v>
      </c>
      <c r="F29" s="11" t="s">
        <v>238</v>
      </c>
      <c r="G29" s="12">
        <v>82731000</v>
      </c>
      <c r="H29" s="12">
        <v>150807000</v>
      </c>
      <c r="I29" s="13">
        <v>39800000</v>
      </c>
    </row>
    <row r="30" spans="1:9" x14ac:dyDescent="0.45">
      <c r="A30" s="10">
        <v>69</v>
      </c>
      <c r="B30" s="11" t="s">
        <v>24</v>
      </c>
      <c r="C30" s="11" t="s">
        <v>80</v>
      </c>
      <c r="D30" s="11" t="s">
        <v>257</v>
      </c>
      <c r="E30" s="11" t="s">
        <v>237</v>
      </c>
      <c r="F30" s="11" t="s">
        <v>238</v>
      </c>
      <c r="G30" s="12">
        <v>0</v>
      </c>
      <c r="H30" s="12">
        <v>0</v>
      </c>
      <c r="I30" s="13">
        <v>0</v>
      </c>
    </row>
    <row r="31" spans="1:9" x14ac:dyDescent="0.45">
      <c r="A31" s="10">
        <v>1069</v>
      </c>
      <c r="B31" s="11" t="s">
        <v>178</v>
      </c>
      <c r="C31" s="11" t="s">
        <v>80</v>
      </c>
      <c r="D31" s="11" t="s">
        <v>247</v>
      </c>
      <c r="E31" s="11" t="s">
        <v>237</v>
      </c>
      <c r="F31" s="11" t="s">
        <v>241</v>
      </c>
      <c r="G31" s="12">
        <v>0</v>
      </c>
      <c r="H31" s="12">
        <v>0</v>
      </c>
      <c r="I31" s="13">
        <v>0</v>
      </c>
    </row>
    <row r="32" spans="1:9" s="6" customFormat="1" x14ac:dyDescent="0.45">
      <c r="A32" s="10">
        <v>324</v>
      </c>
      <c r="B32" s="11" t="s">
        <v>25</v>
      </c>
      <c r="C32" s="11" t="s">
        <v>80</v>
      </c>
      <c r="D32" s="11" t="s">
        <v>245</v>
      </c>
      <c r="E32" s="11" t="s">
        <v>237</v>
      </c>
      <c r="F32" s="11" t="s">
        <v>238</v>
      </c>
      <c r="G32" s="12">
        <v>74973000</v>
      </c>
      <c r="H32" s="12">
        <v>154165000</v>
      </c>
      <c r="I32" s="13">
        <v>112727000</v>
      </c>
    </row>
    <row r="33" spans="1:9" x14ac:dyDescent="0.45">
      <c r="A33" s="14">
        <v>81</v>
      </c>
      <c r="B33" s="15" t="s">
        <v>131</v>
      </c>
      <c r="C33" s="15" t="s">
        <v>80</v>
      </c>
      <c r="D33" s="15" t="s">
        <v>247</v>
      </c>
      <c r="E33" s="15" t="s">
        <v>237</v>
      </c>
      <c r="F33" s="15" t="s">
        <v>241</v>
      </c>
      <c r="G33" s="16">
        <v>0</v>
      </c>
      <c r="H33" s="16">
        <v>0</v>
      </c>
      <c r="I33" s="17">
        <v>0</v>
      </c>
    </row>
    <row r="34" spans="1:9" x14ac:dyDescent="0.45">
      <c r="A34" s="10">
        <v>862</v>
      </c>
      <c r="B34" s="11" t="s">
        <v>26</v>
      </c>
      <c r="C34" s="11" t="s">
        <v>79</v>
      </c>
      <c r="D34" s="11" t="s">
        <v>243</v>
      </c>
      <c r="E34" s="11" t="s">
        <v>237</v>
      </c>
      <c r="F34" s="11" t="s">
        <v>241</v>
      </c>
      <c r="G34" s="12">
        <v>35023000</v>
      </c>
      <c r="H34" s="12">
        <v>60341000</v>
      </c>
      <c r="I34" s="13">
        <v>95022000</v>
      </c>
    </row>
    <row r="35" spans="1:9" x14ac:dyDescent="0.45">
      <c r="A35" s="10">
        <v>863</v>
      </c>
      <c r="B35" s="11" t="s">
        <v>27</v>
      </c>
      <c r="C35" s="11" t="s">
        <v>79</v>
      </c>
      <c r="D35" s="11" t="s">
        <v>243</v>
      </c>
      <c r="E35" s="11" t="s">
        <v>237</v>
      </c>
      <c r="F35" s="11" t="s">
        <v>241</v>
      </c>
      <c r="G35" s="12">
        <v>68577000</v>
      </c>
      <c r="H35" s="12">
        <v>59226000</v>
      </c>
      <c r="I35" s="13">
        <v>71598000</v>
      </c>
    </row>
    <row r="36" spans="1:9" x14ac:dyDescent="0.45">
      <c r="A36" s="10">
        <v>861</v>
      </c>
      <c r="B36" s="11" t="s">
        <v>28</v>
      </c>
      <c r="C36" s="11" t="s">
        <v>79</v>
      </c>
      <c r="D36" s="11" t="s">
        <v>247</v>
      </c>
      <c r="E36" s="11" t="s">
        <v>237</v>
      </c>
      <c r="F36" s="11" t="s">
        <v>241</v>
      </c>
      <c r="G36" s="12">
        <v>156249000</v>
      </c>
      <c r="H36" s="12">
        <v>133135000</v>
      </c>
      <c r="I36" s="13">
        <v>183582000</v>
      </c>
    </row>
    <row r="37" spans="1:9" x14ac:dyDescent="0.45">
      <c r="A37" s="10">
        <v>74</v>
      </c>
      <c r="B37" s="11" t="s">
        <v>29</v>
      </c>
      <c r="C37" s="11" t="s">
        <v>69</v>
      </c>
      <c r="D37" s="11" t="s">
        <v>248</v>
      </c>
      <c r="E37" s="11" t="s">
        <v>240</v>
      </c>
      <c r="F37" s="11" t="s">
        <v>241</v>
      </c>
      <c r="G37" s="12">
        <v>16000</v>
      </c>
      <c r="H37" s="12">
        <v>16000</v>
      </c>
      <c r="I37" s="13">
        <v>16000</v>
      </c>
    </row>
    <row r="38" spans="1:9" x14ac:dyDescent="0.45">
      <c r="A38" s="10">
        <v>73</v>
      </c>
      <c r="B38" s="11" t="s">
        <v>30</v>
      </c>
      <c r="C38" s="11" t="s">
        <v>72</v>
      </c>
      <c r="D38" s="11" t="s">
        <v>253</v>
      </c>
      <c r="E38" s="11" t="s">
        <v>251</v>
      </c>
      <c r="F38" s="11" t="s">
        <v>241</v>
      </c>
      <c r="G38" s="12">
        <v>12000</v>
      </c>
      <c r="H38" s="12">
        <v>12000</v>
      </c>
      <c r="I38" s="13">
        <v>11000000</v>
      </c>
    </row>
    <row r="39" spans="1:9" x14ac:dyDescent="0.45">
      <c r="A39" s="10">
        <v>108</v>
      </c>
      <c r="B39" s="11" t="s">
        <v>31</v>
      </c>
      <c r="C39" s="11" t="s">
        <v>72</v>
      </c>
      <c r="D39" s="11" t="s">
        <v>252</v>
      </c>
      <c r="E39" s="11" t="s">
        <v>251</v>
      </c>
      <c r="F39" s="11" t="s">
        <v>241</v>
      </c>
      <c r="G39" s="12">
        <v>12000</v>
      </c>
      <c r="H39" s="12">
        <v>1635000</v>
      </c>
      <c r="I39" s="13">
        <v>198000</v>
      </c>
    </row>
    <row r="40" spans="1:9" x14ac:dyDescent="0.45">
      <c r="A40" s="10">
        <v>75</v>
      </c>
      <c r="B40" s="11" t="s">
        <v>32</v>
      </c>
      <c r="C40" s="11" t="s">
        <v>69</v>
      </c>
      <c r="D40" s="11" t="s">
        <v>253</v>
      </c>
      <c r="E40" s="11" t="s">
        <v>251</v>
      </c>
      <c r="F40" s="11" t="s">
        <v>241</v>
      </c>
      <c r="G40" s="12">
        <v>99000</v>
      </c>
      <c r="H40" s="12">
        <v>13000</v>
      </c>
      <c r="I40" s="13">
        <v>9000</v>
      </c>
    </row>
    <row r="41" spans="1:9" x14ac:dyDescent="0.45">
      <c r="A41" s="10">
        <v>84</v>
      </c>
      <c r="B41" s="11" t="s">
        <v>33</v>
      </c>
      <c r="C41" s="11" t="s">
        <v>69</v>
      </c>
      <c r="D41" s="11" t="s">
        <v>255</v>
      </c>
      <c r="E41" s="11" t="s">
        <v>251</v>
      </c>
      <c r="F41" s="11" t="s">
        <v>241</v>
      </c>
      <c r="G41" s="12">
        <v>3000</v>
      </c>
      <c r="H41" s="12">
        <v>12000</v>
      </c>
      <c r="I41" s="13">
        <v>2000</v>
      </c>
    </row>
    <row r="42" spans="1:9" x14ac:dyDescent="0.45">
      <c r="A42" s="10">
        <v>15</v>
      </c>
      <c r="B42" s="11" t="s">
        <v>34</v>
      </c>
      <c r="C42" s="11" t="s">
        <v>67</v>
      </c>
      <c r="D42" s="11" t="s">
        <v>254</v>
      </c>
      <c r="E42" s="11" t="s">
        <v>240</v>
      </c>
      <c r="F42" s="11" t="s">
        <v>241</v>
      </c>
      <c r="G42" s="12">
        <v>400402000</v>
      </c>
      <c r="H42" s="12">
        <v>1003134000</v>
      </c>
      <c r="I42" s="13">
        <v>854602000</v>
      </c>
    </row>
    <row r="43" spans="1:9" x14ac:dyDescent="0.45">
      <c r="A43" s="10">
        <v>58</v>
      </c>
      <c r="B43" s="11" t="s">
        <v>35</v>
      </c>
      <c r="C43" s="11" t="s">
        <v>73</v>
      </c>
      <c r="D43" s="11" t="s">
        <v>239</v>
      </c>
      <c r="E43" s="11" t="s">
        <v>240</v>
      </c>
      <c r="F43" s="11" t="s">
        <v>241</v>
      </c>
      <c r="G43" s="12">
        <v>1487000</v>
      </c>
      <c r="H43" s="12">
        <v>26152000</v>
      </c>
      <c r="I43" s="13">
        <v>37980000</v>
      </c>
    </row>
    <row r="44" spans="1:9" x14ac:dyDescent="0.45">
      <c r="A44" s="10">
        <v>2</v>
      </c>
      <c r="B44" s="11" t="s">
        <v>36</v>
      </c>
      <c r="C44" s="11" t="s">
        <v>69</v>
      </c>
      <c r="D44" s="11" t="s">
        <v>246</v>
      </c>
      <c r="E44" s="11" t="s">
        <v>240</v>
      </c>
      <c r="F44" s="11" t="s">
        <v>241</v>
      </c>
      <c r="G44" s="12">
        <v>716000</v>
      </c>
      <c r="H44" s="12">
        <v>404000</v>
      </c>
      <c r="I44" s="13">
        <v>138000</v>
      </c>
    </row>
    <row r="45" spans="1:9" x14ac:dyDescent="0.45">
      <c r="A45" s="10">
        <v>28</v>
      </c>
      <c r="B45" s="11" t="s">
        <v>37</v>
      </c>
      <c r="C45" s="11" t="s">
        <v>67</v>
      </c>
      <c r="D45" s="11" t="s">
        <v>259</v>
      </c>
      <c r="E45" s="11" t="s">
        <v>240</v>
      </c>
      <c r="F45" s="11" t="s">
        <v>238</v>
      </c>
      <c r="G45" s="12">
        <v>0</v>
      </c>
      <c r="H45" s="12">
        <v>0</v>
      </c>
      <c r="I45" s="13">
        <v>3073000</v>
      </c>
    </row>
    <row r="46" spans="1:9" x14ac:dyDescent="0.45">
      <c r="A46" s="10">
        <v>52</v>
      </c>
      <c r="B46" s="11" t="s">
        <v>38</v>
      </c>
      <c r="C46" s="11" t="s">
        <v>72</v>
      </c>
      <c r="D46" s="11" t="s">
        <v>255</v>
      </c>
      <c r="E46" s="11" t="s">
        <v>251</v>
      </c>
      <c r="F46" s="11" t="s">
        <v>241</v>
      </c>
      <c r="G46" s="12">
        <v>4000</v>
      </c>
      <c r="H46" s="12">
        <v>5000</v>
      </c>
      <c r="I46" s="13">
        <v>3000</v>
      </c>
    </row>
    <row r="47" spans="1:9" x14ac:dyDescent="0.45">
      <c r="A47" s="10">
        <v>51</v>
      </c>
      <c r="B47" s="11" t="s">
        <v>39</v>
      </c>
      <c r="C47" s="11" t="s">
        <v>67</v>
      </c>
      <c r="D47" s="11" t="s">
        <v>260</v>
      </c>
      <c r="E47" s="11" t="s">
        <v>240</v>
      </c>
      <c r="F47" s="11" t="s">
        <v>241</v>
      </c>
      <c r="G47" s="12">
        <v>0</v>
      </c>
      <c r="H47" s="12">
        <v>0</v>
      </c>
      <c r="I47" s="13">
        <v>4152000</v>
      </c>
    </row>
    <row r="48" spans="1:9" x14ac:dyDescent="0.45">
      <c r="A48" s="10">
        <v>10</v>
      </c>
      <c r="B48" s="11" t="s">
        <v>40</v>
      </c>
      <c r="C48" s="11" t="s">
        <v>78</v>
      </c>
      <c r="D48" s="11" t="s">
        <v>252</v>
      </c>
      <c r="E48" s="11" t="s">
        <v>251</v>
      </c>
      <c r="F48" s="11" t="s">
        <v>241</v>
      </c>
      <c r="G48" s="12">
        <v>193206000</v>
      </c>
      <c r="H48" s="12">
        <v>261304000</v>
      </c>
      <c r="I48" s="13">
        <v>319206000</v>
      </c>
    </row>
    <row r="49" spans="1:9" x14ac:dyDescent="0.45">
      <c r="A49" s="10">
        <v>392</v>
      </c>
      <c r="B49" s="11" t="s">
        <v>41</v>
      </c>
      <c r="C49" s="11" t="s">
        <v>72</v>
      </c>
      <c r="D49" s="11" t="s">
        <v>252</v>
      </c>
      <c r="E49" s="11" t="s">
        <v>251</v>
      </c>
      <c r="F49" s="11" t="s">
        <v>241</v>
      </c>
      <c r="G49" s="12">
        <v>0</v>
      </c>
      <c r="H49" s="12">
        <v>0</v>
      </c>
      <c r="I49" s="13">
        <v>0</v>
      </c>
    </row>
    <row r="50" spans="1:9" x14ac:dyDescent="0.45">
      <c r="A50" s="10">
        <v>391</v>
      </c>
      <c r="B50" s="11" t="s">
        <v>42</v>
      </c>
      <c r="C50" s="11" t="s">
        <v>72</v>
      </c>
      <c r="D50" s="11" t="s">
        <v>252</v>
      </c>
      <c r="E50" s="11" t="s">
        <v>251</v>
      </c>
      <c r="F50" s="11" t="s">
        <v>241</v>
      </c>
      <c r="G50" s="12">
        <v>-184000</v>
      </c>
      <c r="H50" s="12">
        <v>4000</v>
      </c>
      <c r="I50" s="13">
        <v>4000</v>
      </c>
    </row>
    <row r="51" spans="1:9" x14ac:dyDescent="0.45">
      <c r="A51" s="10">
        <v>34</v>
      </c>
      <c r="B51" s="11" t="s">
        <v>43</v>
      </c>
      <c r="C51" s="11" t="s">
        <v>72</v>
      </c>
      <c r="D51" s="11" t="s">
        <v>253</v>
      </c>
      <c r="E51" s="11" t="s">
        <v>251</v>
      </c>
      <c r="F51" s="11" t="s">
        <v>241</v>
      </c>
      <c r="G51" s="12">
        <v>6000</v>
      </c>
      <c r="H51" s="12">
        <v>5000</v>
      </c>
      <c r="I51" s="13">
        <v>6000</v>
      </c>
    </row>
    <row r="52" spans="1:9" x14ac:dyDescent="0.45">
      <c r="A52" s="10">
        <v>110</v>
      </c>
      <c r="B52" s="11" t="s">
        <v>44</v>
      </c>
      <c r="C52" s="11" t="s">
        <v>69</v>
      </c>
      <c r="D52" s="11" t="s">
        <v>250</v>
      </c>
      <c r="E52" s="11" t="s">
        <v>251</v>
      </c>
      <c r="F52" s="11" t="s">
        <v>241</v>
      </c>
      <c r="G52" s="12">
        <v>35000</v>
      </c>
      <c r="H52" s="12">
        <v>66000</v>
      </c>
      <c r="I52" s="13">
        <v>140000</v>
      </c>
    </row>
    <row r="53" spans="1:9" x14ac:dyDescent="0.45">
      <c r="A53" s="10">
        <v>24</v>
      </c>
      <c r="B53" s="11" t="s">
        <v>45</v>
      </c>
      <c r="C53" s="11" t="s">
        <v>69</v>
      </c>
      <c r="D53" s="11" t="s">
        <v>260</v>
      </c>
      <c r="E53" s="11" t="s">
        <v>240</v>
      </c>
      <c r="F53" s="11" t="s">
        <v>241</v>
      </c>
      <c r="G53" s="12">
        <v>20000</v>
      </c>
      <c r="H53" s="12">
        <v>5000</v>
      </c>
      <c r="I53" s="13">
        <v>5000</v>
      </c>
    </row>
    <row r="54" spans="1:9" x14ac:dyDescent="0.45">
      <c r="A54" s="10">
        <v>38</v>
      </c>
      <c r="B54" s="11" t="s">
        <v>46</v>
      </c>
      <c r="C54" s="11" t="s">
        <v>69</v>
      </c>
      <c r="D54" s="11" t="s">
        <v>252</v>
      </c>
      <c r="E54" s="11" t="s">
        <v>251</v>
      </c>
      <c r="F54" s="11" t="s">
        <v>241</v>
      </c>
      <c r="G54" s="12">
        <v>719000</v>
      </c>
      <c r="H54" s="12">
        <v>607000</v>
      </c>
      <c r="I54" s="13">
        <v>852000</v>
      </c>
    </row>
    <row r="55" spans="1:9" x14ac:dyDescent="0.45">
      <c r="A55" s="10">
        <v>48</v>
      </c>
      <c r="B55" s="11" t="s">
        <v>47</v>
      </c>
      <c r="C55" s="11" t="s">
        <v>69</v>
      </c>
      <c r="D55" s="11" t="s">
        <v>258</v>
      </c>
      <c r="E55" s="11" t="s">
        <v>251</v>
      </c>
      <c r="F55" s="11" t="s">
        <v>241</v>
      </c>
      <c r="G55" s="12">
        <v>105000</v>
      </c>
      <c r="H55" s="12">
        <v>92000</v>
      </c>
      <c r="I55" s="13">
        <v>7000</v>
      </c>
    </row>
    <row r="56" spans="1:9" x14ac:dyDescent="0.45">
      <c r="A56" s="10">
        <v>50</v>
      </c>
      <c r="B56" s="11" t="s">
        <v>176</v>
      </c>
      <c r="C56" s="11" t="s">
        <v>76</v>
      </c>
      <c r="D56" s="11" t="s">
        <v>254</v>
      </c>
      <c r="E56" s="11" t="s">
        <v>240</v>
      </c>
      <c r="F56" s="11" t="s">
        <v>241</v>
      </c>
      <c r="G56" s="12">
        <v>12042000</v>
      </c>
      <c r="H56" s="12">
        <v>31928000</v>
      </c>
      <c r="I56" s="13">
        <v>17240000</v>
      </c>
    </row>
    <row r="57" spans="1:9" x14ac:dyDescent="0.45">
      <c r="A57" s="10">
        <v>502</v>
      </c>
      <c r="B57" s="11" t="s">
        <v>177</v>
      </c>
      <c r="C57" s="11" t="s">
        <v>76</v>
      </c>
      <c r="D57" s="11" t="s">
        <v>254</v>
      </c>
      <c r="E57" s="11" t="s">
        <v>240</v>
      </c>
      <c r="F57" s="11" t="s">
        <v>241</v>
      </c>
      <c r="G57" s="12">
        <v>95000</v>
      </c>
      <c r="H57" s="12">
        <v>31928000</v>
      </c>
      <c r="I57" s="13">
        <v>17240000</v>
      </c>
    </row>
    <row r="58" spans="1:9" x14ac:dyDescent="0.45">
      <c r="A58" s="10">
        <v>96</v>
      </c>
      <c r="B58" s="11" t="s">
        <v>50</v>
      </c>
      <c r="C58" s="11" t="s">
        <v>76</v>
      </c>
      <c r="D58" s="11" t="s">
        <v>246</v>
      </c>
      <c r="E58" s="11" t="s">
        <v>240</v>
      </c>
      <c r="F58" s="11" t="s">
        <v>241</v>
      </c>
      <c r="G58" s="12">
        <v>7923000</v>
      </c>
      <c r="H58" s="12">
        <v>8048000</v>
      </c>
      <c r="I58" s="13">
        <v>6258000</v>
      </c>
    </row>
    <row r="59" spans="1:9" x14ac:dyDescent="0.45">
      <c r="A59" s="10">
        <v>70</v>
      </c>
      <c r="B59" s="11" t="s">
        <v>51</v>
      </c>
      <c r="C59" s="11" t="s">
        <v>73</v>
      </c>
      <c r="D59" s="11" t="s">
        <v>252</v>
      </c>
      <c r="E59" s="11" t="s">
        <v>251</v>
      </c>
      <c r="F59" s="11" t="s">
        <v>241</v>
      </c>
      <c r="G59" s="12">
        <v>19515000</v>
      </c>
      <c r="H59" s="12">
        <v>124510000</v>
      </c>
      <c r="I59" s="13">
        <v>104913000</v>
      </c>
    </row>
    <row r="60" spans="1:9" x14ac:dyDescent="0.45">
      <c r="A60" s="10">
        <v>91</v>
      </c>
      <c r="B60" s="11" t="s">
        <v>52</v>
      </c>
      <c r="C60" s="11" t="s">
        <v>73</v>
      </c>
      <c r="D60" s="11" t="s">
        <v>257</v>
      </c>
      <c r="E60" s="11" t="s">
        <v>237</v>
      </c>
      <c r="F60" s="11" t="s">
        <v>238</v>
      </c>
      <c r="G60" s="12">
        <v>454000</v>
      </c>
      <c r="H60" s="12">
        <v>485000</v>
      </c>
      <c r="I60" s="13">
        <v>1119000</v>
      </c>
    </row>
    <row r="61" spans="1:9" x14ac:dyDescent="0.45">
      <c r="A61" s="10">
        <v>47</v>
      </c>
      <c r="B61" s="11" t="s">
        <v>53</v>
      </c>
      <c r="C61" s="11" t="s">
        <v>73</v>
      </c>
      <c r="D61" s="11" t="s">
        <v>236</v>
      </c>
      <c r="E61" s="11" t="s">
        <v>237</v>
      </c>
      <c r="F61" s="11" t="s">
        <v>238</v>
      </c>
      <c r="G61" s="12">
        <v>1669000</v>
      </c>
      <c r="H61" s="12">
        <v>562000</v>
      </c>
      <c r="I61" s="13">
        <v>2860000</v>
      </c>
    </row>
    <row r="62" spans="1:9" x14ac:dyDescent="0.45">
      <c r="A62" s="10">
        <v>113</v>
      </c>
      <c r="B62" s="11" t="s">
        <v>54</v>
      </c>
      <c r="C62" s="11" t="s">
        <v>72</v>
      </c>
      <c r="D62" s="11" t="s">
        <v>255</v>
      </c>
      <c r="E62" s="11" t="s">
        <v>251</v>
      </c>
      <c r="F62" s="11" t="s">
        <v>241</v>
      </c>
      <c r="G62" s="12">
        <v>2000</v>
      </c>
      <c r="H62" s="12">
        <v>3000</v>
      </c>
      <c r="I62" s="13">
        <v>4000</v>
      </c>
    </row>
    <row r="63" spans="1:9" x14ac:dyDescent="0.45">
      <c r="A63" s="10">
        <v>21</v>
      </c>
      <c r="B63" s="11" t="s">
        <v>55</v>
      </c>
      <c r="C63" s="11" t="s">
        <v>73</v>
      </c>
      <c r="D63" s="11" t="s">
        <v>250</v>
      </c>
      <c r="E63" s="11" t="s">
        <v>251</v>
      </c>
      <c r="F63" s="11" t="s">
        <v>241</v>
      </c>
      <c r="G63" s="12">
        <v>2000</v>
      </c>
      <c r="H63" s="12">
        <v>2000</v>
      </c>
      <c r="I63" s="13">
        <v>2000</v>
      </c>
    </row>
    <row r="64" spans="1:9" x14ac:dyDescent="0.45">
      <c r="A64" s="10">
        <v>19</v>
      </c>
      <c r="B64" s="11" t="s">
        <v>174</v>
      </c>
      <c r="C64" s="11" t="s">
        <v>77</v>
      </c>
      <c r="D64" s="11" t="s">
        <v>256</v>
      </c>
      <c r="E64" s="11" t="s">
        <v>240</v>
      </c>
      <c r="F64" s="11" t="s">
        <v>241</v>
      </c>
      <c r="G64" s="12">
        <v>295265000</v>
      </c>
      <c r="H64" s="12">
        <v>485194000</v>
      </c>
      <c r="I64" s="13">
        <v>438641000</v>
      </c>
    </row>
    <row r="65" spans="1:9" x14ac:dyDescent="0.45">
      <c r="A65" s="10">
        <v>116</v>
      </c>
      <c r="B65" s="11" t="s">
        <v>175</v>
      </c>
      <c r="C65" s="11" t="s">
        <v>77</v>
      </c>
      <c r="D65" s="11" t="s">
        <v>256</v>
      </c>
      <c r="E65" s="11" t="s">
        <v>240</v>
      </c>
      <c r="F65" s="11" t="s">
        <v>241</v>
      </c>
      <c r="G65" s="12">
        <v>295265000</v>
      </c>
      <c r="H65" s="12">
        <v>485194000</v>
      </c>
      <c r="I65" s="13">
        <v>438641000</v>
      </c>
    </row>
    <row r="66" spans="1:9" x14ac:dyDescent="0.45">
      <c r="A66" s="10">
        <v>60</v>
      </c>
      <c r="B66" s="11" t="s">
        <v>58</v>
      </c>
      <c r="C66" s="11" t="s">
        <v>75</v>
      </c>
      <c r="D66" s="11" t="s">
        <v>261</v>
      </c>
      <c r="E66" s="11" t="s">
        <v>240</v>
      </c>
      <c r="F66" s="11" t="s">
        <v>238</v>
      </c>
      <c r="G66" s="12">
        <v>260000</v>
      </c>
      <c r="H66" s="12">
        <v>551000</v>
      </c>
      <c r="I66" s="13">
        <v>1366000</v>
      </c>
    </row>
    <row r="67" spans="1:9" x14ac:dyDescent="0.45">
      <c r="A67" s="10">
        <v>6</v>
      </c>
      <c r="B67" s="11" t="s">
        <v>59</v>
      </c>
      <c r="C67" s="11" t="s">
        <v>76</v>
      </c>
      <c r="D67" s="11" t="s">
        <v>256</v>
      </c>
      <c r="E67" s="11" t="s">
        <v>240</v>
      </c>
      <c r="F67" s="11" t="s">
        <v>241</v>
      </c>
      <c r="G67" s="12">
        <v>158000</v>
      </c>
      <c r="H67" s="12">
        <v>278000</v>
      </c>
      <c r="I67" s="13">
        <v>2113000</v>
      </c>
    </row>
    <row r="68" spans="1:9" x14ac:dyDescent="0.45">
      <c r="A68" s="10">
        <v>27</v>
      </c>
      <c r="B68" s="11" t="s">
        <v>60</v>
      </c>
      <c r="C68" s="11" t="s">
        <v>73</v>
      </c>
      <c r="D68" s="11" t="s">
        <v>260</v>
      </c>
      <c r="E68" s="11" t="s">
        <v>240</v>
      </c>
      <c r="F68" s="11" t="s">
        <v>241</v>
      </c>
      <c r="G68" s="12">
        <v>126723000</v>
      </c>
      <c r="H68" s="12">
        <v>165474000</v>
      </c>
      <c r="I68" s="13">
        <v>144162000</v>
      </c>
    </row>
    <row r="69" spans="1:9" x14ac:dyDescent="0.45">
      <c r="A69" s="10">
        <v>119</v>
      </c>
      <c r="B69" s="11" t="s">
        <v>61</v>
      </c>
      <c r="C69" s="11" t="s">
        <v>73</v>
      </c>
      <c r="D69" s="11" t="s">
        <v>246</v>
      </c>
      <c r="E69" s="11" t="s">
        <v>240</v>
      </c>
      <c r="F69" s="11" t="s">
        <v>241</v>
      </c>
      <c r="G69" s="12">
        <v>72416000</v>
      </c>
      <c r="H69" s="12">
        <v>139256000</v>
      </c>
      <c r="I69" s="13">
        <v>142543000</v>
      </c>
    </row>
    <row r="70" spans="1:9" x14ac:dyDescent="0.45">
      <c r="A70" s="10">
        <v>12</v>
      </c>
      <c r="B70" s="11" t="s">
        <v>62</v>
      </c>
      <c r="C70" s="11" t="s">
        <v>73</v>
      </c>
      <c r="D70" s="11" t="s">
        <v>239</v>
      </c>
      <c r="E70" s="11" t="s">
        <v>240</v>
      </c>
      <c r="F70" s="11" t="s">
        <v>241</v>
      </c>
      <c r="G70" s="12">
        <v>10984000</v>
      </c>
      <c r="H70" s="12">
        <v>12761000</v>
      </c>
      <c r="I70" s="13">
        <v>5195000</v>
      </c>
    </row>
    <row r="71" spans="1:9" x14ac:dyDescent="0.45">
      <c r="A71" s="10">
        <v>224</v>
      </c>
      <c r="B71" s="11" t="s">
        <v>63</v>
      </c>
      <c r="C71" s="11" t="s">
        <v>74</v>
      </c>
      <c r="D71" s="11" t="s">
        <v>242</v>
      </c>
      <c r="E71" s="11" t="s">
        <v>237</v>
      </c>
      <c r="F71" s="11" t="s">
        <v>241</v>
      </c>
      <c r="G71" s="12">
        <v>5869000</v>
      </c>
      <c r="H71" s="12">
        <v>43131000</v>
      </c>
      <c r="I71" s="13">
        <v>21502000</v>
      </c>
    </row>
    <row r="72" spans="1:9" x14ac:dyDescent="0.45">
      <c r="A72" s="10">
        <v>221</v>
      </c>
      <c r="B72" s="11" t="s">
        <v>64</v>
      </c>
      <c r="C72" s="11" t="s">
        <v>74</v>
      </c>
      <c r="D72" s="11" t="s">
        <v>243</v>
      </c>
      <c r="E72" s="11" t="s">
        <v>237</v>
      </c>
      <c r="F72" s="11" t="s">
        <v>241</v>
      </c>
      <c r="G72" s="12">
        <v>56966000</v>
      </c>
      <c r="H72" s="12">
        <v>257018000</v>
      </c>
      <c r="I72" s="13">
        <v>128134000</v>
      </c>
    </row>
    <row r="73" spans="1:9" x14ac:dyDescent="0.45">
      <c r="A73" s="10">
        <v>29</v>
      </c>
      <c r="B73" s="11" t="s">
        <v>172</v>
      </c>
      <c r="C73" s="11" t="s">
        <v>74</v>
      </c>
      <c r="D73" s="11" t="s">
        <v>243</v>
      </c>
      <c r="E73" s="11" t="s">
        <v>237</v>
      </c>
      <c r="F73" s="11" t="s">
        <v>241</v>
      </c>
      <c r="G73" s="12">
        <v>2371000</v>
      </c>
      <c r="H73" s="12">
        <v>438000</v>
      </c>
      <c r="I73" s="13">
        <v>9000</v>
      </c>
    </row>
    <row r="74" spans="1:9" x14ac:dyDescent="0.45">
      <c r="A74" s="10">
        <v>61</v>
      </c>
      <c r="B74" s="11" t="s">
        <v>173</v>
      </c>
      <c r="C74" s="11" t="s">
        <v>74</v>
      </c>
      <c r="D74" s="11" t="s">
        <v>242</v>
      </c>
      <c r="E74" s="11" t="s">
        <v>237</v>
      </c>
      <c r="F74" s="11" t="s">
        <v>241</v>
      </c>
      <c r="G74" s="12">
        <v>321000</v>
      </c>
      <c r="H74" s="12">
        <v>432000</v>
      </c>
      <c r="I74" s="13">
        <v>3000</v>
      </c>
    </row>
    <row r="75" spans="1:9" x14ac:dyDescent="0.45">
      <c r="A75" s="18">
        <v>57</v>
      </c>
      <c r="B75" s="19" t="s">
        <v>66</v>
      </c>
      <c r="C75" s="19" t="s">
        <v>74</v>
      </c>
      <c r="D75" s="11" t="s">
        <v>242</v>
      </c>
      <c r="E75" s="11" t="s">
        <v>237</v>
      </c>
      <c r="F75" s="11" t="s">
        <v>241</v>
      </c>
      <c r="G75" s="20">
        <v>234000</v>
      </c>
      <c r="H75" s="20">
        <v>753000</v>
      </c>
      <c r="I75" s="21">
        <v>259000</v>
      </c>
    </row>
    <row r="76" spans="1:9" ht="14.1" thickBot="1" x14ac:dyDescent="0.5"/>
    <row r="77" spans="1:9" ht="14.4" thickBot="1" x14ac:dyDescent="0.55000000000000004">
      <c r="C77" s="44" t="s">
        <v>132</v>
      </c>
      <c r="G77" s="26">
        <f>SUM(Table3[2019 Year-End Total Cash on Hand ])</f>
        <v>3003294000</v>
      </c>
      <c r="H77" s="26">
        <f>SUM(Table3[2020 Year-End Total Cash on Hand ])</f>
        <v>5400789000</v>
      </c>
      <c r="I77" s="27">
        <f>SUM(Table3[2021 Year-End Total Cash on Hand ])</f>
        <v>4684408000</v>
      </c>
    </row>
    <row r="79" spans="1:9" ht="14.1" x14ac:dyDescent="0.5">
      <c r="A79" s="69" t="s">
        <v>138</v>
      </c>
      <c r="B79" s="69"/>
      <c r="C79" s="69"/>
      <c r="D79" s="69"/>
      <c r="E79" s="69"/>
      <c r="F79" s="69"/>
      <c r="G79" s="69"/>
      <c r="H79" s="69"/>
      <c r="I79" s="69"/>
    </row>
    <row r="80" spans="1:9" ht="14.1" x14ac:dyDescent="0.5">
      <c r="A80" s="69" t="s">
        <v>171</v>
      </c>
      <c r="B80" s="69"/>
      <c r="C80" s="69"/>
      <c r="D80" s="69"/>
      <c r="E80" s="69"/>
      <c r="F80" s="69"/>
      <c r="G80" s="69"/>
      <c r="H80" s="69"/>
      <c r="I80" s="69"/>
    </row>
    <row r="81" spans="1:21" ht="29.25" customHeight="1" x14ac:dyDescent="0.45">
      <c r="A81" s="100" t="s">
        <v>205</v>
      </c>
      <c r="B81" s="100"/>
      <c r="C81" s="100"/>
      <c r="D81" s="100"/>
      <c r="E81" s="100"/>
      <c r="F81" s="100"/>
      <c r="G81" s="100"/>
      <c r="H81" s="100"/>
      <c r="I81" s="100"/>
    </row>
    <row r="82" spans="1:21" ht="33" customHeight="1" x14ac:dyDescent="0.45">
      <c r="A82" s="94" t="s">
        <v>189</v>
      </c>
      <c r="B82" s="94"/>
      <c r="C82" s="94"/>
      <c r="D82" s="94"/>
      <c r="E82" s="94"/>
      <c r="F82" s="94"/>
      <c r="G82" s="94"/>
      <c r="H82" s="94"/>
      <c r="I82" s="94"/>
    </row>
    <row r="83" spans="1:21" ht="15" customHeight="1" x14ac:dyDescent="0.45">
      <c r="A83" s="94" t="s">
        <v>303</v>
      </c>
      <c r="B83" s="94"/>
      <c r="C83" s="94"/>
      <c r="D83" s="94"/>
      <c r="E83" s="94"/>
      <c r="F83" s="94"/>
      <c r="G83" s="94"/>
      <c r="H83" s="94"/>
      <c r="I83" s="94"/>
      <c r="J83" s="94"/>
      <c r="K83" s="94"/>
      <c r="L83" s="94"/>
      <c r="M83" s="94"/>
      <c r="N83" s="94"/>
      <c r="O83" s="94"/>
      <c r="P83" s="94"/>
      <c r="Q83" s="94"/>
      <c r="R83" s="94"/>
      <c r="S83" s="94"/>
      <c r="T83" s="94"/>
      <c r="U83" s="94"/>
    </row>
    <row r="84" spans="1:21" ht="15" customHeight="1" x14ac:dyDescent="0.45">
      <c r="A84" s="90" t="s">
        <v>305</v>
      </c>
      <c r="B84" s="89"/>
      <c r="C84" s="89"/>
      <c r="D84" s="89"/>
      <c r="E84" s="89"/>
      <c r="F84" s="89"/>
      <c r="G84" s="89"/>
      <c r="H84" s="89"/>
      <c r="I84" s="89"/>
      <c r="J84" s="89"/>
      <c r="K84" s="89"/>
      <c r="L84" s="89"/>
      <c r="M84" s="89"/>
      <c r="N84" s="89"/>
      <c r="O84" s="89"/>
      <c r="P84" s="89"/>
      <c r="Q84" s="89"/>
      <c r="R84" s="89"/>
      <c r="S84" s="89"/>
      <c r="T84" s="89"/>
      <c r="U84" s="89"/>
    </row>
    <row r="85" spans="1:21" ht="19.5" customHeight="1" x14ac:dyDescent="0.45">
      <c r="A85" s="87"/>
      <c r="B85" s="87"/>
      <c r="C85" s="87"/>
      <c r="D85" s="87"/>
      <c r="E85" s="87"/>
      <c r="F85" s="87"/>
      <c r="G85" s="87"/>
      <c r="H85" s="87"/>
      <c r="I85" s="87"/>
    </row>
    <row r="86" spans="1:21" ht="17.7" x14ac:dyDescent="0.6">
      <c r="A86" s="95" t="s">
        <v>92</v>
      </c>
      <c r="B86" s="95"/>
      <c r="C86" s="95"/>
      <c r="D86" s="82"/>
      <c r="E86" s="82"/>
      <c r="F86" s="82"/>
    </row>
    <row r="87" spans="1:21" ht="14.1" x14ac:dyDescent="0.45">
      <c r="A87" s="28" t="s">
        <v>93</v>
      </c>
      <c r="B87" s="96" t="s">
        <v>134</v>
      </c>
      <c r="C87" s="96"/>
      <c r="D87" s="73"/>
      <c r="E87" s="73"/>
      <c r="F87" s="73"/>
    </row>
    <row r="88" spans="1:21" ht="14.1" x14ac:dyDescent="0.45">
      <c r="A88" s="28" t="s">
        <v>94</v>
      </c>
      <c r="B88" s="96" t="s">
        <v>89</v>
      </c>
      <c r="C88" s="96"/>
      <c r="D88" s="73"/>
      <c r="E88" s="73"/>
      <c r="F88" s="73"/>
    </row>
    <row r="89" spans="1:21" ht="14.1" x14ac:dyDescent="0.45">
      <c r="A89" s="28" t="s">
        <v>95</v>
      </c>
      <c r="B89" s="99" t="s">
        <v>99</v>
      </c>
      <c r="C89" s="99"/>
      <c r="D89" s="76"/>
      <c r="E89" s="76"/>
      <c r="F89" s="76"/>
    </row>
    <row r="90" spans="1:21" ht="14.1" x14ac:dyDescent="0.45">
      <c r="A90" s="45" t="s">
        <v>96</v>
      </c>
      <c r="B90" s="91" t="s">
        <v>266</v>
      </c>
      <c r="C90" s="91"/>
      <c r="D90" s="76"/>
      <c r="E90" s="76"/>
      <c r="F90" s="76"/>
    </row>
    <row r="91" spans="1:21" ht="14.1" x14ac:dyDescent="0.45">
      <c r="A91" s="45" t="s">
        <v>97</v>
      </c>
      <c r="B91" s="91" t="s">
        <v>267</v>
      </c>
      <c r="C91" s="91"/>
      <c r="D91" s="76"/>
      <c r="E91" s="76"/>
      <c r="F91" s="76"/>
    </row>
    <row r="92" spans="1:21" ht="14.1" x14ac:dyDescent="0.45">
      <c r="A92" s="45" t="s">
        <v>100</v>
      </c>
      <c r="B92" s="97" t="s">
        <v>268</v>
      </c>
      <c r="C92" s="97"/>
      <c r="D92" s="76"/>
      <c r="E92" s="76"/>
      <c r="F92" s="76"/>
    </row>
    <row r="93" spans="1:21" ht="14.1" x14ac:dyDescent="0.45">
      <c r="A93" s="28" t="s">
        <v>301</v>
      </c>
      <c r="B93" s="91" t="s">
        <v>184</v>
      </c>
      <c r="C93" s="91"/>
      <c r="D93" s="74"/>
      <c r="E93" s="74"/>
      <c r="F93" s="74"/>
    </row>
    <row r="94" spans="1:21" ht="14.1" x14ac:dyDescent="0.45">
      <c r="A94" s="29" t="s">
        <v>102</v>
      </c>
      <c r="B94" s="91" t="s">
        <v>185</v>
      </c>
      <c r="C94" s="91"/>
      <c r="D94" s="74"/>
      <c r="E94" s="74"/>
      <c r="F94" s="74"/>
    </row>
    <row r="95" spans="1:21" ht="14.1" x14ac:dyDescent="0.45">
      <c r="A95" s="28" t="s">
        <v>103</v>
      </c>
      <c r="B95" s="91" t="s">
        <v>186</v>
      </c>
      <c r="C95" s="91"/>
      <c r="D95" s="74"/>
      <c r="E95" s="74"/>
      <c r="F95" s="74"/>
    </row>
  </sheetData>
  <sheetProtection algorithmName="SHA-512" hashValue="XvnlYXWiSWmybLRhwmPC5gOs8SckDG/l1deYV+Np35VP3xngzHqaCbEdJKKiy+DUUZ5X8gZ+4rvCZ+94xMbrUA==" saltValue="RWjxytVts+z/JnQw/9ilsg==" spinCount="100000" sheet="1" objects="1" scenarios="1" selectLockedCells="1" sort="0" autoFilter="0" selectUnlockedCells="1"/>
  <mergeCells count="14">
    <mergeCell ref="B94:C94"/>
    <mergeCell ref="B95:C95"/>
    <mergeCell ref="A1:I1"/>
    <mergeCell ref="A86:C86"/>
    <mergeCell ref="B87:C87"/>
    <mergeCell ref="B88:C88"/>
    <mergeCell ref="B89:C89"/>
    <mergeCell ref="B93:C93"/>
    <mergeCell ref="A82:I82"/>
    <mergeCell ref="A81:I81"/>
    <mergeCell ref="B90:C90"/>
    <mergeCell ref="B91:C91"/>
    <mergeCell ref="B92:C92"/>
    <mergeCell ref="A83:U83"/>
  </mergeCells>
  <phoneticPr fontId="11"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2293-3D32-476D-A11D-8CCBD9043C55}">
  <dimension ref="A1:AB99"/>
  <sheetViews>
    <sheetView zoomScale="80" zoomScaleNormal="80" workbookViewId="0">
      <selection sqref="A1:AA1"/>
    </sheetView>
  </sheetViews>
  <sheetFormatPr defaultColWidth="18.83984375" defaultRowHeight="13.8" x14ac:dyDescent="0.45"/>
  <cols>
    <col min="1" max="1" width="22.15625" style="2" customWidth="1"/>
    <col min="2" max="2" width="81.68359375" style="2" customWidth="1"/>
    <col min="3" max="3" width="43.26171875" style="2" customWidth="1"/>
    <col min="4" max="4" width="15" style="2" customWidth="1"/>
    <col min="5" max="5" width="14.15625" style="2" customWidth="1"/>
    <col min="6" max="6" width="18" style="2" customWidth="1"/>
    <col min="7" max="7" width="20.41796875" style="2" bestFit="1" customWidth="1"/>
    <col min="8" max="8" width="20.68359375" style="2" customWidth="1"/>
    <col min="9" max="9" width="18.26171875" style="2" bestFit="1" customWidth="1"/>
    <col min="10" max="10" width="20.83984375" style="2" bestFit="1" customWidth="1"/>
    <col min="11" max="11" width="19.68359375" style="2" bestFit="1" customWidth="1"/>
    <col min="12" max="12" width="18.68359375" style="2" bestFit="1" customWidth="1"/>
    <col min="13" max="13" width="23" style="2" bestFit="1" customWidth="1"/>
    <col min="14" max="14" width="21.578125" style="2" bestFit="1" customWidth="1"/>
    <col min="15" max="15" width="17.68359375" style="2" bestFit="1" customWidth="1"/>
    <col min="16" max="16" width="18.26171875" style="2" bestFit="1" customWidth="1"/>
    <col min="17" max="17" width="20.83984375" style="2" bestFit="1" customWidth="1"/>
    <col min="18" max="18" width="19.15625" style="2" bestFit="1" customWidth="1"/>
    <col min="19" max="19" width="18.68359375" style="2" bestFit="1" customWidth="1"/>
    <col min="20" max="20" width="23" style="2" bestFit="1" customWidth="1"/>
    <col min="21" max="21" width="20.83984375" style="2" bestFit="1" customWidth="1"/>
    <col min="22" max="22" width="18.68359375" style="2" bestFit="1" customWidth="1"/>
    <col min="23" max="23" width="18.26171875" style="2" bestFit="1" customWidth="1"/>
    <col min="24" max="24" width="20.83984375" style="2" bestFit="1" customWidth="1"/>
    <col min="25" max="26" width="19.15625" style="2" bestFit="1" customWidth="1"/>
    <col min="27" max="27" width="23" style="2" bestFit="1" customWidth="1"/>
    <col min="28" max="16384" width="18.83984375" style="2"/>
  </cols>
  <sheetData>
    <row r="1" spans="1:27" ht="22.8" thickBot="1" x14ac:dyDescent="0.8">
      <c r="A1" s="92" t="s">
        <v>152</v>
      </c>
      <c r="B1" s="93"/>
      <c r="C1" s="93"/>
      <c r="D1" s="93"/>
      <c r="E1" s="93"/>
      <c r="F1" s="93"/>
      <c r="G1" s="93"/>
      <c r="H1" s="93"/>
      <c r="I1" s="93"/>
      <c r="J1" s="93"/>
      <c r="K1" s="93"/>
      <c r="L1" s="93"/>
      <c r="M1" s="93"/>
      <c r="N1" s="93"/>
      <c r="O1" s="93"/>
      <c r="P1" s="93"/>
      <c r="Q1" s="93"/>
      <c r="R1" s="93"/>
      <c r="S1" s="93"/>
      <c r="T1" s="93"/>
      <c r="U1" s="93"/>
      <c r="V1" s="93"/>
      <c r="W1" s="93"/>
      <c r="X1" s="93"/>
      <c r="Y1" s="93"/>
      <c r="Z1" s="93"/>
      <c r="AA1" s="98"/>
    </row>
    <row r="3" spans="1:27" s="22" customFormat="1" ht="24.6" x14ac:dyDescent="0.55000000000000004">
      <c r="A3" s="7" t="s">
        <v>88</v>
      </c>
      <c r="B3" s="8" t="s">
        <v>89</v>
      </c>
      <c r="C3" s="8" t="s">
        <v>99</v>
      </c>
      <c r="D3" s="8" t="s">
        <v>233</v>
      </c>
      <c r="E3" s="8" t="s">
        <v>234</v>
      </c>
      <c r="F3" s="8" t="s">
        <v>235</v>
      </c>
      <c r="G3" s="8" t="s">
        <v>107</v>
      </c>
      <c r="H3" s="8" t="s">
        <v>108</v>
      </c>
      <c r="I3" s="8" t="s">
        <v>125</v>
      </c>
      <c r="J3" s="8" t="s">
        <v>109</v>
      </c>
      <c r="K3" s="8" t="s">
        <v>284</v>
      </c>
      <c r="L3" s="8" t="s">
        <v>111</v>
      </c>
      <c r="M3" s="8" t="s">
        <v>112</v>
      </c>
      <c r="N3" s="8" t="s">
        <v>113</v>
      </c>
      <c r="O3" s="8" t="s">
        <v>114</v>
      </c>
      <c r="P3" s="8" t="s">
        <v>126</v>
      </c>
      <c r="Q3" s="8" t="s">
        <v>115</v>
      </c>
      <c r="R3" s="8" t="s">
        <v>285</v>
      </c>
      <c r="S3" s="8" t="s">
        <v>117</v>
      </c>
      <c r="T3" s="8" t="s">
        <v>118</v>
      </c>
      <c r="U3" s="8" t="s">
        <v>119</v>
      </c>
      <c r="V3" s="8" t="s">
        <v>120</v>
      </c>
      <c r="W3" s="8" t="s">
        <v>127</v>
      </c>
      <c r="X3" s="8" t="s">
        <v>121</v>
      </c>
      <c r="Y3" s="8" t="s">
        <v>286</v>
      </c>
      <c r="Z3" s="8" t="s">
        <v>123</v>
      </c>
      <c r="AA3" s="9" t="s">
        <v>124</v>
      </c>
    </row>
    <row r="4" spans="1:27" x14ac:dyDescent="0.45">
      <c r="A4" s="10">
        <v>642</v>
      </c>
      <c r="B4" s="11" t="s">
        <v>0</v>
      </c>
      <c r="C4" s="11" t="s">
        <v>68</v>
      </c>
      <c r="D4" s="11" t="s">
        <v>236</v>
      </c>
      <c r="E4" s="11" t="s">
        <v>237</v>
      </c>
      <c r="F4" s="11" t="s">
        <v>238</v>
      </c>
      <c r="G4" s="36">
        <v>174262000</v>
      </c>
      <c r="H4" s="36">
        <v>87392000</v>
      </c>
      <c r="I4" s="36">
        <v>3804000</v>
      </c>
      <c r="J4" s="36">
        <v>85614000</v>
      </c>
      <c r="K4" s="36">
        <v>21683000</v>
      </c>
      <c r="L4" s="36">
        <v>7606000</v>
      </c>
      <c r="M4" s="36">
        <v>380361000</v>
      </c>
      <c r="N4" s="36">
        <v>96703000</v>
      </c>
      <c r="O4" s="36">
        <v>74152000</v>
      </c>
      <c r="P4" s="36">
        <v>2189000</v>
      </c>
      <c r="Q4" s="36">
        <v>54296000</v>
      </c>
      <c r="R4" s="36">
        <v>22486000</v>
      </c>
      <c r="S4" s="36">
        <v>12459000</v>
      </c>
      <c r="T4" s="36">
        <v>262285000</v>
      </c>
      <c r="U4" s="36">
        <v>112692000</v>
      </c>
      <c r="V4" s="36">
        <v>80428000</v>
      </c>
      <c r="W4" s="36">
        <v>4269000</v>
      </c>
      <c r="X4" s="36">
        <v>62175000</v>
      </c>
      <c r="Y4" s="36">
        <v>18030000</v>
      </c>
      <c r="Z4" s="36">
        <v>18313000</v>
      </c>
      <c r="AA4" s="40">
        <v>295907000</v>
      </c>
    </row>
    <row r="5" spans="1:27" x14ac:dyDescent="0.45">
      <c r="A5" s="10">
        <v>641</v>
      </c>
      <c r="B5" s="11" t="s">
        <v>1</v>
      </c>
      <c r="C5" s="11" t="s">
        <v>68</v>
      </c>
      <c r="D5" s="11" t="s">
        <v>236</v>
      </c>
      <c r="E5" s="11" t="s">
        <v>237</v>
      </c>
      <c r="F5" s="11" t="s">
        <v>238</v>
      </c>
      <c r="G5" s="36">
        <v>169384000</v>
      </c>
      <c r="H5" s="36">
        <v>85080000</v>
      </c>
      <c r="I5" s="36">
        <v>3702000</v>
      </c>
      <c r="J5" s="36">
        <v>83341000</v>
      </c>
      <c r="K5" s="36">
        <v>21130000</v>
      </c>
      <c r="L5" s="36">
        <v>7389000</v>
      </c>
      <c r="M5" s="36">
        <v>370026000</v>
      </c>
      <c r="N5" s="36">
        <v>216231000</v>
      </c>
      <c r="O5" s="36">
        <v>67155000</v>
      </c>
      <c r="P5" s="36">
        <v>4102000</v>
      </c>
      <c r="Q5" s="36">
        <v>93125000</v>
      </c>
      <c r="R5" s="36">
        <v>15400000</v>
      </c>
      <c r="S5" s="36">
        <v>14223000</v>
      </c>
      <c r="T5" s="36">
        <v>410236000</v>
      </c>
      <c r="U5" s="36">
        <v>220918000</v>
      </c>
      <c r="V5" s="36">
        <v>91676000</v>
      </c>
      <c r="W5" s="36">
        <v>12094000</v>
      </c>
      <c r="X5" s="36">
        <v>102015000</v>
      </c>
      <c r="Y5" s="36">
        <v>16568000</v>
      </c>
      <c r="Z5" s="36">
        <v>19291000</v>
      </c>
      <c r="AA5" s="40">
        <v>462562000</v>
      </c>
    </row>
    <row r="6" spans="1:27" x14ac:dyDescent="0.45">
      <c r="A6" s="10">
        <v>25</v>
      </c>
      <c r="B6" s="11" t="s">
        <v>2</v>
      </c>
      <c r="C6" s="11" t="s">
        <v>71</v>
      </c>
      <c r="D6" s="11" t="s">
        <v>248</v>
      </c>
      <c r="E6" s="11" t="s">
        <v>240</v>
      </c>
      <c r="F6" s="11" t="s">
        <v>241</v>
      </c>
      <c r="G6" s="36">
        <v>14961000</v>
      </c>
      <c r="H6" s="36">
        <v>7753000</v>
      </c>
      <c r="I6" s="36">
        <v>41000</v>
      </c>
      <c r="J6" s="36">
        <v>6044000</v>
      </c>
      <c r="K6" s="36">
        <v>44124000</v>
      </c>
      <c r="L6" s="36">
        <v>8615000</v>
      </c>
      <c r="M6" s="36">
        <v>81538000</v>
      </c>
      <c r="N6" s="36">
        <v>-10019000</v>
      </c>
      <c r="O6" s="36">
        <v>-7778000</v>
      </c>
      <c r="P6" s="36">
        <v>-65000</v>
      </c>
      <c r="Q6" s="36">
        <v>-6833000</v>
      </c>
      <c r="R6" s="36">
        <v>87594000</v>
      </c>
      <c r="S6" s="36">
        <v>6753000</v>
      </c>
      <c r="T6" s="36">
        <v>69652000</v>
      </c>
      <c r="U6" s="36">
        <v>-12579000</v>
      </c>
      <c r="V6" s="36">
        <v>-10557000</v>
      </c>
      <c r="W6" s="36">
        <v>-57000</v>
      </c>
      <c r="X6" s="36">
        <v>-10570000</v>
      </c>
      <c r="Y6" s="36">
        <v>80595000</v>
      </c>
      <c r="Z6" s="36">
        <v>66039000</v>
      </c>
      <c r="AA6" s="40">
        <v>112871000</v>
      </c>
    </row>
    <row r="7" spans="1:27" x14ac:dyDescent="0.45">
      <c r="A7" s="10">
        <v>112</v>
      </c>
      <c r="B7" s="11" t="s">
        <v>3</v>
      </c>
      <c r="C7" s="11" t="s">
        <v>72</v>
      </c>
      <c r="D7" s="11" t="s">
        <v>253</v>
      </c>
      <c r="E7" s="11" t="s">
        <v>251</v>
      </c>
      <c r="F7" s="11" t="s">
        <v>241</v>
      </c>
      <c r="G7" s="36">
        <v>66428000</v>
      </c>
      <c r="H7" s="36">
        <v>16866000</v>
      </c>
      <c r="I7" s="36">
        <v>162000</v>
      </c>
      <c r="J7" s="36">
        <v>74067000</v>
      </c>
      <c r="K7" s="36">
        <v>706000</v>
      </c>
      <c r="L7" s="36">
        <v>2697000</v>
      </c>
      <c r="M7" s="36">
        <v>160926000</v>
      </c>
      <c r="N7" s="36">
        <v>62593000</v>
      </c>
      <c r="O7" s="36">
        <v>22047000</v>
      </c>
      <c r="P7" s="36">
        <v>-159000</v>
      </c>
      <c r="Q7" s="36">
        <v>78820000</v>
      </c>
      <c r="R7" s="36">
        <v>-4104000</v>
      </c>
      <c r="S7" s="36">
        <v>-2143000</v>
      </c>
      <c r="T7" s="36">
        <v>157054000</v>
      </c>
      <c r="U7" s="36">
        <v>88118000</v>
      </c>
      <c r="V7" s="36">
        <v>12502000</v>
      </c>
      <c r="W7" s="36">
        <v>79000</v>
      </c>
      <c r="X7" s="36">
        <v>87844000</v>
      </c>
      <c r="Y7" s="36">
        <v>-2776000</v>
      </c>
      <c r="Z7" s="36">
        <v>818000</v>
      </c>
      <c r="AA7" s="40">
        <v>186585000</v>
      </c>
    </row>
    <row r="8" spans="1:27" x14ac:dyDescent="0.45">
      <c r="A8" s="10">
        <v>11</v>
      </c>
      <c r="B8" s="11" t="s">
        <v>4</v>
      </c>
      <c r="C8" s="11" t="s">
        <v>73</v>
      </c>
      <c r="D8" s="11" t="s">
        <v>244</v>
      </c>
      <c r="E8" s="11" t="s">
        <v>237</v>
      </c>
      <c r="F8" s="11" t="s">
        <v>238</v>
      </c>
      <c r="G8" s="36">
        <v>60637000</v>
      </c>
      <c r="H8" s="36">
        <v>15976000</v>
      </c>
      <c r="I8" s="36">
        <v>2389000</v>
      </c>
      <c r="J8" s="36">
        <v>50626000</v>
      </c>
      <c r="K8" s="36">
        <v>-7459000</v>
      </c>
      <c r="L8" s="36">
        <v>-396000</v>
      </c>
      <c r="M8" s="36">
        <v>121773000</v>
      </c>
      <c r="N8" s="36">
        <v>55073000</v>
      </c>
      <c r="O8" s="36">
        <v>11573000</v>
      </c>
      <c r="P8" s="36">
        <v>1850000</v>
      </c>
      <c r="Q8" s="36">
        <v>44007000</v>
      </c>
      <c r="R8" s="36">
        <v>-4045000</v>
      </c>
      <c r="S8" s="36">
        <v>-159000</v>
      </c>
      <c r="T8" s="36">
        <v>108299000</v>
      </c>
      <c r="U8" s="36">
        <v>65129000</v>
      </c>
      <c r="V8" s="36">
        <v>15602000</v>
      </c>
      <c r="W8" s="36">
        <v>2837000</v>
      </c>
      <c r="X8" s="36">
        <v>57943000</v>
      </c>
      <c r="Y8" s="36">
        <v>-7499000</v>
      </c>
      <c r="Z8" s="36">
        <v>-1173000</v>
      </c>
      <c r="AA8" s="40">
        <v>132839000</v>
      </c>
    </row>
    <row r="9" spans="1:27" x14ac:dyDescent="0.45">
      <c r="A9" s="10">
        <v>92</v>
      </c>
      <c r="B9" s="11" t="s">
        <v>5</v>
      </c>
      <c r="C9" s="11" t="s">
        <v>70</v>
      </c>
      <c r="D9" s="11" t="s">
        <v>250</v>
      </c>
      <c r="E9" s="11" t="s">
        <v>251</v>
      </c>
      <c r="F9" s="11" t="s">
        <v>241</v>
      </c>
      <c r="G9" s="36">
        <v>76539000</v>
      </c>
      <c r="H9" s="36">
        <v>55904000</v>
      </c>
      <c r="I9" s="36">
        <v>1679000</v>
      </c>
      <c r="J9" s="36">
        <v>62238000</v>
      </c>
      <c r="K9" s="36">
        <v>49829000</v>
      </c>
      <c r="L9" s="36">
        <v>14396000</v>
      </c>
      <c r="M9" s="36">
        <v>260585000</v>
      </c>
      <c r="N9" s="36">
        <v>83187000</v>
      </c>
      <c r="O9" s="36">
        <v>50290000</v>
      </c>
      <c r="P9" s="36">
        <v>1813000</v>
      </c>
      <c r="Q9" s="36">
        <v>62629000</v>
      </c>
      <c r="R9" s="36">
        <v>37181000</v>
      </c>
      <c r="S9" s="36">
        <v>-9408000</v>
      </c>
      <c r="T9" s="36">
        <v>225692000</v>
      </c>
      <c r="U9" s="36">
        <v>96014000</v>
      </c>
      <c r="V9" s="36">
        <v>53487000</v>
      </c>
      <c r="W9" s="36">
        <v>906000</v>
      </c>
      <c r="X9" s="36">
        <v>54246000</v>
      </c>
      <c r="Y9" s="36">
        <v>18069000</v>
      </c>
      <c r="Z9" s="36">
        <v>75226000</v>
      </c>
      <c r="AA9" s="40">
        <v>297948000</v>
      </c>
    </row>
    <row r="10" spans="1:27" x14ac:dyDescent="0.45">
      <c r="A10" s="10">
        <v>44</v>
      </c>
      <c r="B10" s="11" t="s">
        <v>6</v>
      </c>
      <c r="C10" s="11" t="s">
        <v>70</v>
      </c>
      <c r="D10" s="11" t="s">
        <v>250</v>
      </c>
      <c r="E10" s="11" t="s">
        <v>251</v>
      </c>
      <c r="F10" s="11" t="s">
        <v>241</v>
      </c>
      <c r="G10" s="36">
        <v>127358000</v>
      </c>
      <c r="H10" s="36">
        <v>67635000</v>
      </c>
      <c r="I10" s="36">
        <v>3879000</v>
      </c>
      <c r="J10" s="36">
        <v>255254000</v>
      </c>
      <c r="K10" s="36">
        <v>19841000</v>
      </c>
      <c r="L10" s="36">
        <v>-31006000</v>
      </c>
      <c r="M10" s="36">
        <v>442961000</v>
      </c>
      <c r="N10" s="36">
        <v>124698000</v>
      </c>
      <c r="O10" s="36">
        <v>70070000</v>
      </c>
      <c r="P10" s="36">
        <v>6563000</v>
      </c>
      <c r="Q10" s="36">
        <v>263399000</v>
      </c>
      <c r="R10" s="36">
        <v>28262000</v>
      </c>
      <c r="S10" s="36">
        <v>-36398000</v>
      </c>
      <c r="T10" s="36">
        <v>456594000</v>
      </c>
      <c r="U10" s="36">
        <v>164566000</v>
      </c>
      <c r="V10" s="36">
        <v>82194000</v>
      </c>
      <c r="W10" s="36">
        <v>8440000</v>
      </c>
      <c r="X10" s="36">
        <v>336117000</v>
      </c>
      <c r="Y10" s="36">
        <v>11584000</v>
      </c>
      <c r="Z10" s="36">
        <v>-19018000</v>
      </c>
      <c r="AA10" s="40">
        <v>583883000</v>
      </c>
    </row>
    <row r="11" spans="1:27" x14ac:dyDescent="0.45">
      <c r="A11" s="10">
        <v>111</v>
      </c>
      <c r="B11" s="11" t="s">
        <v>7</v>
      </c>
      <c r="C11" s="11" t="s">
        <v>73</v>
      </c>
      <c r="D11" s="11" t="s">
        <v>253</v>
      </c>
      <c r="E11" s="11" t="s">
        <v>251</v>
      </c>
      <c r="F11" s="11" t="s">
        <v>241</v>
      </c>
      <c r="G11" s="36">
        <v>115868000</v>
      </c>
      <c r="H11" s="36">
        <v>19037000</v>
      </c>
      <c r="I11" s="36">
        <v>765000</v>
      </c>
      <c r="J11" s="36">
        <v>123335000</v>
      </c>
      <c r="K11" s="36">
        <v>4918000</v>
      </c>
      <c r="L11" s="36">
        <v>29704000</v>
      </c>
      <c r="M11" s="36">
        <v>293627000</v>
      </c>
      <c r="N11" s="36">
        <v>147314000</v>
      </c>
      <c r="O11" s="36">
        <v>25967000</v>
      </c>
      <c r="P11" s="36">
        <v>1300000</v>
      </c>
      <c r="Q11" s="36">
        <v>89119000</v>
      </c>
      <c r="R11" s="36">
        <v>-5184000</v>
      </c>
      <c r="S11" s="36">
        <v>-9240000</v>
      </c>
      <c r="T11" s="36">
        <v>249276000</v>
      </c>
      <c r="U11" s="36">
        <v>132426000</v>
      </c>
      <c r="V11" s="36">
        <v>22444000</v>
      </c>
      <c r="W11" s="36">
        <v>1176000</v>
      </c>
      <c r="X11" s="36">
        <v>151053000</v>
      </c>
      <c r="Y11" s="36">
        <v>-5329000</v>
      </c>
      <c r="Z11" s="36">
        <v>4083000</v>
      </c>
      <c r="AA11" s="40">
        <v>305853000</v>
      </c>
    </row>
    <row r="12" spans="1:27" x14ac:dyDescent="0.45">
      <c r="A12" s="10">
        <v>17</v>
      </c>
      <c r="B12" s="11" t="s">
        <v>8</v>
      </c>
      <c r="C12" s="11" t="s">
        <v>67</v>
      </c>
      <c r="D12" s="11" t="s">
        <v>254</v>
      </c>
      <c r="E12" s="11" t="s">
        <v>240</v>
      </c>
      <c r="F12" s="11" t="s">
        <v>241</v>
      </c>
      <c r="G12" s="36">
        <v>99899000</v>
      </c>
      <c r="H12" s="36">
        <v>10505000</v>
      </c>
      <c r="I12" s="36">
        <v>0</v>
      </c>
      <c r="J12" s="36">
        <v>102268000</v>
      </c>
      <c r="K12" s="36">
        <v>-9069999.9999999981</v>
      </c>
      <c r="L12" s="36">
        <v>240000</v>
      </c>
      <c r="M12" s="36">
        <v>203842000</v>
      </c>
      <c r="N12" s="36">
        <v>54926000</v>
      </c>
      <c r="O12" s="36">
        <v>13799000</v>
      </c>
      <c r="P12" s="36">
        <v>0</v>
      </c>
      <c r="Q12" s="36">
        <v>101617000</v>
      </c>
      <c r="R12" s="36">
        <v>-3336000</v>
      </c>
      <c r="S12" s="36">
        <v>26114000</v>
      </c>
      <c r="T12" s="36">
        <v>193120000</v>
      </c>
      <c r="U12" s="36">
        <v>129194000</v>
      </c>
      <c r="V12" s="36">
        <v>31502000</v>
      </c>
      <c r="W12" s="36">
        <v>0</v>
      </c>
      <c r="X12" s="36">
        <v>69564000</v>
      </c>
      <c r="Y12" s="36">
        <v>4059000</v>
      </c>
      <c r="Z12" s="36">
        <v>2247000</v>
      </c>
      <c r="AA12" s="40">
        <v>236566000</v>
      </c>
    </row>
    <row r="13" spans="1:27" x14ac:dyDescent="0.45">
      <c r="A13" s="10">
        <v>16</v>
      </c>
      <c r="B13" s="11" t="s">
        <v>9</v>
      </c>
      <c r="C13" s="11" t="s">
        <v>71</v>
      </c>
      <c r="D13" s="11" t="s">
        <v>248</v>
      </c>
      <c r="E13" s="11" t="s">
        <v>240</v>
      </c>
      <c r="F13" s="11" t="s">
        <v>241</v>
      </c>
      <c r="G13" s="36">
        <v>34978000</v>
      </c>
      <c r="H13" s="36">
        <v>37090000</v>
      </c>
      <c r="I13" s="36">
        <v>103000</v>
      </c>
      <c r="J13" s="36">
        <v>12752000</v>
      </c>
      <c r="K13" s="36">
        <v>89146000</v>
      </c>
      <c r="L13" s="36">
        <v>16091000</v>
      </c>
      <c r="M13" s="36">
        <v>190160000</v>
      </c>
      <c r="N13" s="36">
        <v>7856000</v>
      </c>
      <c r="O13" s="36">
        <v>-8444000</v>
      </c>
      <c r="P13" s="36">
        <v>1459000</v>
      </c>
      <c r="Q13" s="36">
        <v>-7599000</v>
      </c>
      <c r="R13" s="36">
        <v>151612000</v>
      </c>
      <c r="S13" s="36">
        <v>15141000</v>
      </c>
      <c r="T13" s="36">
        <v>160025000</v>
      </c>
      <c r="U13" s="36">
        <v>-3885000</v>
      </c>
      <c r="V13" s="36">
        <v>-20394000</v>
      </c>
      <c r="W13" s="36">
        <v>4008000</v>
      </c>
      <c r="X13" s="36">
        <v>-12785000</v>
      </c>
      <c r="Y13" s="36">
        <v>138949000</v>
      </c>
      <c r="Z13" s="36">
        <v>22847000</v>
      </c>
      <c r="AA13" s="40">
        <v>128740000</v>
      </c>
    </row>
    <row r="14" spans="1:27" x14ac:dyDescent="0.45">
      <c r="A14" s="10">
        <v>9</v>
      </c>
      <c r="B14" s="11" t="s">
        <v>10</v>
      </c>
      <c r="C14" s="11" t="s">
        <v>69</v>
      </c>
      <c r="D14" s="11" t="s">
        <v>246</v>
      </c>
      <c r="E14" s="11" t="s">
        <v>240</v>
      </c>
      <c r="F14" s="11" t="s">
        <v>241</v>
      </c>
      <c r="G14" s="36">
        <v>121310000</v>
      </c>
      <c r="H14" s="36">
        <v>77232000</v>
      </c>
      <c r="I14" s="36">
        <v>219000</v>
      </c>
      <c r="J14" s="36">
        <v>63469000</v>
      </c>
      <c r="K14" s="36">
        <v>-29016000</v>
      </c>
      <c r="L14" s="36">
        <v>12522000</v>
      </c>
      <c r="M14" s="36">
        <v>245736000</v>
      </c>
      <c r="N14" s="36">
        <v>122128000</v>
      </c>
      <c r="O14" s="36">
        <v>70312000</v>
      </c>
      <c r="P14" s="36">
        <v>195000</v>
      </c>
      <c r="Q14" s="36">
        <v>68702000</v>
      </c>
      <c r="R14" s="36">
        <v>-21342000</v>
      </c>
      <c r="S14" s="36">
        <v>10846000</v>
      </c>
      <c r="T14" s="36">
        <v>250841000</v>
      </c>
      <c r="U14" s="36">
        <v>143841000</v>
      </c>
      <c r="V14" s="36">
        <v>96474000</v>
      </c>
      <c r="W14" s="36">
        <v>130000</v>
      </c>
      <c r="X14" s="36">
        <v>84450000</v>
      </c>
      <c r="Y14" s="36">
        <v>-24960000</v>
      </c>
      <c r="Z14" s="36">
        <v>9460000</v>
      </c>
      <c r="AA14" s="40">
        <v>309395000</v>
      </c>
    </row>
    <row r="15" spans="1:27" x14ac:dyDescent="0.45">
      <c r="A15" s="10">
        <v>41</v>
      </c>
      <c r="B15" s="11" t="s">
        <v>11</v>
      </c>
      <c r="C15" s="11" t="s">
        <v>69</v>
      </c>
      <c r="D15" s="11" t="s">
        <v>255</v>
      </c>
      <c r="E15" s="11" t="s">
        <v>251</v>
      </c>
      <c r="F15" s="11" t="s">
        <v>241</v>
      </c>
      <c r="G15" s="36">
        <v>276403000</v>
      </c>
      <c r="H15" s="36">
        <v>49371000</v>
      </c>
      <c r="I15" s="36">
        <v>618000</v>
      </c>
      <c r="J15" s="36">
        <v>78114000</v>
      </c>
      <c r="K15" s="36">
        <v>-22463000</v>
      </c>
      <c r="L15" s="36">
        <v>8266000</v>
      </c>
      <c r="M15" s="36">
        <v>390309000</v>
      </c>
      <c r="N15" s="36">
        <v>256901000</v>
      </c>
      <c r="O15" s="36">
        <v>47721000</v>
      </c>
      <c r="P15" s="36">
        <v>503000</v>
      </c>
      <c r="Q15" s="36">
        <v>76142000</v>
      </c>
      <c r="R15" s="36">
        <v>-20085000</v>
      </c>
      <c r="S15" s="36">
        <v>2468000</v>
      </c>
      <c r="T15" s="36">
        <v>363650000</v>
      </c>
      <c r="U15" s="36">
        <v>300740000</v>
      </c>
      <c r="V15" s="36">
        <v>58780000</v>
      </c>
      <c r="W15" s="36">
        <v>682000</v>
      </c>
      <c r="X15" s="36">
        <v>98261000</v>
      </c>
      <c r="Y15" s="36">
        <v>-18648000</v>
      </c>
      <c r="Z15" s="36">
        <v>1729000</v>
      </c>
      <c r="AA15" s="40">
        <v>441544000</v>
      </c>
    </row>
    <row r="16" spans="1:27" x14ac:dyDescent="0.45">
      <c r="A16" s="10">
        <v>14</v>
      </c>
      <c r="B16" s="11" t="s">
        <v>12</v>
      </c>
      <c r="C16" s="11" t="s">
        <v>73</v>
      </c>
      <c r="D16" s="11" t="s">
        <v>243</v>
      </c>
      <c r="E16" s="11" t="s">
        <v>237</v>
      </c>
      <c r="F16" s="11" t="s">
        <v>241</v>
      </c>
      <c r="G16" s="36">
        <v>233356000</v>
      </c>
      <c r="H16" s="36">
        <v>283580000</v>
      </c>
      <c r="I16" s="36">
        <v>15271000</v>
      </c>
      <c r="J16" s="36">
        <v>458798000</v>
      </c>
      <c r="K16" s="36">
        <v>26431000</v>
      </c>
      <c r="L16" s="36">
        <v>23607000</v>
      </c>
      <c r="M16" s="36">
        <v>1041043000</v>
      </c>
      <c r="N16" s="36">
        <v>358949000</v>
      </c>
      <c r="O16" s="36">
        <v>198112000</v>
      </c>
      <c r="P16" s="36">
        <v>15671000</v>
      </c>
      <c r="Q16" s="36">
        <v>436446000</v>
      </c>
      <c r="R16" s="36">
        <v>25263000</v>
      </c>
      <c r="S16" s="36">
        <v>30549000</v>
      </c>
      <c r="T16" s="36">
        <v>1064990000</v>
      </c>
      <c r="U16" s="36">
        <v>342138000</v>
      </c>
      <c r="V16" s="36">
        <v>343611000</v>
      </c>
      <c r="W16" s="36">
        <v>21405000</v>
      </c>
      <c r="X16" s="36">
        <v>530031000</v>
      </c>
      <c r="Y16" s="36">
        <v>26497000</v>
      </c>
      <c r="Z16" s="36">
        <v>41256000</v>
      </c>
      <c r="AA16" s="40">
        <v>1304938000</v>
      </c>
    </row>
    <row r="17" spans="1:28" x14ac:dyDescent="0.45">
      <c r="A17" s="10">
        <v>76</v>
      </c>
      <c r="B17" s="11" t="s">
        <v>308</v>
      </c>
      <c r="C17" s="11" t="s">
        <v>69</v>
      </c>
      <c r="D17" s="11" t="s">
        <v>246</v>
      </c>
      <c r="E17" s="11" t="s">
        <v>240</v>
      </c>
      <c r="F17" s="11" t="s">
        <v>241</v>
      </c>
      <c r="G17" s="36">
        <v>409484000</v>
      </c>
      <c r="H17" s="36">
        <v>118171000</v>
      </c>
      <c r="I17" s="36">
        <v>3173000</v>
      </c>
      <c r="J17" s="36">
        <v>350498000</v>
      </c>
      <c r="K17" s="36">
        <v>-21493000</v>
      </c>
      <c r="L17" s="36">
        <v>35503000</v>
      </c>
      <c r="M17" s="36">
        <v>895336000</v>
      </c>
      <c r="N17" s="36">
        <v>380203000</v>
      </c>
      <c r="O17" s="36">
        <v>114569000</v>
      </c>
      <c r="P17" s="36">
        <v>3303000</v>
      </c>
      <c r="Q17" s="36">
        <v>344837000</v>
      </c>
      <c r="R17" s="36">
        <v>-20316000</v>
      </c>
      <c r="S17" s="36">
        <v>36360000</v>
      </c>
      <c r="T17" s="36">
        <v>858956000</v>
      </c>
      <c r="U17" s="36">
        <v>438823000</v>
      </c>
      <c r="V17" s="36">
        <v>133537000</v>
      </c>
      <c r="W17" s="36">
        <v>3124000</v>
      </c>
      <c r="X17" s="36">
        <v>400728000</v>
      </c>
      <c r="Y17" s="36">
        <v>-8602000</v>
      </c>
      <c r="Z17" s="36">
        <v>34992000</v>
      </c>
      <c r="AA17" s="40">
        <v>1002602000</v>
      </c>
      <c r="AB17" s="23"/>
    </row>
    <row r="18" spans="1:28" x14ac:dyDescent="0.45">
      <c r="A18" s="10">
        <v>31</v>
      </c>
      <c r="B18" s="11" t="s">
        <v>13</v>
      </c>
      <c r="C18" s="11" t="s">
        <v>73</v>
      </c>
      <c r="D18" s="11" t="s">
        <v>242</v>
      </c>
      <c r="E18" s="11" t="s">
        <v>237</v>
      </c>
      <c r="F18" s="11" t="s">
        <v>241</v>
      </c>
      <c r="G18" s="36">
        <v>89861000</v>
      </c>
      <c r="H18" s="36">
        <v>12034000</v>
      </c>
      <c r="I18" s="36">
        <v>1856000</v>
      </c>
      <c r="J18" s="36">
        <v>76681000</v>
      </c>
      <c r="K18" s="36">
        <v>1393000</v>
      </c>
      <c r="L18" s="36">
        <v>1199000</v>
      </c>
      <c r="M18" s="36">
        <v>183024000</v>
      </c>
      <c r="N18" s="36">
        <v>83045000</v>
      </c>
      <c r="O18" s="36">
        <v>10944000</v>
      </c>
      <c r="P18" s="36">
        <v>884000</v>
      </c>
      <c r="Q18" s="36">
        <v>76636000</v>
      </c>
      <c r="R18" s="36">
        <v>-6342000</v>
      </c>
      <c r="S18" s="36">
        <v>991000</v>
      </c>
      <c r="T18" s="36">
        <v>166158000</v>
      </c>
      <c r="U18" s="36">
        <v>88878000</v>
      </c>
      <c r="V18" s="36">
        <v>11212000</v>
      </c>
      <c r="W18" s="36">
        <v>1291000</v>
      </c>
      <c r="X18" s="36">
        <v>82125000</v>
      </c>
      <c r="Y18" s="36">
        <v>4071000</v>
      </c>
      <c r="Z18" s="36">
        <v>4233000</v>
      </c>
      <c r="AA18" s="40">
        <v>191810000</v>
      </c>
    </row>
    <row r="19" spans="1:28" x14ac:dyDescent="0.45">
      <c r="A19" s="10">
        <v>83</v>
      </c>
      <c r="B19" s="11" t="s">
        <v>307</v>
      </c>
      <c r="C19" s="11" t="s">
        <v>73</v>
      </c>
      <c r="D19" s="11" t="s">
        <v>246</v>
      </c>
      <c r="E19" s="11" t="s">
        <v>240</v>
      </c>
      <c r="F19" s="11" t="s">
        <v>241</v>
      </c>
      <c r="G19" s="36">
        <v>37098000</v>
      </c>
      <c r="H19" s="36">
        <v>25694000</v>
      </c>
      <c r="I19" s="36">
        <v>0</v>
      </c>
      <c r="J19" s="36">
        <v>10942000</v>
      </c>
      <c r="K19" s="36">
        <v>6544000</v>
      </c>
      <c r="L19" s="36">
        <v>274000</v>
      </c>
      <c r="M19" s="36">
        <v>80552000</v>
      </c>
      <c r="N19" s="36">
        <v>39783000</v>
      </c>
      <c r="O19" s="36">
        <v>19932000</v>
      </c>
      <c r="P19" s="36">
        <v>1000</v>
      </c>
      <c r="Q19" s="36">
        <v>10203000</v>
      </c>
      <c r="R19" s="36">
        <v>1836000</v>
      </c>
      <c r="S19" s="36">
        <v>-6000</v>
      </c>
      <c r="T19" s="36">
        <v>71749000</v>
      </c>
      <c r="U19" s="36">
        <v>36542000</v>
      </c>
      <c r="V19" s="36">
        <v>28897000</v>
      </c>
      <c r="W19" s="36">
        <v>63000</v>
      </c>
      <c r="X19" s="36">
        <v>11511000</v>
      </c>
      <c r="Y19" s="36">
        <v>5054000</v>
      </c>
      <c r="Z19" s="36">
        <v>44000</v>
      </c>
      <c r="AA19" s="40">
        <v>82111000</v>
      </c>
    </row>
    <row r="20" spans="1:28" x14ac:dyDescent="0.45">
      <c r="A20" s="10">
        <v>45</v>
      </c>
      <c r="B20" s="11" t="s">
        <v>14</v>
      </c>
      <c r="C20" s="11" t="s">
        <v>73</v>
      </c>
      <c r="D20" s="11" t="s">
        <v>239</v>
      </c>
      <c r="E20" s="11" t="s">
        <v>240</v>
      </c>
      <c r="F20" s="11" t="s">
        <v>241</v>
      </c>
      <c r="G20" s="36">
        <v>306479000</v>
      </c>
      <c r="H20" s="36">
        <v>196110000</v>
      </c>
      <c r="I20" s="36">
        <v>0</v>
      </c>
      <c r="J20" s="36">
        <v>224695000</v>
      </c>
      <c r="K20" s="36">
        <v>1045000</v>
      </c>
      <c r="L20" s="36">
        <v>16808000</v>
      </c>
      <c r="M20" s="36">
        <v>745137000</v>
      </c>
      <c r="N20" s="36">
        <v>296929000</v>
      </c>
      <c r="O20" s="36">
        <v>197540000</v>
      </c>
      <c r="P20" s="36">
        <v>0</v>
      </c>
      <c r="Q20" s="36">
        <v>136234000</v>
      </c>
      <c r="R20" s="36">
        <v>74558000</v>
      </c>
      <c r="S20" s="36">
        <v>5932000</v>
      </c>
      <c r="T20" s="36">
        <v>711193000</v>
      </c>
      <c r="U20" s="36">
        <v>372857000</v>
      </c>
      <c r="V20" s="36">
        <v>131758000</v>
      </c>
      <c r="W20" s="36">
        <v>0</v>
      </c>
      <c r="X20" s="36">
        <v>335940000</v>
      </c>
      <c r="Y20" s="36">
        <v>18038000</v>
      </c>
      <c r="Z20" s="36">
        <v>11033000</v>
      </c>
      <c r="AA20" s="40">
        <v>869626000</v>
      </c>
    </row>
    <row r="21" spans="1:28" x14ac:dyDescent="0.45">
      <c r="A21" s="10">
        <v>3</v>
      </c>
      <c r="B21" s="11" t="s">
        <v>15</v>
      </c>
      <c r="C21" s="11" t="s">
        <v>72</v>
      </c>
      <c r="D21" s="11" t="s">
        <v>248</v>
      </c>
      <c r="E21" s="11" t="s">
        <v>240</v>
      </c>
      <c r="F21" s="11" t="s">
        <v>241</v>
      </c>
      <c r="G21" s="36">
        <v>122987000</v>
      </c>
      <c r="H21" s="36">
        <v>40327000</v>
      </c>
      <c r="I21" s="36">
        <v>322000</v>
      </c>
      <c r="J21" s="36">
        <v>20685000</v>
      </c>
      <c r="K21" s="36">
        <v>3000</v>
      </c>
      <c r="L21" s="36">
        <v>-1000</v>
      </c>
      <c r="M21" s="36">
        <v>184323000</v>
      </c>
      <c r="N21" s="36">
        <v>27178000</v>
      </c>
      <c r="O21" s="36">
        <v>25076000</v>
      </c>
      <c r="P21" s="36">
        <v>211000</v>
      </c>
      <c r="Q21" s="36">
        <v>90713000</v>
      </c>
      <c r="R21" s="36">
        <v>6712000</v>
      </c>
      <c r="S21" s="36">
        <v>-91000</v>
      </c>
      <c r="T21" s="36">
        <v>149799000</v>
      </c>
      <c r="U21" s="36">
        <v>55748000</v>
      </c>
      <c r="V21" s="36">
        <v>30927000</v>
      </c>
      <c r="W21" s="36">
        <v>276000</v>
      </c>
      <c r="X21" s="36">
        <v>78335000</v>
      </c>
      <c r="Y21" s="36">
        <v>19072000</v>
      </c>
      <c r="Z21" s="36">
        <v>161000</v>
      </c>
      <c r="AA21" s="40">
        <v>184519000</v>
      </c>
    </row>
    <row r="22" spans="1:28" x14ac:dyDescent="0.45">
      <c r="A22" s="10">
        <v>37</v>
      </c>
      <c r="B22" s="11" t="s">
        <v>16</v>
      </c>
      <c r="C22" s="11" t="s">
        <v>72</v>
      </c>
      <c r="D22" s="11" t="s">
        <v>239</v>
      </c>
      <c r="E22" s="11" t="s">
        <v>240</v>
      </c>
      <c r="F22" s="11" t="s">
        <v>241</v>
      </c>
      <c r="G22" s="36">
        <v>52812000</v>
      </c>
      <c r="H22" s="36">
        <v>9717000</v>
      </c>
      <c r="I22" s="36">
        <v>1297000</v>
      </c>
      <c r="J22" s="36">
        <v>46873000</v>
      </c>
      <c r="K22" s="36">
        <v>5929000</v>
      </c>
      <c r="L22" s="36">
        <v>10414000</v>
      </c>
      <c r="M22" s="36">
        <v>127042000</v>
      </c>
      <c r="N22" s="36">
        <v>41810000</v>
      </c>
      <c r="O22" s="36">
        <v>10940000</v>
      </c>
      <c r="P22" s="36">
        <v>1145000</v>
      </c>
      <c r="Q22" s="36">
        <v>40677000</v>
      </c>
      <c r="R22" s="36">
        <v>11976000</v>
      </c>
      <c r="S22" s="36">
        <v>12714000</v>
      </c>
      <c r="T22" s="36">
        <v>119262000</v>
      </c>
      <c r="U22" s="36">
        <v>52301000</v>
      </c>
      <c r="V22" s="36">
        <v>12193000</v>
      </c>
      <c r="W22" s="36">
        <v>1961000</v>
      </c>
      <c r="X22" s="36">
        <v>52784000</v>
      </c>
      <c r="Y22" s="36">
        <v>9183000</v>
      </c>
      <c r="Z22" s="36">
        <v>10436000</v>
      </c>
      <c r="AA22" s="40">
        <v>138858000</v>
      </c>
    </row>
    <row r="23" spans="1:28" x14ac:dyDescent="0.45">
      <c r="A23" s="10">
        <v>54</v>
      </c>
      <c r="B23" s="11" t="s">
        <v>17</v>
      </c>
      <c r="C23" s="11" t="s">
        <v>72</v>
      </c>
      <c r="D23" s="11" t="s">
        <v>246</v>
      </c>
      <c r="E23" s="11" t="s">
        <v>240</v>
      </c>
      <c r="F23" s="11" t="s">
        <v>241</v>
      </c>
      <c r="G23" s="36">
        <v>111074000</v>
      </c>
      <c r="H23" s="36">
        <v>30484000</v>
      </c>
      <c r="I23" s="36">
        <v>1363000</v>
      </c>
      <c r="J23" s="36">
        <v>60766000</v>
      </c>
      <c r="K23" s="36">
        <v>24510000</v>
      </c>
      <c r="L23" s="36">
        <v>7444000</v>
      </c>
      <c r="M23" s="36">
        <v>235641000</v>
      </c>
      <c r="N23" s="36">
        <v>89938000</v>
      </c>
      <c r="O23" s="36">
        <v>28512000</v>
      </c>
      <c r="P23" s="36">
        <v>2140000</v>
      </c>
      <c r="Q23" s="36">
        <v>54093000</v>
      </c>
      <c r="R23" s="36">
        <v>33879000</v>
      </c>
      <c r="S23" s="36">
        <v>12987000</v>
      </c>
      <c r="T23" s="36">
        <v>221549000</v>
      </c>
      <c r="U23" s="36">
        <v>123409000</v>
      </c>
      <c r="V23" s="36">
        <v>43188000</v>
      </c>
      <c r="W23" s="36">
        <v>1761000</v>
      </c>
      <c r="X23" s="36">
        <v>74709000</v>
      </c>
      <c r="Y23" s="36">
        <v>26225000</v>
      </c>
      <c r="Z23" s="36">
        <v>17487000</v>
      </c>
      <c r="AA23" s="40">
        <v>286779000</v>
      </c>
    </row>
    <row r="24" spans="1:28" x14ac:dyDescent="0.45">
      <c r="A24" s="10">
        <v>1</v>
      </c>
      <c r="B24" s="11" t="s">
        <v>18</v>
      </c>
      <c r="C24" s="11" t="s">
        <v>72</v>
      </c>
      <c r="D24" s="11" t="s">
        <v>239</v>
      </c>
      <c r="E24" s="11" t="s">
        <v>240</v>
      </c>
      <c r="F24" s="11" t="s">
        <v>241</v>
      </c>
      <c r="G24" s="36">
        <v>502033000</v>
      </c>
      <c r="H24" s="36">
        <v>191240000</v>
      </c>
      <c r="I24" s="36">
        <v>0</v>
      </c>
      <c r="J24" s="36">
        <v>1310502000</v>
      </c>
      <c r="K24" s="36">
        <v>-195005000</v>
      </c>
      <c r="L24" s="36">
        <v>0</v>
      </c>
      <c r="M24" s="36">
        <v>1808770000</v>
      </c>
      <c r="N24" s="36">
        <v>600600000</v>
      </c>
      <c r="O24" s="36">
        <v>169056000</v>
      </c>
      <c r="P24" s="36">
        <v>0</v>
      </c>
      <c r="Q24" s="36">
        <v>1104510000</v>
      </c>
      <c r="R24" s="36">
        <v>-219221000</v>
      </c>
      <c r="S24" s="36">
        <v>0</v>
      </c>
      <c r="T24" s="36">
        <v>1654945000</v>
      </c>
      <c r="U24" s="36">
        <v>565388000</v>
      </c>
      <c r="V24" s="36">
        <v>215708000</v>
      </c>
      <c r="W24" s="36">
        <v>0</v>
      </c>
      <c r="X24" s="36">
        <v>1336999000</v>
      </c>
      <c r="Y24" s="36">
        <v>-162570000</v>
      </c>
      <c r="Z24" s="36">
        <v>0</v>
      </c>
      <c r="AA24" s="40">
        <v>1955525000</v>
      </c>
    </row>
    <row r="25" spans="1:28" x14ac:dyDescent="0.45">
      <c r="A25" s="10">
        <v>115</v>
      </c>
      <c r="B25" s="11" t="s">
        <v>19</v>
      </c>
      <c r="C25" s="11" t="s">
        <v>67</v>
      </c>
      <c r="D25" s="11" t="s">
        <v>261</v>
      </c>
      <c r="E25" s="11" t="s">
        <v>240</v>
      </c>
      <c r="F25" s="11" t="s">
        <v>238</v>
      </c>
      <c r="G25" s="36">
        <v>39298000</v>
      </c>
      <c r="H25" s="36">
        <v>-3319000</v>
      </c>
      <c r="I25" s="36">
        <v>0</v>
      </c>
      <c r="J25" s="36">
        <v>59588000</v>
      </c>
      <c r="K25" s="36">
        <v>-10535000</v>
      </c>
      <c r="L25" s="36">
        <v>816000</v>
      </c>
      <c r="M25" s="36">
        <v>85848000</v>
      </c>
      <c r="N25" s="36">
        <v>32950000</v>
      </c>
      <c r="O25" s="36">
        <v>7945000</v>
      </c>
      <c r="P25" s="36">
        <v>0</v>
      </c>
      <c r="Q25" s="36">
        <v>47029000</v>
      </c>
      <c r="R25" s="36">
        <v>-8927000</v>
      </c>
      <c r="S25" s="36">
        <v>9218000</v>
      </c>
      <c r="T25" s="36">
        <v>88215000</v>
      </c>
      <c r="U25" s="36">
        <v>60252000</v>
      </c>
      <c r="V25" s="36">
        <v>13351000</v>
      </c>
      <c r="W25" s="36">
        <v>0</v>
      </c>
      <c r="X25" s="36">
        <v>32579000</v>
      </c>
      <c r="Y25" s="36">
        <v>1697000</v>
      </c>
      <c r="Z25" s="36">
        <v>1181000</v>
      </c>
      <c r="AA25" s="40">
        <v>109060000</v>
      </c>
    </row>
    <row r="26" spans="1:28" x14ac:dyDescent="0.45">
      <c r="A26" s="10">
        <v>40</v>
      </c>
      <c r="B26" s="11" t="s">
        <v>20</v>
      </c>
      <c r="C26" s="11" t="s">
        <v>71</v>
      </c>
      <c r="D26" s="11" t="s">
        <v>248</v>
      </c>
      <c r="E26" s="11" t="s">
        <v>240</v>
      </c>
      <c r="F26" s="11" t="s">
        <v>241</v>
      </c>
      <c r="G26" s="36">
        <v>10811000</v>
      </c>
      <c r="H26" s="36">
        <v>15826000</v>
      </c>
      <c r="I26" s="36">
        <v>70000</v>
      </c>
      <c r="J26" s="36">
        <v>6827000</v>
      </c>
      <c r="K26" s="36">
        <v>85183000</v>
      </c>
      <c r="L26" s="36">
        <v>21071000</v>
      </c>
      <c r="M26" s="36">
        <v>139788000</v>
      </c>
      <c r="N26" s="36">
        <v>-46893000</v>
      </c>
      <c r="O26" s="36">
        <v>-47830000</v>
      </c>
      <c r="P26" s="36">
        <v>3939000</v>
      </c>
      <c r="Q26" s="36">
        <v>-38673000</v>
      </c>
      <c r="R26" s="36">
        <v>228842000</v>
      </c>
      <c r="S26" s="36">
        <v>16487000</v>
      </c>
      <c r="T26" s="36">
        <v>115872000</v>
      </c>
      <c r="U26" s="36">
        <v>-14075000</v>
      </c>
      <c r="V26" s="36">
        <v>-27170000</v>
      </c>
      <c r="W26" s="36">
        <v>6115000</v>
      </c>
      <c r="X26" s="36">
        <v>-25837000</v>
      </c>
      <c r="Y26" s="36">
        <v>146809000</v>
      </c>
      <c r="Z26" s="36">
        <v>22314000</v>
      </c>
      <c r="AA26" s="40">
        <v>108156000</v>
      </c>
    </row>
    <row r="27" spans="1:28" x14ac:dyDescent="0.45">
      <c r="A27" s="10">
        <v>8</v>
      </c>
      <c r="B27" s="11" t="s">
        <v>21</v>
      </c>
      <c r="C27" s="11" t="s">
        <v>73</v>
      </c>
      <c r="D27" s="11" t="s">
        <v>239</v>
      </c>
      <c r="E27" s="11" t="s">
        <v>240</v>
      </c>
      <c r="F27" s="11" t="s">
        <v>241</v>
      </c>
      <c r="G27" s="36">
        <v>202176000</v>
      </c>
      <c r="H27" s="36">
        <v>66462000</v>
      </c>
      <c r="I27" s="36">
        <v>-27000</v>
      </c>
      <c r="J27" s="36">
        <v>120134000</v>
      </c>
      <c r="K27" s="36">
        <v>8215000</v>
      </c>
      <c r="L27" s="36">
        <v>29027000</v>
      </c>
      <c r="M27" s="36">
        <v>425987000</v>
      </c>
      <c r="N27" s="36">
        <v>133503000</v>
      </c>
      <c r="O27" s="36">
        <v>40012000</v>
      </c>
      <c r="P27" s="36">
        <v>175000</v>
      </c>
      <c r="Q27" s="36">
        <v>217766000</v>
      </c>
      <c r="R27" s="36">
        <v>2028000</v>
      </c>
      <c r="S27" s="36">
        <v>-8136000</v>
      </c>
      <c r="T27" s="36">
        <v>385348000</v>
      </c>
      <c r="U27" s="36">
        <v>196355000</v>
      </c>
      <c r="V27" s="36">
        <v>51360000</v>
      </c>
      <c r="W27" s="36">
        <v>899000</v>
      </c>
      <c r="X27" s="36">
        <v>216928000</v>
      </c>
      <c r="Y27" s="36">
        <v>1837000</v>
      </c>
      <c r="Z27" s="36">
        <v>4033000</v>
      </c>
      <c r="AA27" s="40">
        <v>471412000</v>
      </c>
    </row>
    <row r="28" spans="1:28" x14ac:dyDescent="0.45">
      <c r="A28" s="10">
        <v>118</v>
      </c>
      <c r="B28" s="11" t="s">
        <v>22</v>
      </c>
      <c r="C28" s="11" t="s">
        <v>73</v>
      </c>
      <c r="D28" s="11" t="s">
        <v>248</v>
      </c>
      <c r="E28" s="11" t="s">
        <v>240</v>
      </c>
      <c r="F28" s="11" t="s">
        <v>241</v>
      </c>
      <c r="G28" s="36">
        <v>21797000</v>
      </c>
      <c r="H28" s="36">
        <v>9111000</v>
      </c>
      <c r="I28" s="36">
        <v>101000</v>
      </c>
      <c r="J28" s="36">
        <v>68726000</v>
      </c>
      <c r="K28" s="36">
        <v>-17170000</v>
      </c>
      <c r="L28" s="36">
        <v>17846000</v>
      </c>
      <c r="M28" s="36">
        <v>100411000</v>
      </c>
      <c r="N28" s="36">
        <v>22235000</v>
      </c>
      <c r="O28" s="36">
        <v>8305000</v>
      </c>
      <c r="P28" s="36">
        <v>9000</v>
      </c>
      <c r="Q28" s="36">
        <v>79350000</v>
      </c>
      <c r="R28" s="36">
        <v>119000</v>
      </c>
      <c r="S28" s="36">
        <v>10010000</v>
      </c>
      <c r="T28" s="36">
        <v>120028000</v>
      </c>
      <c r="U28" s="36">
        <v>23175000</v>
      </c>
      <c r="V28" s="36">
        <v>15314000</v>
      </c>
      <c r="W28" s="36">
        <v>45000</v>
      </c>
      <c r="X28" s="36">
        <v>85666000</v>
      </c>
      <c r="Y28" s="36">
        <v>1112000</v>
      </c>
      <c r="Z28" s="36">
        <v>27144000</v>
      </c>
      <c r="AA28" s="40">
        <v>152456000</v>
      </c>
    </row>
    <row r="29" spans="1:28" x14ac:dyDescent="0.45">
      <c r="A29" s="10">
        <v>5</v>
      </c>
      <c r="B29" s="11" t="s">
        <v>23</v>
      </c>
      <c r="C29" s="11" t="s">
        <v>73</v>
      </c>
      <c r="D29" s="11" t="s">
        <v>249</v>
      </c>
      <c r="E29" s="11" t="s">
        <v>240</v>
      </c>
      <c r="F29" s="11" t="s">
        <v>238</v>
      </c>
      <c r="G29" s="36">
        <v>89690000</v>
      </c>
      <c r="H29" s="36">
        <v>18990000</v>
      </c>
      <c r="I29" s="36">
        <v>1481000</v>
      </c>
      <c r="J29" s="36">
        <v>149421000</v>
      </c>
      <c r="K29" s="36">
        <v>1613000</v>
      </c>
      <c r="L29" s="36">
        <v>3065000</v>
      </c>
      <c r="M29" s="36">
        <v>264260000</v>
      </c>
      <c r="N29" s="36">
        <v>73841000</v>
      </c>
      <c r="O29" s="36">
        <v>15956000</v>
      </c>
      <c r="P29" s="36">
        <v>-373000</v>
      </c>
      <c r="Q29" s="36">
        <v>132268000</v>
      </c>
      <c r="R29" s="36">
        <v>1502000</v>
      </c>
      <c r="S29" s="36">
        <v>2243000</v>
      </c>
      <c r="T29" s="36">
        <v>225437000</v>
      </c>
      <c r="U29" s="36">
        <v>86008000</v>
      </c>
      <c r="V29" s="36">
        <v>19508000</v>
      </c>
      <c r="W29" s="36">
        <v>652000</v>
      </c>
      <c r="X29" s="36">
        <v>163162000</v>
      </c>
      <c r="Y29" s="36">
        <v>-142000</v>
      </c>
      <c r="Z29" s="36">
        <v>2496000</v>
      </c>
      <c r="AA29" s="40">
        <v>271684000</v>
      </c>
    </row>
    <row r="30" spans="1:28" x14ac:dyDescent="0.45">
      <c r="A30" s="10">
        <v>69</v>
      </c>
      <c r="B30" s="11" t="s">
        <v>24</v>
      </c>
      <c r="C30" s="11" t="s">
        <v>80</v>
      </c>
      <c r="D30" s="11" t="s">
        <v>257</v>
      </c>
      <c r="E30" s="11" t="s">
        <v>237</v>
      </c>
      <c r="F30" s="11" t="s">
        <v>238</v>
      </c>
      <c r="G30" s="36">
        <v>23868000</v>
      </c>
      <c r="H30" s="36">
        <v>10470000</v>
      </c>
      <c r="I30" s="36">
        <v>320000</v>
      </c>
      <c r="J30" s="36">
        <v>40047000</v>
      </c>
      <c r="K30" s="36">
        <v>-3446000</v>
      </c>
      <c r="L30" s="36">
        <v>-6466000</v>
      </c>
      <c r="M30" s="36">
        <v>64793000</v>
      </c>
      <c r="N30" s="36">
        <v>22947000</v>
      </c>
      <c r="O30" s="36">
        <v>8745000</v>
      </c>
      <c r="P30" s="36">
        <v>939000</v>
      </c>
      <c r="Q30" s="36">
        <v>35909000</v>
      </c>
      <c r="R30" s="36">
        <v>-2554000</v>
      </c>
      <c r="S30" s="36">
        <v>-4519000</v>
      </c>
      <c r="T30" s="36">
        <v>61467000</v>
      </c>
      <c r="U30" s="36">
        <v>24237000</v>
      </c>
      <c r="V30" s="36">
        <v>9933000</v>
      </c>
      <c r="W30" s="36">
        <v>639000</v>
      </c>
      <c r="X30" s="36">
        <v>41054000</v>
      </c>
      <c r="Y30" s="36">
        <v>-2985000</v>
      </c>
      <c r="Z30" s="36">
        <v>-6760000</v>
      </c>
      <c r="AA30" s="40">
        <v>66118000</v>
      </c>
    </row>
    <row r="31" spans="1:28" x14ac:dyDescent="0.45">
      <c r="A31" s="10">
        <v>1069</v>
      </c>
      <c r="B31" s="11" t="s">
        <v>178</v>
      </c>
      <c r="C31" s="11" t="s">
        <v>80</v>
      </c>
      <c r="D31" s="11" t="s">
        <v>247</v>
      </c>
      <c r="E31" s="11" t="s">
        <v>237</v>
      </c>
      <c r="F31" s="11" t="s">
        <v>241</v>
      </c>
      <c r="G31" s="36">
        <v>-6879000</v>
      </c>
      <c r="H31" s="36">
        <v>9714000</v>
      </c>
      <c r="I31" s="36">
        <v>600000</v>
      </c>
      <c r="J31" s="36">
        <v>4976000</v>
      </c>
      <c r="K31" s="36">
        <v>-58000</v>
      </c>
      <c r="L31" s="36">
        <v>44000</v>
      </c>
      <c r="M31" s="36">
        <v>8397000</v>
      </c>
      <c r="N31" s="36">
        <v>100146000</v>
      </c>
      <c r="O31" s="36">
        <v>31051000</v>
      </c>
      <c r="P31" s="36">
        <v>2245000</v>
      </c>
      <c r="Q31" s="36">
        <v>143013000</v>
      </c>
      <c r="R31" s="36">
        <v>-14467000</v>
      </c>
      <c r="S31" s="36">
        <v>-21762000</v>
      </c>
      <c r="T31" s="36">
        <v>240226000</v>
      </c>
      <c r="U31" s="36">
        <v>116133000</v>
      </c>
      <c r="V31" s="36">
        <v>39737000</v>
      </c>
      <c r="W31" s="36">
        <v>2473000</v>
      </c>
      <c r="X31" s="36">
        <v>197098000</v>
      </c>
      <c r="Y31" s="36">
        <v>-8177000</v>
      </c>
      <c r="Z31" s="36">
        <v>-27132000</v>
      </c>
      <c r="AA31" s="40">
        <v>320132000</v>
      </c>
    </row>
    <row r="32" spans="1:28" x14ac:dyDescent="0.45">
      <c r="A32" s="10">
        <v>324</v>
      </c>
      <c r="B32" s="11" t="s">
        <v>25</v>
      </c>
      <c r="C32" s="11" t="s">
        <v>80</v>
      </c>
      <c r="D32" s="11" t="s">
        <v>245</v>
      </c>
      <c r="E32" s="11" t="s">
        <v>237</v>
      </c>
      <c r="F32" s="11" t="s">
        <v>238</v>
      </c>
      <c r="G32" s="36">
        <v>182747000</v>
      </c>
      <c r="H32" s="36">
        <v>108910000</v>
      </c>
      <c r="I32" s="36">
        <v>5116000</v>
      </c>
      <c r="J32" s="36">
        <v>190903000</v>
      </c>
      <c r="K32" s="36">
        <v>-19040000</v>
      </c>
      <c r="L32" s="36">
        <v>-37893000</v>
      </c>
      <c r="M32" s="36">
        <v>430743000</v>
      </c>
      <c r="N32" s="36">
        <v>191076000</v>
      </c>
      <c r="O32" s="36">
        <v>116076000</v>
      </c>
      <c r="P32" s="36">
        <v>6783000</v>
      </c>
      <c r="Q32" s="36">
        <v>206156000</v>
      </c>
      <c r="R32" s="36">
        <v>-22954000</v>
      </c>
      <c r="S32" s="36">
        <v>-42714000</v>
      </c>
      <c r="T32" s="36">
        <v>454423000</v>
      </c>
      <c r="U32" s="36">
        <v>138921000</v>
      </c>
      <c r="V32" s="36">
        <v>137839000</v>
      </c>
      <c r="W32" s="36">
        <v>7954000</v>
      </c>
      <c r="X32" s="36">
        <v>257148000</v>
      </c>
      <c r="Y32" s="36">
        <v>-21216000</v>
      </c>
      <c r="Z32" s="36">
        <v>-42540000</v>
      </c>
      <c r="AA32" s="40">
        <v>478106000</v>
      </c>
    </row>
    <row r="33" spans="1:27" x14ac:dyDescent="0.45">
      <c r="A33" s="10">
        <v>81</v>
      </c>
      <c r="B33" s="11" t="s">
        <v>131</v>
      </c>
      <c r="C33" s="15" t="s">
        <v>80</v>
      </c>
      <c r="D33" s="15" t="s">
        <v>247</v>
      </c>
      <c r="E33" s="15" t="s">
        <v>237</v>
      </c>
      <c r="F33" s="15" t="s">
        <v>241</v>
      </c>
      <c r="G33" s="36">
        <v>74592000</v>
      </c>
      <c r="H33" s="36">
        <v>23409000</v>
      </c>
      <c r="I33" s="36">
        <v>2115000</v>
      </c>
      <c r="J33" s="36">
        <v>117748000</v>
      </c>
      <c r="K33" s="36">
        <v>-9044000</v>
      </c>
      <c r="L33" s="36">
        <v>0</v>
      </c>
      <c r="M33" s="36">
        <v>208820000</v>
      </c>
      <c r="N33" s="36">
        <v>0</v>
      </c>
      <c r="O33" s="36">
        <v>0</v>
      </c>
      <c r="P33" s="36">
        <v>0</v>
      </c>
      <c r="Q33" s="36">
        <v>0</v>
      </c>
      <c r="R33" s="36">
        <v>0</v>
      </c>
      <c r="S33" s="36">
        <v>0</v>
      </c>
      <c r="T33" s="36">
        <v>0</v>
      </c>
      <c r="U33" s="36">
        <v>0</v>
      </c>
      <c r="V33" s="36">
        <v>0</v>
      </c>
      <c r="W33" s="36">
        <v>0</v>
      </c>
      <c r="X33" s="36">
        <v>0</v>
      </c>
      <c r="Y33" s="36">
        <v>0</v>
      </c>
      <c r="Z33" s="36">
        <v>0</v>
      </c>
      <c r="AA33" s="40">
        <v>0</v>
      </c>
    </row>
    <row r="34" spans="1:27" x14ac:dyDescent="0.45">
      <c r="A34" s="10">
        <v>862</v>
      </c>
      <c r="B34" s="11" t="s">
        <v>26</v>
      </c>
      <c r="C34" s="11" t="s">
        <v>79</v>
      </c>
      <c r="D34" s="11" t="s">
        <v>243</v>
      </c>
      <c r="E34" s="11" t="s">
        <v>237</v>
      </c>
      <c r="F34" s="11" t="s">
        <v>241</v>
      </c>
      <c r="G34" s="36">
        <v>35899000</v>
      </c>
      <c r="H34" s="36">
        <v>22258000</v>
      </c>
      <c r="I34" s="36">
        <v>852000</v>
      </c>
      <c r="J34" s="36">
        <v>20801000</v>
      </c>
      <c r="K34" s="36">
        <v>835000</v>
      </c>
      <c r="L34" s="36">
        <v>-2464000</v>
      </c>
      <c r="M34" s="36">
        <v>78181000</v>
      </c>
      <c r="N34" s="36">
        <v>25517000</v>
      </c>
      <c r="O34" s="36">
        <v>9540000</v>
      </c>
      <c r="P34" s="36">
        <v>267000</v>
      </c>
      <c r="Q34" s="36">
        <v>45130000</v>
      </c>
      <c r="R34" s="36">
        <v>2921000</v>
      </c>
      <c r="S34" s="36">
        <v>-1902000</v>
      </c>
      <c r="T34" s="36">
        <v>81473000</v>
      </c>
      <c r="U34" s="36">
        <v>91561000</v>
      </c>
      <c r="V34" s="36">
        <v>25068000</v>
      </c>
      <c r="W34" s="36">
        <v>573000</v>
      </c>
      <c r="X34" s="36">
        <v>75295000</v>
      </c>
      <c r="Y34" s="36">
        <v>9376000</v>
      </c>
      <c r="Z34" s="36">
        <v>7307000</v>
      </c>
      <c r="AA34" s="40">
        <v>209180000</v>
      </c>
    </row>
    <row r="35" spans="1:27" x14ac:dyDescent="0.45">
      <c r="A35" s="10">
        <v>863</v>
      </c>
      <c r="B35" s="11" t="s">
        <v>27</v>
      </c>
      <c r="C35" s="11" t="s">
        <v>79</v>
      </c>
      <c r="D35" s="11" t="s">
        <v>243</v>
      </c>
      <c r="E35" s="11" t="s">
        <v>237</v>
      </c>
      <c r="F35" s="11" t="s">
        <v>241</v>
      </c>
      <c r="G35" s="36">
        <v>79062000</v>
      </c>
      <c r="H35" s="36">
        <v>32701000</v>
      </c>
      <c r="I35" s="36">
        <v>1513000</v>
      </c>
      <c r="J35" s="36">
        <v>25913000</v>
      </c>
      <c r="K35" s="36">
        <v>1133000</v>
      </c>
      <c r="L35" s="36">
        <v>-4823000</v>
      </c>
      <c r="M35" s="36">
        <v>135499000</v>
      </c>
      <c r="N35" s="36">
        <v>90963000</v>
      </c>
      <c r="O35" s="36">
        <v>28924000</v>
      </c>
      <c r="P35" s="36">
        <v>129000</v>
      </c>
      <c r="Q35" s="36">
        <v>49768000</v>
      </c>
      <c r="R35" s="36">
        <v>9570000</v>
      </c>
      <c r="S35" s="36">
        <v>-4094000</v>
      </c>
      <c r="T35" s="36">
        <v>175260000</v>
      </c>
      <c r="U35" s="36">
        <v>40871000</v>
      </c>
      <c r="V35" s="36">
        <v>16023000</v>
      </c>
      <c r="W35" s="36">
        <v>144000</v>
      </c>
      <c r="X35" s="36">
        <v>37445000</v>
      </c>
      <c r="Y35" s="36">
        <v>2100000</v>
      </c>
      <c r="Z35" s="36">
        <v>-6300000</v>
      </c>
      <c r="AA35" s="40">
        <v>90283000</v>
      </c>
    </row>
    <row r="36" spans="1:27" x14ac:dyDescent="0.45">
      <c r="A36" s="10">
        <v>861</v>
      </c>
      <c r="B36" s="11" t="s">
        <v>28</v>
      </c>
      <c r="C36" s="11" t="s">
        <v>79</v>
      </c>
      <c r="D36" s="11" t="s">
        <v>247</v>
      </c>
      <c r="E36" s="11" t="s">
        <v>237</v>
      </c>
      <c r="F36" s="11" t="s">
        <v>241</v>
      </c>
      <c r="G36" s="36">
        <v>173053000</v>
      </c>
      <c r="H36" s="36">
        <v>75600000</v>
      </c>
      <c r="I36" s="36">
        <v>2873000</v>
      </c>
      <c r="J36" s="36">
        <v>123055000</v>
      </c>
      <c r="K36" s="36">
        <v>-2242000</v>
      </c>
      <c r="L36" s="36">
        <v>-5939000</v>
      </c>
      <c r="M36" s="36">
        <v>366400000</v>
      </c>
      <c r="N36" s="36">
        <v>117626000</v>
      </c>
      <c r="O36" s="36">
        <v>25632000</v>
      </c>
      <c r="P36" s="36">
        <v>474000</v>
      </c>
      <c r="Q36" s="36">
        <v>102053000</v>
      </c>
      <c r="R36" s="36">
        <v>4916000</v>
      </c>
      <c r="S36" s="36">
        <v>-3864000</v>
      </c>
      <c r="T36" s="36">
        <v>246837000</v>
      </c>
      <c r="U36" s="36">
        <v>146113000</v>
      </c>
      <c r="V36" s="36">
        <v>35248000</v>
      </c>
      <c r="W36" s="36">
        <v>677000</v>
      </c>
      <c r="X36" s="36">
        <v>141676000</v>
      </c>
      <c r="Y36" s="36">
        <v>2006000</v>
      </c>
      <c r="Z36" s="36">
        <v>-6652000</v>
      </c>
      <c r="AA36" s="40">
        <v>319068000</v>
      </c>
    </row>
    <row r="37" spans="1:27" x14ac:dyDescent="0.45">
      <c r="A37" s="10">
        <v>74</v>
      </c>
      <c r="B37" s="11" t="s">
        <v>29</v>
      </c>
      <c r="C37" s="11" t="s">
        <v>69</v>
      </c>
      <c r="D37" s="11" t="s">
        <v>248</v>
      </c>
      <c r="E37" s="11" t="s">
        <v>240</v>
      </c>
      <c r="F37" s="11" t="s">
        <v>241</v>
      </c>
      <c r="G37" s="36">
        <v>147455000</v>
      </c>
      <c r="H37" s="36">
        <v>164768000</v>
      </c>
      <c r="I37" s="36">
        <v>3802000</v>
      </c>
      <c r="J37" s="36">
        <v>116439000</v>
      </c>
      <c r="K37" s="36">
        <v>-60741000</v>
      </c>
      <c r="L37" s="36">
        <v>9664000</v>
      </c>
      <c r="M37" s="36">
        <v>381387000</v>
      </c>
      <c r="N37" s="36">
        <v>147181000</v>
      </c>
      <c r="O37" s="36">
        <v>147210000</v>
      </c>
      <c r="P37" s="36">
        <v>0</v>
      </c>
      <c r="Q37" s="36">
        <v>104595000</v>
      </c>
      <c r="R37" s="36">
        <v>-60678000</v>
      </c>
      <c r="S37" s="36">
        <v>5800000</v>
      </c>
      <c r="T37" s="36">
        <v>344108000</v>
      </c>
      <c r="U37" s="36">
        <v>164339000</v>
      </c>
      <c r="V37" s="36">
        <v>168046000</v>
      </c>
      <c r="W37" s="36">
        <v>0</v>
      </c>
      <c r="X37" s="36">
        <v>121344000</v>
      </c>
      <c r="Y37" s="36">
        <v>-48233000</v>
      </c>
      <c r="Z37" s="36">
        <v>7863000</v>
      </c>
      <c r="AA37" s="40">
        <v>413359000</v>
      </c>
    </row>
    <row r="38" spans="1:27" x14ac:dyDescent="0.45">
      <c r="A38" s="10">
        <v>73</v>
      </c>
      <c r="B38" s="11" t="s">
        <v>30</v>
      </c>
      <c r="C38" s="11" t="s">
        <v>72</v>
      </c>
      <c r="D38" s="11" t="s">
        <v>253</v>
      </c>
      <c r="E38" s="11" t="s">
        <v>251</v>
      </c>
      <c r="F38" s="11" t="s">
        <v>241</v>
      </c>
      <c r="G38" s="36">
        <v>394344000</v>
      </c>
      <c r="H38" s="36">
        <v>19290000</v>
      </c>
      <c r="I38" s="36">
        <v>1100000</v>
      </c>
      <c r="J38" s="36">
        <v>446793000</v>
      </c>
      <c r="K38" s="36">
        <v>5933000</v>
      </c>
      <c r="L38" s="36">
        <v>5059000</v>
      </c>
      <c r="M38" s="36">
        <v>872519000</v>
      </c>
      <c r="N38" s="36">
        <v>340509000</v>
      </c>
      <c r="O38" s="36">
        <v>121823000</v>
      </c>
      <c r="P38" s="36">
        <v>2784000</v>
      </c>
      <c r="Q38" s="36">
        <v>387697000</v>
      </c>
      <c r="R38" s="36">
        <v>23617000</v>
      </c>
      <c r="S38" s="36">
        <v>862000</v>
      </c>
      <c r="T38" s="36">
        <v>877292000</v>
      </c>
      <c r="U38" s="36">
        <v>424118000</v>
      </c>
      <c r="V38" s="36">
        <v>129911000</v>
      </c>
      <c r="W38" s="36">
        <v>2350000</v>
      </c>
      <c r="X38" s="36">
        <v>524873000</v>
      </c>
      <c r="Y38" s="36">
        <v>9564000</v>
      </c>
      <c r="Z38" s="36">
        <v>4366000</v>
      </c>
      <c r="AA38" s="40">
        <v>1095182000</v>
      </c>
    </row>
    <row r="39" spans="1:27" x14ac:dyDescent="0.45">
      <c r="A39" s="10">
        <v>108</v>
      </c>
      <c r="B39" s="11" t="s">
        <v>31</v>
      </c>
      <c r="C39" s="11" t="s">
        <v>72</v>
      </c>
      <c r="D39" s="11" t="s">
        <v>252</v>
      </c>
      <c r="E39" s="11" t="s">
        <v>251</v>
      </c>
      <c r="F39" s="11" t="s">
        <v>241</v>
      </c>
      <c r="G39" s="36">
        <v>201641000</v>
      </c>
      <c r="H39" s="36">
        <v>46479000</v>
      </c>
      <c r="I39" s="36">
        <v>235000</v>
      </c>
      <c r="J39" s="36">
        <v>295013000</v>
      </c>
      <c r="K39" s="36">
        <v>-19301000</v>
      </c>
      <c r="L39" s="36">
        <v>8820000</v>
      </c>
      <c r="M39" s="36">
        <v>532887000</v>
      </c>
      <c r="N39" s="36">
        <v>157907000</v>
      </c>
      <c r="O39" s="36">
        <v>43854000</v>
      </c>
      <c r="P39" s="36">
        <v>419000</v>
      </c>
      <c r="Q39" s="36">
        <v>292084000</v>
      </c>
      <c r="R39" s="36">
        <v>-79046000</v>
      </c>
      <c r="S39" s="36">
        <v>-5351000</v>
      </c>
      <c r="T39" s="36">
        <v>409867000</v>
      </c>
      <c r="U39" s="36">
        <v>224247000</v>
      </c>
      <c r="V39" s="36">
        <v>16709000</v>
      </c>
      <c r="W39" s="36">
        <v>281000</v>
      </c>
      <c r="X39" s="36">
        <v>263263000</v>
      </c>
      <c r="Y39" s="36">
        <v>-19628000</v>
      </c>
      <c r="Z39" s="36">
        <v>3301000</v>
      </c>
      <c r="AA39" s="40">
        <v>488173000</v>
      </c>
    </row>
    <row r="40" spans="1:27" x14ac:dyDescent="0.45">
      <c r="A40" s="10">
        <v>75</v>
      </c>
      <c r="B40" s="11" t="s">
        <v>32</v>
      </c>
      <c r="C40" s="11" t="s">
        <v>69</v>
      </c>
      <c r="D40" s="11" t="s">
        <v>253</v>
      </c>
      <c r="E40" s="11" t="s">
        <v>251</v>
      </c>
      <c r="F40" s="11" t="s">
        <v>241</v>
      </c>
      <c r="G40" s="36">
        <v>163467000</v>
      </c>
      <c r="H40" s="36">
        <v>107053000</v>
      </c>
      <c r="I40" s="36">
        <v>811000</v>
      </c>
      <c r="J40" s="36">
        <v>142973000</v>
      </c>
      <c r="K40" s="36">
        <v>-20723000</v>
      </c>
      <c r="L40" s="36">
        <v>18467000</v>
      </c>
      <c r="M40" s="36">
        <v>412048000</v>
      </c>
      <c r="N40" s="36">
        <v>150691000</v>
      </c>
      <c r="O40" s="36">
        <v>98442000</v>
      </c>
      <c r="P40" s="36">
        <v>575000</v>
      </c>
      <c r="Q40" s="36">
        <v>143751000</v>
      </c>
      <c r="R40" s="36">
        <v>-16496000</v>
      </c>
      <c r="S40" s="36">
        <v>5107000</v>
      </c>
      <c r="T40" s="36">
        <v>382070000</v>
      </c>
      <c r="U40" s="36">
        <v>173718000</v>
      </c>
      <c r="V40" s="36">
        <v>110510000</v>
      </c>
      <c r="W40" s="36">
        <v>655000</v>
      </c>
      <c r="X40" s="36">
        <v>168339000</v>
      </c>
      <c r="Y40" s="36">
        <v>-16415000</v>
      </c>
      <c r="Z40" s="36">
        <v>3858000</v>
      </c>
      <c r="AA40" s="40">
        <v>440665000</v>
      </c>
    </row>
    <row r="41" spans="1:27" x14ac:dyDescent="0.45">
      <c r="A41" s="10">
        <v>84</v>
      </c>
      <c r="B41" s="11" t="s">
        <v>33</v>
      </c>
      <c r="C41" s="11" t="s">
        <v>69</v>
      </c>
      <c r="D41" s="11" t="s">
        <v>255</v>
      </c>
      <c r="E41" s="11" t="s">
        <v>251</v>
      </c>
      <c r="F41" s="11" t="s">
        <v>241</v>
      </c>
      <c r="G41" s="36">
        <v>75888000</v>
      </c>
      <c r="H41" s="36">
        <v>34015000</v>
      </c>
      <c r="I41" s="36">
        <v>156000</v>
      </c>
      <c r="J41" s="36">
        <v>20000000</v>
      </c>
      <c r="K41" s="36">
        <v>-5752000</v>
      </c>
      <c r="L41" s="36">
        <v>3108000</v>
      </c>
      <c r="M41" s="36">
        <v>127415000</v>
      </c>
      <c r="N41" s="36">
        <v>71215000</v>
      </c>
      <c r="O41" s="36">
        <v>32042000</v>
      </c>
      <c r="P41" s="36">
        <v>178000</v>
      </c>
      <c r="Q41" s="36">
        <v>21009000</v>
      </c>
      <c r="R41" s="36">
        <v>-9541000</v>
      </c>
      <c r="S41" s="36">
        <v>940000</v>
      </c>
      <c r="T41" s="36">
        <v>115843000</v>
      </c>
      <c r="U41" s="36">
        <v>71463000</v>
      </c>
      <c r="V41" s="36">
        <v>33039000</v>
      </c>
      <c r="W41" s="36">
        <v>177000</v>
      </c>
      <c r="X41" s="36">
        <v>23832000</v>
      </c>
      <c r="Y41" s="36">
        <v>-4945000</v>
      </c>
      <c r="Z41" s="36">
        <v>900000</v>
      </c>
      <c r="AA41" s="40">
        <v>124466000</v>
      </c>
    </row>
    <row r="42" spans="1:27" x14ac:dyDescent="0.45">
      <c r="A42" s="10">
        <v>15</v>
      </c>
      <c r="B42" s="11" t="s">
        <v>34</v>
      </c>
      <c r="C42" s="11" t="s">
        <v>67</v>
      </c>
      <c r="D42" s="11" t="s">
        <v>254</v>
      </c>
      <c r="E42" s="11" t="s">
        <v>240</v>
      </c>
      <c r="F42" s="11" t="s">
        <v>241</v>
      </c>
      <c r="G42" s="36">
        <v>502679000</v>
      </c>
      <c r="H42" s="36">
        <v>64092000</v>
      </c>
      <c r="I42" s="36">
        <v>0</v>
      </c>
      <c r="J42" s="36">
        <v>923066000</v>
      </c>
      <c r="K42" s="36">
        <v>-33522000</v>
      </c>
      <c r="L42" s="36">
        <v>-54088000</v>
      </c>
      <c r="M42" s="36">
        <v>1402227000</v>
      </c>
      <c r="N42" s="36">
        <v>550569000</v>
      </c>
      <c r="O42" s="36">
        <v>104607000</v>
      </c>
      <c r="P42" s="36">
        <v>0</v>
      </c>
      <c r="Q42" s="36">
        <v>847225000</v>
      </c>
      <c r="R42" s="36">
        <v>-99050000</v>
      </c>
      <c r="S42" s="36">
        <v>-94538000</v>
      </c>
      <c r="T42" s="36">
        <v>1308813000</v>
      </c>
      <c r="U42" s="36">
        <v>816167000</v>
      </c>
      <c r="V42" s="36">
        <v>165192000</v>
      </c>
      <c r="W42" s="36">
        <v>0</v>
      </c>
      <c r="X42" s="36">
        <v>458424000</v>
      </c>
      <c r="Y42" s="36">
        <v>-12958000</v>
      </c>
      <c r="Z42" s="36">
        <v>204244000</v>
      </c>
      <c r="AA42" s="40">
        <v>1631069000</v>
      </c>
    </row>
    <row r="43" spans="1:27" x14ac:dyDescent="0.45">
      <c r="A43" s="10">
        <v>58</v>
      </c>
      <c r="B43" s="11" t="s">
        <v>35</v>
      </c>
      <c r="C43" s="11" t="s">
        <v>73</v>
      </c>
      <c r="D43" s="11" t="s">
        <v>239</v>
      </c>
      <c r="E43" s="11" t="s">
        <v>240</v>
      </c>
      <c r="F43" s="11" t="s">
        <v>241</v>
      </c>
      <c r="G43" s="36">
        <v>83744000</v>
      </c>
      <c r="H43" s="36">
        <v>164070000</v>
      </c>
      <c r="I43" s="36">
        <v>0</v>
      </c>
      <c r="J43" s="36">
        <v>31376000</v>
      </c>
      <c r="K43" s="36">
        <v>73842000</v>
      </c>
      <c r="L43" s="36">
        <v>-259530000</v>
      </c>
      <c r="M43" s="36">
        <v>93502000</v>
      </c>
      <c r="N43" s="36">
        <v>29271000</v>
      </c>
      <c r="O43" s="36">
        <v>21300000</v>
      </c>
      <c r="P43" s="36">
        <v>0</v>
      </c>
      <c r="Q43" s="36">
        <v>15865000</v>
      </c>
      <c r="R43" s="36">
        <v>-6978000</v>
      </c>
      <c r="S43" s="36">
        <v>-6603000</v>
      </c>
      <c r="T43" s="36">
        <v>52855000</v>
      </c>
      <c r="U43" s="36">
        <v>37993000</v>
      </c>
      <c r="V43" s="36">
        <v>29571000</v>
      </c>
      <c r="W43" s="36">
        <v>0</v>
      </c>
      <c r="X43" s="36">
        <v>43823000</v>
      </c>
      <c r="Y43" s="36">
        <v>46379000</v>
      </c>
      <c r="Z43" s="36">
        <v>-24358000</v>
      </c>
      <c r="AA43" s="40">
        <v>133408000</v>
      </c>
    </row>
    <row r="44" spans="1:27" x14ac:dyDescent="0.45">
      <c r="A44" s="10">
        <v>2</v>
      </c>
      <c r="B44" s="11" t="s">
        <v>36</v>
      </c>
      <c r="C44" s="11" t="s">
        <v>69</v>
      </c>
      <c r="D44" s="11" t="s">
        <v>246</v>
      </c>
      <c r="E44" s="11" t="s">
        <v>240</v>
      </c>
      <c r="F44" s="11" t="s">
        <v>241</v>
      </c>
      <c r="G44" s="36">
        <v>243948000</v>
      </c>
      <c r="H44" s="36">
        <v>267395000</v>
      </c>
      <c r="I44" s="36">
        <v>464000</v>
      </c>
      <c r="J44" s="36">
        <v>143088000</v>
      </c>
      <c r="K44" s="36">
        <v>-52354000</v>
      </c>
      <c r="L44" s="36">
        <v>18086000</v>
      </c>
      <c r="M44" s="36">
        <v>620627000</v>
      </c>
      <c r="N44" s="36">
        <v>205281000</v>
      </c>
      <c r="O44" s="36">
        <v>215789000</v>
      </c>
      <c r="P44" s="36">
        <v>370000</v>
      </c>
      <c r="Q44" s="36">
        <v>116732000</v>
      </c>
      <c r="R44" s="36">
        <v>-31787000</v>
      </c>
      <c r="S44" s="36">
        <v>16323000</v>
      </c>
      <c r="T44" s="36">
        <v>522708000</v>
      </c>
      <c r="U44" s="36">
        <v>226626000</v>
      </c>
      <c r="V44" s="36">
        <v>257752000</v>
      </c>
      <c r="W44" s="36">
        <v>444000</v>
      </c>
      <c r="X44" s="36">
        <v>155041000</v>
      </c>
      <c r="Y44" s="36">
        <v>-51454000</v>
      </c>
      <c r="Z44" s="36">
        <v>16935000</v>
      </c>
      <c r="AA44" s="40">
        <v>605344000</v>
      </c>
    </row>
    <row r="45" spans="1:27" x14ac:dyDescent="0.45">
      <c r="A45" s="10">
        <v>28</v>
      </c>
      <c r="B45" s="11" t="s">
        <v>37</v>
      </c>
      <c r="C45" s="11" t="s">
        <v>67</v>
      </c>
      <c r="D45" s="11" t="s">
        <v>259</v>
      </c>
      <c r="E45" s="11" t="s">
        <v>240</v>
      </c>
      <c r="F45" s="11" t="s">
        <v>238</v>
      </c>
      <c r="G45" s="36">
        <v>72315000</v>
      </c>
      <c r="H45" s="36">
        <v>6569000</v>
      </c>
      <c r="I45" s="36">
        <v>2000</v>
      </c>
      <c r="J45" s="36">
        <v>93291000</v>
      </c>
      <c r="K45" s="36">
        <v>-12197000</v>
      </c>
      <c r="L45" s="36">
        <v>7416000</v>
      </c>
      <c r="M45" s="36">
        <v>167396000</v>
      </c>
      <c r="N45" s="36">
        <v>66811000</v>
      </c>
      <c r="O45" s="36">
        <v>17453000</v>
      </c>
      <c r="P45" s="36">
        <v>0</v>
      </c>
      <c r="Q45" s="36">
        <v>80478000</v>
      </c>
      <c r="R45" s="36">
        <v>-18449000</v>
      </c>
      <c r="S45" s="36">
        <v>8749000</v>
      </c>
      <c r="T45" s="36">
        <v>155042000</v>
      </c>
      <c r="U45" s="36">
        <v>106589000</v>
      </c>
      <c r="V45" s="36">
        <v>25583000</v>
      </c>
      <c r="W45" s="36">
        <v>0</v>
      </c>
      <c r="X45" s="36">
        <v>54713000</v>
      </c>
      <c r="Y45" s="36">
        <v>3605000</v>
      </c>
      <c r="Z45" s="36">
        <v>1712000</v>
      </c>
      <c r="AA45" s="40">
        <v>192202000</v>
      </c>
    </row>
    <row r="46" spans="1:27" x14ac:dyDescent="0.45">
      <c r="A46" s="10">
        <v>52</v>
      </c>
      <c r="B46" s="11" t="s">
        <v>38</v>
      </c>
      <c r="C46" s="11" t="s">
        <v>72</v>
      </c>
      <c r="D46" s="11" t="s">
        <v>255</v>
      </c>
      <c r="E46" s="11" t="s">
        <v>251</v>
      </c>
      <c r="F46" s="11" t="s">
        <v>241</v>
      </c>
      <c r="G46" s="36">
        <v>189719000</v>
      </c>
      <c r="H46" s="36">
        <v>38753000</v>
      </c>
      <c r="I46" s="36">
        <v>3144000</v>
      </c>
      <c r="J46" s="36">
        <v>130131000</v>
      </c>
      <c r="K46" s="36">
        <v>3571000</v>
      </c>
      <c r="L46" s="36">
        <v>48000</v>
      </c>
      <c r="M46" s="36">
        <v>365366000</v>
      </c>
      <c r="N46" s="36">
        <v>204138000</v>
      </c>
      <c r="O46" s="36">
        <v>24759000</v>
      </c>
      <c r="P46" s="36">
        <v>297000</v>
      </c>
      <c r="Q46" s="36">
        <v>162926000</v>
      </c>
      <c r="R46" s="36">
        <v>600000</v>
      </c>
      <c r="S46" s="36">
        <v>396000</v>
      </c>
      <c r="T46" s="36">
        <v>393116000</v>
      </c>
      <c r="U46" s="36">
        <v>219124000</v>
      </c>
      <c r="V46" s="36">
        <v>23787000</v>
      </c>
      <c r="W46" s="36">
        <v>3977000</v>
      </c>
      <c r="X46" s="36">
        <v>185466000</v>
      </c>
      <c r="Y46" s="36">
        <v>1405000</v>
      </c>
      <c r="Z46" s="36">
        <v>8364000</v>
      </c>
      <c r="AA46" s="40">
        <v>442123000</v>
      </c>
    </row>
    <row r="47" spans="1:27" x14ac:dyDescent="0.45">
      <c r="A47" s="10">
        <v>51</v>
      </c>
      <c r="B47" s="11" t="s">
        <v>39</v>
      </c>
      <c r="C47" s="11" t="s">
        <v>67</v>
      </c>
      <c r="D47" s="11" t="s">
        <v>260</v>
      </c>
      <c r="E47" s="11" t="s">
        <v>240</v>
      </c>
      <c r="F47" s="11" t="s">
        <v>241</v>
      </c>
      <c r="G47" s="36">
        <v>240390000</v>
      </c>
      <c r="H47" s="36">
        <v>39259000</v>
      </c>
      <c r="I47" s="36">
        <v>0</v>
      </c>
      <c r="J47" s="36">
        <v>446058000</v>
      </c>
      <c r="K47" s="36">
        <v>-42488000</v>
      </c>
      <c r="L47" s="36">
        <v>5870000</v>
      </c>
      <c r="M47" s="36">
        <v>689089000</v>
      </c>
      <c r="N47" s="36">
        <v>173091000</v>
      </c>
      <c r="O47" s="36">
        <v>84167000</v>
      </c>
      <c r="P47" s="36">
        <v>0</v>
      </c>
      <c r="Q47" s="36">
        <v>376930000</v>
      </c>
      <c r="R47" s="36">
        <v>-68088000</v>
      </c>
      <c r="S47" s="36">
        <v>36847000</v>
      </c>
      <c r="T47" s="36">
        <v>602947000</v>
      </c>
      <c r="U47" s="36">
        <v>274040000</v>
      </c>
      <c r="V47" s="36">
        <v>102683000</v>
      </c>
      <c r="W47" s="36">
        <v>0</v>
      </c>
      <c r="X47" s="36">
        <v>340786000</v>
      </c>
      <c r="Y47" s="36">
        <v>80831000</v>
      </c>
      <c r="Z47" s="36">
        <v>53151000</v>
      </c>
      <c r="AA47" s="40">
        <v>851491000</v>
      </c>
    </row>
    <row r="48" spans="1:27" x14ac:dyDescent="0.45">
      <c r="A48" s="10">
        <v>10</v>
      </c>
      <c r="B48" s="11" t="s">
        <v>40</v>
      </c>
      <c r="C48" s="11" t="s">
        <v>78</v>
      </c>
      <c r="D48" s="11" t="s">
        <v>252</v>
      </c>
      <c r="E48" s="11" t="s">
        <v>251</v>
      </c>
      <c r="F48" s="11" t="s">
        <v>241</v>
      </c>
      <c r="G48" s="36">
        <v>147310000</v>
      </c>
      <c r="H48" s="36">
        <v>16033000</v>
      </c>
      <c r="I48" s="36">
        <v>0</v>
      </c>
      <c r="J48" s="36">
        <v>238461000</v>
      </c>
      <c r="K48" s="36">
        <v>-4604000</v>
      </c>
      <c r="L48" s="36">
        <v>388000</v>
      </c>
      <c r="M48" s="36">
        <v>397588000</v>
      </c>
      <c r="N48" s="36">
        <v>137873000</v>
      </c>
      <c r="O48" s="36">
        <v>25006000</v>
      </c>
      <c r="P48" s="36">
        <v>0</v>
      </c>
      <c r="Q48" s="36">
        <v>211950000</v>
      </c>
      <c r="R48" s="36">
        <v>-5439000</v>
      </c>
      <c r="S48" s="36">
        <v>6512000</v>
      </c>
      <c r="T48" s="36">
        <v>375902000</v>
      </c>
      <c r="U48" s="36">
        <v>136718000</v>
      </c>
      <c r="V48" s="36">
        <v>31283000</v>
      </c>
      <c r="W48" s="36">
        <v>0</v>
      </c>
      <c r="X48" s="36">
        <v>236699000</v>
      </c>
      <c r="Y48" s="36">
        <v>-3635000</v>
      </c>
      <c r="Z48" s="36">
        <v>12696000</v>
      </c>
      <c r="AA48" s="40">
        <v>413761000</v>
      </c>
    </row>
    <row r="49" spans="1:27" x14ac:dyDescent="0.45">
      <c r="A49" s="10">
        <v>392</v>
      </c>
      <c r="B49" s="11" t="s">
        <v>41</v>
      </c>
      <c r="C49" s="11" t="s">
        <v>72</v>
      </c>
      <c r="D49" s="11" t="s">
        <v>252</v>
      </c>
      <c r="E49" s="11" t="s">
        <v>251</v>
      </c>
      <c r="F49" s="11" t="s">
        <v>241</v>
      </c>
      <c r="G49" s="36">
        <v>46322000</v>
      </c>
      <c r="H49" s="36">
        <v>3190000</v>
      </c>
      <c r="I49" s="36">
        <v>486000</v>
      </c>
      <c r="J49" s="36">
        <v>38801000</v>
      </c>
      <c r="K49" s="36">
        <v>2954000</v>
      </c>
      <c r="L49" s="36">
        <v>3411000</v>
      </c>
      <c r="M49" s="36">
        <v>95164000</v>
      </c>
      <c r="N49" s="36">
        <v>47541000</v>
      </c>
      <c r="O49" s="36">
        <v>7634000</v>
      </c>
      <c r="P49" s="36">
        <v>205000</v>
      </c>
      <c r="Q49" s="36">
        <v>50983000</v>
      </c>
      <c r="R49" s="36">
        <v>-2779000</v>
      </c>
      <c r="S49" s="36">
        <v>106000</v>
      </c>
      <c r="T49" s="36">
        <v>103690000</v>
      </c>
      <c r="U49" s="36">
        <v>52565000</v>
      </c>
      <c r="V49" s="36">
        <v>8315000</v>
      </c>
      <c r="W49" s="36">
        <v>228000</v>
      </c>
      <c r="X49" s="36">
        <v>62772000</v>
      </c>
      <c r="Y49" s="36">
        <v>2879000</v>
      </c>
      <c r="Z49" s="36">
        <v>5000</v>
      </c>
      <c r="AA49" s="40">
        <v>126764000</v>
      </c>
    </row>
    <row r="50" spans="1:27" x14ac:dyDescent="0.45">
      <c r="A50" s="10">
        <v>391</v>
      </c>
      <c r="B50" s="11" t="s">
        <v>42</v>
      </c>
      <c r="C50" s="11" t="s">
        <v>72</v>
      </c>
      <c r="D50" s="11" t="s">
        <v>252</v>
      </c>
      <c r="E50" s="11" t="s">
        <v>251</v>
      </c>
      <c r="F50" s="11" t="s">
        <v>241</v>
      </c>
      <c r="G50" s="36">
        <v>60105000</v>
      </c>
      <c r="H50" s="36">
        <v>30675000</v>
      </c>
      <c r="I50" s="36">
        <v>479000</v>
      </c>
      <c r="J50" s="36">
        <v>31682000</v>
      </c>
      <c r="K50" s="36">
        <v>4313000</v>
      </c>
      <c r="L50" s="36">
        <v>-34000</v>
      </c>
      <c r="M50" s="36">
        <v>127220000</v>
      </c>
      <c r="N50" s="36">
        <v>37965000</v>
      </c>
      <c r="O50" s="36">
        <v>26531000</v>
      </c>
      <c r="P50" s="36">
        <v>148000</v>
      </c>
      <c r="Q50" s="36">
        <v>60110000</v>
      </c>
      <c r="R50" s="36">
        <v>-8678000</v>
      </c>
      <c r="S50" s="36">
        <v>286000</v>
      </c>
      <c r="T50" s="36">
        <v>116362000</v>
      </c>
      <c r="U50" s="36">
        <v>28945000</v>
      </c>
      <c r="V50" s="36">
        <v>33684000</v>
      </c>
      <c r="W50" s="36">
        <v>161000</v>
      </c>
      <c r="X50" s="36">
        <v>60946000</v>
      </c>
      <c r="Y50" s="36">
        <v>7598000</v>
      </c>
      <c r="Z50" s="36">
        <v>69000</v>
      </c>
      <c r="AA50" s="40">
        <v>131403000</v>
      </c>
    </row>
    <row r="51" spans="1:27" x14ac:dyDescent="0.45">
      <c r="A51" s="10">
        <v>34</v>
      </c>
      <c r="B51" s="11" t="s">
        <v>43</v>
      </c>
      <c r="C51" s="11" t="s">
        <v>72</v>
      </c>
      <c r="D51" s="11" t="s">
        <v>253</v>
      </c>
      <c r="E51" s="11" t="s">
        <v>251</v>
      </c>
      <c r="F51" s="11" t="s">
        <v>241</v>
      </c>
      <c r="G51" s="36">
        <v>124313000</v>
      </c>
      <c r="H51" s="36">
        <v>18426000</v>
      </c>
      <c r="I51" s="36">
        <v>169000</v>
      </c>
      <c r="J51" s="36">
        <v>153340000</v>
      </c>
      <c r="K51" s="36">
        <v>-2018000</v>
      </c>
      <c r="L51" s="36">
        <v>285000</v>
      </c>
      <c r="M51" s="36">
        <v>294515000</v>
      </c>
      <c r="N51" s="36">
        <v>138984000</v>
      </c>
      <c r="O51" s="36">
        <v>15614000</v>
      </c>
      <c r="P51" s="36">
        <v>822000</v>
      </c>
      <c r="Q51" s="36">
        <v>146195000</v>
      </c>
      <c r="R51" s="36">
        <v>-22656000</v>
      </c>
      <c r="S51" s="36">
        <v>674000</v>
      </c>
      <c r="T51" s="36">
        <v>279633000</v>
      </c>
      <c r="U51" s="36">
        <v>148318000</v>
      </c>
      <c r="V51" s="36">
        <v>15148000</v>
      </c>
      <c r="W51" s="36">
        <v>262000</v>
      </c>
      <c r="X51" s="36">
        <v>170611000</v>
      </c>
      <c r="Y51" s="36">
        <v>-1377000</v>
      </c>
      <c r="Z51" s="36">
        <v>211000</v>
      </c>
      <c r="AA51" s="40">
        <v>333173000</v>
      </c>
    </row>
    <row r="52" spans="1:27" x14ac:dyDescent="0.45">
      <c r="A52" s="10">
        <v>110</v>
      </c>
      <c r="B52" s="11" t="s">
        <v>44</v>
      </c>
      <c r="C52" s="11" t="s">
        <v>69</v>
      </c>
      <c r="D52" s="11" t="s">
        <v>250</v>
      </c>
      <c r="E52" s="11" t="s">
        <v>251</v>
      </c>
      <c r="F52" s="11" t="s">
        <v>241</v>
      </c>
      <c r="G52" s="36">
        <v>115448000</v>
      </c>
      <c r="H52" s="36">
        <v>25823000</v>
      </c>
      <c r="I52" s="36">
        <v>859000</v>
      </c>
      <c r="J52" s="36">
        <v>59389000</v>
      </c>
      <c r="K52" s="36">
        <v>-20508000</v>
      </c>
      <c r="L52" s="36">
        <v>7482000</v>
      </c>
      <c r="M52" s="36">
        <v>188493000</v>
      </c>
      <c r="N52" s="36">
        <v>104359000</v>
      </c>
      <c r="O52" s="36">
        <v>22029000</v>
      </c>
      <c r="P52" s="36">
        <v>666000</v>
      </c>
      <c r="Q52" s="36">
        <v>42487000</v>
      </c>
      <c r="R52" s="36">
        <v>-16347000</v>
      </c>
      <c r="S52" s="36">
        <v>18936000</v>
      </c>
      <c r="T52" s="36">
        <v>172130000</v>
      </c>
      <c r="U52" s="36">
        <v>112110000</v>
      </c>
      <c r="V52" s="36">
        <v>26032000</v>
      </c>
      <c r="W52" s="36">
        <v>826000</v>
      </c>
      <c r="X52" s="36">
        <v>45277000</v>
      </c>
      <c r="Y52" s="36">
        <v>-17914000</v>
      </c>
      <c r="Z52" s="36">
        <v>20445000</v>
      </c>
      <c r="AA52" s="40">
        <v>186776000</v>
      </c>
    </row>
    <row r="53" spans="1:27" x14ac:dyDescent="0.45">
      <c r="A53" s="10">
        <v>24</v>
      </c>
      <c r="B53" s="11" t="s">
        <v>45</v>
      </c>
      <c r="C53" s="11" t="s">
        <v>69</v>
      </c>
      <c r="D53" s="11" t="s">
        <v>260</v>
      </c>
      <c r="E53" s="11" t="s">
        <v>240</v>
      </c>
      <c r="F53" s="11" t="s">
        <v>241</v>
      </c>
      <c r="G53" s="36">
        <v>69053000</v>
      </c>
      <c r="H53" s="36">
        <v>18714000</v>
      </c>
      <c r="I53" s="36">
        <v>0</v>
      </c>
      <c r="J53" s="36">
        <v>32361000</v>
      </c>
      <c r="K53" s="36">
        <v>-15464000</v>
      </c>
      <c r="L53" s="36">
        <v>4567000</v>
      </c>
      <c r="M53" s="36">
        <v>109231000</v>
      </c>
      <c r="N53" s="36">
        <v>64722000</v>
      </c>
      <c r="O53" s="36">
        <v>16148000</v>
      </c>
      <c r="P53" s="36">
        <v>0</v>
      </c>
      <c r="Q53" s="36">
        <v>26790000</v>
      </c>
      <c r="R53" s="36">
        <v>-16619000</v>
      </c>
      <c r="S53" s="36">
        <v>3769000</v>
      </c>
      <c r="T53" s="36">
        <v>94810000</v>
      </c>
      <c r="U53" s="36">
        <v>66025000</v>
      </c>
      <c r="V53" s="36">
        <v>22029000</v>
      </c>
      <c r="W53" s="36">
        <v>0</v>
      </c>
      <c r="X53" s="36">
        <v>33593000</v>
      </c>
      <c r="Y53" s="36">
        <v>-6495000</v>
      </c>
      <c r="Z53" s="36">
        <v>3889000</v>
      </c>
      <c r="AA53" s="40">
        <v>119041000</v>
      </c>
    </row>
    <row r="54" spans="1:27" x14ac:dyDescent="0.45">
      <c r="A54" s="10">
        <v>38</v>
      </c>
      <c r="B54" s="11" t="s">
        <v>46</v>
      </c>
      <c r="C54" s="11" t="s">
        <v>69</v>
      </c>
      <c r="D54" s="11" t="s">
        <v>252</v>
      </c>
      <c r="E54" s="11" t="s">
        <v>251</v>
      </c>
      <c r="F54" s="11" t="s">
        <v>241</v>
      </c>
      <c r="G54" s="36">
        <v>576498000</v>
      </c>
      <c r="H54" s="36">
        <v>241702000</v>
      </c>
      <c r="I54" s="36">
        <v>1035000</v>
      </c>
      <c r="J54" s="36">
        <v>401700000</v>
      </c>
      <c r="K54" s="36">
        <v>-123734000</v>
      </c>
      <c r="L54" s="36">
        <v>24120000</v>
      </c>
      <c r="M54" s="36">
        <v>1121321000</v>
      </c>
      <c r="N54" s="36">
        <v>538838000</v>
      </c>
      <c r="O54" s="36">
        <v>244909000</v>
      </c>
      <c r="P54" s="36">
        <v>1259000</v>
      </c>
      <c r="Q54" s="36">
        <v>410722000</v>
      </c>
      <c r="R54" s="36">
        <v>-131708000</v>
      </c>
      <c r="S54" s="36">
        <v>20159000</v>
      </c>
      <c r="T54" s="36">
        <v>1084179000</v>
      </c>
      <c r="U54" s="36">
        <v>656429000</v>
      </c>
      <c r="V54" s="36">
        <v>291950000</v>
      </c>
      <c r="W54" s="36">
        <v>2321000</v>
      </c>
      <c r="X54" s="36">
        <v>475644000</v>
      </c>
      <c r="Y54" s="36">
        <v>-144855000</v>
      </c>
      <c r="Z54" s="36">
        <v>27219000</v>
      </c>
      <c r="AA54" s="40">
        <v>1308708000</v>
      </c>
    </row>
    <row r="55" spans="1:27" x14ac:dyDescent="0.45">
      <c r="A55" s="10">
        <v>48</v>
      </c>
      <c r="B55" s="11" t="s">
        <v>47</v>
      </c>
      <c r="C55" s="11" t="s">
        <v>69</v>
      </c>
      <c r="D55" s="11" t="s">
        <v>258</v>
      </c>
      <c r="E55" s="11" t="s">
        <v>251</v>
      </c>
      <c r="F55" s="11" t="s">
        <v>241</v>
      </c>
      <c r="G55" s="36">
        <v>160407000</v>
      </c>
      <c r="H55" s="36">
        <v>39146000</v>
      </c>
      <c r="I55" s="36">
        <v>220000</v>
      </c>
      <c r="J55" s="36">
        <v>115024000</v>
      </c>
      <c r="K55" s="36">
        <v>-27214000</v>
      </c>
      <c r="L55" s="36">
        <v>5605000</v>
      </c>
      <c r="M55" s="36">
        <v>293188000</v>
      </c>
      <c r="N55" s="36">
        <v>161562000</v>
      </c>
      <c r="O55" s="36">
        <v>38419000</v>
      </c>
      <c r="P55" s="36">
        <v>191000</v>
      </c>
      <c r="Q55" s="36">
        <v>104738000</v>
      </c>
      <c r="R55" s="36">
        <v>-35215000</v>
      </c>
      <c r="S55" s="36">
        <v>9665000</v>
      </c>
      <c r="T55" s="36">
        <v>279360000</v>
      </c>
      <c r="U55" s="36">
        <v>186563000</v>
      </c>
      <c r="V55" s="36">
        <v>49575000</v>
      </c>
      <c r="W55" s="36">
        <v>167000</v>
      </c>
      <c r="X55" s="36">
        <v>122360000</v>
      </c>
      <c r="Y55" s="36">
        <v>-37709000</v>
      </c>
      <c r="Z55" s="36">
        <v>10480000</v>
      </c>
      <c r="AA55" s="40">
        <v>331436000</v>
      </c>
    </row>
    <row r="56" spans="1:27" x14ac:dyDescent="0.45">
      <c r="A56" s="10">
        <v>50</v>
      </c>
      <c r="B56" s="11" t="s">
        <v>48</v>
      </c>
      <c r="C56" s="11" t="s">
        <v>76</v>
      </c>
      <c r="D56" s="11" t="s">
        <v>254</v>
      </c>
      <c r="E56" s="11" t="s">
        <v>240</v>
      </c>
      <c r="F56" s="11" t="s">
        <v>241</v>
      </c>
      <c r="G56" s="36">
        <v>30883000</v>
      </c>
      <c r="H56" s="36">
        <v>11788000</v>
      </c>
      <c r="I56" s="36">
        <v>204000</v>
      </c>
      <c r="J56" s="36">
        <v>170476000</v>
      </c>
      <c r="K56" s="36">
        <v>-197000</v>
      </c>
      <c r="L56" s="36">
        <v>36000</v>
      </c>
      <c r="M56" s="36">
        <v>213190000</v>
      </c>
      <c r="N56" s="36">
        <v>70258000</v>
      </c>
      <c r="O56" s="36">
        <v>39334000</v>
      </c>
      <c r="P56" s="36">
        <v>1207000</v>
      </c>
      <c r="Q56" s="36">
        <v>99511000</v>
      </c>
      <c r="R56" s="36">
        <v>-5056000</v>
      </c>
      <c r="S56" s="36">
        <v>1161000</v>
      </c>
      <c r="T56" s="36">
        <v>206415000</v>
      </c>
      <c r="U56" s="36">
        <v>52766000</v>
      </c>
      <c r="V56" s="36">
        <v>16622000</v>
      </c>
      <c r="W56" s="36">
        <v>728000</v>
      </c>
      <c r="X56" s="36">
        <v>150427000</v>
      </c>
      <c r="Y56" s="36">
        <v>-4618000</v>
      </c>
      <c r="Z56" s="36">
        <v>1044000</v>
      </c>
      <c r="AA56" s="40">
        <v>216969000</v>
      </c>
    </row>
    <row r="57" spans="1:27" x14ac:dyDescent="0.45">
      <c r="A57" s="10">
        <v>502</v>
      </c>
      <c r="B57" s="11" t="s">
        <v>49</v>
      </c>
      <c r="C57" s="11" t="s">
        <v>76</v>
      </c>
      <c r="D57" s="11" t="s">
        <v>254</v>
      </c>
      <c r="E57" s="11" t="s">
        <v>240</v>
      </c>
      <c r="F57" s="11" t="s">
        <v>241</v>
      </c>
      <c r="G57" s="36">
        <v>33026000</v>
      </c>
      <c r="H57" s="36">
        <v>5311000</v>
      </c>
      <c r="I57" s="36">
        <v>18000</v>
      </c>
      <c r="J57" s="36">
        <v>22490000</v>
      </c>
      <c r="K57" s="36">
        <v>401000</v>
      </c>
      <c r="L57" s="36">
        <v>140000</v>
      </c>
      <c r="M57" s="36">
        <v>61386000</v>
      </c>
      <c r="N57" s="36">
        <v>35619000</v>
      </c>
      <c r="O57" s="36">
        <v>-1149000</v>
      </c>
      <c r="P57" s="36">
        <v>621000</v>
      </c>
      <c r="Q57" s="36">
        <v>29839000</v>
      </c>
      <c r="R57" s="36">
        <v>-15697000</v>
      </c>
      <c r="S57" s="36">
        <v>2524000</v>
      </c>
      <c r="T57" s="36">
        <v>51757000</v>
      </c>
      <c r="U57" s="36">
        <v>32885000</v>
      </c>
      <c r="V57" s="36">
        <v>3191000</v>
      </c>
      <c r="W57" s="36">
        <v>2905000</v>
      </c>
      <c r="X57" s="36">
        <v>26224000</v>
      </c>
      <c r="Y57" s="36">
        <v>-4714000</v>
      </c>
      <c r="Z57" s="36">
        <v>1354000</v>
      </c>
      <c r="AA57" s="40">
        <v>61845000</v>
      </c>
    </row>
    <row r="58" spans="1:27" x14ac:dyDescent="0.45">
      <c r="A58" s="10">
        <v>96</v>
      </c>
      <c r="B58" s="11" t="s">
        <v>50</v>
      </c>
      <c r="C58" s="11" t="s">
        <v>76</v>
      </c>
      <c r="D58" s="11" t="s">
        <v>246</v>
      </c>
      <c r="E58" s="11" t="s">
        <v>240</v>
      </c>
      <c r="F58" s="11" t="s">
        <v>241</v>
      </c>
      <c r="G58" s="36">
        <v>69379000</v>
      </c>
      <c r="H58" s="36">
        <v>44223000</v>
      </c>
      <c r="I58" s="36">
        <v>0</v>
      </c>
      <c r="J58" s="36">
        <v>61438000</v>
      </c>
      <c r="K58" s="36">
        <v>-3617000</v>
      </c>
      <c r="L58" s="36">
        <v>15000</v>
      </c>
      <c r="M58" s="36">
        <v>171438000</v>
      </c>
      <c r="N58" s="36">
        <v>87079000</v>
      </c>
      <c r="O58" s="36">
        <v>49225000</v>
      </c>
      <c r="P58" s="36">
        <v>148000</v>
      </c>
      <c r="Q58" s="36">
        <v>43347000</v>
      </c>
      <c r="R58" s="36">
        <v>-33280000</v>
      </c>
      <c r="S58" s="36">
        <v>-1489000</v>
      </c>
      <c r="T58" s="36">
        <v>145030000</v>
      </c>
      <c r="U58" s="36">
        <v>85788000</v>
      </c>
      <c r="V58" s="36">
        <v>53345000</v>
      </c>
      <c r="W58" s="36">
        <v>53000</v>
      </c>
      <c r="X58" s="36">
        <v>44206000</v>
      </c>
      <c r="Y58" s="36">
        <v>-16918000</v>
      </c>
      <c r="Z58" s="36">
        <v>0</v>
      </c>
      <c r="AA58" s="40">
        <v>166474000</v>
      </c>
    </row>
    <row r="59" spans="1:27" x14ac:dyDescent="0.45">
      <c r="A59" s="10">
        <v>70</v>
      </c>
      <c r="B59" s="11" t="s">
        <v>51</v>
      </c>
      <c r="C59" s="11" t="s">
        <v>73</v>
      </c>
      <c r="D59" s="11" t="s">
        <v>252</v>
      </c>
      <c r="E59" s="11" t="s">
        <v>251</v>
      </c>
      <c r="F59" s="11" t="s">
        <v>241</v>
      </c>
      <c r="G59" s="36">
        <v>94985000</v>
      </c>
      <c r="H59" s="36">
        <v>91430000</v>
      </c>
      <c r="I59" s="36">
        <v>5192000</v>
      </c>
      <c r="J59" s="36">
        <v>252214000</v>
      </c>
      <c r="K59" s="36">
        <v>15388000</v>
      </c>
      <c r="L59" s="36">
        <v>972000</v>
      </c>
      <c r="M59" s="36">
        <v>460181000</v>
      </c>
      <c r="N59" s="36">
        <v>101620000</v>
      </c>
      <c r="O59" s="36">
        <v>97665000</v>
      </c>
      <c r="P59" s="36">
        <v>8440000</v>
      </c>
      <c r="Q59" s="36">
        <v>252564000</v>
      </c>
      <c r="R59" s="36">
        <v>27088000</v>
      </c>
      <c r="S59" s="36">
        <v>-56861000</v>
      </c>
      <c r="T59" s="36">
        <v>430516000</v>
      </c>
      <c r="U59" s="36">
        <v>97163000</v>
      </c>
      <c r="V59" s="36">
        <v>96918000</v>
      </c>
      <c r="W59" s="36">
        <v>5145000</v>
      </c>
      <c r="X59" s="36">
        <v>295393000</v>
      </c>
      <c r="Y59" s="36">
        <v>42365000</v>
      </c>
      <c r="Z59" s="36">
        <v>-44938000</v>
      </c>
      <c r="AA59" s="40">
        <v>492046000</v>
      </c>
    </row>
    <row r="60" spans="1:27" x14ac:dyDescent="0.45">
      <c r="A60" s="10">
        <v>91</v>
      </c>
      <c r="B60" s="11" t="s">
        <v>52</v>
      </c>
      <c r="C60" s="11" t="s">
        <v>73</v>
      </c>
      <c r="D60" s="11" t="s">
        <v>257</v>
      </c>
      <c r="E60" s="11" t="s">
        <v>237</v>
      </c>
      <c r="F60" s="11" t="s">
        <v>238</v>
      </c>
      <c r="G60" s="36">
        <v>1774000</v>
      </c>
      <c r="H60" s="36">
        <v>-1482000</v>
      </c>
      <c r="I60" s="36">
        <v>28000</v>
      </c>
      <c r="J60" s="36">
        <v>30902000</v>
      </c>
      <c r="K60" s="36">
        <v>6533000</v>
      </c>
      <c r="L60" s="36">
        <v>-2000</v>
      </c>
      <c r="M60" s="36">
        <v>37753000</v>
      </c>
      <c r="N60" s="36">
        <v>28106000</v>
      </c>
      <c r="O60" s="36">
        <v>-2374000</v>
      </c>
      <c r="P60" s="36">
        <v>312000</v>
      </c>
      <c r="Q60" s="36">
        <v>17917000</v>
      </c>
      <c r="R60" s="36">
        <v>-746000</v>
      </c>
      <c r="S60" s="36">
        <v>-339000</v>
      </c>
      <c r="T60" s="36">
        <v>42876000</v>
      </c>
      <c r="U60" s="36">
        <v>15380000</v>
      </c>
      <c r="V60" s="36">
        <v>-2332000</v>
      </c>
      <c r="W60" s="36">
        <v>-679000</v>
      </c>
      <c r="X60" s="36">
        <v>27695000</v>
      </c>
      <c r="Y60" s="36">
        <v>8618000</v>
      </c>
      <c r="Z60" s="36">
        <v>-548000</v>
      </c>
      <c r="AA60" s="40">
        <v>48134000</v>
      </c>
    </row>
    <row r="61" spans="1:27" x14ac:dyDescent="0.45">
      <c r="A61" s="10">
        <v>47</v>
      </c>
      <c r="B61" s="11" t="s">
        <v>53</v>
      </c>
      <c r="C61" s="11" t="s">
        <v>73</v>
      </c>
      <c r="D61" s="11" t="s">
        <v>236</v>
      </c>
      <c r="E61" s="11" t="s">
        <v>237</v>
      </c>
      <c r="F61" s="11" t="s">
        <v>238</v>
      </c>
      <c r="G61" s="36">
        <v>78178000</v>
      </c>
      <c r="H61" s="36">
        <v>17098000</v>
      </c>
      <c r="I61" s="36">
        <v>1071000</v>
      </c>
      <c r="J61" s="36">
        <v>86771000</v>
      </c>
      <c r="K61" s="36">
        <v>1262000</v>
      </c>
      <c r="L61" s="36">
        <v>9147000</v>
      </c>
      <c r="M61" s="36">
        <v>193527000</v>
      </c>
      <c r="N61" s="36">
        <v>51467000</v>
      </c>
      <c r="O61" s="36">
        <v>16847000</v>
      </c>
      <c r="P61" s="36">
        <v>953000</v>
      </c>
      <c r="Q61" s="36">
        <v>86794000</v>
      </c>
      <c r="R61" s="36">
        <v>15460000</v>
      </c>
      <c r="S61" s="36">
        <v>6393000</v>
      </c>
      <c r="T61" s="36">
        <v>177914000</v>
      </c>
      <c r="U61" s="36">
        <v>65026000</v>
      </c>
      <c r="V61" s="36">
        <v>25948000</v>
      </c>
      <c r="W61" s="36">
        <v>849000</v>
      </c>
      <c r="X61" s="36">
        <v>111315000</v>
      </c>
      <c r="Y61" s="36">
        <v>12984000</v>
      </c>
      <c r="Z61" s="36">
        <v>7409000</v>
      </c>
      <c r="AA61" s="40">
        <v>223531000</v>
      </c>
    </row>
    <row r="62" spans="1:27" x14ac:dyDescent="0.45">
      <c r="A62" s="10">
        <v>113</v>
      </c>
      <c r="B62" s="11" t="s">
        <v>54</v>
      </c>
      <c r="C62" s="11" t="s">
        <v>72</v>
      </c>
      <c r="D62" s="11" t="s">
        <v>255</v>
      </c>
      <c r="E62" s="11" t="s">
        <v>251</v>
      </c>
      <c r="F62" s="11" t="s">
        <v>241</v>
      </c>
      <c r="G62" s="36">
        <v>62206000</v>
      </c>
      <c r="H62" s="36">
        <v>16096000</v>
      </c>
      <c r="I62" s="36">
        <v>88000</v>
      </c>
      <c r="J62" s="36">
        <v>71938000</v>
      </c>
      <c r="K62" s="36">
        <v>4349000</v>
      </c>
      <c r="L62" s="36">
        <v>222000</v>
      </c>
      <c r="M62" s="36">
        <v>154899000</v>
      </c>
      <c r="N62" s="36">
        <v>72965000</v>
      </c>
      <c r="O62" s="36">
        <v>14021000</v>
      </c>
      <c r="P62" s="36">
        <v>245000</v>
      </c>
      <c r="Q62" s="36">
        <v>63032000</v>
      </c>
      <c r="R62" s="36">
        <v>6011000</v>
      </c>
      <c r="S62" s="36">
        <v>164000</v>
      </c>
      <c r="T62" s="36">
        <v>156438000</v>
      </c>
      <c r="U62" s="36">
        <v>90517000</v>
      </c>
      <c r="V62" s="36">
        <v>19979000</v>
      </c>
      <c r="W62" s="36">
        <v>239000</v>
      </c>
      <c r="X62" s="36">
        <v>92752000</v>
      </c>
      <c r="Y62" s="36">
        <v>-4760000</v>
      </c>
      <c r="Z62" s="36">
        <v>-1098000</v>
      </c>
      <c r="AA62" s="40">
        <v>197629000</v>
      </c>
    </row>
    <row r="63" spans="1:27" x14ac:dyDescent="0.45">
      <c r="A63" s="10">
        <v>21</v>
      </c>
      <c r="B63" s="11" t="s">
        <v>55</v>
      </c>
      <c r="C63" s="11" t="s">
        <v>73</v>
      </c>
      <c r="D63" s="11" t="s">
        <v>250</v>
      </c>
      <c r="E63" s="11" t="s">
        <v>251</v>
      </c>
      <c r="F63" s="11" t="s">
        <v>241</v>
      </c>
      <c r="G63" s="36">
        <v>44111000</v>
      </c>
      <c r="H63" s="36">
        <v>34434000</v>
      </c>
      <c r="I63" s="36">
        <v>399000</v>
      </c>
      <c r="J63" s="36">
        <v>40594000</v>
      </c>
      <c r="K63" s="36">
        <v>3821000</v>
      </c>
      <c r="L63" s="36">
        <v>1014000</v>
      </c>
      <c r="M63" s="36">
        <v>124373000</v>
      </c>
      <c r="N63" s="36">
        <v>44020000</v>
      </c>
      <c r="O63" s="36">
        <v>22643000</v>
      </c>
      <c r="P63" s="36">
        <v>356000</v>
      </c>
      <c r="Q63" s="36">
        <v>39775000</v>
      </c>
      <c r="R63" s="36">
        <v>4981000</v>
      </c>
      <c r="S63" s="36">
        <v>0</v>
      </c>
      <c r="T63" s="36">
        <v>111775000</v>
      </c>
      <c r="U63" s="36">
        <v>42941000</v>
      </c>
      <c r="V63" s="36">
        <v>32351000</v>
      </c>
      <c r="W63" s="36">
        <v>523000</v>
      </c>
      <c r="X63" s="36">
        <v>32487000</v>
      </c>
      <c r="Y63" s="36">
        <v>1146000</v>
      </c>
      <c r="Z63" s="36">
        <v>0</v>
      </c>
      <c r="AA63" s="40">
        <v>109448000</v>
      </c>
    </row>
    <row r="64" spans="1:27" x14ac:dyDescent="0.45">
      <c r="A64" s="10">
        <v>19</v>
      </c>
      <c r="B64" s="11" t="s">
        <v>56</v>
      </c>
      <c r="C64" s="11" t="s">
        <v>77</v>
      </c>
      <c r="D64" s="11" t="s">
        <v>256</v>
      </c>
      <c r="E64" s="11" t="s">
        <v>240</v>
      </c>
      <c r="F64" s="11" t="s">
        <v>241</v>
      </c>
      <c r="G64" s="36">
        <v>180267000</v>
      </c>
      <c r="H64" s="36">
        <v>167457000</v>
      </c>
      <c r="I64" s="36">
        <v>827000</v>
      </c>
      <c r="J64" s="36">
        <v>221629000</v>
      </c>
      <c r="K64" s="36">
        <v>29810000</v>
      </c>
      <c r="L64" s="36">
        <v>-174000</v>
      </c>
      <c r="M64" s="36">
        <v>599816000</v>
      </c>
      <c r="N64" s="36">
        <v>178347000</v>
      </c>
      <c r="O64" s="36">
        <v>146044000</v>
      </c>
      <c r="P64" s="36">
        <v>1096000</v>
      </c>
      <c r="Q64" s="36">
        <v>216974000</v>
      </c>
      <c r="R64" s="36">
        <v>43692000</v>
      </c>
      <c r="S64" s="36">
        <v>855000</v>
      </c>
      <c r="T64" s="36">
        <v>587008000</v>
      </c>
      <c r="U64" s="36">
        <v>173093000</v>
      </c>
      <c r="V64" s="36">
        <v>154550000</v>
      </c>
      <c r="W64" s="36">
        <v>532000</v>
      </c>
      <c r="X64" s="36">
        <v>231588000</v>
      </c>
      <c r="Y64" s="36">
        <v>74571000</v>
      </c>
      <c r="Z64" s="36">
        <v>3119000</v>
      </c>
      <c r="AA64" s="40">
        <v>637453000</v>
      </c>
    </row>
    <row r="65" spans="1:27" x14ac:dyDescent="0.45">
      <c r="A65" s="10">
        <v>116</v>
      </c>
      <c r="B65" s="11" t="s">
        <v>57</v>
      </c>
      <c r="C65" s="11" t="s">
        <v>77</v>
      </c>
      <c r="D65" s="11" t="s">
        <v>256</v>
      </c>
      <c r="E65" s="11" t="s">
        <v>240</v>
      </c>
      <c r="F65" s="11" t="s">
        <v>241</v>
      </c>
      <c r="G65" s="36">
        <v>52190000</v>
      </c>
      <c r="H65" s="36">
        <v>15019000</v>
      </c>
      <c r="I65" s="36">
        <v>175000</v>
      </c>
      <c r="J65" s="36">
        <v>46557000</v>
      </c>
      <c r="K65" s="36">
        <v>-1305000</v>
      </c>
      <c r="L65" s="36">
        <v>238000</v>
      </c>
      <c r="M65" s="36">
        <v>112874000</v>
      </c>
      <c r="N65" s="36">
        <v>52409000</v>
      </c>
      <c r="O65" s="36">
        <v>16400000</v>
      </c>
      <c r="P65" s="36">
        <v>70000</v>
      </c>
      <c r="Q65" s="36">
        <v>46591000</v>
      </c>
      <c r="R65" s="36">
        <v>-4403000</v>
      </c>
      <c r="S65" s="36">
        <v>-60000</v>
      </c>
      <c r="T65" s="36">
        <v>111007000</v>
      </c>
      <c r="U65" s="36">
        <v>53744000</v>
      </c>
      <c r="V65" s="36">
        <v>16923000</v>
      </c>
      <c r="W65" s="36">
        <v>83000</v>
      </c>
      <c r="X65" s="36">
        <v>49708000</v>
      </c>
      <c r="Y65" s="36">
        <v>1004000</v>
      </c>
      <c r="Z65" s="36">
        <v>1329000</v>
      </c>
      <c r="AA65" s="40">
        <v>122791000</v>
      </c>
    </row>
    <row r="66" spans="1:27" x14ac:dyDescent="0.45">
      <c r="A66" s="10">
        <v>60</v>
      </c>
      <c r="B66" s="11" t="s">
        <v>58</v>
      </c>
      <c r="C66" s="11" t="s">
        <v>75</v>
      </c>
      <c r="D66" s="11" t="s">
        <v>261</v>
      </c>
      <c r="E66" s="11" t="s">
        <v>240</v>
      </c>
      <c r="F66" s="11" t="s">
        <v>238</v>
      </c>
      <c r="G66" s="36">
        <v>55231000</v>
      </c>
      <c r="H66" s="36">
        <v>12553000</v>
      </c>
      <c r="I66" s="36">
        <v>141000</v>
      </c>
      <c r="J66" s="36">
        <v>55373000</v>
      </c>
      <c r="K66" s="36">
        <v>-8666000</v>
      </c>
      <c r="L66" s="36">
        <v>7815000</v>
      </c>
      <c r="M66" s="36">
        <v>122447000</v>
      </c>
      <c r="N66" s="36">
        <v>61559000</v>
      </c>
      <c r="O66" s="36">
        <v>12620000</v>
      </c>
      <c r="P66" s="36">
        <v>173000</v>
      </c>
      <c r="Q66" s="36">
        <v>60498000</v>
      </c>
      <c r="R66" s="36">
        <v>2568000</v>
      </c>
      <c r="S66" s="36">
        <v>-5786000</v>
      </c>
      <c r="T66" s="36">
        <v>131632000</v>
      </c>
      <c r="U66" s="36">
        <v>52607000</v>
      </c>
      <c r="V66" s="36">
        <v>11444000</v>
      </c>
      <c r="W66" s="36">
        <v>145000</v>
      </c>
      <c r="X66" s="36">
        <v>72474000</v>
      </c>
      <c r="Y66" s="36">
        <v>-3613000</v>
      </c>
      <c r="Z66" s="36">
        <v>8778000</v>
      </c>
      <c r="AA66" s="40">
        <v>141835000</v>
      </c>
    </row>
    <row r="67" spans="1:27" x14ac:dyDescent="0.45">
      <c r="A67" s="10">
        <v>6</v>
      </c>
      <c r="B67" s="11" t="s">
        <v>59</v>
      </c>
      <c r="C67" s="11" t="s">
        <v>76</v>
      </c>
      <c r="D67" s="11" t="s">
        <v>256</v>
      </c>
      <c r="E67" s="11" t="s">
        <v>240</v>
      </c>
      <c r="F67" s="11" t="s">
        <v>241</v>
      </c>
      <c r="G67" s="36">
        <v>54630000</v>
      </c>
      <c r="H67" s="36">
        <v>24292000</v>
      </c>
      <c r="I67" s="36">
        <v>117000</v>
      </c>
      <c r="J67" s="36">
        <v>44034000</v>
      </c>
      <c r="K67" s="36">
        <v>-2999000</v>
      </c>
      <c r="L67" s="36">
        <v>344000</v>
      </c>
      <c r="M67" s="36">
        <v>120418000</v>
      </c>
      <c r="N67" s="36">
        <v>51065000</v>
      </c>
      <c r="O67" s="36">
        <v>33009000</v>
      </c>
      <c r="P67" s="36">
        <v>40000</v>
      </c>
      <c r="Q67" s="36">
        <v>42505000</v>
      </c>
      <c r="R67" s="36">
        <v>-15348000</v>
      </c>
      <c r="S67" s="36">
        <v>5361000</v>
      </c>
      <c r="T67" s="36">
        <v>116632000</v>
      </c>
      <c r="U67" s="36">
        <v>63691000</v>
      </c>
      <c r="V67" s="36">
        <v>34272000</v>
      </c>
      <c r="W67" s="36">
        <v>60000</v>
      </c>
      <c r="X67" s="36">
        <v>46027000</v>
      </c>
      <c r="Y67" s="36">
        <v>5247000</v>
      </c>
      <c r="Z67" s="36">
        <v>1730000</v>
      </c>
      <c r="AA67" s="40">
        <v>151027000</v>
      </c>
    </row>
    <row r="68" spans="1:27" x14ac:dyDescent="0.45">
      <c r="A68" s="10">
        <v>27</v>
      </c>
      <c r="B68" s="11" t="s">
        <v>60</v>
      </c>
      <c r="C68" s="11" t="s">
        <v>73</v>
      </c>
      <c r="D68" s="11" t="s">
        <v>260</v>
      </c>
      <c r="E68" s="11" t="s">
        <v>240</v>
      </c>
      <c r="F68" s="11" t="s">
        <v>241</v>
      </c>
      <c r="G68" s="36">
        <v>85728000</v>
      </c>
      <c r="H68" s="36">
        <v>77829000</v>
      </c>
      <c r="I68" s="36">
        <v>94000</v>
      </c>
      <c r="J68" s="36">
        <v>63488000</v>
      </c>
      <c r="K68" s="36">
        <v>30224000</v>
      </c>
      <c r="L68" s="36">
        <v>2054000</v>
      </c>
      <c r="M68" s="36">
        <v>259417000</v>
      </c>
      <c r="N68" s="36">
        <v>83898000</v>
      </c>
      <c r="O68" s="36">
        <v>59756000</v>
      </c>
      <c r="P68" s="36">
        <v>404000</v>
      </c>
      <c r="Q68" s="36">
        <v>49914000</v>
      </c>
      <c r="R68" s="36">
        <v>30584000</v>
      </c>
      <c r="S68" s="36">
        <v>1141000</v>
      </c>
      <c r="T68" s="36">
        <v>225697000</v>
      </c>
      <c r="U68" s="36">
        <v>89091000</v>
      </c>
      <c r="V68" s="36">
        <v>71608000</v>
      </c>
      <c r="W68" s="36">
        <v>88000</v>
      </c>
      <c r="X68" s="36">
        <v>54800000</v>
      </c>
      <c r="Y68" s="36">
        <v>33869000</v>
      </c>
      <c r="Z68" s="36">
        <v>809000</v>
      </c>
      <c r="AA68" s="40">
        <v>250265000</v>
      </c>
    </row>
    <row r="69" spans="1:27" x14ac:dyDescent="0.45">
      <c r="A69" s="10">
        <v>119</v>
      </c>
      <c r="B69" s="11" t="s">
        <v>61</v>
      </c>
      <c r="C69" s="11" t="s">
        <v>73</v>
      </c>
      <c r="D69" s="11" t="s">
        <v>246</v>
      </c>
      <c r="E69" s="11" t="s">
        <v>240</v>
      </c>
      <c r="F69" s="11" t="s">
        <v>241</v>
      </c>
      <c r="G69" s="36">
        <v>94516000</v>
      </c>
      <c r="H69" s="36">
        <v>312564000</v>
      </c>
      <c r="I69" s="36">
        <v>4202000</v>
      </c>
      <c r="J69" s="36">
        <v>17687000</v>
      </c>
      <c r="K69" s="36">
        <v>65164000</v>
      </c>
      <c r="L69" s="36">
        <v>37218000</v>
      </c>
      <c r="M69" s="36">
        <v>531351000</v>
      </c>
      <c r="N69" s="36">
        <v>14604000</v>
      </c>
      <c r="O69" s="36">
        <v>192102000</v>
      </c>
      <c r="P69" s="36">
        <v>3345000</v>
      </c>
      <c r="Q69" s="36">
        <v>-452000</v>
      </c>
      <c r="R69" s="36">
        <v>281191000</v>
      </c>
      <c r="S69" s="36">
        <v>44706000</v>
      </c>
      <c r="T69" s="36">
        <v>535496000</v>
      </c>
      <c r="U69" s="36">
        <v>304324000</v>
      </c>
      <c r="V69" s="36">
        <v>57610000</v>
      </c>
      <c r="W69" s="36">
        <v>3684000</v>
      </c>
      <c r="X69" s="36">
        <v>-73008000</v>
      </c>
      <c r="Y69" s="36">
        <v>213118000</v>
      </c>
      <c r="Z69" s="36">
        <v>87032000</v>
      </c>
      <c r="AA69" s="40">
        <v>592760000</v>
      </c>
    </row>
    <row r="70" spans="1:27" x14ac:dyDescent="0.45">
      <c r="A70" s="10">
        <v>12</v>
      </c>
      <c r="B70" s="11" t="s">
        <v>62</v>
      </c>
      <c r="C70" s="11" t="s">
        <v>73</v>
      </c>
      <c r="D70" s="11" t="s">
        <v>239</v>
      </c>
      <c r="E70" s="11" t="s">
        <v>240</v>
      </c>
      <c r="F70" s="11" t="s">
        <v>241</v>
      </c>
      <c r="G70" s="36">
        <v>239991000</v>
      </c>
      <c r="H70" s="36">
        <v>10376000</v>
      </c>
      <c r="I70" s="36">
        <v>0</v>
      </c>
      <c r="J70" s="36">
        <v>519573000</v>
      </c>
      <c r="K70" s="36">
        <v>2669000</v>
      </c>
      <c r="L70" s="36">
        <v>11588000</v>
      </c>
      <c r="M70" s="36">
        <v>784197000</v>
      </c>
      <c r="N70" s="36">
        <v>211111000</v>
      </c>
      <c r="O70" s="36">
        <v>9140000</v>
      </c>
      <c r="P70" s="36">
        <v>0</v>
      </c>
      <c r="Q70" s="36">
        <v>482240000</v>
      </c>
      <c r="R70" s="36">
        <v>9337000</v>
      </c>
      <c r="S70" s="36">
        <v>14924000</v>
      </c>
      <c r="T70" s="36">
        <v>726752000</v>
      </c>
      <c r="U70" s="36">
        <v>259515000</v>
      </c>
      <c r="V70" s="36">
        <v>18417000</v>
      </c>
      <c r="W70" s="36">
        <v>0</v>
      </c>
      <c r="X70" s="36">
        <v>560956000</v>
      </c>
      <c r="Y70" s="36">
        <v>3623000</v>
      </c>
      <c r="Z70" s="36">
        <v>12106000</v>
      </c>
      <c r="AA70" s="40">
        <v>854617000</v>
      </c>
    </row>
    <row r="71" spans="1:27" x14ac:dyDescent="0.45">
      <c r="A71" s="10">
        <v>224</v>
      </c>
      <c r="B71" s="11" t="s">
        <v>63</v>
      </c>
      <c r="C71" s="11" t="s">
        <v>74</v>
      </c>
      <c r="D71" s="11" t="s">
        <v>242</v>
      </c>
      <c r="E71" s="11" t="s">
        <v>237</v>
      </c>
      <c r="F71" s="11" t="s">
        <v>241</v>
      </c>
      <c r="G71" s="36">
        <v>98832000</v>
      </c>
      <c r="H71" s="36">
        <v>13283000</v>
      </c>
      <c r="I71" s="36">
        <v>1795000</v>
      </c>
      <c r="J71" s="36">
        <v>40766000</v>
      </c>
      <c r="K71" s="36">
        <v>-13030000</v>
      </c>
      <c r="L71" s="36">
        <v>8903000</v>
      </c>
      <c r="M71" s="36">
        <v>150549000</v>
      </c>
      <c r="N71" s="36">
        <v>85441000</v>
      </c>
      <c r="O71" s="36">
        <v>13086000</v>
      </c>
      <c r="P71" s="36">
        <v>1668000</v>
      </c>
      <c r="Q71" s="36">
        <v>34712000</v>
      </c>
      <c r="R71" s="36">
        <v>-9315000</v>
      </c>
      <c r="S71" s="36">
        <v>1379000</v>
      </c>
      <c r="T71" s="36">
        <v>126971000</v>
      </c>
      <c r="U71" s="36">
        <v>93587000</v>
      </c>
      <c r="V71" s="36">
        <v>17042000</v>
      </c>
      <c r="W71" s="36">
        <v>1456000</v>
      </c>
      <c r="X71" s="36">
        <v>45285000</v>
      </c>
      <c r="Y71" s="36">
        <v>-6089000</v>
      </c>
      <c r="Z71" s="36">
        <v>5719000</v>
      </c>
      <c r="AA71" s="40">
        <v>157000000</v>
      </c>
    </row>
    <row r="72" spans="1:27" x14ac:dyDescent="0.45">
      <c r="A72" s="10">
        <v>221</v>
      </c>
      <c r="B72" s="11" t="s">
        <v>64</v>
      </c>
      <c r="C72" s="11" t="s">
        <v>74</v>
      </c>
      <c r="D72" s="11" t="s">
        <v>243</v>
      </c>
      <c r="E72" s="11" t="s">
        <v>237</v>
      </c>
      <c r="F72" s="11" t="s">
        <v>241</v>
      </c>
      <c r="G72" s="36">
        <v>236955000</v>
      </c>
      <c r="H72" s="36">
        <v>118527000</v>
      </c>
      <c r="I72" s="36">
        <v>8927000</v>
      </c>
      <c r="J72" s="36">
        <v>229877000</v>
      </c>
      <c r="K72" s="36">
        <v>-36265000</v>
      </c>
      <c r="L72" s="36">
        <v>38941000</v>
      </c>
      <c r="M72" s="36">
        <v>596962000</v>
      </c>
      <c r="N72" s="36">
        <v>250436000</v>
      </c>
      <c r="O72" s="36">
        <v>119470000</v>
      </c>
      <c r="P72" s="36">
        <v>7814000</v>
      </c>
      <c r="Q72" s="36">
        <v>224456000</v>
      </c>
      <c r="R72" s="36">
        <v>-39150000</v>
      </c>
      <c r="S72" s="36">
        <v>3953000</v>
      </c>
      <c r="T72" s="36">
        <v>566979000</v>
      </c>
      <c r="U72" s="36">
        <v>300164000</v>
      </c>
      <c r="V72" s="36">
        <v>139613000</v>
      </c>
      <c r="W72" s="36">
        <v>9402000</v>
      </c>
      <c r="X72" s="36">
        <v>301079000</v>
      </c>
      <c r="Y72" s="36">
        <v>-25013000</v>
      </c>
      <c r="Z72" s="36">
        <v>-3668000</v>
      </c>
      <c r="AA72" s="40">
        <v>721577000</v>
      </c>
    </row>
    <row r="73" spans="1:27" x14ac:dyDescent="0.45">
      <c r="A73" s="10">
        <v>29</v>
      </c>
      <c r="B73" s="11" t="s">
        <v>172</v>
      </c>
      <c r="C73" s="11" t="s">
        <v>74</v>
      </c>
      <c r="D73" s="11" t="s">
        <v>243</v>
      </c>
      <c r="E73" s="11" t="s">
        <v>237</v>
      </c>
      <c r="F73" s="11" t="s">
        <v>241</v>
      </c>
      <c r="G73" s="36">
        <v>83573000</v>
      </c>
      <c r="H73" s="36">
        <v>23500000</v>
      </c>
      <c r="I73" s="36">
        <v>835000</v>
      </c>
      <c r="J73" s="36">
        <v>49239000</v>
      </c>
      <c r="K73" s="36">
        <v>708000</v>
      </c>
      <c r="L73" s="36">
        <v>0</v>
      </c>
      <c r="M73" s="36">
        <v>157855000</v>
      </c>
      <c r="N73" s="36">
        <v>196095000</v>
      </c>
      <c r="O73" s="36">
        <v>67698000</v>
      </c>
      <c r="P73" s="36">
        <v>2639000</v>
      </c>
      <c r="Q73" s="36">
        <v>66694000</v>
      </c>
      <c r="R73" s="36">
        <v>-21799000</v>
      </c>
      <c r="S73" s="36">
        <v>9446000</v>
      </c>
      <c r="T73" s="36">
        <v>320773000</v>
      </c>
      <c r="U73" s="36">
        <v>228396000</v>
      </c>
      <c r="V73" s="36">
        <v>90499000</v>
      </c>
      <c r="W73" s="36">
        <v>3225000</v>
      </c>
      <c r="X73" s="36">
        <v>112353000</v>
      </c>
      <c r="Y73" s="36">
        <v>-39232000</v>
      </c>
      <c r="Z73" s="36">
        <v>2320000</v>
      </c>
      <c r="AA73" s="40">
        <v>397561000</v>
      </c>
    </row>
    <row r="74" spans="1:27" x14ac:dyDescent="0.45">
      <c r="A74" s="10">
        <v>61</v>
      </c>
      <c r="B74" s="11" t="s">
        <v>173</v>
      </c>
      <c r="C74" s="11" t="s">
        <v>74</v>
      </c>
      <c r="D74" s="11" t="s">
        <v>242</v>
      </c>
      <c r="E74" s="11" t="s">
        <v>237</v>
      </c>
      <c r="F74" s="11" t="s">
        <v>241</v>
      </c>
      <c r="G74" s="36">
        <v>21559000</v>
      </c>
      <c r="H74" s="36">
        <v>10118000</v>
      </c>
      <c r="I74" s="36">
        <v>2291000</v>
      </c>
      <c r="J74" s="36">
        <v>23127000</v>
      </c>
      <c r="K74" s="36">
        <v>373000</v>
      </c>
      <c r="L74" s="36">
        <v>1000</v>
      </c>
      <c r="M74" s="36">
        <v>57469000</v>
      </c>
      <c r="N74" s="36">
        <v>43548000</v>
      </c>
      <c r="O74" s="36">
        <v>20145000</v>
      </c>
      <c r="P74" s="36">
        <v>5107000</v>
      </c>
      <c r="Q74" s="36">
        <v>25239000</v>
      </c>
      <c r="R74" s="36">
        <v>-4261000</v>
      </c>
      <c r="S74" s="36">
        <v>2438000</v>
      </c>
      <c r="T74" s="36">
        <v>92216000</v>
      </c>
      <c r="U74" s="36">
        <v>41488000</v>
      </c>
      <c r="V74" s="36">
        <v>28881000</v>
      </c>
      <c r="W74" s="36">
        <v>3417000</v>
      </c>
      <c r="X74" s="36">
        <v>31854000</v>
      </c>
      <c r="Y74" s="36">
        <v>1674000</v>
      </c>
      <c r="Z74" s="36">
        <v>1309000</v>
      </c>
      <c r="AA74" s="40">
        <v>108623000</v>
      </c>
    </row>
    <row r="75" spans="1:27" x14ac:dyDescent="0.45">
      <c r="A75" s="18">
        <v>57</v>
      </c>
      <c r="B75" s="19" t="s">
        <v>66</v>
      </c>
      <c r="C75" s="19" t="s">
        <v>74</v>
      </c>
      <c r="D75" s="11" t="s">
        <v>242</v>
      </c>
      <c r="E75" s="11" t="s">
        <v>237</v>
      </c>
      <c r="F75" s="11" t="s">
        <v>241</v>
      </c>
      <c r="G75" s="41">
        <v>169122000</v>
      </c>
      <c r="H75" s="41">
        <v>61635000</v>
      </c>
      <c r="I75" s="41">
        <v>14083000</v>
      </c>
      <c r="J75" s="41">
        <v>107112000</v>
      </c>
      <c r="K75" s="41">
        <v>-43782000</v>
      </c>
      <c r="L75" s="41">
        <v>6158000</v>
      </c>
      <c r="M75" s="41">
        <v>314328000</v>
      </c>
      <c r="N75" s="41">
        <v>165535000</v>
      </c>
      <c r="O75" s="41">
        <v>57761000</v>
      </c>
      <c r="P75" s="41">
        <v>12424000</v>
      </c>
      <c r="Q75" s="41">
        <v>106465000</v>
      </c>
      <c r="R75" s="41">
        <v>-37644000</v>
      </c>
      <c r="S75" s="41">
        <v>3200000</v>
      </c>
      <c r="T75" s="41">
        <v>307741000</v>
      </c>
      <c r="U75" s="41">
        <v>174251000</v>
      </c>
      <c r="V75" s="41">
        <v>68883000</v>
      </c>
      <c r="W75" s="41">
        <v>13326000</v>
      </c>
      <c r="X75" s="41">
        <v>122302000</v>
      </c>
      <c r="Y75" s="41">
        <v>-30693000</v>
      </c>
      <c r="Z75" s="41">
        <v>1755000</v>
      </c>
      <c r="AA75" s="42">
        <v>349824000</v>
      </c>
    </row>
    <row r="76" spans="1:27" ht="14.1" thickBot="1" x14ac:dyDescent="0.5">
      <c r="A76" s="4"/>
      <c r="G76" s="5"/>
      <c r="H76" s="5"/>
      <c r="I76" s="5"/>
      <c r="J76" s="5"/>
      <c r="K76" s="5"/>
      <c r="L76" s="5"/>
      <c r="M76" s="5"/>
      <c r="N76" s="5"/>
      <c r="O76" s="5"/>
      <c r="P76" s="5"/>
      <c r="Q76" s="5"/>
      <c r="R76" s="5"/>
      <c r="S76" s="5"/>
      <c r="T76" s="5"/>
      <c r="U76" s="5"/>
      <c r="V76" s="5"/>
      <c r="W76" s="5"/>
      <c r="X76" s="5"/>
      <c r="Y76" s="5"/>
      <c r="Z76" s="5"/>
      <c r="AA76" s="5"/>
    </row>
    <row r="77" spans="1:27" ht="14.4" thickBot="1" x14ac:dyDescent="0.55000000000000004">
      <c r="C77" s="24" t="s">
        <v>132</v>
      </c>
      <c r="G77" s="26">
        <f>SUM(Table2[[2019 Medicare ]])</f>
        <v>9531507000</v>
      </c>
      <c r="H77" s="26">
        <f>SUM(Table2[[2019 Medicaid ]])</f>
        <v>4238833000</v>
      </c>
      <c r="I77" s="26">
        <f>SUM(Table2[2019 Champus/ Tricare ])</f>
        <v>109106000</v>
      </c>
      <c r="J77" s="26">
        <f>SUM(Table2[[2019 Commercial Insurance ]])</f>
        <v>10499972000</v>
      </c>
      <c r="K77" s="26">
        <f>SUM(Table2[2019 Uninsured])</f>
        <v>-230996000</v>
      </c>
      <c r="L77" s="26">
        <f>SUM(Table2[[2019 Others ]])</f>
        <v>119030000</v>
      </c>
      <c r="M77" s="26">
        <f>SUM(Table2[[2019 Total ]])</f>
        <v>24267452000</v>
      </c>
      <c r="N77" s="26">
        <f>SUM(Table2[[2020 Medicare ]])</f>
        <v>9113627000</v>
      </c>
      <c r="O77" s="26">
        <f>SUM(Table2[[2020 Medicaid ]])</f>
        <v>3747080000</v>
      </c>
      <c r="P77" s="26">
        <f>SUM(Table2[2020 Champus/ Tricare ])</f>
        <v>112668000</v>
      </c>
      <c r="Q77" s="26">
        <f>SUM(Table2[[2020 Commercial Insurance ]])</f>
        <v>9823424000</v>
      </c>
      <c r="R77" s="26">
        <f>SUM(Table2[2020 Uninsured])</f>
        <v>22656000</v>
      </c>
      <c r="S77" s="26">
        <f>SUM(Table2[[2020 Others ]])</f>
        <v>142808000</v>
      </c>
      <c r="T77" s="26">
        <f>SUM(Table2[2020 Total])</f>
        <v>22962263000</v>
      </c>
      <c r="U77" s="26">
        <f>SUM(Table2[[2021 Medicare ]])</f>
        <v>10865323000</v>
      </c>
      <c r="V77" s="26">
        <f>SUM(Table2[[2021 Medicaid ]])</f>
        <v>4297943000</v>
      </c>
      <c r="W77" s="26">
        <f>SUM(Table2[2021 Champus/ Tricare ])</f>
        <v>141646000</v>
      </c>
      <c r="X77" s="26">
        <f>SUM(Table2[[2021 Commercial Insurance ]])</f>
        <v>11089412000</v>
      </c>
      <c r="Y77" s="26">
        <f>SUM(Table2[2021 Uninsured])</f>
        <v>347239000</v>
      </c>
      <c r="Z77" s="26">
        <f>SUM(Table2[[2021 Others ]])</f>
        <v>735506000</v>
      </c>
      <c r="AA77" s="27">
        <f>SUM(Table2[[2021 Total ]])</f>
        <v>27477069000</v>
      </c>
    </row>
    <row r="79" spans="1:27" ht="14.1" x14ac:dyDescent="0.5">
      <c r="A79" s="69" t="s">
        <v>138</v>
      </c>
      <c r="B79" s="69"/>
      <c r="C79" s="69"/>
      <c r="D79" s="69"/>
      <c r="E79" s="69"/>
      <c r="F79" s="69"/>
      <c r="G79" s="69"/>
      <c r="H79" s="69"/>
      <c r="I79" s="69"/>
    </row>
    <row r="80" spans="1:27" ht="14.1" x14ac:dyDescent="0.5">
      <c r="A80" s="69" t="s">
        <v>187</v>
      </c>
      <c r="B80" s="69"/>
      <c r="C80" s="69"/>
      <c r="D80" s="69"/>
      <c r="E80" s="69"/>
      <c r="F80" s="69"/>
      <c r="G80" s="69"/>
      <c r="H80" s="69"/>
      <c r="I80" s="69"/>
      <c r="S80" s="5"/>
      <c r="T80" s="5"/>
    </row>
    <row r="81" spans="1:21" ht="14.1" x14ac:dyDescent="0.5">
      <c r="A81" s="70" t="s">
        <v>188</v>
      </c>
      <c r="B81" s="69"/>
      <c r="C81" s="69"/>
      <c r="D81" s="69"/>
      <c r="E81" s="69"/>
      <c r="F81" s="69"/>
      <c r="G81" s="69"/>
      <c r="H81" s="69"/>
      <c r="I81" s="69"/>
    </row>
    <row r="82" spans="1:21" ht="33" customHeight="1" x14ac:dyDescent="0.45">
      <c r="A82" s="94" t="s">
        <v>189</v>
      </c>
      <c r="B82" s="94"/>
      <c r="C82" s="94"/>
      <c r="D82" s="94"/>
      <c r="E82" s="94"/>
      <c r="F82" s="94"/>
      <c r="G82" s="94"/>
      <c r="H82" s="94"/>
      <c r="I82" s="94"/>
    </row>
    <row r="83" spans="1:21" ht="33" customHeight="1" x14ac:dyDescent="0.45">
      <c r="A83" s="94" t="s">
        <v>304</v>
      </c>
      <c r="B83" s="94"/>
      <c r="C83" s="94"/>
      <c r="D83" s="94"/>
      <c r="E83" s="94"/>
      <c r="F83" s="94"/>
      <c r="G83" s="94"/>
      <c r="H83" s="94"/>
      <c r="I83" s="94"/>
    </row>
    <row r="84" spans="1:21" ht="14.1" x14ac:dyDescent="0.45">
      <c r="A84" s="94" t="s">
        <v>303</v>
      </c>
      <c r="B84" s="94"/>
      <c r="C84" s="94"/>
      <c r="D84" s="94"/>
      <c r="E84" s="94"/>
      <c r="F84" s="94"/>
      <c r="G84" s="94"/>
      <c r="H84" s="94"/>
      <c r="I84" s="94"/>
      <c r="J84" s="94"/>
      <c r="K84" s="94"/>
      <c r="L84" s="94"/>
      <c r="M84" s="94"/>
      <c r="N84" s="94"/>
      <c r="O84" s="94"/>
      <c r="P84" s="94"/>
      <c r="Q84" s="94"/>
      <c r="R84" s="94"/>
      <c r="S84" s="94"/>
      <c r="T84" s="94"/>
      <c r="U84" s="94"/>
    </row>
    <row r="85" spans="1:21" ht="14.1" x14ac:dyDescent="0.45">
      <c r="A85" s="90" t="s">
        <v>305</v>
      </c>
      <c r="B85" s="89"/>
      <c r="C85" s="89"/>
      <c r="D85" s="89"/>
      <c r="E85" s="89"/>
      <c r="F85" s="89"/>
      <c r="G85" s="89"/>
      <c r="H85" s="89"/>
      <c r="I85" s="89"/>
      <c r="J85" s="89"/>
      <c r="K85" s="89"/>
      <c r="L85" s="89"/>
      <c r="M85" s="89"/>
      <c r="N85" s="89"/>
      <c r="O85" s="89"/>
      <c r="P85" s="89"/>
      <c r="Q85" s="89"/>
      <c r="R85" s="89"/>
      <c r="S85" s="89"/>
      <c r="T85" s="89"/>
      <c r="U85" s="89"/>
    </row>
    <row r="87" spans="1:21" ht="17.7" x14ac:dyDescent="0.6">
      <c r="A87" s="95" t="s">
        <v>92</v>
      </c>
      <c r="B87" s="95"/>
      <c r="C87" s="95"/>
      <c r="D87" s="82"/>
      <c r="E87" s="82"/>
      <c r="F87" s="82"/>
    </row>
    <row r="88" spans="1:21" ht="14.1" x14ac:dyDescent="0.45">
      <c r="A88" s="28" t="s">
        <v>93</v>
      </c>
      <c r="B88" s="96" t="s">
        <v>98</v>
      </c>
      <c r="C88" s="96"/>
      <c r="D88" s="73"/>
      <c r="E88" s="73"/>
      <c r="F88" s="73"/>
    </row>
    <row r="89" spans="1:21" ht="14.1" x14ac:dyDescent="0.45">
      <c r="A89" s="28" t="s">
        <v>94</v>
      </c>
      <c r="B89" s="96" t="s">
        <v>89</v>
      </c>
      <c r="C89" s="96"/>
      <c r="D89" s="73"/>
      <c r="E89" s="73"/>
      <c r="F89" s="73"/>
    </row>
    <row r="90" spans="1:21" ht="14.25" customHeight="1" x14ac:dyDescent="0.45">
      <c r="A90" s="28" t="s">
        <v>95</v>
      </c>
      <c r="B90" s="99" t="s">
        <v>99</v>
      </c>
      <c r="C90" s="99"/>
      <c r="D90" s="76"/>
      <c r="E90" s="76"/>
      <c r="F90" s="76"/>
    </row>
    <row r="91" spans="1:21" ht="14.25" customHeight="1" x14ac:dyDescent="0.45">
      <c r="A91" s="45" t="s">
        <v>96</v>
      </c>
      <c r="B91" s="91" t="s">
        <v>266</v>
      </c>
      <c r="C91" s="91"/>
      <c r="D91" s="76"/>
      <c r="E91" s="76"/>
      <c r="F91" s="76"/>
    </row>
    <row r="92" spans="1:21" ht="14.25" customHeight="1" x14ac:dyDescent="0.45">
      <c r="A92" s="45" t="s">
        <v>97</v>
      </c>
      <c r="B92" s="91" t="s">
        <v>267</v>
      </c>
      <c r="C92" s="91"/>
      <c r="D92" s="76"/>
      <c r="E92" s="76"/>
      <c r="F92" s="76"/>
    </row>
    <row r="93" spans="1:21" ht="14.25" customHeight="1" x14ac:dyDescent="0.45">
      <c r="A93" s="45" t="s">
        <v>100</v>
      </c>
      <c r="B93" s="97" t="s">
        <v>268</v>
      </c>
      <c r="C93" s="97"/>
      <c r="D93" s="76"/>
      <c r="E93" s="76"/>
      <c r="F93" s="76"/>
    </row>
    <row r="94" spans="1:21" ht="14.1" x14ac:dyDescent="0.45">
      <c r="A94" s="28" t="s">
        <v>287</v>
      </c>
      <c r="B94" s="91" t="s">
        <v>166</v>
      </c>
      <c r="C94" s="91"/>
      <c r="D94" s="74"/>
      <c r="E94" s="74"/>
      <c r="F94" s="74"/>
    </row>
    <row r="95" spans="1:21" ht="14.1" x14ac:dyDescent="0.45">
      <c r="A95" s="29" t="s">
        <v>290</v>
      </c>
      <c r="B95" s="91" t="s">
        <v>128</v>
      </c>
      <c r="C95" s="91"/>
      <c r="D95" s="74"/>
      <c r="E95" s="74"/>
      <c r="F95" s="74"/>
    </row>
    <row r="96" spans="1:21" ht="14.1" x14ac:dyDescent="0.45">
      <c r="A96" s="28" t="s">
        <v>298</v>
      </c>
      <c r="B96" s="91" t="s">
        <v>157</v>
      </c>
      <c r="C96" s="91"/>
      <c r="D96" s="74"/>
      <c r="E96" s="74"/>
      <c r="F96" s="74"/>
    </row>
    <row r="97" spans="1:6" ht="14.1" x14ac:dyDescent="0.45">
      <c r="A97" s="28" t="s">
        <v>296</v>
      </c>
      <c r="B97" s="91" t="s">
        <v>129</v>
      </c>
      <c r="C97" s="91"/>
      <c r="D97" s="74"/>
      <c r="E97" s="74"/>
      <c r="F97" s="74"/>
    </row>
    <row r="98" spans="1:6" ht="14.1" x14ac:dyDescent="0.45">
      <c r="A98" s="28" t="s">
        <v>299</v>
      </c>
      <c r="B98" s="91" t="s">
        <v>156</v>
      </c>
      <c r="C98" s="91"/>
      <c r="D98" s="74"/>
      <c r="E98" s="74"/>
      <c r="F98" s="74"/>
    </row>
    <row r="99" spans="1:6" ht="14.1" x14ac:dyDescent="0.45">
      <c r="A99" s="28" t="s">
        <v>300</v>
      </c>
      <c r="B99" s="91" t="s">
        <v>130</v>
      </c>
      <c r="C99" s="91"/>
      <c r="D99" s="74"/>
      <c r="E99" s="74"/>
      <c r="F99" s="74"/>
    </row>
  </sheetData>
  <sheetProtection algorithmName="SHA-512" hashValue="95hxswyR4WbubVhCEIfcdmfNNm0oyTB8JJAyc7mtgGXZgEDAwvPS8tarm4zR4IrSGmc3DwMaWbQZBK/HL3EWrQ==" saltValue="kr03ak1ibj4o+MLzQYrhvg==" spinCount="100000" sheet="1" objects="1" scenarios="1" selectLockedCells="1" sort="0" autoFilter="0" selectUnlockedCells="1"/>
  <mergeCells count="17">
    <mergeCell ref="B95:C95"/>
    <mergeCell ref="B96:C96"/>
    <mergeCell ref="B97:C97"/>
    <mergeCell ref="B98:C98"/>
    <mergeCell ref="B99:C99"/>
    <mergeCell ref="B91:C91"/>
    <mergeCell ref="B92:C92"/>
    <mergeCell ref="B93:C93"/>
    <mergeCell ref="B94:C94"/>
    <mergeCell ref="A1:AA1"/>
    <mergeCell ref="A87:C87"/>
    <mergeCell ref="B88:C88"/>
    <mergeCell ref="B89:C89"/>
    <mergeCell ref="B90:C90"/>
    <mergeCell ref="A82:I82"/>
    <mergeCell ref="A83:I83"/>
    <mergeCell ref="A84:U84"/>
  </mergeCells>
  <phoneticPr fontId="11" type="noConversion"/>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EDCAE-6704-4BA8-BC9D-876189AA6F1F}">
  <dimension ref="A1:AB98"/>
  <sheetViews>
    <sheetView zoomScale="70" zoomScaleNormal="70" workbookViewId="0">
      <selection sqref="A1:AA1"/>
    </sheetView>
  </sheetViews>
  <sheetFormatPr defaultRowHeight="14.4" x14ac:dyDescent="0.55000000000000004"/>
  <cols>
    <col min="1" max="1" width="26.41796875" customWidth="1"/>
    <col min="2" max="2" width="76.26171875" customWidth="1"/>
    <col min="3" max="3" width="47" customWidth="1"/>
    <col min="4" max="4" width="17.26171875" bestFit="1" customWidth="1"/>
    <col min="5" max="5" width="18.68359375" bestFit="1" customWidth="1"/>
    <col min="6" max="6" width="22.83984375" customWidth="1"/>
    <col min="7" max="8" width="25.83984375" bestFit="1" customWidth="1"/>
    <col min="9" max="9" width="26.26171875" bestFit="1" customWidth="1"/>
    <col min="10" max="10" width="28.26171875" bestFit="1" customWidth="1"/>
    <col min="11" max="11" width="26.578125" bestFit="1" customWidth="1"/>
    <col min="12" max="12" width="22.68359375" bestFit="1" customWidth="1"/>
    <col min="13" max="13" width="23.41796875" bestFit="1" customWidth="1"/>
    <col min="14" max="15" width="26.26171875" bestFit="1" customWidth="1"/>
    <col min="16" max="16" width="26.83984375" bestFit="1" customWidth="1"/>
    <col min="17" max="17" width="29" bestFit="1" customWidth="1"/>
    <col min="18" max="18" width="27" bestFit="1" customWidth="1"/>
    <col min="19" max="19" width="23.26171875" bestFit="1" customWidth="1"/>
    <col min="20" max="20" width="23" bestFit="1" customWidth="1"/>
    <col min="21" max="22" width="25.83984375" bestFit="1" customWidth="1"/>
    <col min="23" max="23" width="26.26171875" bestFit="1" customWidth="1"/>
    <col min="24" max="24" width="28.26171875" bestFit="1" customWidth="1"/>
    <col min="25" max="25" width="26.578125" bestFit="1" customWidth="1"/>
    <col min="26" max="26" width="22.68359375" bestFit="1" customWidth="1"/>
    <col min="27" max="27" width="23" bestFit="1" customWidth="1"/>
    <col min="28" max="28" width="16.26171875" bestFit="1" customWidth="1"/>
  </cols>
  <sheetData>
    <row r="1" spans="1:27" ht="22.8" thickBot="1" x14ac:dyDescent="0.8">
      <c r="A1" s="92" t="s">
        <v>151</v>
      </c>
      <c r="B1" s="93"/>
      <c r="C1" s="93"/>
      <c r="D1" s="93"/>
      <c r="E1" s="93"/>
      <c r="F1" s="93"/>
      <c r="G1" s="93"/>
      <c r="H1" s="93"/>
      <c r="I1" s="93"/>
      <c r="J1" s="93"/>
      <c r="K1" s="93"/>
      <c r="L1" s="93"/>
      <c r="M1" s="93"/>
      <c r="N1" s="93"/>
      <c r="O1" s="93"/>
      <c r="P1" s="93"/>
      <c r="Q1" s="93"/>
      <c r="R1" s="93"/>
      <c r="S1" s="93"/>
      <c r="T1" s="93"/>
      <c r="U1" s="93"/>
      <c r="V1" s="93"/>
      <c r="W1" s="93"/>
      <c r="X1" s="93"/>
      <c r="Y1" s="93"/>
      <c r="Z1" s="93"/>
      <c r="AA1" s="98"/>
    </row>
    <row r="2" spans="1:27" x14ac:dyDescent="0.55000000000000004">
      <c r="A2" s="2"/>
      <c r="B2" s="2"/>
      <c r="C2" s="2"/>
      <c r="D2" s="2"/>
      <c r="E2" s="2"/>
      <c r="F2" s="2"/>
      <c r="G2" s="2"/>
      <c r="H2" s="2"/>
      <c r="I2" s="2"/>
      <c r="J2" s="2"/>
      <c r="K2" s="2"/>
      <c r="L2" s="2"/>
      <c r="M2" s="2"/>
      <c r="N2" s="2"/>
      <c r="O2" s="2"/>
      <c r="P2" s="2"/>
      <c r="Q2" s="2"/>
      <c r="R2" s="2"/>
      <c r="S2" s="2"/>
      <c r="T2" s="2"/>
      <c r="U2" s="2"/>
      <c r="V2" s="2"/>
      <c r="W2" s="2"/>
      <c r="X2" s="2"/>
      <c r="Y2" s="2"/>
      <c r="Z2" s="2"/>
      <c r="AA2" s="2"/>
    </row>
    <row r="3" spans="1:27" x14ac:dyDescent="0.55000000000000004">
      <c r="A3" s="7" t="s">
        <v>88</v>
      </c>
      <c r="B3" s="8" t="s">
        <v>89</v>
      </c>
      <c r="C3" s="8" t="s">
        <v>99</v>
      </c>
      <c r="D3" s="8" t="s">
        <v>233</v>
      </c>
      <c r="E3" s="8" t="s">
        <v>234</v>
      </c>
      <c r="F3" s="8" t="s">
        <v>235</v>
      </c>
      <c r="G3" s="8" t="s">
        <v>107</v>
      </c>
      <c r="H3" s="8" t="s">
        <v>108</v>
      </c>
      <c r="I3" s="8" t="s">
        <v>125</v>
      </c>
      <c r="J3" s="8" t="s">
        <v>109</v>
      </c>
      <c r="K3" s="8" t="s">
        <v>284</v>
      </c>
      <c r="L3" s="8" t="s">
        <v>111</v>
      </c>
      <c r="M3" s="8" t="s">
        <v>112</v>
      </c>
      <c r="N3" s="8" t="s">
        <v>113</v>
      </c>
      <c r="O3" s="8" t="s">
        <v>114</v>
      </c>
      <c r="P3" s="8" t="s">
        <v>126</v>
      </c>
      <c r="Q3" s="8" t="s">
        <v>115</v>
      </c>
      <c r="R3" s="8" t="s">
        <v>285</v>
      </c>
      <c r="S3" s="8" t="s">
        <v>117</v>
      </c>
      <c r="T3" s="8" t="s">
        <v>118</v>
      </c>
      <c r="U3" s="8" t="s">
        <v>119</v>
      </c>
      <c r="V3" s="8" t="s">
        <v>120</v>
      </c>
      <c r="W3" s="8" t="s">
        <v>127</v>
      </c>
      <c r="X3" s="8" t="s">
        <v>121</v>
      </c>
      <c r="Y3" s="8" t="s">
        <v>286</v>
      </c>
      <c r="Z3" s="8" t="s">
        <v>123</v>
      </c>
      <c r="AA3" s="9" t="s">
        <v>124</v>
      </c>
    </row>
    <row r="4" spans="1:27" x14ac:dyDescent="0.55000000000000004">
      <c r="A4" s="10">
        <v>642</v>
      </c>
      <c r="B4" s="11" t="s">
        <v>0</v>
      </c>
      <c r="C4" s="11" t="s">
        <v>68</v>
      </c>
      <c r="D4" s="11" t="s">
        <v>236</v>
      </c>
      <c r="E4" s="11" t="s">
        <v>237</v>
      </c>
      <c r="F4" s="11" t="s">
        <v>238</v>
      </c>
      <c r="G4" s="36">
        <v>693579000</v>
      </c>
      <c r="H4" s="36">
        <v>350449000</v>
      </c>
      <c r="I4" s="36">
        <v>15201000</v>
      </c>
      <c r="J4" s="36">
        <v>343154000</v>
      </c>
      <c r="K4" s="36">
        <v>87333000</v>
      </c>
      <c r="L4" s="36">
        <v>30402000</v>
      </c>
      <c r="M4" s="36">
        <v>1520118000</v>
      </c>
      <c r="N4" s="36">
        <v>528812000</v>
      </c>
      <c r="O4" s="36">
        <v>358661000</v>
      </c>
      <c r="P4" s="36">
        <v>12886000</v>
      </c>
      <c r="Q4" s="36">
        <v>270350000</v>
      </c>
      <c r="R4" s="36">
        <v>102064000</v>
      </c>
      <c r="S4" s="36">
        <v>59092000</v>
      </c>
      <c r="T4" s="36">
        <v>1331865000</v>
      </c>
      <c r="U4" s="36">
        <v>567720000</v>
      </c>
      <c r="V4" s="36">
        <v>384528000</v>
      </c>
      <c r="W4" s="36">
        <v>22290000</v>
      </c>
      <c r="X4" s="36">
        <v>267592000</v>
      </c>
      <c r="Y4" s="36">
        <v>92366000</v>
      </c>
      <c r="Z4" s="36">
        <v>87720000</v>
      </c>
      <c r="AA4" s="40">
        <v>1422216000</v>
      </c>
    </row>
    <row r="5" spans="1:27" x14ac:dyDescent="0.55000000000000004">
      <c r="A5" s="10">
        <v>641</v>
      </c>
      <c r="B5" s="11" t="s">
        <v>1</v>
      </c>
      <c r="C5" s="11" t="s">
        <v>68</v>
      </c>
      <c r="D5" s="11" t="s">
        <v>236</v>
      </c>
      <c r="E5" s="11" t="s">
        <v>237</v>
      </c>
      <c r="F5" s="11" t="s">
        <v>238</v>
      </c>
      <c r="G5" s="36">
        <v>981653000</v>
      </c>
      <c r="H5" s="36">
        <v>496524000</v>
      </c>
      <c r="I5" s="36">
        <v>21528000</v>
      </c>
      <c r="J5" s="36">
        <v>486157000</v>
      </c>
      <c r="K5" s="36">
        <v>123812000</v>
      </c>
      <c r="L5" s="36">
        <v>43049000</v>
      </c>
      <c r="M5" s="36">
        <v>2152723000</v>
      </c>
      <c r="N5" s="36">
        <v>1078125000</v>
      </c>
      <c r="O5" s="36">
        <v>342185000</v>
      </c>
      <c r="P5" s="36">
        <v>20832000</v>
      </c>
      <c r="Q5" s="36">
        <v>484592000</v>
      </c>
      <c r="R5" s="36">
        <v>80309000</v>
      </c>
      <c r="S5" s="36">
        <v>77125000</v>
      </c>
      <c r="T5" s="36">
        <v>2083168000</v>
      </c>
      <c r="U5" s="36">
        <v>1122185000</v>
      </c>
      <c r="V5" s="36">
        <v>393273000</v>
      </c>
      <c r="W5" s="36">
        <v>39577000</v>
      </c>
      <c r="X5" s="36">
        <v>541729000</v>
      </c>
      <c r="Y5" s="36">
        <v>67304000</v>
      </c>
      <c r="Z5" s="36">
        <v>60157000</v>
      </c>
      <c r="AA5" s="40">
        <v>2224225000</v>
      </c>
    </row>
    <row r="6" spans="1:27" x14ac:dyDescent="0.55000000000000004">
      <c r="A6" s="10">
        <v>25</v>
      </c>
      <c r="B6" s="11" t="s">
        <v>2</v>
      </c>
      <c r="C6" s="11" t="s">
        <v>71</v>
      </c>
      <c r="D6" s="11" t="s">
        <v>248</v>
      </c>
      <c r="E6" s="11" t="s">
        <v>240</v>
      </c>
      <c r="F6" s="11" t="s">
        <v>241</v>
      </c>
      <c r="G6" s="36">
        <v>808754000</v>
      </c>
      <c r="H6" s="36">
        <v>371847000</v>
      </c>
      <c r="I6" s="36">
        <v>1763000</v>
      </c>
      <c r="J6" s="36">
        <v>278460000</v>
      </c>
      <c r="K6" s="36">
        <v>79833000</v>
      </c>
      <c r="L6" s="36">
        <v>8615000</v>
      </c>
      <c r="M6" s="36">
        <v>1549272000</v>
      </c>
      <c r="N6" s="36">
        <v>1061056000</v>
      </c>
      <c r="O6" s="36">
        <v>440466000</v>
      </c>
      <c r="P6" s="36">
        <v>2630000</v>
      </c>
      <c r="Q6" s="36">
        <v>409046000</v>
      </c>
      <c r="R6" s="36">
        <v>147567000</v>
      </c>
      <c r="S6" s="36">
        <v>6753000</v>
      </c>
      <c r="T6" s="36">
        <v>2067518000</v>
      </c>
      <c r="U6" s="36">
        <v>1177637000</v>
      </c>
      <c r="V6" s="36">
        <v>504630000</v>
      </c>
      <c r="W6" s="36">
        <v>3145000</v>
      </c>
      <c r="X6" s="36">
        <v>452240000</v>
      </c>
      <c r="Y6" s="36">
        <v>138510000</v>
      </c>
      <c r="Z6" s="36">
        <v>66039000</v>
      </c>
      <c r="AA6" s="40">
        <v>2342201000</v>
      </c>
    </row>
    <row r="7" spans="1:27" x14ac:dyDescent="0.55000000000000004">
      <c r="A7" s="10">
        <v>112</v>
      </c>
      <c r="B7" s="11" t="s">
        <v>3</v>
      </c>
      <c r="C7" s="11" t="s">
        <v>72</v>
      </c>
      <c r="D7" s="11" t="s">
        <v>253</v>
      </c>
      <c r="E7" s="11" t="s">
        <v>251</v>
      </c>
      <c r="F7" s="11" t="s">
        <v>241</v>
      </c>
      <c r="G7" s="36">
        <v>511133000</v>
      </c>
      <c r="H7" s="36">
        <v>135844000</v>
      </c>
      <c r="I7" s="36">
        <v>1869000</v>
      </c>
      <c r="J7" s="36">
        <v>241333000</v>
      </c>
      <c r="K7" s="36">
        <v>25067000</v>
      </c>
      <c r="L7" s="36">
        <v>23206000</v>
      </c>
      <c r="M7" s="36">
        <v>938452000</v>
      </c>
      <c r="N7" s="36">
        <v>449558000</v>
      </c>
      <c r="O7" s="36">
        <v>116537000</v>
      </c>
      <c r="P7" s="36">
        <v>509000</v>
      </c>
      <c r="Q7" s="36">
        <v>236254000</v>
      </c>
      <c r="R7" s="36">
        <v>21500000</v>
      </c>
      <c r="S7" s="36">
        <v>18791000</v>
      </c>
      <c r="T7" s="36">
        <v>843149000</v>
      </c>
      <c r="U7" s="36">
        <v>502437000</v>
      </c>
      <c r="V7" s="36">
        <v>125737000</v>
      </c>
      <c r="W7" s="36">
        <v>699000</v>
      </c>
      <c r="X7" s="36">
        <v>276973000</v>
      </c>
      <c r="Y7" s="36">
        <v>26862000</v>
      </c>
      <c r="Z7" s="36">
        <v>24451000</v>
      </c>
      <c r="AA7" s="40">
        <v>957159000</v>
      </c>
    </row>
    <row r="8" spans="1:27" x14ac:dyDescent="0.55000000000000004">
      <c r="A8" s="10">
        <v>11</v>
      </c>
      <c r="B8" s="11" t="s">
        <v>4</v>
      </c>
      <c r="C8" s="11" t="s">
        <v>73</v>
      </c>
      <c r="D8" s="11" t="s">
        <v>244</v>
      </c>
      <c r="E8" s="11" t="s">
        <v>237</v>
      </c>
      <c r="F8" s="11" t="s">
        <v>238</v>
      </c>
      <c r="G8" s="36">
        <v>460302000</v>
      </c>
      <c r="H8" s="36">
        <v>147218000</v>
      </c>
      <c r="I8" s="36">
        <v>11451000</v>
      </c>
      <c r="J8" s="36">
        <v>186732000</v>
      </c>
      <c r="K8" s="36">
        <v>31258000</v>
      </c>
      <c r="L8" s="36">
        <v>13061000</v>
      </c>
      <c r="M8" s="36">
        <v>850022000</v>
      </c>
      <c r="N8" s="36">
        <v>415688000</v>
      </c>
      <c r="O8" s="36">
        <v>130343000</v>
      </c>
      <c r="P8" s="36">
        <v>11546000</v>
      </c>
      <c r="Q8" s="36">
        <v>174402000</v>
      </c>
      <c r="R8" s="36">
        <v>22724000</v>
      </c>
      <c r="S8" s="36">
        <v>12313000</v>
      </c>
      <c r="T8" s="36">
        <v>767016000</v>
      </c>
      <c r="U8" s="36">
        <v>474734000</v>
      </c>
      <c r="V8" s="36">
        <v>149851000</v>
      </c>
      <c r="W8" s="36">
        <v>17197000</v>
      </c>
      <c r="X8" s="36">
        <v>226864000</v>
      </c>
      <c r="Y8" s="36">
        <v>23421000</v>
      </c>
      <c r="Z8" s="36">
        <v>11132000</v>
      </c>
      <c r="AA8" s="40">
        <v>903199000</v>
      </c>
    </row>
    <row r="9" spans="1:27" x14ac:dyDescent="0.55000000000000004">
      <c r="A9" s="10">
        <v>92</v>
      </c>
      <c r="B9" s="11" t="s">
        <v>5</v>
      </c>
      <c r="C9" s="11" t="s">
        <v>70</v>
      </c>
      <c r="D9" s="11" t="s">
        <v>250</v>
      </c>
      <c r="E9" s="11" t="s">
        <v>251</v>
      </c>
      <c r="F9" s="11" t="s">
        <v>241</v>
      </c>
      <c r="G9" s="36">
        <v>1474273000</v>
      </c>
      <c r="H9" s="36">
        <v>895550000</v>
      </c>
      <c r="I9" s="36">
        <v>15311000</v>
      </c>
      <c r="J9" s="36">
        <v>474592000</v>
      </c>
      <c r="K9" s="36">
        <v>444112000</v>
      </c>
      <c r="L9" s="36">
        <v>208172000</v>
      </c>
      <c r="M9" s="36">
        <v>3512010000</v>
      </c>
      <c r="N9" s="36">
        <v>1617565000</v>
      </c>
      <c r="O9" s="36">
        <v>943207000</v>
      </c>
      <c r="P9" s="36">
        <v>22514000</v>
      </c>
      <c r="Q9" s="36">
        <v>550595000</v>
      </c>
      <c r="R9" s="36">
        <v>460767000</v>
      </c>
      <c r="S9" s="36">
        <v>216610000</v>
      </c>
      <c r="T9" s="36">
        <v>3811258000</v>
      </c>
      <c r="U9" s="36">
        <v>1939663000</v>
      </c>
      <c r="V9" s="36">
        <v>1183676000</v>
      </c>
      <c r="W9" s="36">
        <v>10713000</v>
      </c>
      <c r="X9" s="36">
        <v>614745000</v>
      </c>
      <c r="Y9" s="36">
        <v>558320000</v>
      </c>
      <c r="Z9" s="36">
        <v>253247000</v>
      </c>
      <c r="AA9" s="40">
        <v>4560364000</v>
      </c>
    </row>
    <row r="10" spans="1:27" x14ac:dyDescent="0.55000000000000004">
      <c r="A10" s="10">
        <v>44</v>
      </c>
      <c r="B10" s="11" t="s">
        <v>6</v>
      </c>
      <c r="C10" s="11" t="s">
        <v>70</v>
      </c>
      <c r="D10" s="11" t="s">
        <v>250</v>
      </c>
      <c r="E10" s="11" t="s">
        <v>251</v>
      </c>
      <c r="F10" s="11" t="s">
        <v>241</v>
      </c>
      <c r="G10" s="36">
        <v>1953431000</v>
      </c>
      <c r="H10" s="36">
        <v>725353000</v>
      </c>
      <c r="I10" s="36">
        <v>53541000</v>
      </c>
      <c r="J10" s="36">
        <v>1528315000</v>
      </c>
      <c r="K10" s="36">
        <v>230780000</v>
      </c>
      <c r="L10" s="36">
        <v>165645000</v>
      </c>
      <c r="M10" s="36">
        <v>4657065000</v>
      </c>
      <c r="N10" s="36">
        <v>2170782000</v>
      </c>
      <c r="O10" s="36">
        <v>829053000</v>
      </c>
      <c r="P10" s="36">
        <v>78660000</v>
      </c>
      <c r="Q10" s="36">
        <v>1690470000</v>
      </c>
      <c r="R10" s="36">
        <v>259267000</v>
      </c>
      <c r="S10" s="36">
        <v>180658000</v>
      </c>
      <c r="T10" s="36">
        <v>5208890000</v>
      </c>
      <c r="U10" s="36">
        <v>2700478000</v>
      </c>
      <c r="V10" s="36">
        <v>1050623000</v>
      </c>
      <c r="W10" s="36">
        <v>113739000</v>
      </c>
      <c r="X10" s="36">
        <v>2177341000</v>
      </c>
      <c r="Y10" s="36">
        <v>311587000</v>
      </c>
      <c r="Z10" s="36">
        <v>237913000</v>
      </c>
      <c r="AA10" s="40">
        <v>6591681000</v>
      </c>
    </row>
    <row r="11" spans="1:27" x14ac:dyDescent="0.55000000000000004">
      <c r="A11" s="10">
        <v>111</v>
      </c>
      <c r="B11" s="11" t="s">
        <v>7</v>
      </c>
      <c r="C11" s="11" t="s">
        <v>73</v>
      </c>
      <c r="D11" s="11" t="s">
        <v>253</v>
      </c>
      <c r="E11" s="11" t="s">
        <v>251</v>
      </c>
      <c r="F11" s="11" t="s">
        <v>241</v>
      </c>
      <c r="G11" s="36">
        <v>623189000</v>
      </c>
      <c r="H11" s="36">
        <v>105924000</v>
      </c>
      <c r="I11" s="36">
        <v>9081000</v>
      </c>
      <c r="J11" s="36">
        <v>282257000</v>
      </c>
      <c r="K11" s="36">
        <v>45835000</v>
      </c>
      <c r="L11" s="36">
        <v>48006000</v>
      </c>
      <c r="M11" s="36">
        <v>1114292000</v>
      </c>
      <c r="N11" s="36">
        <v>534819000</v>
      </c>
      <c r="O11" s="36">
        <v>86442000</v>
      </c>
      <c r="P11" s="36">
        <v>3951000</v>
      </c>
      <c r="Q11" s="36">
        <v>258379000</v>
      </c>
      <c r="R11" s="36">
        <v>40266000</v>
      </c>
      <c r="S11" s="36">
        <v>41978000</v>
      </c>
      <c r="T11" s="36">
        <v>965835000</v>
      </c>
      <c r="U11" s="36">
        <v>622863000</v>
      </c>
      <c r="V11" s="36">
        <v>106445000</v>
      </c>
      <c r="W11" s="36">
        <v>4783000</v>
      </c>
      <c r="X11" s="36">
        <v>322806000</v>
      </c>
      <c r="Y11" s="36">
        <v>41683000</v>
      </c>
      <c r="Z11" s="36">
        <v>40841000</v>
      </c>
      <c r="AA11" s="40">
        <v>1139421000</v>
      </c>
    </row>
    <row r="12" spans="1:27" x14ac:dyDescent="0.55000000000000004">
      <c r="A12" s="10">
        <v>17</v>
      </c>
      <c r="B12" s="11" t="s">
        <v>8</v>
      </c>
      <c r="C12" s="11" t="s">
        <v>67</v>
      </c>
      <c r="D12" s="11" t="s">
        <v>254</v>
      </c>
      <c r="E12" s="11" t="s">
        <v>240</v>
      </c>
      <c r="F12" s="11" t="s">
        <v>241</v>
      </c>
      <c r="G12" s="36">
        <v>690645000</v>
      </c>
      <c r="H12" s="36">
        <v>123208000</v>
      </c>
      <c r="I12" s="36">
        <v>0</v>
      </c>
      <c r="J12" s="36">
        <v>340704000</v>
      </c>
      <c r="K12" s="36">
        <v>20881000</v>
      </c>
      <c r="L12" s="36">
        <v>25484000</v>
      </c>
      <c r="M12" s="36">
        <v>1200922000</v>
      </c>
      <c r="N12" s="36">
        <v>622919000</v>
      </c>
      <c r="O12" s="36">
        <v>119535000</v>
      </c>
      <c r="P12" s="36">
        <v>0</v>
      </c>
      <c r="Q12" s="36">
        <v>338061000</v>
      </c>
      <c r="R12" s="36">
        <v>36960000</v>
      </c>
      <c r="S12" s="36">
        <v>44307000</v>
      </c>
      <c r="T12" s="36">
        <v>1161782000</v>
      </c>
      <c r="U12" s="36">
        <v>729135000</v>
      </c>
      <c r="V12" s="36">
        <v>168495000</v>
      </c>
      <c r="W12" s="36">
        <v>0</v>
      </c>
      <c r="X12" s="36">
        <v>383057000</v>
      </c>
      <c r="Y12" s="36">
        <v>34619000</v>
      </c>
      <c r="Z12" s="36">
        <v>41690000</v>
      </c>
      <c r="AA12" s="40">
        <v>1356996000</v>
      </c>
    </row>
    <row r="13" spans="1:27" x14ac:dyDescent="0.55000000000000004">
      <c r="A13" s="10">
        <v>16</v>
      </c>
      <c r="B13" s="11" t="s">
        <v>9</v>
      </c>
      <c r="C13" s="11" t="s">
        <v>71</v>
      </c>
      <c r="D13" s="11" t="s">
        <v>248</v>
      </c>
      <c r="E13" s="11" t="s">
        <v>240</v>
      </c>
      <c r="F13" s="11" t="s">
        <v>241</v>
      </c>
      <c r="G13" s="36">
        <v>839413000</v>
      </c>
      <c r="H13" s="36">
        <v>810858000</v>
      </c>
      <c r="I13" s="36">
        <v>2557000</v>
      </c>
      <c r="J13" s="36">
        <v>317096000</v>
      </c>
      <c r="K13" s="36">
        <v>285653000</v>
      </c>
      <c r="L13" s="36">
        <v>16091000</v>
      </c>
      <c r="M13" s="36">
        <v>2271668000</v>
      </c>
      <c r="N13" s="36">
        <v>1000927000</v>
      </c>
      <c r="O13" s="36">
        <v>817184000</v>
      </c>
      <c r="P13" s="36">
        <v>1459000</v>
      </c>
      <c r="Q13" s="36">
        <v>393921000</v>
      </c>
      <c r="R13" s="36">
        <v>337153000</v>
      </c>
      <c r="S13" s="36">
        <v>15646000</v>
      </c>
      <c r="T13" s="36">
        <v>2566290000</v>
      </c>
      <c r="U13" s="36">
        <v>1158016000</v>
      </c>
      <c r="V13" s="36">
        <v>1013019000</v>
      </c>
      <c r="W13" s="36">
        <v>4008000</v>
      </c>
      <c r="X13" s="36">
        <v>466512000</v>
      </c>
      <c r="Y13" s="36">
        <v>424748000</v>
      </c>
      <c r="Z13" s="36">
        <v>22847000</v>
      </c>
      <c r="AA13" s="40">
        <v>3089150000</v>
      </c>
    </row>
    <row r="14" spans="1:27" x14ac:dyDescent="0.55000000000000004">
      <c r="A14" s="10">
        <v>9</v>
      </c>
      <c r="B14" s="11" t="s">
        <v>10</v>
      </c>
      <c r="C14" s="11" t="s">
        <v>69</v>
      </c>
      <c r="D14" s="11" t="s">
        <v>246</v>
      </c>
      <c r="E14" s="11" t="s">
        <v>240</v>
      </c>
      <c r="F14" s="11" t="s">
        <v>241</v>
      </c>
      <c r="G14" s="36">
        <v>612747000</v>
      </c>
      <c r="H14" s="36">
        <v>338590000</v>
      </c>
      <c r="I14" s="36">
        <v>997000</v>
      </c>
      <c r="J14" s="36">
        <v>277136000</v>
      </c>
      <c r="K14" s="36">
        <v>98139000</v>
      </c>
      <c r="L14" s="36">
        <v>56980000</v>
      </c>
      <c r="M14" s="36">
        <v>1384589000</v>
      </c>
      <c r="N14" s="36">
        <v>598725000</v>
      </c>
      <c r="O14" s="36">
        <v>307280000</v>
      </c>
      <c r="P14" s="36">
        <v>870000</v>
      </c>
      <c r="Q14" s="36">
        <v>299407000</v>
      </c>
      <c r="R14" s="36">
        <v>111694000</v>
      </c>
      <c r="S14" s="36">
        <v>48246000</v>
      </c>
      <c r="T14" s="36">
        <v>1366222000</v>
      </c>
      <c r="U14" s="36">
        <v>664495000</v>
      </c>
      <c r="V14" s="36">
        <v>414214000</v>
      </c>
      <c r="W14" s="36">
        <v>553000</v>
      </c>
      <c r="X14" s="36">
        <v>362532000</v>
      </c>
      <c r="Y14" s="36">
        <v>131317000</v>
      </c>
      <c r="Z14" s="36">
        <v>40652000</v>
      </c>
      <c r="AA14" s="40">
        <v>1613763000</v>
      </c>
    </row>
    <row r="15" spans="1:27" x14ac:dyDescent="0.55000000000000004">
      <c r="A15" s="10">
        <v>41</v>
      </c>
      <c r="B15" s="11" t="s">
        <v>11</v>
      </c>
      <c r="C15" s="11" t="s">
        <v>69</v>
      </c>
      <c r="D15" s="11" t="s">
        <v>255</v>
      </c>
      <c r="E15" s="11" t="s">
        <v>251</v>
      </c>
      <c r="F15" s="11" t="s">
        <v>241</v>
      </c>
      <c r="G15" s="36">
        <v>1360845000</v>
      </c>
      <c r="H15" s="36">
        <v>223840000</v>
      </c>
      <c r="I15" s="36">
        <v>2778000</v>
      </c>
      <c r="J15" s="36">
        <v>348292000</v>
      </c>
      <c r="K15" s="36">
        <v>51953000</v>
      </c>
      <c r="L15" s="36">
        <v>35749000</v>
      </c>
      <c r="M15" s="36">
        <v>2023457000</v>
      </c>
      <c r="N15" s="36">
        <v>1255163000</v>
      </c>
      <c r="O15" s="36">
        <v>218374000</v>
      </c>
      <c r="P15" s="36">
        <v>2228000</v>
      </c>
      <c r="Q15" s="36">
        <v>341327000</v>
      </c>
      <c r="R15" s="36">
        <v>54729000</v>
      </c>
      <c r="S15" s="36">
        <v>10698000</v>
      </c>
      <c r="T15" s="36">
        <v>1882519000</v>
      </c>
      <c r="U15" s="36">
        <v>1494947000</v>
      </c>
      <c r="V15" s="36">
        <v>272994000</v>
      </c>
      <c r="W15" s="36">
        <v>3103000</v>
      </c>
      <c r="X15" s="36">
        <v>449941000</v>
      </c>
      <c r="Y15" s="36">
        <v>60043000</v>
      </c>
      <c r="Z15" s="36">
        <v>7577000</v>
      </c>
      <c r="AA15" s="40">
        <v>2288605000</v>
      </c>
    </row>
    <row r="16" spans="1:27" x14ac:dyDescent="0.55000000000000004">
      <c r="A16" s="10">
        <v>14</v>
      </c>
      <c r="B16" s="11" t="s">
        <v>12</v>
      </c>
      <c r="C16" s="11" t="s">
        <v>73</v>
      </c>
      <c r="D16" s="11" t="s">
        <v>243</v>
      </c>
      <c r="E16" s="11" t="s">
        <v>237</v>
      </c>
      <c r="F16" s="11" t="s">
        <v>241</v>
      </c>
      <c r="G16" s="36">
        <v>2056978000</v>
      </c>
      <c r="H16" s="36">
        <v>1286258000</v>
      </c>
      <c r="I16" s="36">
        <v>30713000</v>
      </c>
      <c r="J16" s="36">
        <v>1252157000</v>
      </c>
      <c r="K16" s="36">
        <v>134751000</v>
      </c>
      <c r="L16" s="36">
        <v>85348000</v>
      </c>
      <c r="M16" s="36">
        <v>4846205000</v>
      </c>
      <c r="N16" s="36">
        <v>2123467000</v>
      </c>
      <c r="O16" s="36">
        <v>1334647000</v>
      </c>
      <c r="P16" s="36">
        <v>31557000</v>
      </c>
      <c r="Q16" s="36">
        <v>1230891000</v>
      </c>
      <c r="R16" s="36">
        <v>107647000</v>
      </c>
      <c r="S16" s="36">
        <v>102444000</v>
      </c>
      <c r="T16" s="36">
        <v>4930653000</v>
      </c>
      <c r="U16" s="36">
        <v>2416612000</v>
      </c>
      <c r="V16" s="36">
        <v>1512038000</v>
      </c>
      <c r="W16" s="36">
        <v>42750000</v>
      </c>
      <c r="X16" s="36">
        <v>1471880000</v>
      </c>
      <c r="Y16" s="36">
        <v>117090000</v>
      </c>
      <c r="Z16" s="36">
        <v>134319000</v>
      </c>
      <c r="AA16" s="40">
        <v>5694689000</v>
      </c>
    </row>
    <row r="17" spans="1:27" x14ac:dyDescent="0.55000000000000004">
      <c r="A17" s="10">
        <v>76</v>
      </c>
      <c r="B17" s="11" t="s">
        <v>308</v>
      </c>
      <c r="C17" s="11" t="s">
        <v>69</v>
      </c>
      <c r="D17" s="11" t="s">
        <v>246</v>
      </c>
      <c r="E17" s="11" t="s">
        <v>240</v>
      </c>
      <c r="F17" s="11" t="s">
        <v>241</v>
      </c>
      <c r="G17" s="36">
        <v>1503352000</v>
      </c>
      <c r="H17" s="36">
        <v>431606000</v>
      </c>
      <c r="I17" s="36">
        <v>10859000</v>
      </c>
      <c r="J17" s="36">
        <v>1269197000</v>
      </c>
      <c r="K17" s="36">
        <v>109176000</v>
      </c>
      <c r="L17" s="36">
        <v>127107000</v>
      </c>
      <c r="M17" s="36">
        <v>3451297000</v>
      </c>
      <c r="N17" s="36">
        <v>1382177000</v>
      </c>
      <c r="O17" s="36">
        <v>416439000</v>
      </c>
      <c r="P17" s="36">
        <v>11593000</v>
      </c>
      <c r="Q17" s="36">
        <v>1245266000</v>
      </c>
      <c r="R17" s="36">
        <v>120518000</v>
      </c>
      <c r="S17" s="36">
        <v>130612000</v>
      </c>
      <c r="T17" s="36">
        <v>3306605000</v>
      </c>
      <c r="U17" s="36">
        <v>1593152000</v>
      </c>
      <c r="V17" s="36">
        <v>484819000</v>
      </c>
      <c r="W17" s="36">
        <v>11355000</v>
      </c>
      <c r="X17" s="36">
        <v>1455316000</v>
      </c>
      <c r="Y17" s="36">
        <v>116254000</v>
      </c>
      <c r="Z17" s="36">
        <v>127116000</v>
      </c>
      <c r="AA17" s="40">
        <v>3788012000</v>
      </c>
    </row>
    <row r="18" spans="1:27" x14ac:dyDescent="0.55000000000000004">
      <c r="A18" s="10">
        <v>31</v>
      </c>
      <c r="B18" s="11" t="s">
        <v>13</v>
      </c>
      <c r="C18" s="11" t="s">
        <v>73</v>
      </c>
      <c r="D18" s="11" t="s">
        <v>242</v>
      </c>
      <c r="E18" s="11" t="s">
        <v>237</v>
      </c>
      <c r="F18" s="11" t="s">
        <v>241</v>
      </c>
      <c r="G18" s="36">
        <v>537906000</v>
      </c>
      <c r="H18" s="36">
        <v>75597000</v>
      </c>
      <c r="I18" s="36">
        <v>15359000</v>
      </c>
      <c r="J18" s="36">
        <v>294071000</v>
      </c>
      <c r="K18" s="36">
        <v>39703000</v>
      </c>
      <c r="L18" s="36">
        <v>12033000</v>
      </c>
      <c r="M18" s="36">
        <v>974669000</v>
      </c>
      <c r="N18" s="36">
        <v>497823000</v>
      </c>
      <c r="O18" s="36">
        <v>73947000</v>
      </c>
      <c r="P18" s="36">
        <v>9179000</v>
      </c>
      <c r="Q18" s="36">
        <v>295493000</v>
      </c>
      <c r="R18" s="36">
        <v>30923000</v>
      </c>
      <c r="S18" s="36">
        <v>8909000</v>
      </c>
      <c r="T18" s="36">
        <v>916274000</v>
      </c>
      <c r="U18" s="36">
        <v>528427000</v>
      </c>
      <c r="V18" s="36">
        <v>84879000</v>
      </c>
      <c r="W18" s="36">
        <v>13446000</v>
      </c>
      <c r="X18" s="36">
        <v>325112000</v>
      </c>
      <c r="Y18" s="36">
        <v>34822000</v>
      </c>
      <c r="Z18" s="36">
        <v>8147000</v>
      </c>
      <c r="AA18" s="40">
        <v>994833000</v>
      </c>
    </row>
    <row r="19" spans="1:27" x14ac:dyDescent="0.55000000000000004">
      <c r="A19" s="10">
        <v>83</v>
      </c>
      <c r="B19" s="11" t="s">
        <v>307</v>
      </c>
      <c r="C19" s="11" t="s">
        <v>73</v>
      </c>
      <c r="D19" s="11" t="s">
        <v>246</v>
      </c>
      <c r="E19" s="11" t="s">
        <v>240</v>
      </c>
      <c r="F19" s="11" t="s">
        <v>241</v>
      </c>
      <c r="G19" s="36">
        <v>259421000</v>
      </c>
      <c r="H19" s="36">
        <v>170615000</v>
      </c>
      <c r="I19" s="36">
        <v>0</v>
      </c>
      <c r="J19" s="36">
        <v>42888000</v>
      </c>
      <c r="K19" s="36">
        <v>40180000</v>
      </c>
      <c r="L19" s="36">
        <v>2329000</v>
      </c>
      <c r="M19" s="36">
        <v>515433000</v>
      </c>
      <c r="N19" s="36">
        <v>228312000</v>
      </c>
      <c r="O19" s="36">
        <v>149951000</v>
      </c>
      <c r="P19" s="36">
        <v>2000</v>
      </c>
      <c r="Q19" s="36">
        <v>43269000</v>
      </c>
      <c r="R19" s="36">
        <v>25175000</v>
      </c>
      <c r="S19" s="36">
        <v>393000</v>
      </c>
      <c r="T19" s="36">
        <v>447102000</v>
      </c>
      <c r="U19" s="36">
        <v>188334000</v>
      </c>
      <c r="V19" s="36">
        <v>154849000</v>
      </c>
      <c r="W19" s="36">
        <v>109000</v>
      </c>
      <c r="X19" s="36">
        <v>43324000</v>
      </c>
      <c r="Y19" s="36">
        <v>21210000</v>
      </c>
      <c r="Z19" s="36">
        <v>870000</v>
      </c>
      <c r="AA19" s="40">
        <v>408696000</v>
      </c>
    </row>
    <row r="20" spans="1:27" x14ac:dyDescent="0.55000000000000004">
      <c r="A20" s="10">
        <v>45</v>
      </c>
      <c r="B20" s="11" t="s">
        <v>14</v>
      </c>
      <c r="C20" s="11" t="s">
        <v>73</v>
      </c>
      <c r="D20" s="11" t="s">
        <v>239</v>
      </c>
      <c r="E20" s="11" t="s">
        <v>240</v>
      </c>
      <c r="F20" s="11" t="s">
        <v>241</v>
      </c>
      <c r="G20" s="36">
        <v>2253640000</v>
      </c>
      <c r="H20" s="36">
        <v>536682000</v>
      </c>
      <c r="I20" s="36">
        <v>0</v>
      </c>
      <c r="J20" s="36">
        <v>1600418000</v>
      </c>
      <c r="K20" s="36">
        <v>163212000</v>
      </c>
      <c r="L20" s="36">
        <v>121582000</v>
      </c>
      <c r="M20" s="36">
        <v>4675534000</v>
      </c>
      <c r="N20" s="36">
        <v>2070657000</v>
      </c>
      <c r="O20" s="36">
        <v>602634000</v>
      </c>
      <c r="P20" s="36">
        <v>0</v>
      </c>
      <c r="Q20" s="36">
        <v>1657080000</v>
      </c>
      <c r="R20" s="36">
        <v>175483000</v>
      </c>
      <c r="S20" s="36">
        <v>111236000</v>
      </c>
      <c r="T20" s="36">
        <v>4617090000</v>
      </c>
      <c r="U20" s="36">
        <v>2465260000</v>
      </c>
      <c r="V20" s="36">
        <v>821138000</v>
      </c>
      <c r="W20" s="36">
        <v>0</v>
      </c>
      <c r="X20" s="36">
        <v>1979623000</v>
      </c>
      <c r="Y20" s="36">
        <v>201184000</v>
      </c>
      <c r="Z20" s="36">
        <v>134869000</v>
      </c>
      <c r="AA20" s="40">
        <v>5602074000</v>
      </c>
    </row>
    <row r="21" spans="1:27" x14ac:dyDescent="0.55000000000000004">
      <c r="A21" s="10">
        <v>3</v>
      </c>
      <c r="B21" s="11" t="s">
        <v>15</v>
      </c>
      <c r="C21" s="11" t="s">
        <v>72</v>
      </c>
      <c r="D21" s="11" t="s">
        <v>248</v>
      </c>
      <c r="E21" s="11" t="s">
        <v>240</v>
      </c>
      <c r="F21" s="11" t="s">
        <v>241</v>
      </c>
      <c r="G21" s="36">
        <v>372775000</v>
      </c>
      <c r="H21" s="36">
        <v>207969000</v>
      </c>
      <c r="I21" s="36">
        <v>422000</v>
      </c>
      <c r="J21" s="36">
        <v>154698000</v>
      </c>
      <c r="K21" s="36">
        <v>116821000</v>
      </c>
      <c r="L21" s="36">
        <v>9854000</v>
      </c>
      <c r="M21" s="36">
        <v>862539000</v>
      </c>
      <c r="N21" s="36">
        <v>267329000</v>
      </c>
      <c r="O21" s="36">
        <v>169131000</v>
      </c>
      <c r="P21" s="36">
        <v>211000</v>
      </c>
      <c r="Q21" s="36">
        <v>177340000</v>
      </c>
      <c r="R21" s="36">
        <v>113208000</v>
      </c>
      <c r="S21" s="36">
        <v>11844000</v>
      </c>
      <c r="T21" s="36">
        <v>739063000</v>
      </c>
      <c r="U21" s="36">
        <v>292893000</v>
      </c>
      <c r="V21" s="36">
        <v>214163000</v>
      </c>
      <c r="W21" s="36">
        <v>276000</v>
      </c>
      <c r="X21" s="36">
        <v>232393000</v>
      </c>
      <c r="Y21" s="36">
        <v>115348000</v>
      </c>
      <c r="Z21" s="36">
        <v>13162000</v>
      </c>
      <c r="AA21" s="40">
        <v>868235000</v>
      </c>
    </row>
    <row r="22" spans="1:27" x14ac:dyDescent="0.55000000000000004">
      <c r="A22" s="10">
        <v>37</v>
      </c>
      <c r="B22" s="11" t="s">
        <v>16</v>
      </c>
      <c r="C22" s="11" t="s">
        <v>72</v>
      </c>
      <c r="D22" s="11" t="s">
        <v>239</v>
      </c>
      <c r="E22" s="11" t="s">
        <v>240</v>
      </c>
      <c r="F22" s="11" t="s">
        <v>241</v>
      </c>
      <c r="G22" s="36">
        <v>237395000</v>
      </c>
      <c r="H22" s="36">
        <v>43684000</v>
      </c>
      <c r="I22" s="36">
        <v>1297000</v>
      </c>
      <c r="J22" s="36">
        <v>210740000</v>
      </c>
      <c r="K22" s="36">
        <v>10138000</v>
      </c>
      <c r="L22" s="36">
        <v>10414000</v>
      </c>
      <c r="M22" s="36">
        <v>513668000</v>
      </c>
      <c r="N22" s="36">
        <v>212745000</v>
      </c>
      <c r="O22" s="36">
        <v>55073000</v>
      </c>
      <c r="P22" s="36">
        <v>1145000</v>
      </c>
      <c r="Q22" s="36">
        <v>213363000</v>
      </c>
      <c r="R22" s="36">
        <v>14284000</v>
      </c>
      <c r="S22" s="36">
        <v>12714000</v>
      </c>
      <c r="T22" s="36">
        <v>509324000</v>
      </c>
      <c r="U22" s="36">
        <v>224904000</v>
      </c>
      <c r="V22" s="36">
        <v>51950000</v>
      </c>
      <c r="W22" s="36">
        <v>1961000</v>
      </c>
      <c r="X22" s="36">
        <v>234901000</v>
      </c>
      <c r="Y22" s="36">
        <v>12672000</v>
      </c>
      <c r="Z22" s="36">
        <v>10436000</v>
      </c>
      <c r="AA22" s="40">
        <v>536824000</v>
      </c>
    </row>
    <row r="23" spans="1:27" x14ac:dyDescent="0.55000000000000004">
      <c r="A23" s="10">
        <v>54</v>
      </c>
      <c r="B23" s="11" t="s">
        <v>17</v>
      </c>
      <c r="C23" s="11" t="s">
        <v>72</v>
      </c>
      <c r="D23" s="11" t="s">
        <v>246</v>
      </c>
      <c r="E23" s="11" t="s">
        <v>240</v>
      </c>
      <c r="F23" s="11" t="s">
        <v>241</v>
      </c>
      <c r="G23" s="36">
        <v>674142000</v>
      </c>
      <c r="H23" s="36">
        <v>181845000</v>
      </c>
      <c r="I23" s="36">
        <v>1363000</v>
      </c>
      <c r="J23" s="36">
        <v>382772000</v>
      </c>
      <c r="K23" s="36">
        <v>44582000</v>
      </c>
      <c r="L23" s="36">
        <v>7444000</v>
      </c>
      <c r="M23" s="36">
        <v>1292148000</v>
      </c>
      <c r="N23" s="36">
        <v>571123000</v>
      </c>
      <c r="O23" s="36">
        <v>164143000</v>
      </c>
      <c r="P23" s="36">
        <v>2140000</v>
      </c>
      <c r="Q23" s="36">
        <v>343859000</v>
      </c>
      <c r="R23" s="36">
        <v>37912000</v>
      </c>
      <c r="S23" s="36">
        <v>12987000</v>
      </c>
      <c r="T23" s="36">
        <v>1132164000</v>
      </c>
      <c r="U23" s="36">
        <v>611347000</v>
      </c>
      <c r="V23" s="36">
        <v>202943000</v>
      </c>
      <c r="W23" s="36">
        <v>1761000</v>
      </c>
      <c r="X23" s="36">
        <v>378240000</v>
      </c>
      <c r="Y23" s="36">
        <v>40454000</v>
      </c>
      <c r="Z23" s="36">
        <v>17487000</v>
      </c>
      <c r="AA23" s="40">
        <v>1252232000</v>
      </c>
    </row>
    <row r="24" spans="1:27" x14ac:dyDescent="0.55000000000000004">
      <c r="A24" s="10">
        <v>1</v>
      </c>
      <c r="B24" s="11" t="s">
        <v>18</v>
      </c>
      <c r="C24" s="11" t="s">
        <v>72</v>
      </c>
      <c r="D24" s="11" t="s">
        <v>239</v>
      </c>
      <c r="E24" s="11" t="s">
        <v>240</v>
      </c>
      <c r="F24" s="11" t="s">
        <v>241</v>
      </c>
      <c r="G24" s="36">
        <v>2438026000</v>
      </c>
      <c r="H24" s="36">
        <v>905295000</v>
      </c>
      <c r="I24" s="36">
        <v>0</v>
      </c>
      <c r="J24" s="36">
        <v>2515236000</v>
      </c>
      <c r="K24" s="36">
        <v>226622000</v>
      </c>
      <c r="L24" s="36">
        <v>0</v>
      </c>
      <c r="M24" s="36">
        <v>6085179000</v>
      </c>
      <c r="N24" s="36">
        <v>2322695000</v>
      </c>
      <c r="O24" s="36">
        <v>808408000</v>
      </c>
      <c r="P24" s="36">
        <v>0</v>
      </c>
      <c r="Q24" s="36">
        <v>2252784000</v>
      </c>
      <c r="R24" s="36">
        <v>265471000</v>
      </c>
      <c r="S24" s="36">
        <v>0</v>
      </c>
      <c r="T24" s="36">
        <v>5649358000</v>
      </c>
      <c r="U24" s="36">
        <v>2492071000</v>
      </c>
      <c r="V24" s="36">
        <v>977565000</v>
      </c>
      <c r="W24" s="36">
        <v>0</v>
      </c>
      <c r="X24" s="36">
        <v>2665692000</v>
      </c>
      <c r="Y24" s="36">
        <v>271187000</v>
      </c>
      <c r="Z24" s="36">
        <v>0</v>
      </c>
      <c r="AA24" s="40">
        <v>6406515000</v>
      </c>
    </row>
    <row r="25" spans="1:27" x14ac:dyDescent="0.55000000000000004">
      <c r="A25" s="10">
        <v>115</v>
      </c>
      <c r="B25" s="11" t="s">
        <v>19</v>
      </c>
      <c r="C25" s="11" t="s">
        <v>67</v>
      </c>
      <c r="D25" s="11" t="s">
        <v>261</v>
      </c>
      <c r="E25" s="11" t="s">
        <v>240</v>
      </c>
      <c r="F25" s="11" t="s">
        <v>238</v>
      </c>
      <c r="G25" s="36">
        <v>337507000</v>
      </c>
      <c r="H25" s="36">
        <v>44560000</v>
      </c>
      <c r="I25" s="36">
        <v>0</v>
      </c>
      <c r="J25" s="36">
        <v>165375000</v>
      </c>
      <c r="K25" s="36">
        <v>12861000</v>
      </c>
      <c r="L25" s="36">
        <v>17559000</v>
      </c>
      <c r="M25" s="36">
        <v>577862000</v>
      </c>
      <c r="N25" s="36">
        <v>331641000</v>
      </c>
      <c r="O25" s="36">
        <v>66358000</v>
      </c>
      <c r="P25" s="36">
        <v>0</v>
      </c>
      <c r="Q25" s="36">
        <v>164410000</v>
      </c>
      <c r="R25" s="36">
        <v>16146000</v>
      </c>
      <c r="S25" s="36">
        <v>19069000</v>
      </c>
      <c r="T25" s="36">
        <v>597624000</v>
      </c>
      <c r="U25" s="36">
        <v>394933000</v>
      </c>
      <c r="V25" s="36">
        <v>82514000</v>
      </c>
      <c r="W25" s="36">
        <v>0</v>
      </c>
      <c r="X25" s="36">
        <v>207486000</v>
      </c>
      <c r="Y25" s="36">
        <v>16140000</v>
      </c>
      <c r="Z25" s="36">
        <v>20440000</v>
      </c>
      <c r="AA25" s="40">
        <v>721513000</v>
      </c>
    </row>
    <row r="26" spans="1:27" x14ac:dyDescent="0.55000000000000004">
      <c r="A26" s="10">
        <v>40</v>
      </c>
      <c r="B26" s="11" t="s">
        <v>20</v>
      </c>
      <c r="C26" s="11" t="s">
        <v>71</v>
      </c>
      <c r="D26" s="11" t="s">
        <v>248</v>
      </c>
      <c r="E26" s="11" t="s">
        <v>240</v>
      </c>
      <c r="F26" s="11" t="s">
        <v>241</v>
      </c>
      <c r="G26" s="36">
        <v>547618000</v>
      </c>
      <c r="H26" s="36">
        <v>613195000</v>
      </c>
      <c r="I26" s="36">
        <v>3678000</v>
      </c>
      <c r="J26" s="36">
        <v>361140000</v>
      </c>
      <c r="K26" s="36">
        <v>243975000</v>
      </c>
      <c r="L26" s="36">
        <v>21071000</v>
      </c>
      <c r="M26" s="36">
        <v>1790677000</v>
      </c>
      <c r="N26" s="36">
        <v>676399000</v>
      </c>
      <c r="O26" s="36">
        <v>634084000</v>
      </c>
      <c r="P26" s="36">
        <v>3939000</v>
      </c>
      <c r="Q26" s="36">
        <v>466878000</v>
      </c>
      <c r="R26" s="36">
        <v>385555000</v>
      </c>
      <c r="S26" s="36">
        <v>16488000</v>
      </c>
      <c r="T26" s="36">
        <v>2183343000</v>
      </c>
      <c r="U26" s="36">
        <v>728461000</v>
      </c>
      <c r="V26" s="36">
        <v>755228000</v>
      </c>
      <c r="W26" s="36">
        <v>6115000</v>
      </c>
      <c r="X26" s="36">
        <v>538052000</v>
      </c>
      <c r="Y26" s="36">
        <v>381645000</v>
      </c>
      <c r="Z26" s="36">
        <v>22314000</v>
      </c>
      <c r="AA26" s="40">
        <v>2431815000</v>
      </c>
    </row>
    <row r="27" spans="1:27" x14ac:dyDescent="0.55000000000000004">
      <c r="A27" s="10">
        <v>8</v>
      </c>
      <c r="B27" s="11" t="s">
        <v>21</v>
      </c>
      <c r="C27" s="11" t="s">
        <v>73</v>
      </c>
      <c r="D27" s="11" t="s">
        <v>239</v>
      </c>
      <c r="E27" s="11" t="s">
        <v>240</v>
      </c>
      <c r="F27" s="11" t="s">
        <v>241</v>
      </c>
      <c r="G27" s="36">
        <v>867811000</v>
      </c>
      <c r="H27" s="36">
        <v>293718000</v>
      </c>
      <c r="I27" s="36">
        <v>1914000</v>
      </c>
      <c r="J27" s="36">
        <v>521336000</v>
      </c>
      <c r="K27" s="36">
        <v>50314000</v>
      </c>
      <c r="L27" s="36">
        <v>71779000</v>
      </c>
      <c r="M27" s="36">
        <v>1806872000</v>
      </c>
      <c r="N27" s="36">
        <v>734876000</v>
      </c>
      <c r="O27" s="36">
        <v>248981000</v>
      </c>
      <c r="P27" s="36">
        <v>1382000</v>
      </c>
      <c r="Q27" s="36">
        <v>452043000</v>
      </c>
      <c r="R27" s="36">
        <v>37653000</v>
      </c>
      <c r="S27" s="36">
        <v>68302000</v>
      </c>
      <c r="T27" s="36">
        <v>1543237000</v>
      </c>
      <c r="U27" s="36">
        <v>850453000</v>
      </c>
      <c r="V27" s="36">
        <v>291896000</v>
      </c>
      <c r="W27" s="36">
        <v>1816000</v>
      </c>
      <c r="X27" s="36">
        <v>516638000</v>
      </c>
      <c r="Y27" s="36">
        <v>109962000</v>
      </c>
      <c r="Z27" s="36">
        <v>22936000</v>
      </c>
      <c r="AA27" s="40">
        <v>1793701000</v>
      </c>
    </row>
    <row r="28" spans="1:27" x14ac:dyDescent="0.55000000000000004">
      <c r="A28" s="10">
        <v>118</v>
      </c>
      <c r="B28" s="11" t="s">
        <v>22</v>
      </c>
      <c r="C28" s="11" t="s">
        <v>73</v>
      </c>
      <c r="D28" s="11" t="s">
        <v>248</v>
      </c>
      <c r="E28" s="11" t="s">
        <v>240</v>
      </c>
      <c r="F28" s="11" t="s">
        <v>241</v>
      </c>
      <c r="G28" s="36">
        <v>186878000</v>
      </c>
      <c r="H28" s="36">
        <v>52139000</v>
      </c>
      <c r="I28" s="36">
        <v>314000</v>
      </c>
      <c r="J28" s="36">
        <v>340867000</v>
      </c>
      <c r="K28" s="36">
        <v>26948000</v>
      </c>
      <c r="L28" s="36">
        <v>165081000</v>
      </c>
      <c r="M28" s="36">
        <v>772227000</v>
      </c>
      <c r="N28" s="36">
        <v>210632000</v>
      </c>
      <c r="O28" s="36">
        <v>68653000</v>
      </c>
      <c r="P28" s="36">
        <v>219000</v>
      </c>
      <c r="Q28" s="36">
        <v>546457000</v>
      </c>
      <c r="R28" s="36">
        <v>20183000</v>
      </c>
      <c r="S28" s="36">
        <v>80309000</v>
      </c>
      <c r="T28" s="36">
        <v>926453000</v>
      </c>
      <c r="U28" s="36">
        <v>171766000</v>
      </c>
      <c r="V28" s="36">
        <v>144477000</v>
      </c>
      <c r="W28" s="36">
        <v>1062000</v>
      </c>
      <c r="X28" s="36">
        <v>552312000</v>
      </c>
      <c r="Y28" s="36">
        <v>37884000</v>
      </c>
      <c r="Z28" s="36">
        <v>181145000</v>
      </c>
      <c r="AA28" s="40">
        <v>1088646000</v>
      </c>
    </row>
    <row r="29" spans="1:27" x14ac:dyDescent="0.55000000000000004">
      <c r="A29" s="10">
        <v>5</v>
      </c>
      <c r="B29" s="11" t="s">
        <v>23</v>
      </c>
      <c r="C29" s="11" t="s">
        <v>73</v>
      </c>
      <c r="D29" s="11" t="s">
        <v>249</v>
      </c>
      <c r="E29" s="11" t="s">
        <v>240</v>
      </c>
      <c r="F29" s="11" t="s">
        <v>238</v>
      </c>
      <c r="G29" s="36">
        <v>360341000</v>
      </c>
      <c r="H29" s="36">
        <v>74183000</v>
      </c>
      <c r="I29" s="36">
        <v>3269000</v>
      </c>
      <c r="J29" s="36">
        <v>271464000</v>
      </c>
      <c r="K29" s="36">
        <v>17807000</v>
      </c>
      <c r="L29" s="36">
        <v>19203000</v>
      </c>
      <c r="M29" s="36">
        <v>746267000</v>
      </c>
      <c r="N29" s="36">
        <v>328787000</v>
      </c>
      <c r="O29" s="36">
        <v>70457000</v>
      </c>
      <c r="P29" s="36">
        <v>3491000</v>
      </c>
      <c r="Q29" s="36">
        <v>244835000</v>
      </c>
      <c r="R29" s="36">
        <v>14701000</v>
      </c>
      <c r="S29" s="36">
        <v>17049000</v>
      </c>
      <c r="T29" s="36">
        <v>679320000</v>
      </c>
      <c r="U29" s="36">
        <v>440471000</v>
      </c>
      <c r="V29" s="36">
        <v>101896000</v>
      </c>
      <c r="W29" s="36">
        <v>5232000</v>
      </c>
      <c r="X29" s="36">
        <v>354812000</v>
      </c>
      <c r="Y29" s="36">
        <v>18289000</v>
      </c>
      <c r="Z29" s="36">
        <v>23837000</v>
      </c>
      <c r="AA29" s="40">
        <v>944537000</v>
      </c>
    </row>
    <row r="30" spans="1:27" x14ac:dyDescent="0.55000000000000004">
      <c r="A30" s="10">
        <v>69</v>
      </c>
      <c r="B30" s="11" t="s">
        <v>24</v>
      </c>
      <c r="C30" s="11" t="s">
        <v>80</v>
      </c>
      <c r="D30" s="11" t="s">
        <v>257</v>
      </c>
      <c r="E30" s="11" t="s">
        <v>237</v>
      </c>
      <c r="F30" s="11" t="s">
        <v>238</v>
      </c>
      <c r="G30" s="36">
        <v>132804000</v>
      </c>
      <c r="H30" s="36">
        <v>50719000</v>
      </c>
      <c r="I30" s="36">
        <v>2606000</v>
      </c>
      <c r="J30" s="36">
        <v>79475000</v>
      </c>
      <c r="K30" s="36">
        <v>8482000</v>
      </c>
      <c r="L30" s="36">
        <v>6839000</v>
      </c>
      <c r="M30" s="36">
        <v>280925000</v>
      </c>
      <c r="N30" s="36">
        <v>111272000</v>
      </c>
      <c r="O30" s="36">
        <v>42888000</v>
      </c>
      <c r="P30" s="36">
        <v>4922000</v>
      </c>
      <c r="Q30" s="36">
        <v>71283000</v>
      </c>
      <c r="R30" s="36">
        <v>4485000</v>
      </c>
      <c r="S30" s="36">
        <v>4966000</v>
      </c>
      <c r="T30" s="36">
        <v>239816000</v>
      </c>
      <c r="U30" s="36">
        <v>127341000</v>
      </c>
      <c r="V30" s="36">
        <v>53995000</v>
      </c>
      <c r="W30" s="36">
        <v>6501000</v>
      </c>
      <c r="X30" s="36">
        <v>79872000</v>
      </c>
      <c r="Y30" s="36">
        <v>6436000</v>
      </c>
      <c r="Z30" s="36">
        <v>8372000</v>
      </c>
      <c r="AA30" s="40">
        <v>282517000</v>
      </c>
    </row>
    <row r="31" spans="1:27" x14ac:dyDescent="0.55000000000000004">
      <c r="A31" s="10">
        <v>1069</v>
      </c>
      <c r="B31" s="11" t="s">
        <v>178</v>
      </c>
      <c r="C31" s="11" t="s">
        <v>80</v>
      </c>
      <c r="D31" s="11" t="s">
        <v>247</v>
      </c>
      <c r="E31" s="11" t="s">
        <v>237</v>
      </c>
      <c r="F31" s="11" t="s">
        <v>241</v>
      </c>
      <c r="G31" s="36">
        <v>10151000</v>
      </c>
      <c r="H31" s="36">
        <v>14164000</v>
      </c>
      <c r="I31" s="36">
        <v>607000</v>
      </c>
      <c r="J31" s="36">
        <v>11280000</v>
      </c>
      <c r="K31" s="36">
        <v>678000</v>
      </c>
      <c r="L31" s="36">
        <v>615000</v>
      </c>
      <c r="M31" s="36">
        <v>37495000</v>
      </c>
      <c r="N31" s="36">
        <v>567058000</v>
      </c>
      <c r="O31" s="36">
        <v>168239000</v>
      </c>
      <c r="P31" s="36">
        <v>9261000</v>
      </c>
      <c r="Q31" s="36">
        <v>317338000</v>
      </c>
      <c r="R31" s="36">
        <v>13196000</v>
      </c>
      <c r="S31" s="36">
        <v>24134000</v>
      </c>
      <c r="T31" s="36">
        <v>1099226000</v>
      </c>
      <c r="U31" s="36">
        <v>679593000</v>
      </c>
      <c r="V31" s="36">
        <v>232873000</v>
      </c>
      <c r="W31" s="36">
        <v>13636000</v>
      </c>
      <c r="X31" s="36">
        <v>448881000</v>
      </c>
      <c r="Y31" s="36">
        <v>14820000</v>
      </c>
      <c r="Z31" s="36">
        <v>29223000</v>
      </c>
      <c r="AA31" s="40">
        <v>1419026000</v>
      </c>
    </row>
    <row r="32" spans="1:27" x14ac:dyDescent="0.55000000000000004">
      <c r="A32" s="10">
        <v>324</v>
      </c>
      <c r="B32" s="11" t="s">
        <v>25</v>
      </c>
      <c r="C32" s="11" t="s">
        <v>80</v>
      </c>
      <c r="D32" s="11" t="s">
        <v>245</v>
      </c>
      <c r="E32" s="11" t="s">
        <v>237</v>
      </c>
      <c r="F32" s="11" t="s">
        <v>238</v>
      </c>
      <c r="G32" s="36">
        <v>863278000</v>
      </c>
      <c r="H32" s="36">
        <v>539337000</v>
      </c>
      <c r="I32" s="36">
        <v>18199000</v>
      </c>
      <c r="J32" s="36">
        <v>427195000</v>
      </c>
      <c r="K32" s="36">
        <v>73795000</v>
      </c>
      <c r="L32" s="36">
        <v>40978000</v>
      </c>
      <c r="M32" s="36">
        <v>1962782000</v>
      </c>
      <c r="N32" s="36">
        <v>821609000</v>
      </c>
      <c r="O32" s="36">
        <v>536351000</v>
      </c>
      <c r="P32" s="36">
        <v>26056000</v>
      </c>
      <c r="Q32" s="36">
        <v>465317000</v>
      </c>
      <c r="R32" s="36">
        <v>62925000</v>
      </c>
      <c r="S32" s="36">
        <v>48539000</v>
      </c>
      <c r="T32" s="36">
        <v>1960797000</v>
      </c>
      <c r="U32" s="36">
        <v>926881000</v>
      </c>
      <c r="V32" s="36">
        <v>614144000</v>
      </c>
      <c r="W32" s="36">
        <v>30015000</v>
      </c>
      <c r="X32" s="36">
        <v>545938000</v>
      </c>
      <c r="Y32" s="36">
        <v>52218000</v>
      </c>
      <c r="Z32" s="36">
        <v>50917000</v>
      </c>
      <c r="AA32" s="40">
        <v>2220113000</v>
      </c>
    </row>
    <row r="33" spans="1:27" x14ac:dyDescent="0.55000000000000004">
      <c r="A33" s="10">
        <v>81</v>
      </c>
      <c r="B33" s="11" t="s">
        <v>131</v>
      </c>
      <c r="C33" s="15" t="s">
        <v>80</v>
      </c>
      <c r="D33" s="15" t="s">
        <v>247</v>
      </c>
      <c r="E33" s="15" t="s">
        <v>237</v>
      </c>
      <c r="F33" s="15" t="s">
        <v>241</v>
      </c>
      <c r="G33" s="36">
        <v>507163000</v>
      </c>
      <c r="H33" s="36">
        <v>192957000</v>
      </c>
      <c r="I33" s="36">
        <v>6217000</v>
      </c>
      <c r="J33" s="36">
        <v>270296000</v>
      </c>
      <c r="K33" s="36">
        <v>24834000</v>
      </c>
      <c r="L33" s="36">
        <v>0</v>
      </c>
      <c r="M33" s="36">
        <v>1001467000</v>
      </c>
      <c r="N33" s="36">
        <v>0</v>
      </c>
      <c r="O33" s="36">
        <v>0</v>
      </c>
      <c r="P33" s="36">
        <v>0</v>
      </c>
      <c r="Q33" s="36">
        <v>0</v>
      </c>
      <c r="R33" s="36">
        <v>0</v>
      </c>
      <c r="S33" s="36">
        <v>0</v>
      </c>
      <c r="T33" s="36">
        <v>0</v>
      </c>
      <c r="U33" s="36">
        <v>0</v>
      </c>
      <c r="V33" s="36">
        <v>0</v>
      </c>
      <c r="W33" s="36">
        <v>0</v>
      </c>
      <c r="X33" s="36">
        <v>0</v>
      </c>
      <c r="Y33" s="36">
        <v>0</v>
      </c>
      <c r="Z33" s="36">
        <v>0</v>
      </c>
      <c r="AA33" s="40">
        <v>0</v>
      </c>
    </row>
    <row r="34" spans="1:27" x14ac:dyDescent="0.55000000000000004">
      <c r="A34" s="10">
        <v>862</v>
      </c>
      <c r="B34" s="11" t="s">
        <v>26</v>
      </c>
      <c r="C34" s="11" t="s">
        <v>79</v>
      </c>
      <c r="D34" s="11" t="s">
        <v>243</v>
      </c>
      <c r="E34" s="11" t="s">
        <v>237</v>
      </c>
      <c r="F34" s="11" t="s">
        <v>241</v>
      </c>
      <c r="G34" s="36">
        <v>207154000</v>
      </c>
      <c r="H34" s="36">
        <v>118893000</v>
      </c>
      <c r="I34" s="36">
        <v>4764000</v>
      </c>
      <c r="J34" s="36">
        <v>108294000</v>
      </c>
      <c r="K34" s="36">
        <v>19562000</v>
      </c>
      <c r="L34" s="36">
        <v>6563000</v>
      </c>
      <c r="M34" s="36">
        <v>465230000</v>
      </c>
      <c r="N34" s="36">
        <v>398913000</v>
      </c>
      <c r="O34" s="36">
        <v>175961000</v>
      </c>
      <c r="P34" s="36">
        <v>2269000</v>
      </c>
      <c r="Q34" s="36">
        <v>190588000</v>
      </c>
      <c r="R34" s="36">
        <v>33421000</v>
      </c>
      <c r="S34" s="36">
        <v>19492000</v>
      </c>
      <c r="T34" s="36">
        <v>820644000</v>
      </c>
      <c r="U34" s="36">
        <v>472269000</v>
      </c>
      <c r="V34" s="36">
        <v>164074000</v>
      </c>
      <c r="W34" s="36">
        <v>2937000</v>
      </c>
      <c r="X34" s="36">
        <v>232655000</v>
      </c>
      <c r="Y34" s="36">
        <v>55236000</v>
      </c>
      <c r="Z34" s="36">
        <v>82743000</v>
      </c>
      <c r="AA34" s="40">
        <v>1009914000</v>
      </c>
    </row>
    <row r="35" spans="1:27" x14ac:dyDescent="0.55000000000000004">
      <c r="A35" s="10">
        <v>863</v>
      </c>
      <c r="B35" s="11" t="s">
        <v>27</v>
      </c>
      <c r="C35" s="11" t="s">
        <v>79</v>
      </c>
      <c r="D35" s="11" t="s">
        <v>243</v>
      </c>
      <c r="E35" s="11" t="s">
        <v>237</v>
      </c>
      <c r="F35" s="11" t="s">
        <v>241</v>
      </c>
      <c r="G35" s="36">
        <v>513217000</v>
      </c>
      <c r="H35" s="36">
        <v>190084000</v>
      </c>
      <c r="I35" s="36">
        <v>9817000</v>
      </c>
      <c r="J35" s="36">
        <v>148074000</v>
      </c>
      <c r="K35" s="36">
        <v>40546000</v>
      </c>
      <c r="L35" s="36">
        <v>9222000</v>
      </c>
      <c r="M35" s="36">
        <v>910960000</v>
      </c>
      <c r="N35" s="36">
        <v>425907000</v>
      </c>
      <c r="O35" s="36">
        <v>162509000</v>
      </c>
      <c r="P35" s="36">
        <v>867000</v>
      </c>
      <c r="Q35" s="36">
        <v>160619000</v>
      </c>
      <c r="R35" s="36">
        <v>44051000</v>
      </c>
      <c r="S35" s="36">
        <v>11523000</v>
      </c>
      <c r="T35" s="36">
        <v>805476000</v>
      </c>
      <c r="U35" s="36">
        <v>373158000</v>
      </c>
      <c r="V35" s="36">
        <v>152283000</v>
      </c>
      <c r="W35" s="36">
        <v>761000</v>
      </c>
      <c r="X35" s="36">
        <v>143912000</v>
      </c>
      <c r="Y35" s="36">
        <v>30413000</v>
      </c>
      <c r="Z35" s="36">
        <v>14738000</v>
      </c>
      <c r="AA35" s="40">
        <v>715265000</v>
      </c>
    </row>
    <row r="36" spans="1:27" x14ac:dyDescent="0.55000000000000004">
      <c r="A36" s="10">
        <v>861</v>
      </c>
      <c r="B36" s="11" t="s">
        <v>28</v>
      </c>
      <c r="C36" s="11" t="s">
        <v>79</v>
      </c>
      <c r="D36" s="11" t="s">
        <v>247</v>
      </c>
      <c r="E36" s="11" t="s">
        <v>237</v>
      </c>
      <c r="F36" s="11" t="s">
        <v>241</v>
      </c>
      <c r="G36" s="36">
        <v>995622000</v>
      </c>
      <c r="H36" s="36">
        <v>379629000</v>
      </c>
      <c r="I36" s="36">
        <v>15280000</v>
      </c>
      <c r="J36" s="36">
        <v>578706000</v>
      </c>
      <c r="K36" s="36">
        <v>52762000</v>
      </c>
      <c r="L36" s="36">
        <v>53588000</v>
      </c>
      <c r="M36" s="36">
        <v>2075587000</v>
      </c>
      <c r="N36" s="36">
        <v>970370000</v>
      </c>
      <c r="O36" s="36">
        <v>283048000</v>
      </c>
      <c r="P36" s="36">
        <v>3990000</v>
      </c>
      <c r="Q36" s="36">
        <v>465239000</v>
      </c>
      <c r="R36" s="36">
        <v>43326000</v>
      </c>
      <c r="S36" s="36">
        <v>44682000</v>
      </c>
      <c r="T36" s="36">
        <v>1810655000</v>
      </c>
      <c r="U36" s="36">
        <v>1021715000</v>
      </c>
      <c r="V36" s="36">
        <v>303725000</v>
      </c>
      <c r="W36" s="36">
        <v>3787000</v>
      </c>
      <c r="X36" s="36">
        <v>475415000</v>
      </c>
      <c r="Y36" s="36">
        <v>31859000</v>
      </c>
      <c r="Z36" s="36">
        <v>59659000</v>
      </c>
      <c r="AA36" s="40">
        <v>1896160000</v>
      </c>
    </row>
    <row r="37" spans="1:27" x14ac:dyDescent="0.55000000000000004">
      <c r="A37" s="10">
        <v>74</v>
      </c>
      <c r="B37" s="11" t="s">
        <v>29</v>
      </c>
      <c r="C37" s="11" t="s">
        <v>69</v>
      </c>
      <c r="D37" s="11" t="s">
        <v>248</v>
      </c>
      <c r="E37" s="11" t="s">
        <v>240</v>
      </c>
      <c r="F37" s="11" t="s">
        <v>241</v>
      </c>
      <c r="G37" s="36">
        <v>626497000</v>
      </c>
      <c r="H37" s="36">
        <v>653934000</v>
      </c>
      <c r="I37" s="36">
        <v>15208000</v>
      </c>
      <c r="J37" s="36">
        <v>451035000</v>
      </c>
      <c r="K37" s="36">
        <v>154257000</v>
      </c>
      <c r="L37" s="36">
        <v>37806000</v>
      </c>
      <c r="M37" s="36">
        <v>1938737000</v>
      </c>
      <c r="N37" s="36">
        <v>606139000</v>
      </c>
      <c r="O37" s="36">
        <v>605793000</v>
      </c>
      <c r="P37" s="36">
        <v>0</v>
      </c>
      <c r="Q37" s="36">
        <v>430389000</v>
      </c>
      <c r="R37" s="36">
        <v>161851000</v>
      </c>
      <c r="S37" s="36">
        <v>23833000</v>
      </c>
      <c r="T37" s="36">
        <v>1828005000</v>
      </c>
      <c r="U37" s="36">
        <v>685441000</v>
      </c>
      <c r="V37" s="36">
        <v>691485000</v>
      </c>
      <c r="W37" s="36">
        <v>0</v>
      </c>
      <c r="X37" s="36">
        <v>499472000</v>
      </c>
      <c r="Y37" s="36">
        <v>158983000</v>
      </c>
      <c r="Z37" s="36">
        <v>31685000</v>
      </c>
      <c r="AA37" s="40">
        <v>2067066000</v>
      </c>
    </row>
    <row r="38" spans="1:27" x14ac:dyDescent="0.55000000000000004">
      <c r="A38" s="10">
        <v>73</v>
      </c>
      <c r="B38" s="11" t="s">
        <v>30</v>
      </c>
      <c r="C38" s="11" t="s">
        <v>72</v>
      </c>
      <c r="D38" s="11" t="s">
        <v>253</v>
      </c>
      <c r="E38" s="11" t="s">
        <v>251</v>
      </c>
      <c r="F38" s="11" t="s">
        <v>241</v>
      </c>
      <c r="G38" s="36">
        <v>1817594000</v>
      </c>
      <c r="H38" s="36">
        <v>581271000</v>
      </c>
      <c r="I38" s="36">
        <v>19302000</v>
      </c>
      <c r="J38" s="36">
        <v>1195891000</v>
      </c>
      <c r="K38" s="36">
        <v>112146000</v>
      </c>
      <c r="L38" s="36">
        <v>185632000</v>
      </c>
      <c r="M38" s="36">
        <v>3911836000</v>
      </c>
      <c r="N38" s="36">
        <v>1896440000</v>
      </c>
      <c r="O38" s="36">
        <v>568721000</v>
      </c>
      <c r="P38" s="36">
        <v>11820000</v>
      </c>
      <c r="Q38" s="36">
        <v>1030497000</v>
      </c>
      <c r="R38" s="36">
        <v>181640000</v>
      </c>
      <c r="S38" s="36">
        <v>104769000</v>
      </c>
      <c r="T38" s="36">
        <v>3793887000</v>
      </c>
      <c r="U38" s="36">
        <v>2132276000</v>
      </c>
      <c r="V38" s="36">
        <v>656391000</v>
      </c>
      <c r="W38" s="36">
        <v>9625000</v>
      </c>
      <c r="X38" s="36">
        <v>1342497000</v>
      </c>
      <c r="Y38" s="36">
        <v>158977000</v>
      </c>
      <c r="Z38" s="36">
        <v>139716000</v>
      </c>
      <c r="AA38" s="40">
        <v>4439482000</v>
      </c>
    </row>
    <row r="39" spans="1:27" x14ac:dyDescent="0.55000000000000004">
      <c r="A39" s="10">
        <v>108</v>
      </c>
      <c r="B39" s="11" t="s">
        <v>31</v>
      </c>
      <c r="C39" s="11" t="s">
        <v>72</v>
      </c>
      <c r="D39" s="11" t="s">
        <v>252</v>
      </c>
      <c r="E39" s="11" t="s">
        <v>251</v>
      </c>
      <c r="F39" s="11" t="s">
        <v>241</v>
      </c>
      <c r="G39" s="36">
        <v>1257019000</v>
      </c>
      <c r="H39" s="36">
        <v>347969000</v>
      </c>
      <c r="I39" s="36">
        <v>3983000</v>
      </c>
      <c r="J39" s="36">
        <v>803612000</v>
      </c>
      <c r="K39" s="36">
        <v>121944000</v>
      </c>
      <c r="L39" s="36">
        <v>81153000</v>
      </c>
      <c r="M39" s="36">
        <v>2615680000</v>
      </c>
      <c r="N39" s="36">
        <v>1153971000</v>
      </c>
      <c r="O39" s="36">
        <v>332434000</v>
      </c>
      <c r="P39" s="36">
        <v>1693000</v>
      </c>
      <c r="Q39" s="36">
        <v>798311000</v>
      </c>
      <c r="R39" s="36">
        <v>145067000</v>
      </c>
      <c r="S39" s="36">
        <v>84016000</v>
      </c>
      <c r="T39" s="36">
        <v>2515492000</v>
      </c>
      <c r="U39" s="36">
        <v>1240820000</v>
      </c>
      <c r="V39" s="36">
        <v>355844000</v>
      </c>
      <c r="W39" s="36">
        <v>1964000</v>
      </c>
      <c r="X39" s="36">
        <v>852133000</v>
      </c>
      <c r="Y39" s="36">
        <v>209999000</v>
      </c>
      <c r="Z39" s="36">
        <v>86792000</v>
      </c>
      <c r="AA39" s="40">
        <v>2747552000</v>
      </c>
    </row>
    <row r="40" spans="1:27" x14ac:dyDescent="0.55000000000000004">
      <c r="A40" s="10">
        <v>75</v>
      </c>
      <c r="B40" s="11" t="s">
        <v>32</v>
      </c>
      <c r="C40" s="11" t="s">
        <v>69</v>
      </c>
      <c r="D40" s="11" t="s">
        <v>253</v>
      </c>
      <c r="E40" s="11" t="s">
        <v>251</v>
      </c>
      <c r="F40" s="11" t="s">
        <v>241</v>
      </c>
      <c r="G40" s="36">
        <v>572810000</v>
      </c>
      <c r="H40" s="36">
        <v>379232000</v>
      </c>
      <c r="I40" s="36">
        <v>2878000</v>
      </c>
      <c r="J40" s="36">
        <v>497633000</v>
      </c>
      <c r="K40" s="36">
        <v>78505000</v>
      </c>
      <c r="L40" s="36">
        <v>63691000</v>
      </c>
      <c r="M40" s="36">
        <v>1594749000</v>
      </c>
      <c r="N40" s="36">
        <v>521471000</v>
      </c>
      <c r="O40" s="36">
        <v>341779000</v>
      </c>
      <c r="P40" s="36">
        <v>1984000</v>
      </c>
      <c r="Q40" s="36">
        <v>496513000</v>
      </c>
      <c r="R40" s="36">
        <v>85990000</v>
      </c>
      <c r="S40" s="36">
        <v>17611000</v>
      </c>
      <c r="T40" s="36">
        <v>1465348000</v>
      </c>
      <c r="U40" s="36">
        <v>612853000</v>
      </c>
      <c r="V40" s="36">
        <v>390495000</v>
      </c>
      <c r="W40" s="36">
        <v>2304000</v>
      </c>
      <c r="X40" s="36">
        <v>592820000</v>
      </c>
      <c r="Y40" s="36">
        <v>95632000</v>
      </c>
      <c r="Z40" s="36">
        <v>13584000</v>
      </c>
      <c r="AA40" s="40">
        <v>1707688000</v>
      </c>
    </row>
    <row r="41" spans="1:27" x14ac:dyDescent="0.55000000000000004">
      <c r="A41" s="10">
        <v>84</v>
      </c>
      <c r="B41" s="11" t="s">
        <v>33</v>
      </c>
      <c r="C41" s="11" t="s">
        <v>69</v>
      </c>
      <c r="D41" s="11" t="s">
        <v>255</v>
      </c>
      <c r="E41" s="11" t="s">
        <v>251</v>
      </c>
      <c r="F41" s="11" t="s">
        <v>241</v>
      </c>
      <c r="G41" s="36">
        <v>364214000</v>
      </c>
      <c r="H41" s="36">
        <v>159378000</v>
      </c>
      <c r="I41" s="36">
        <v>652000</v>
      </c>
      <c r="J41" s="36">
        <v>85657000</v>
      </c>
      <c r="K41" s="36">
        <v>47246000</v>
      </c>
      <c r="L41" s="36">
        <v>12303000</v>
      </c>
      <c r="M41" s="36">
        <v>669450000</v>
      </c>
      <c r="N41" s="36">
        <v>347949000</v>
      </c>
      <c r="O41" s="36">
        <v>150881000</v>
      </c>
      <c r="P41" s="36">
        <v>777000</v>
      </c>
      <c r="Q41" s="36">
        <v>90657000</v>
      </c>
      <c r="R41" s="36">
        <v>41931000</v>
      </c>
      <c r="S41" s="36">
        <v>3638000</v>
      </c>
      <c r="T41" s="36">
        <v>635833000</v>
      </c>
      <c r="U41" s="36">
        <v>373237000</v>
      </c>
      <c r="V41" s="36">
        <v>163814000</v>
      </c>
      <c r="W41" s="36">
        <v>799000</v>
      </c>
      <c r="X41" s="36">
        <v>109943000</v>
      </c>
      <c r="Y41" s="36">
        <v>43877000</v>
      </c>
      <c r="Z41" s="36">
        <v>3592000</v>
      </c>
      <c r="AA41" s="40">
        <v>695262000</v>
      </c>
    </row>
    <row r="42" spans="1:27" x14ac:dyDescent="0.55000000000000004">
      <c r="A42" s="10">
        <v>15</v>
      </c>
      <c r="B42" s="11" t="s">
        <v>34</v>
      </c>
      <c r="C42" s="11" t="s">
        <v>67</v>
      </c>
      <c r="D42" s="11" t="s">
        <v>254</v>
      </c>
      <c r="E42" s="11" t="s">
        <v>240</v>
      </c>
      <c r="F42" s="11" t="s">
        <v>241</v>
      </c>
      <c r="G42" s="36">
        <v>3015038000</v>
      </c>
      <c r="H42" s="36">
        <v>528817000</v>
      </c>
      <c r="I42" s="36">
        <v>0</v>
      </c>
      <c r="J42" s="36">
        <v>2385093000</v>
      </c>
      <c r="K42" s="36">
        <v>119472000</v>
      </c>
      <c r="L42" s="36">
        <v>185196000</v>
      </c>
      <c r="M42" s="36">
        <v>6233616000</v>
      </c>
      <c r="N42" s="36">
        <v>2739324000</v>
      </c>
      <c r="O42" s="36">
        <v>534276000</v>
      </c>
      <c r="P42" s="36">
        <v>0</v>
      </c>
      <c r="Q42" s="36">
        <v>2376630000</v>
      </c>
      <c r="R42" s="36">
        <v>128517000</v>
      </c>
      <c r="S42" s="36">
        <v>112600000</v>
      </c>
      <c r="T42" s="36">
        <v>5891347000</v>
      </c>
      <c r="U42" s="36">
        <v>3454906000</v>
      </c>
      <c r="V42" s="36">
        <v>698519000</v>
      </c>
      <c r="W42" s="36">
        <v>0</v>
      </c>
      <c r="X42" s="36">
        <v>2681091000</v>
      </c>
      <c r="Y42" s="36">
        <v>126873000</v>
      </c>
      <c r="Z42" s="36">
        <v>311986000</v>
      </c>
      <c r="AA42" s="40">
        <v>7273375000</v>
      </c>
    </row>
    <row r="43" spans="1:27" x14ac:dyDescent="0.55000000000000004">
      <c r="A43" s="10">
        <v>58</v>
      </c>
      <c r="B43" s="11" t="s">
        <v>35</v>
      </c>
      <c r="C43" s="11" t="s">
        <v>73</v>
      </c>
      <c r="D43" s="11" t="s">
        <v>239</v>
      </c>
      <c r="E43" s="11" t="s">
        <v>240</v>
      </c>
      <c r="F43" s="11" t="s">
        <v>241</v>
      </c>
      <c r="G43" s="36">
        <v>83744000</v>
      </c>
      <c r="H43" s="36">
        <v>164070000</v>
      </c>
      <c r="I43" s="36">
        <v>0</v>
      </c>
      <c r="J43" s="36">
        <v>31376000</v>
      </c>
      <c r="K43" s="36">
        <v>73842000</v>
      </c>
      <c r="L43" s="36">
        <v>11723000</v>
      </c>
      <c r="M43" s="36">
        <v>364755000</v>
      </c>
      <c r="N43" s="36">
        <v>76965000</v>
      </c>
      <c r="O43" s="36">
        <v>131634000</v>
      </c>
      <c r="P43" s="36">
        <v>0</v>
      </c>
      <c r="Q43" s="36">
        <v>44526000</v>
      </c>
      <c r="R43" s="36">
        <v>68398000</v>
      </c>
      <c r="S43" s="36">
        <v>15282000</v>
      </c>
      <c r="T43" s="36">
        <v>336805000</v>
      </c>
      <c r="U43" s="36">
        <v>80194000</v>
      </c>
      <c r="V43" s="36">
        <v>140219000</v>
      </c>
      <c r="W43" s="36">
        <v>0</v>
      </c>
      <c r="X43" s="36">
        <v>104528000</v>
      </c>
      <c r="Y43" s="36">
        <v>68501000</v>
      </c>
      <c r="Z43" s="36">
        <v>7714000</v>
      </c>
      <c r="AA43" s="40">
        <v>401156000</v>
      </c>
    </row>
    <row r="44" spans="1:27" x14ac:dyDescent="0.55000000000000004">
      <c r="A44" s="10">
        <v>2</v>
      </c>
      <c r="B44" s="11" t="s">
        <v>36</v>
      </c>
      <c r="C44" s="11" t="s">
        <v>69</v>
      </c>
      <c r="D44" s="11" t="s">
        <v>246</v>
      </c>
      <c r="E44" s="11" t="s">
        <v>240</v>
      </c>
      <c r="F44" s="11" t="s">
        <v>241</v>
      </c>
      <c r="G44" s="36">
        <v>936716000</v>
      </c>
      <c r="H44" s="36">
        <v>1000040000</v>
      </c>
      <c r="I44" s="36">
        <v>1752000</v>
      </c>
      <c r="J44" s="36">
        <v>535430000</v>
      </c>
      <c r="K44" s="36">
        <v>172245000</v>
      </c>
      <c r="L44" s="36">
        <v>67241000</v>
      </c>
      <c r="M44" s="36">
        <v>2713424000</v>
      </c>
      <c r="N44" s="36">
        <v>793286000</v>
      </c>
      <c r="O44" s="36">
        <v>825049000</v>
      </c>
      <c r="P44" s="36">
        <v>1348000</v>
      </c>
      <c r="Q44" s="36">
        <v>445721000</v>
      </c>
      <c r="R44" s="36">
        <v>154348000</v>
      </c>
      <c r="S44" s="36">
        <v>62234000</v>
      </c>
      <c r="T44" s="36">
        <v>2281986000</v>
      </c>
      <c r="U44" s="36">
        <v>874382000</v>
      </c>
      <c r="V44" s="36">
        <v>964154000</v>
      </c>
      <c r="W44" s="36">
        <v>1645000</v>
      </c>
      <c r="X44" s="36">
        <v>575558000</v>
      </c>
      <c r="Y44" s="36">
        <v>188400000</v>
      </c>
      <c r="Z44" s="36">
        <v>63184000</v>
      </c>
      <c r="AA44" s="40">
        <v>2667323000</v>
      </c>
    </row>
    <row r="45" spans="1:27" x14ac:dyDescent="0.55000000000000004">
      <c r="A45" s="10">
        <v>28</v>
      </c>
      <c r="B45" s="11" t="s">
        <v>37</v>
      </c>
      <c r="C45" s="11" t="s">
        <v>67</v>
      </c>
      <c r="D45" s="11" t="s">
        <v>259</v>
      </c>
      <c r="E45" s="11" t="s">
        <v>240</v>
      </c>
      <c r="F45" s="11" t="s">
        <v>238</v>
      </c>
      <c r="G45" s="36">
        <v>805360000</v>
      </c>
      <c r="H45" s="36">
        <v>167756000</v>
      </c>
      <c r="I45" s="36">
        <v>0</v>
      </c>
      <c r="J45" s="36">
        <v>401679000</v>
      </c>
      <c r="K45" s="36">
        <v>28636000</v>
      </c>
      <c r="L45" s="36">
        <v>40164000</v>
      </c>
      <c r="M45" s="36">
        <v>1443595000</v>
      </c>
      <c r="N45" s="36">
        <v>774474000</v>
      </c>
      <c r="O45" s="36">
        <v>187032000</v>
      </c>
      <c r="P45" s="36">
        <v>0</v>
      </c>
      <c r="Q45" s="36">
        <v>378839000</v>
      </c>
      <c r="R45" s="36">
        <v>28959000</v>
      </c>
      <c r="S45" s="36">
        <v>35709000</v>
      </c>
      <c r="T45" s="36">
        <v>1405013000</v>
      </c>
      <c r="U45" s="36">
        <v>957726000</v>
      </c>
      <c r="V45" s="36">
        <v>213351000</v>
      </c>
      <c r="W45" s="36">
        <v>0</v>
      </c>
      <c r="X45" s="36">
        <v>475363000</v>
      </c>
      <c r="Y45" s="36">
        <v>37831000</v>
      </c>
      <c r="Z45" s="36">
        <v>43297000</v>
      </c>
      <c r="AA45" s="40">
        <v>1727568000</v>
      </c>
    </row>
    <row r="46" spans="1:27" x14ac:dyDescent="0.55000000000000004">
      <c r="A46" s="10">
        <v>52</v>
      </c>
      <c r="B46" s="11" t="s">
        <v>38</v>
      </c>
      <c r="C46" s="11" t="s">
        <v>72</v>
      </c>
      <c r="D46" s="11" t="s">
        <v>255</v>
      </c>
      <c r="E46" s="11" t="s">
        <v>251</v>
      </c>
      <c r="F46" s="11" t="s">
        <v>241</v>
      </c>
      <c r="G46" s="36">
        <v>1034474000</v>
      </c>
      <c r="H46" s="36">
        <v>217570000</v>
      </c>
      <c r="I46" s="36">
        <v>11793000</v>
      </c>
      <c r="J46" s="36">
        <v>600626000</v>
      </c>
      <c r="K46" s="36">
        <v>49316000</v>
      </c>
      <c r="L46" s="36">
        <v>52793000</v>
      </c>
      <c r="M46" s="36">
        <v>1966572000</v>
      </c>
      <c r="N46" s="36">
        <v>1073525000</v>
      </c>
      <c r="O46" s="36">
        <v>150480000</v>
      </c>
      <c r="P46" s="36">
        <v>1634000</v>
      </c>
      <c r="Q46" s="36">
        <v>422488000</v>
      </c>
      <c r="R46" s="36">
        <v>65678000</v>
      </c>
      <c r="S46" s="36">
        <v>52152000</v>
      </c>
      <c r="T46" s="36">
        <v>1765957000</v>
      </c>
      <c r="U46" s="36">
        <v>1203909000</v>
      </c>
      <c r="V46" s="36">
        <v>179979000</v>
      </c>
      <c r="W46" s="36">
        <v>6715000</v>
      </c>
      <c r="X46" s="36">
        <v>512969000</v>
      </c>
      <c r="Y46" s="36">
        <v>69857000</v>
      </c>
      <c r="Z46" s="36">
        <v>65620000</v>
      </c>
      <c r="AA46" s="40">
        <v>2039049000</v>
      </c>
    </row>
    <row r="47" spans="1:27" x14ac:dyDescent="0.55000000000000004">
      <c r="A47" s="10">
        <v>51</v>
      </c>
      <c r="B47" s="11" t="s">
        <v>39</v>
      </c>
      <c r="C47" s="11" t="s">
        <v>67</v>
      </c>
      <c r="D47" s="11" t="s">
        <v>260</v>
      </c>
      <c r="E47" s="11" t="s">
        <v>240</v>
      </c>
      <c r="F47" s="11" t="s">
        <v>241</v>
      </c>
      <c r="G47" s="36">
        <v>1372779000</v>
      </c>
      <c r="H47" s="36">
        <v>277478000</v>
      </c>
      <c r="I47" s="36">
        <v>0</v>
      </c>
      <c r="J47" s="36">
        <v>1158915000</v>
      </c>
      <c r="K47" s="36">
        <v>79469000</v>
      </c>
      <c r="L47" s="36">
        <v>77257000</v>
      </c>
      <c r="M47" s="36">
        <v>2965898000</v>
      </c>
      <c r="N47" s="36">
        <v>1122346000</v>
      </c>
      <c r="O47" s="36">
        <v>370770000</v>
      </c>
      <c r="P47" s="36">
        <v>0</v>
      </c>
      <c r="Q47" s="36">
        <v>1262809000</v>
      </c>
      <c r="R47" s="36">
        <v>94578000</v>
      </c>
      <c r="S47" s="36">
        <v>80680000</v>
      </c>
      <c r="T47" s="36">
        <v>2931183000</v>
      </c>
      <c r="U47" s="36">
        <v>1644204000</v>
      </c>
      <c r="V47" s="36">
        <v>410545000</v>
      </c>
      <c r="W47" s="36">
        <v>0</v>
      </c>
      <c r="X47" s="36">
        <v>1406481000</v>
      </c>
      <c r="Y47" s="36">
        <v>96156000</v>
      </c>
      <c r="Z47" s="36">
        <v>84589000</v>
      </c>
      <c r="AA47" s="40">
        <v>3641975000</v>
      </c>
    </row>
    <row r="48" spans="1:27" x14ac:dyDescent="0.55000000000000004">
      <c r="A48" s="10">
        <v>10</v>
      </c>
      <c r="B48" s="11" t="s">
        <v>40</v>
      </c>
      <c r="C48" s="11" t="s">
        <v>78</v>
      </c>
      <c r="D48" s="11" t="s">
        <v>252</v>
      </c>
      <c r="E48" s="11" t="s">
        <v>251</v>
      </c>
      <c r="F48" s="11" t="s">
        <v>241</v>
      </c>
      <c r="G48" s="36">
        <v>794982000</v>
      </c>
      <c r="H48" s="36">
        <v>154563000</v>
      </c>
      <c r="I48" s="36">
        <v>0</v>
      </c>
      <c r="J48" s="36">
        <v>929832000</v>
      </c>
      <c r="K48" s="36">
        <v>35107000</v>
      </c>
      <c r="L48" s="36">
        <v>15550000</v>
      </c>
      <c r="M48" s="36">
        <v>1930034000</v>
      </c>
      <c r="N48" s="36">
        <v>773507000</v>
      </c>
      <c r="O48" s="36">
        <v>148012000</v>
      </c>
      <c r="P48" s="36">
        <v>0</v>
      </c>
      <c r="Q48" s="36">
        <v>824902000</v>
      </c>
      <c r="R48" s="36">
        <v>64910000</v>
      </c>
      <c r="S48" s="36">
        <v>31738000</v>
      </c>
      <c r="T48" s="36">
        <v>1843069000</v>
      </c>
      <c r="U48" s="36">
        <v>813118000</v>
      </c>
      <c r="V48" s="36">
        <v>150742000</v>
      </c>
      <c r="W48" s="36">
        <v>0</v>
      </c>
      <c r="X48" s="36">
        <v>888922000</v>
      </c>
      <c r="Y48" s="36">
        <v>74881000</v>
      </c>
      <c r="Z48" s="36">
        <v>33933000</v>
      </c>
      <c r="AA48" s="40">
        <v>1961596000</v>
      </c>
    </row>
    <row r="49" spans="1:28" x14ac:dyDescent="0.55000000000000004">
      <c r="A49" s="10">
        <v>392</v>
      </c>
      <c r="B49" s="11" t="s">
        <v>41</v>
      </c>
      <c r="C49" s="11" t="s">
        <v>72</v>
      </c>
      <c r="D49" s="11" t="s">
        <v>252</v>
      </c>
      <c r="E49" s="11" t="s">
        <v>251</v>
      </c>
      <c r="F49" s="11" t="s">
        <v>241</v>
      </c>
      <c r="G49" s="36">
        <v>334458000</v>
      </c>
      <c r="H49" s="36">
        <v>60481000</v>
      </c>
      <c r="I49" s="36">
        <v>486000</v>
      </c>
      <c r="J49" s="36">
        <v>149443000</v>
      </c>
      <c r="K49" s="36">
        <v>27694000</v>
      </c>
      <c r="L49" s="36">
        <v>3510000</v>
      </c>
      <c r="M49" s="36">
        <v>576072000</v>
      </c>
      <c r="N49" s="36">
        <v>283386000</v>
      </c>
      <c r="O49" s="36">
        <v>55297000</v>
      </c>
      <c r="P49" s="36">
        <v>1371000</v>
      </c>
      <c r="Q49" s="36">
        <v>140644000</v>
      </c>
      <c r="R49" s="36">
        <v>14506000</v>
      </c>
      <c r="S49" s="36">
        <v>11763000</v>
      </c>
      <c r="T49" s="36">
        <v>506967000</v>
      </c>
      <c r="U49" s="36">
        <v>312746000</v>
      </c>
      <c r="V49" s="36">
        <v>67105000</v>
      </c>
      <c r="W49" s="36">
        <v>228000</v>
      </c>
      <c r="X49" s="36">
        <v>189192000</v>
      </c>
      <c r="Y49" s="36">
        <v>19994000</v>
      </c>
      <c r="Z49" s="36">
        <v>12619000</v>
      </c>
      <c r="AA49" s="40">
        <v>601884000</v>
      </c>
    </row>
    <row r="50" spans="1:28" x14ac:dyDescent="0.55000000000000004">
      <c r="A50" s="10">
        <v>391</v>
      </c>
      <c r="B50" s="11" t="s">
        <v>42</v>
      </c>
      <c r="C50" s="11" t="s">
        <v>72</v>
      </c>
      <c r="D50" s="11" t="s">
        <v>252</v>
      </c>
      <c r="E50" s="11" t="s">
        <v>251</v>
      </c>
      <c r="F50" s="11" t="s">
        <v>241</v>
      </c>
      <c r="G50" s="36">
        <v>333097000</v>
      </c>
      <c r="H50" s="36">
        <v>253566000</v>
      </c>
      <c r="I50" s="36">
        <v>507000</v>
      </c>
      <c r="J50" s="36">
        <v>150364000</v>
      </c>
      <c r="K50" s="36">
        <v>76008000</v>
      </c>
      <c r="L50" s="36">
        <v>504000</v>
      </c>
      <c r="M50" s="36">
        <v>814046000</v>
      </c>
      <c r="N50" s="36">
        <v>232264000</v>
      </c>
      <c r="O50" s="36">
        <v>196499000</v>
      </c>
      <c r="P50" s="36">
        <v>148000</v>
      </c>
      <c r="Q50" s="36">
        <v>159079000</v>
      </c>
      <c r="R50" s="36">
        <v>61509000</v>
      </c>
      <c r="S50" s="36">
        <v>13470000</v>
      </c>
      <c r="T50" s="36">
        <v>662969000</v>
      </c>
      <c r="U50" s="36">
        <v>199862000</v>
      </c>
      <c r="V50" s="36">
        <v>239919000</v>
      </c>
      <c r="W50" s="36">
        <v>161000</v>
      </c>
      <c r="X50" s="36">
        <v>187873000</v>
      </c>
      <c r="Y50" s="36">
        <v>56740000</v>
      </c>
      <c r="Z50" s="36">
        <v>14965000</v>
      </c>
      <c r="AA50" s="40">
        <v>699520000</v>
      </c>
    </row>
    <row r="51" spans="1:28" x14ac:dyDescent="0.55000000000000004">
      <c r="A51" s="10">
        <v>34</v>
      </c>
      <c r="B51" s="11" t="s">
        <v>43</v>
      </c>
      <c r="C51" s="11" t="s">
        <v>72</v>
      </c>
      <c r="D51" s="11" t="s">
        <v>253</v>
      </c>
      <c r="E51" s="11" t="s">
        <v>251</v>
      </c>
      <c r="F51" s="11" t="s">
        <v>241</v>
      </c>
      <c r="G51" s="36">
        <v>724457000</v>
      </c>
      <c r="H51" s="36">
        <v>137558000</v>
      </c>
      <c r="I51" s="36">
        <v>3050000</v>
      </c>
      <c r="J51" s="36">
        <v>450857000</v>
      </c>
      <c r="K51" s="36">
        <v>32491000</v>
      </c>
      <c r="L51" s="36">
        <v>43400000</v>
      </c>
      <c r="M51" s="36">
        <v>1391813000</v>
      </c>
      <c r="N51" s="36">
        <v>661764000</v>
      </c>
      <c r="O51" s="36">
        <v>112937000</v>
      </c>
      <c r="P51" s="36">
        <v>3406000</v>
      </c>
      <c r="Q51" s="36">
        <v>423714000</v>
      </c>
      <c r="R51" s="36">
        <v>32113000</v>
      </c>
      <c r="S51" s="36">
        <v>37371000</v>
      </c>
      <c r="T51" s="36">
        <v>1271305000</v>
      </c>
      <c r="U51" s="36">
        <v>751305000</v>
      </c>
      <c r="V51" s="36">
        <v>130290000</v>
      </c>
      <c r="W51" s="36">
        <v>1359000</v>
      </c>
      <c r="X51" s="36">
        <v>500190000</v>
      </c>
      <c r="Y51" s="36">
        <v>45705000</v>
      </c>
      <c r="Z51" s="36">
        <v>46630000</v>
      </c>
      <c r="AA51" s="40">
        <v>1475479000</v>
      </c>
    </row>
    <row r="52" spans="1:28" x14ac:dyDescent="0.55000000000000004">
      <c r="A52" s="10">
        <v>110</v>
      </c>
      <c r="B52" s="11" t="s">
        <v>44</v>
      </c>
      <c r="C52" s="11" t="s">
        <v>69</v>
      </c>
      <c r="D52" s="11" t="s">
        <v>250</v>
      </c>
      <c r="E52" s="11" t="s">
        <v>251</v>
      </c>
      <c r="F52" s="11" t="s">
        <v>241</v>
      </c>
      <c r="G52" s="36">
        <v>751955000</v>
      </c>
      <c r="H52" s="36">
        <v>151786000</v>
      </c>
      <c r="I52" s="36">
        <v>4987000</v>
      </c>
      <c r="J52" s="36">
        <v>342425000</v>
      </c>
      <c r="K52" s="36">
        <v>49219000</v>
      </c>
      <c r="L52" s="36">
        <v>42649000</v>
      </c>
      <c r="M52" s="36">
        <v>1343021000</v>
      </c>
      <c r="N52" s="36">
        <v>643084000</v>
      </c>
      <c r="O52" s="36">
        <v>123902000</v>
      </c>
      <c r="P52" s="36">
        <v>3649000</v>
      </c>
      <c r="Q52" s="36">
        <v>233763000</v>
      </c>
      <c r="R52" s="36">
        <v>43780000</v>
      </c>
      <c r="S52" s="36">
        <v>104227000</v>
      </c>
      <c r="T52" s="36">
        <v>1152405000</v>
      </c>
      <c r="U52" s="36">
        <v>684364000</v>
      </c>
      <c r="V52" s="36">
        <v>148955000</v>
      </c>
      <c r="W52" s="36">
        <v>4751000</v>
      </c>
      <c r="X52" s="36">
        <v>255718000</v>
      </c>
      <c r="Y52" s="36">
        <v>42140000</v>
      </c>
      <c r="Z52" s="36">
        <v>114653000</v>
      </c>
      <c r="AA52" s="40">
        <v>1250581000</v>
      </c>
    </row>
    <row r="53" spans="1:28" x14ac:dyDescent="0.55000000000000004">
      <c r="A53" s="10">
        <v>24</v>
      </c>
      <c r="B53" s="11" t="s">
        <v>45</v>
      </c>
      <c r="C53" s="11" t="s">
        <v>69</v>
      </c>
      <c r="D53" s="11" t="s">
        <v>260</v>
      </c>
      <c r="E53" s="11" t="s">
        <v>240</v>
      </c>
      <c r="F53" s="11" t="s">
        <v>241</v>
      </c>
      <c r="G53" s="36">
        <v>470771000</v>
      </c>
      <c r="H53" s="36">
        <v>118612000</v>
      </c>
      <c r="I53" s="36">
        <v>0</v>
      </c>
      <c r="J53" s="36">
        <v>194453000</v>
      </c>
      <c r="K53" s="36">
        <v>45936000</v>
      </c>
      <c r="L53" s="36">
        <v>25410000</v>
      </c>
      <c r="M53" s="36">
        <v>855182000</v>
      </c>
      <c r="N53" s="36">
        <v>420192000</v>
      </c>
      <c r="O53" s="36">
        <v>100932000</v>
      </c>
      <c r="P53" s="36">
        <v>0</v>
      </c>
      <c r="Q53" s="36">
        <v>161234000</v>
      </c>
      <c r="R53" s="36">
        <v>35178000</v>
      </c>
      <c r="S53" s="36">
        <v>21454000</v>
      </c>
      <c r="T53" s="36">
        <v>738990000</v>
      </c>
      <c r="U53" s="36">
        <v>437233000</v>
      </c>
      <c r="V53" s="36">
        <v>139777000</v>
      </c>
      <c r="W53" s="36">
        <v>0</v>
      </c>
      <c r="X53" s="36">
        <v>203222000</v>
      </c>
      <c r="Y53" s="36">
        <v>40869000</v>
      </c>
      <c r="Z53" s="36">
        <v>22526000</v>
      </c>
      <c r="AA53" s="40">
        <v>843627000</v>
      </c>
    </row>
    <row r="54" spans="1:28" x14ac:dyDescent="0.55000000000000004">
      <c r="A54" s="10">
        <v>38</v>
      </c>
      <c r="B54" s="11" t="s">
        <v>46</v>
      </c>
      <c r="C54" s="11" t="s">
        <v>69</v>
      </c>
      <c r="D54" s="11" t="s">
        <v>252</v>
      </c>
      <c r="E54" s="11" t="s">
        <v>251</v>
      </c>
      <c r="F54" s="11" t="s">
        <v>241</v>
      </c>
      <c r="G54" s="36">
        <v>2413012000</v>
      </c>
      <c r="H54" s="36">
        <v>1057697000</v>
      </c>
      <c r="I54" s="36">
        <v>4602000</v>
      </c>
      <c r="J54" s="36">
        <v>1800672000</v>
      </c>
      <c r="K54" s="36">
        <v>262148000</v>
      </c>
      <c r="L54" s="36">
        <v>105062000</v>
      </c>
      <c r="M54" s="36">
        <v>5643193000</v>
      </c>
      <c r="N54" s="36">
        <v>2191689000</v>
      </c>
      <c r="O54" s="36">
        <v>1033973000</v>
      </c>
      <c r="P54" s="36">
        <v>5872000</v>
      </c>
      <c r="Q54" s="36">
        <v>1784966000</v>
      </c>
      <c r="R54" s="36">
        <v>302742000</v>
      </c>
      <c r="S54" s="36">
        <v>84290000</v>
      </c>
      <c r="T54" s="36">
        <v>5403532000</v>
      </c>
      <c r="U54" s="36">
        <v>2658438000</v>
      </c>
      <c r="V54" s="36">
        <v>1227451000</v>
      </c>
      <c r="W54" s="36">
        <v>9348000</v>
      </c>
      <c r="X54" s="36">
        <v>2051582000</v>
      </c>
      <c r="Y54" s="36">
        <v>344180000</v>
      </c>
      <c r="Z54" s="36">
        <v>109598000</v>
      </c>
      <c r="AA54" s="40">
        <v>6400597000</v>
      </c>
    </row>
    <row r="55" spans="1:28" x14ac:dyDescent="0.55000000000000004">
      <c r="A55" s="10">
        <v>48</v>
      </c>
      <c r="B55" s="11" t="s">
        <v>47</v>
      </c>
      <c r="C55" s="11" t="s">
        <v>69</v>
      </c>
      <c r="D55" s="11" t="s">
        <v>258</v>
      </c>
      <c r="E55" s="11" t="s">
        <v>251</v>
      </c>
      <c r="F55" s="11" t="s">
        <v>241</v>
      </c>
      <c r="G55" s="36">
        <v>921579000</v>
      </c>
      <c r="H55" s="36">
        <v>203040000</v>
      </c>
      <c r="I55" s="36">
        <v>856000</v>
      </c>
      <c r="J55" s="36">
        <v>549972000</v>
      </c>
      <c r="K55" s="36">
        <v>87904000</v>
      </c>
      <c r="L55" s="36">
        <v>27953000</v>
      </c>
      <c r="M55" s="36">
        <v>1791304000</v>
      </c>
      <c r="N55" s="36">
        <v>898661000</v>
      </c>
      <c r="O55" s="36">
        <v>195105000</v>
      </c>
      <c r="P55" s="36">
        <v>764000</v>
      </c>
      <c r="Q55" s="36">
        <v>503665000</v>
      </c>
      <c r="R55" s="36">
        <v>83096000</v>
      </c>
      <c r="S55" s="36">
        <v>43594000</v>
      </c>
      <c r="T55" s="36">
        <v>1724885000</v>
      </c>
      <c r="U55" s="36">
        <v>1034921000</v>
      </c>
      <c r="V55" s="36">
        <v>252787000</v>
      </c>
      <c r="W55" s="36">
        <v>701000</v>
      </c>
      <c r="X55" s="36">
        <v>591132000</v>
      </c>
      <c r="Y55" s="36">
        <v>101822000</v>
      </c>
      <c r="Z55" s="36">
        <v>48440000</v>
      </c>
      <c r="AA55" s="40">
        <v>2029803000</v>
      </c>
    </row>
    <row r="56" spans="1:28" x14ac:dyDescent="0.55000000000000004">
      <c r="A56" s="10">
        <v>50</v>
      </c>
      <c r="B56" s="11" t="s">
        <v>48</v>
      </c>
      <c r="C56" s="11" t="s">
        <v>76</v>
      </c>
      <c r="D56" s="11" t="s">
        <v>254</v>
      </c>
      <c r="E56" s="11" t="s">
        <v>240</v>
      </c>
      <c r="F56" s="11" t="s">
        <v>241</v>
      </c>
      <c r="G56" s="36">
        <v>244142000</v>
      </c>
      <c r="H56" s="36">
        <v>47116000</v>
      </c>
      <c r="I56" s="36">
        <v>542000</v>
      </c>
      <c r="J56" s="36">
        <v>368789000</v>
      </c>
      <c r="K56" s="36">
        <v>29205000</v>
      </c>
      <c r="L56" s="36">
        <v>436000</v>
      </c>
      <c r="M56" s="36">
        <v>690230000</v>
      </c>
      <c r="N56" s="36">
        <v>336258000</v>
      </c>
      <c r="O56" s="36">
        <v>97681000</v>
      </c>
      <c r="P56" s="36">
        <v>6156000</v>
      </c>
      <c r="Q56" s="36">
        <v>284164000</v>
      </c>
      <c r="R56" s="36">
        <v>38590000</v>
      </c>
      <c r="S56" s="36">
        <v>3716000</v>
      </c>
      <c r="T56" s="36">
        <v>766565000</v>
      </c>
      <c r="U56" s="36">
        <v>324730000</v>
      </c>
      <c r="V56" s="36">
        <v>72711000</v>
      </c>
      <c r="W56" s="36">
        <v>3432000</v>
      </c>
      <c r="X56" s="36">
        <v>373607000</v>
      </c>
      <c r="Y56" s="36">
        <v>27529000</v>
      </c>
      <c r="Z56" s="36">
        <v>3243000</v>
      </c>
      <c r="AA56" s="40">
        <v>805252000</v>
      </c>
    </row>
    <row r="57" spans="1:28" x14ac:dyDescent="0.55000000000000004">
      <c r="A57" s="10">
        <v>502</v>
      </c>
      <c r="B57" s="11" t="s">
        <v>49</v>
      </c>
      <c r="C57" s="11" t="s">
        <v>76</v>
      </c>
      <c r="D57" s="11" t="s">
        <v>254</v>
      </c>
      <c r="E57" s="11" t="s">
        <v>240</v>
      </c>
      <c r="F57" s="11" t="s">
        <v>241</v>
      </c>
      <c r="G57" s="36">
        <v>115690000</v>
      </c>
      <c r="H57" s="36">
        <v>17850000</v>
      </c>
      <c r="I57" s="36">
        <v>164000</v>
      </c>
      <c r="J57" s="36">
        <v>142049000</v>
      </c>
      <c r="K57" s="36">
        <v>21925000</v>
      </c>
      <c r="L57" s="36">
        <v>295000</v>
      </c>
      <c r="M57" s="36">
        <v>297973000</v>
      </c>
      <c r="N57" s="36">
        <v>142545000</v>
      </c>
      <c r="O57" s="36">
        <v>41043000</v>
      </c>
      <c r="P57" s="36">
        <v>1315000</v>
      </c>
      <c r="Q57" s="36">
        <v>104020000</v>
      </c>
      <c r="R57" s="36">
        <v>31987000</v>
      </c>
      <c r="S57" s="36">
        <v>3164000</v>
      </c>
      <c r="T57" s="36">
        <v>324074000</v>
      </c>
      <c r="U57" s="36">
        <v>159729000</v>
      </c>
      <c r="V57" s="36">
        <v>50460000</v>
      </c>
      <c r="W57" s="36">
        <v>6631000</v>
      </c>
      <c r="X57" s="36">
        <v>127049000</v>
      </c>
      <c r="Y57" s="36">
        <v>20169000</v>
      </c>
      <c r="Z57" s="36">
        <v>2563000</v>
      </c>
      <c r="AA57" s="40">
        <v>366601000</v>
      </c>
    </row>
    <row r="58" spans="1:28" x14ac:dyDescent="0.55000000000000004">
      <c r="A58" s="10">
        <v>96</v>
      </c>
      <c r="B58" s="11" t="s">
        <v>50</v>
      </c>
      <c r="C58" s="11" t="s">
        <v>76</v>
      </c>
      <c r="D58" s="11" t="s">
        <v>246</v>
      </c>
      <c r="E58" s="11" t="s">
        <v>240</v>
      </c>
      <c r="F58" s="11" t="s">
        <v>241</v>
      </c>
      <c r="G58" s="36">
        <v>361415000</v>
      </c>
      <c r="H58" s="36">
        <v>291972000</v>
      </c>
      <c r="I58" s="36">
        <v>0</v>
      </c>
      <c r="J58" s="36">
        <v>189207000</v>
      </c>
      <c r="K58" s="36">
        <v>79049000</v>
      </c>
      <c r="L58" s="36">
        <v>349000</v>
      </c>
      <c r="M58" s="36">
        <v>921992000</v>
      </c>
      <c r="N58" s="36">
        <v>319658000</v>
      </c>
      <c r="O58" s="36">
        <v>236880000</v>
      </c>
      <c r="P58" s="36">
        <v>500000</v>
      </c>
      <c r="Q58" s="36">
        <v>151373000</v>
      </c>
      <c r="R58" s="36">
        <v>57563000</v>
      </c>
      <c r="S58" s="36">
        <v>0</v>
      </c>
      <c r="T58" s="36">
        <v>765974000</v>
      </c>
      <c r="U58" s="36">
        <v>444689000</v>
      </c>
      <c r="V58" s="36">
        <v>266324000</v>
      </c>
      <c r="W58" s="36">
        <v>283000</v>
      </c>
      <c r="X58" s="36">
        <v>163937000</v>
      </c>
      <c r="Y58" s="36">
        <v>32796000</v>
      </c>
      <c r="Z58" s="36">
        <v>0</v>
      </c>
      <c r="AA58" s="40">
        <v>908029000</v>
      </c>
    </row>
    <row r="59" spans="1:28" x14ac:dyDescent="0.55000000000000004">
      <c r="A59" s="10">
        <v>70</v>
      </c>
      <c r="B59" s="11" t="s">
        <v>51</v>
      </c>
      <c r="C59" s="11" t="s">
        <v>73</v>
      </c>
      <c r="D59" s="11" t="s">
        <v>252</v>
      </c>
      <c r="E59" s="11" t="s">
        <v>251</v>
      </c>
      <c r="F59" s="11" t="s">
        <v>241</v>
      </c>
      <c r="G59" s="36">
        <v>955158000</v>
      </c>
      <c r="H59" s="36">
        <v>839075000</v>
      </c>
      <c r="I59" s="36">
        <v>5192000</v>
      </c>
      <c r="J59" s="36">
        <v>1175266000</v>
      </c>
      <c r="K59" s="36">
        <v>302763000</v>
      </c>
      <c r="L59" s="36">
        <v>34590000</v>
      </c>
      <c r="M59" s="36">
        <v>3312044000</v>
      </c>
      <c r="N59" s="36">
        <v>851920000</v>
      </c>
      <c r="O59" s="36">
        <v>753708000</v>
      </c>
      <c r="P59" s="36">
        <v>8440000</v>
      </c>
      <c r="Q59" s="36">
        <v>1116455000</v>
      </c>
      <c r="R59" s="36">
        <v>296872000</v>
      </c>
      <c r="S59" s="36">
        <v>15397000</v>
      </c>
      <c r="T59" s="36">
        <v>3042792000</v>
      </c>
      <c r="U59" s="36">
        <v>924946000</v>
      </c>
      <c r="V59" s="36">
        <v>855532000</v>
      </c>
      <c r="W59" s="36">
        <v>5145000</v>
      </c>
      <c r="X59" s="36">
        <v>1247937000</v>
      </c>
      <c r="Y59" s="36">
        <v>304774000</v>
      </c>
      <c r="Z59" s="36">
        <v>16224000</v>
      </c>
      <c r="AA59" s="40">
        <v>3354558000</v>
      </c>
    </row>
    <row r="60" spans="1:28" x14ac:dyDescent="0.55000000000000004">
      <c r="A60" s="10">
        <v>91</v>
      </c>
      <c r="B60" s="11" t="s">
        <v>52</v>
      </c>
      <c r="C60" s="11" t="s">
        <v>73</v>
      </c>
      <c r="D60" s="11" t="s">
        <v>257</v>
      </c>
      <c r="E60" s="11" t="s">
        <v>237</v>
      </c>
      <c r="F60" s="11" t="s">
        <v>238</v>
      </c>
      <c r="G60" s="36">
        <v>172250000</v>
      </c>
      <c r="H60" s="36">
        <v>85243000</v>
      </c>
      <c r="I60" s="36">
        <v>233000</v>
      </c>
      <c r="J60" s="36">
        <v>92785000</v>
      </c>
      <c r="K60" s="36">
        <v>15885000</v>
      </c>
      <c r="L60" s="36">
        <v>-2000</v>
      </c>
      <c r="M60" s="36">
        <v>366394000</v>
      </c>
      <c r="N60" s="36">
        <v>180499000</v>
      </c>
      <c r="O60" s="36">
        <v>90479000</v>
      </c>
      <c r="P60" s="36">
        <v>677000</v>
      </c>
      <c r="Q60" s="36">
        <v>99276000</v>
      </c>
      <c r="R60" s="36">
        <v>10850000</v>
      </c>
      <c r="S60" s="36">
        <v>0</v>
      </c>
      <c r="T60" s="36">
        <v>381781000</v>
      </c>
      <c r="U60" s="36">
        <v>161037000</v>
      </c>
      <c r="V60" s="36">
        <v>110833000</v>
      </c>
      <c r="W60" s="36">
        <v>0</v>
      </c>
      <c r="X60" s="36">
        <v>116302000</v>
      </c>
      <c r="Y60" s="36">
        <v>26392000</v>
      </c>
      <c r="Z60" s="36">
        <v>0</v>
      </c>
      <c r="AA60" s="40">
        <v>414564000</v>
      </c>
    </row>
    <row r="61" spans="1:28" x14ac:dyDescent="0.55000000000000004">
      <c r="A61" s="10">
        <v>47</v>
      </c>
      <c r="B61" s="11" t="s">
        <v>53</v>
      </c>
      <c r="C61" s="11" t="s">
        <v>73</v>
      </c>
      <c r="D61" s="11" t="s">
        <v>236</v>
      </c>
      <c r="E61" s="11" t="s">
        <v>237</v>
      </c>
      <c r="F61" s="11" t="s">
        <v>238</v>
      </c>
      <c r="G61" s="36">
        <v>511641000</v>
      </c>
      <c r="H61" s="36">
        <v>169178000</v>
      </c>
      <c r="I61" s="36">
        <v>7443000</v>
      </c>
      <c r="J61" s="36">
        <v>245335000</v>
      </c>
      <c r="K61" s="36">
        <v>33547000</v>
      </c>
      <c r="L61" s="36">
        <v>45295000</v>
      </c>
      <c r="M61" s="36">
        <v>1012439000</v>
      </c>
      <c r="N61" s="36">
        <v>434079000</v>
      </c>
      <c r="O61" s="36">
        <v>202434000</v>
      </c>
      <c r="P61" s="36">
        <v>6061000</v>
      </c>
      <c r="Q61" s="36">
        <v>243111000</v>
      </c>
      <c r="R61" s="36">
        <v>42747000</v>
      </c>
      <c r="S61" s="36">
        <v>38391000</v>
      </c>
      <c r="T61" s="36">
        <v>966823000</v>
      </c>
      <c r="U61" s="36">
        <v>575287000</v>
      </c>
      <c r="V61" s="36">
        <v>223856000</v>
      </c>
      <c r="W61" s="36">
        <v>7035000</v>
      </c>
      <c r="X61" s="36">
        <v>288135000</v>
      </c>
      <c r="Y61" s="36">
        <v>41461000</v>
      </c>
      <c r="Z61" s="36">
        <v>44622000</v>
      </c>
      <c r="AA61" s="40">
        <v>1180396000</v>
      </c>
      <c r="AB61" s="86"/>
    </row>
    <row r="62" spans="1:28" x14ac:dyDescent="0.55000000000000004">
      <c r="A62" s="10">
        <v>113</v>
      </c>
      <c r="B62" s="11" t="s">
        <v>54</v>
      </c>
      <c r="C62" s="11" t="s">
        <v>72</v>
      </c>
      <c r="D62" s="11" t="s">
        <v>255</v>
      </c>
      <c r="E62" s="11" t="s">
        <v>251</v>
      </c>
      <c r="F62" s="11" t="s">
        <v>241</v>
      </c>
      <c r="G62" s="36">
        <v>571660000</v>
      </c>
      <c r="H62" s="36">
        <v>131704000</v>
      </c>
      <c r="I62" s="36">
        <v>3036000</v>
      </c>
      <c r="J62" s="36">
        <v>222307000</v>
      </c>
      <c r="K62" s="36">
        <v>19472000</v>
      </c>
      <c r="L62" s="36">
        <v>21852000</v>
      </c>
      <c r="M62" s="36">
        <v>970031000</v>
      </c>
      <c r="N62" s="36">
        <v>558077000</v>
      </c>
      <c r="O62" s="36">
        <v>101469000</v>
      </c>
      <c r="P62" s="36">
        <v>1676000</v>
      </c>
      <c r="Q62" s="36">
        <v>190189000</v>
      </c>
      <c r="R62" s="36">
        <v>32080000</v>
      </c>
      <c r="S62" s="36">
        <v>18599000</v>
      </c>
      <c r="T62" s="36">
        <v>902090000</v>
      </c>
      <c r="U62" s="36">
        <v>629348000</v>
      </c>
      <c r="V62" s="36">
        <v>121206000</v>
      </c>
      <c r="W62" s="36">
        <v>2442000</v>
      </c>
      <c r="X62" s="36">
        <v>264105000</v>
      </c>
      <c r="Y62" s="36">
        <v>20032000</v>
      </c>
      <c r="Z62" s="36">
        <v>21450000</v>
      </c>
      <c r="AA62" s="40">
        <v>1058583000</v>
      </c>
    </row>
    <row r="63" spans="1:28" x14ac:dyDescent="0.55000000000000004">
      <c r="A63" s="10">
        <v>21</v>
      </c>
      <c r="B63" s="11" t="s">
        <v>55</v>
      </c>
      <c r="C63" s="11" t="s">
        <v>73</v>
      </c>
      <c r="D63" s="11" t="s">
        <v>250</v>
      </c>
      <c r="E63" s="11" t="s">
        <v>251</v>
      </c>
      <c r="F63" s="11" t="s">
        <v>241</v>
      </c>
      <c r="G63" s="36">
        <v>358523000</v>
      </c>
      <c r="H63" s="36">
        <v>230381000</v>
      </c>
      <c r="I63" s="36">
        <v>2494000</v>
      </c>
      <c r="J63" s="36">
        <v>175049000</v>
      </c>
      <c r="K63" s="36">
        <v>61129000</v>
      </c>
      <c r="L63" s="36">
        <v>0</v>
      </c>
      <c r="M63" s="36">
        <v>827576000</v>
      </c>
      <c r="N63" s="36">
        <v>336711000</v>
      </c>
      <c r="O63" s="36">
        <v>242170000</v>
      </c>
      <c r="P63" s="36">
        <v>4255000</v>
      </c>
      <c r="Q63" s="36">
        <v>157859000</v>
      </c>
      <c r="R63" s="36">
        <v>62268000</v>
      </c>
      <c r="S63" s="36">
        <v>0</v>
      </c>
      <c r="T63" s="36">
        <v>803263000</v>
      </c>
      <c r="U63" s="36">
        <v>346785000</v>
      </c>
      <c r="V63" s="36">
        <v>230203000</v>
      </c>
      <c r="W63" s="36">
        <v>3800000</v>
      </c>
      <c r="X63" s="36">
        <v>142923000</v>
      </c>
      <c r="Y63" s="36">
        <v>56016000</v>
      </c>
      <c r="Z63" s="36">
        <v>0</v>
      </c>
      <c r="AA63" s="40">
        <v>779727000</v>
      </c>
    </row>
    <row r="64" spans="1:28" x14ac:dyDescent="0.55000000000000004">
      <c r="A64" s="10">
        <v>19</v>
      </c>
      <c r="B64" s="11" t="s">
        <v>56</v>
      </c>
      <c r="C64" s="11" t="s">
        <v>77</v>
      </c>
      <c r="D64" s="11" t="s">
        <v>256</v>
      </c>
      <c r="E64" s="11" t="s">
        <v>240</v>
      </c>
      <c r="F64" s="11" t="s">
        <v>241</v>
      </c>
      <c r="G64" s="36">
        <v>1170274000</v>
      </c>
      <c r="H64" s="36">
        <v>1159915000</v>
      </c>
      <c r="I64" s="36">
        <v>2086000</v>
      </c>
      <c r="J64" s="36">
        <v>563020000</v>
      </c>
      <c r="K64" s="36">
        <v>318002000</v>
      </c>
      <c r="L64" s="36">
        <v>54763000</v>
      </c>
      <c r="M64" s="36">
        <v>3268060000</v>
      </c>
      <c r="N64" s="36">
        <v>1068806000</v>
      </c>
      <c r="O64" s="36">
        <v>1014686000</v>
      </c>
      <c r="P64" s="36">
        <v>3591000</v>
      </c>
      <c r="Q64" s="36">
        <v>585554000</v>
      </c>
      <c r="R64" s="36">
        <v>270328000</v>
      </c>
      <c r="S64" s="36">
        <v>63880000</v>
      </c>
      <c r="T64" s="36">
        <v>3006845000</v>
      </c>
      <c r="U64" s="36">
        <v>1107453000</v>
      </c>
      <c r="V64" s="36">
        <v>1075249000</v>
      </c>
      <c r="W64" s="36">
        <v>2247000</v>
      </c>
      <c r="X64" s="36">
        <v>624887000</v>
      </c>
      <c r="Y64" s="36">
        <v>321864000</v>
      </c>
      <c r="Z64" s="36">
        <v>66308000</v>
      </c>
      <c r="AA64" s="40">
        <v>3198008000</v>
      </c>
    </row>
    <row r="65" spans="1:27" x14ac:dyDescent="0.55000000000000004">
      <c r="A65" s="10">
        <v>116</v>
      </c>
      <c r="B65" s="11" t="s">
        <v>57</v>
      </c>
      <c r="C65" s="11" t="s">
        <v>77</v>
      </c>
      <c r="D65" s="11" t="s">
        <v>256</v>
      </c>
      <c r="E65" s="11" t="s">
        <v>240</v>
      </c>
      <c r="F65" s="11" t="s">
        <v>241</v>
      </c>
      <c r="G65" s="36">
        <v>325196000</v>
      </c>
      <c r="H65" s="36">
        <v>106118000</v>
      </c>
      <c r="I65" s="36">
        <v>392000</v>
      </c>
      <c r="J65" s="36">
        <v>125579000</v>
      </c>
      <c r="K65" s="36">
        <v>32115000</v>
      </c>
      <c r="L65" s="36">
        <v>12878000</v>
      </c>
      <c r="M65" s="36">
        <v>602278000</v>
      </c>
      <c r="N65" s="36">
        <v>301546000</v>
      </c>
      <c r="O65" s="36">
        <v>112138000</v>
      </c>
      <c r="P65" s="36">
        <v>299000</v>
      </c>
      <c r="Q65" s="36">
        <v>126835000</v>
      </c>
      <c r="R65" s="36">
        <v>28145000</v>
      </c>
      <c r="S65" s="36">
        <v>12139000</v>
      </c>
      <c r="T65" s="36">
        <v>581102000</v>
      </c>
      <c r="U65" s="36">
        <v>320777000</v>
      </c>
      <c r="V65" s="36">
        <v>135840000</v>
      </c>
      <c r="W65" s="36">
        <v>197000</v>
      </c>
      <c r="X65" s="36">
        <v>135959000</v>
      </c>
      <c r="Y65" s="36">
        <v>27050000</v>
      </c>
      <c r="Z65" s="36">
        <v>15592000</v>
      </c>
      <c r="AA65" s="40">
        <v>635415000</v>
      </c>
    </row>
    <row r="66" spans="1:27" x14ac:dyDescent="0.55000000000000004">
      <c r="A66" s="10">
        <v>60</v>
      </c>
      <c r="B66" s="11" t="s">
        <v>58</v>
      </c>
      <c r="C66" s="11" t="s">
        <v>75</v>
      </c>
      <c r="D66" s="11" t="s">
        <v>261</v>
      </c>
      <c r="E66" s="11" t="s">
        <v>240</v>
      </c>
      <c r="F66" s="11" t="s">
        <v>238</v>
      </c>
      <c r="G66" s="36">
        <v>546640000</v>
      </c>
      <c r="H66" s="36">
        <v>146549000</v>
      </c>
      <c r="I66" s="36">
        <v>1453000</v>
      </c>
      <c r="J66" s="36">
        <v>253917000</v>
      </c>
      <c r="K66" s="36">
        <v>27901000</v>
      </c>
      <c r="L66" s="36">
        <v>34582000</v>
      </c>
      <c r="M66" s="36">
        <v>1011042000</v>
      </c>
      <c r="N66" s="36">
        <v>534934000</v>
      </c>
      <c r="O66" s="36">
        <v>137399000</v>
      </c>
      <c r="P66" s="36">
        <v>2051000</v>
      </c>
      <c r="Q66" s="36">
        <v>269474000</v>
      </c>
      <c r="R66" s="36">
        <v>30347000</v>
      </c>
      <c r="S66" s="36">
        <v>35228000</v>
      </c>
      <c r="T66" s="36">
        <v>1009433000</v>
      </c>
      <c r="U66" s="36">
        <v>622831000</v>
      </c>
      <c r="V66" s="36">
        <v>168809000</v>
      </c>
      <c r="W66" s="36">
        <v>1562000</v>
      </c>
      <c r="X66" s="36">
        <v>324097000</v>
      </c>
      <c r="Y66" s="36">
        <v>28516000</v>
      </c>
      <c r="Z66" s="36">
        <v>41296000</v>
      </c>
      <c r="AA66" s="40">
        <v>1187111000</v>
      </c>
    </row>
    <row r="67" spans="1:27" x14ac:dyDescent="0.55000000000000004">
      <c r="A67" s="10">
        <v>6</v>
      </c>
      <c r="B67" s="11" t="s">
        <v>59</v>
      </c>
      <c r="C67" s="11" t="s">
        <v>76</v>
      </c>
      <c r="D67" s="11" t="s">
        <v>256</v>
      </c>
      <c r="E67" s="11" t="s">
        <v>240</v>
      </c>
      <c r="F67" s="11" t="s">
        <v>241</v>
      </c>
      <c r="G67" s="36">
        <v>216713000</v>
      </c>
      <c r="H67" s="36">
        <v>153306000</v>
      </c>
      <c r="I67" s="36">
        <v>400000</v>
      </c>
      <c r="J67" s="36">
        <v>200614000</v>
      </c>
      <c r="K67" s="36">
        <v>46352000</v>
      </c>
      <c r="L67" s="36">
        <v>8551000</v>
      </c>
      <c r="M67" s="36">
        <v>625936000</v>
      </c>
      <c r="N67" s="36">
        <v>252221000</v>
      </c>
      <c r="O67" s="36">
        <v>173454000</v>
      </c>
      <c r="P67" s="36">
        <v>276000</v>
      </c>
      <c r="Q67" s="36">
        <v>181939000</v>
      </c>
      <c r="R67" s="36">
        <v>47319000</v>
      </c>
      <c r="S67" s="36">
        <v>11991000</v>
      </c>
      <c r="T67" s="36">
        <v>667200000</v>
      </c>
      <c r="U67" s="36">
        <v>364638000</v>
      </c>
      <c r="V67" s="36">
        <v>190862000</v>
      </c>
      <c r="W67" s="36">
        <v>398000</v>
      </c>
      <c r="X67" s="36">
        <v>184097000</v>
      </c>
      <c r="Y67" s="36">
        <v>52245000</v>
      </c>
      <c r="Z67" s="36">
        <v>22512000</v>
      </c>
      <c r="AA67" s="40">
        <v>814752000</v>
      </c>
    </row>
    <row r="68" spans="1:27" x14ac:dyDescent="0.55000000000000004">
      <c r="A68" s="10">
        <v>27</v>
      </c>
      <c r="B68" s="11" t="s">
        <v>60</v>
      </c>
      <c r="C68" s="11" t="s">
        <v>73</v>
      </c>
      <c r="D68" s="11" t="s">
        <v>260</v>
      </c>
      <c r="E68" s="11" t="s">
        <v>240</v>
      </c>
      <c r="F68" s="11" t="s">
        <v>241</v>
      </c>
      <c r="G68" s="36">
        <v>555059000</v>
      </c>
      <c r="H68" s="36">
        <v>447230000</v>
      </c>
      <c r="I68" s="36">
        <v>686000</v>
      </c>
      <c r="J68" s="36">
        <v>253872000</v>
      </c>
      <c r="K68" s="36">
        <v>190350000</v>
      </c>
      <c r="L68" s="36">
        <v>43851000</v>
      </c>
      <c r="M68" s="36">
        <v>1491048000</v>
      </c>
      <c r="N68" s="36">
        <v>460189000</v>
      </c>
      <c r="O68" s="36">
        <v>352350000</v>
      </c>
      <c r="P68" s="36">
        <v>2770000</v>
      </c>
      <c r="Q68" s="36">
        <v>222940000</v>
      </c>
      <c r="R68" s="36">
        <v>159852000</v>
      </c>
      <c r="S68" s="36">
        <v>35298000</v>
      </c>
      <c r="T68" s="36">
        <v>1233399000</v>
      </c>
      <c r="U68" s="36">
        <v>476015000</v>
      </c>
      <c r="V68" s="36">
        <v>422147000</v>
      </c>
      <c r="W68" s="36">
        <v>1028000</v>
      </c>
      <c r="X68" s="36">
        <v>253778000</v>
      </c>
      <c r="Y68" s="36">
        <v>174175000</v>
      </c>
      <c r="Z68" s="36">
        <v>36094000</v>
      </c>
      <c r="AA68" s="40">
        <v>1363237000</v>
      </c>
    </row>
    <row r="69" spans="1:27" x14ac:dyDescent="0.55000000000000004">
      <c r="A69" s="10">
        <v>119</v>
      </c>
      <c r="B69" s="11" t="s">
        <v>61</v>
      </c>
      <c r="C69" s="11" t="s">
        <v>73</v>
      </c>
      <c r="D69" s="11" t="s">
        <v>246</v>
      </c>
      <c r="E69" s="11" t="s">
        <v>240</v>
      </c>
      <c r="F69" s="11" t="s">
        <v>241</v>
      </c>
      <c r="G69" s="36">
        <v>667146000</v>
      </c>
      <c r="H69" s="36">
        <v>1200618000</v>
      </c>
      <c r="I69" s="36">
        <v>8975000</v>
      </c>
      <c r="J69" s="36">
        <v>295994000</v>
      </c>
      <c r="K69" s="36">
        <v>428455000</v>
      </c>
      <c r="L69" s="36">
        <v>178304000</v>
      </c>
      <c r="M69" s="36">
        <v>2779492000</v>
      </c>
      <c r="N69" s="36">
        <v>667917000</v>
      </c>
      <c r="O69" s="36">
        <v>1069639000</v>
      </c>
      <c r="P69" s="36">
        <v>3014000</v>
      </c>
      <c r="Q69" s="36">
        <v>341735000</v>
      </c>
      <c r="R69" s="36">
        <v>400117000</v>
      </c>
      <c r="S69" s="36">
        <v>154897000</v>
      </c>
      <c r="T69" s="36">
        <v>2637319000</v>
      </c>
      <c r="U69" s="36">
        <v>707516000</v>
      </c>
      <c r="V69" s="36">
        <v>1238963000</v>
      </c>
      <c r="W69" s="36">
        <v>5778000</v>
      </c>
      <c r="X69" s="36">
        <v>383688000</v>
      </c>
      <c r="Y69" s="36">
        <v>369500000</v>
      </c>
      <c r="Z69" s="36">
        <v>183644000</v>
      </c>
      <c r="AA69" s="40">
        <v>2889089000</v>
      </c>
    </row>
    <row r="70" spans="1:27" x14ac:dyDescent="0.55000000000000004">
      <c r="A70" s="10">
        <v>12</v>
      </c>
      <c r="B70" s="11" t="s">
        <v>62</v>
      </c>
      <c r="C70" s="11" t="s">
        <v>73</v>
      </c>
      <c r="D70" s="11" t="s">
        <v>239</v>
      </c>
      <c r="E70" s="11" t="s">
        <v>240</v>
      </c>
      <c r="F70" s="11" t="s">
        <v>241</v>
      </c>
      <c r="G70" s="36">
        <v>1349759000</v>
      </c>
      <c r="H70" s="36">
        <v>82110000</v>
      </c>
      <c r="I70" s="36">
        <v>0</v>
      </c>
      <c r="J70" s="36">
        <v>1026773000</v>
      </c>
      <c r="K70" s="36">
        <v>39266000</v>
      </c>
      <c r="L70" s="36">
        <v>52443000</v>
      </c>
      <c r="M70" s="36">
        <v>2550351000</v>
      </c>
      <c r="N70" s="36">
        <v>1206409000</v>
      </c>
      <c r="O70" s="36">
        <v>78917000</v>
      </c>
      <c r="P70" s="36">
        <v>0</v>
      </c>
      <c r="Q70" s="36">
        <v>962158000</v>
      </c>
      <c r="R70" s="36">
        <v>41377000</v>
      </c>
      <c r="S70" s="36">
        <v>57366000</v>
      </c>
      <c r="T70" s="36">
        <v>2346227000</v>
      </c>
      <c r="U70" s="36">
        <v>1424968000</v>
      </c>
      <c r="V70" s="36">
        <v>105645000</v>
      </c>
      <c r="W70" s="36">
        <v>0</v>
      </c>
      <c r="X70" s="36">
        <v>1163497000</v>
      </c>
      <c r="Y70" s="36">
        <v>42484000</v>
      </c>
      <c r="Z70" s="36">
        <v>63831000</v>
      </c>
      <c r="AA70" s="40">
        <v>2800425000</v>
      </c>
    </row>
    <row r="71" spans="1:27" x14ac:dyDescent="0.55000000000000004">
      <c r="A71" s="10">
        <v>224</v>
      </c>
      <c r="B71" s="11" t="s">
        <v>63</v>
      </c>
      <c r="C71" s="11" t="s">
        <v>74</v>
      </c>
      <c r="D71" s="11" t="s">
        <v>242</v>
      </c>
      <c r="E71" s="11" t="s">
        <v>237</v>
      </c>
      <c r="F71" s="11" t="s">
        <v>241</v>
      </c>
      <c r="G71" s="36">
        <v>591822000</v>
      </c>
      <c r="H71" s="36">
        <v>79005000</v>
      </c>
      <c r="I71" s="36">
        <v>10692000</v>
      </c>
      <c r="J71" s="36">
        <v>241845000</v>
      </c>
      <c r="K71" s="36">
        <v>26757000</v>
      </c>
      <c r="L71" s="36">
        <v>38089000</v>
      </c>
      <c r="M71" s="36">
        <v>988210000</v>
      </c>
      <c r="N71" s="36">
        <v>536440000</v>
      </c>
      <c r="O71" s="36">
        <v>79879000</v>
      </c>
      <c r="P71" s="36">
        <v>10322000</v>
      </c>
      <c r="Q71" s="36">
        <v>207735000</v>
      </c>
      <c r="R71" s="36">
        <v>10959000</v>
      </c>
      <c r="S71" s="36">
        <v>17211000</v>
      </c>
      <c r="T71" s="36">
        <v>862546000</v>
      </c>
      <c r="U71" s="36">
        <v>645649000</v>
      </c>
      <c r="V71" s="36">
        <v>115978000</v>
      </c>
      <c r="W71" s="36">
        <v>9772000</v>
      </c>
      <c r="X71" s="36">
        <v>304681000</v>
      </c>
      <c r="Y71" s="36">
        <v>11215000</v>
      </c>
      <c r="Z71" s="36">
        <v>25343000</v>
      </c>
      <c r="AA71" s="40">
        <v>1112638000</v>
      </c>
    </row>
    <row r="72" spans="1:27" x14ac:dyDescent="0.55000000000000004">
      <c r="A72" s="10">
        <v>221</v>
      </c>
      <c r="B72" s="11" t="s">
        <v>64</v>
      </c>
      <c r="C72" s="11" t="s">
        <v>74</v>
      </c>
      <c r="D72" s="11" t="s">
        <v>243</v>
      </c>
      <c r="E72" s="11" t="s">
        <v>237</v>
      </c>
      <c r="F72" s="11" t="s">
        <v>241</v>
      </c>
      <c r="G72" s="36">
        <v>1092224000</v>
      </c>
      <c r="H72" s="36">
        <v>539088000</v>
      </c>
      <c r="I72" s="36">
        <v>41660000</v>
      </c>
      <c r="J72" s="36">
        <v>1209445000</v>
      </c>
      <c r="K72" s="36">
        <v>72376000</v>
      </c>
      <c r="L72" s="36">
        <v>122967000</v>
      </c>
      <c r="M72" s="36">
        <v>3077760000</v>
      </c>
      <c r="N72" s="36">
        <v>1152637000</v>
      </c>
      <c r="O72" s="36">
        <v>545490000</v>
      </c>
      <c r="P72" s="36">
        <v>36464000</v>
      </c>
      <c r="Q72" s="36">
        <v>1188446000</v>
      </c>
      <c r="R72" s="36">
        <v>53788000</v>
      </c>
      <c r="S72" s="36">
        <v>115184000</v>
      </c>
      <c r="T72" s="36">
        <v>3092009000</v>
      </c>
      <c r="U72" s="36">
        <v>1527849000</v>
      </c>
      <c r="V72" s="36">
        <v>711777000</v>
      </c>
      <c r="W72" s="36">
        <v>47864000</v>
      </c>
      <c r="X72" s="36">
        <v>1533794000</v>
      </c>
      <c r="Y72" s="36">
        <v>61825000</v>
      </c>
      <c r="Z72" s="36">
        <v>147068000</v>
      </c>
      <c r="AA72" s="40">
        <v>4030177000</v>
      </c>
    </row>
    <row r="73" spans="1:27" x14ac:dyDescent="0.55000000000000004">
      <c r="A73" s="10">
        <v>29</v>
      </c>
      <c r="B73" s="11" t="s">
        <v>172</v>
      </c>
      <c r="C73" s="11" t="s">
        <v>74</v>
      </c>
      <c r="D73" s="11" t="s">
        <v>243</v>
      </c>
      <c r="E73" s="11" t="s">
        <v>237</v>
      </c>
      <c r="F73" s="11" t="s">
        <v>241</v>
      </c>
      <c r="G73" s="36">
        <v>594622000</v>
      </c>
      <c r="H73" s="36">
        <v>191240000</v>
      </c>
      <c r="I73" s="36">
        <v>7673000</v>
      </c>
      <c r="J73" s="36">
        <v>195754000</v>
      </c>
      <c r="K73" s="36">
        <v>33017000</v>
      </c>
      <c r="L73" s="36">
        <v>0</v>
      </c>
      <c r="M73" s="36">
        <v>1022306000</v>
      </c>
      <c r="N73" s="36">
        <v>1232723000</v>
      </c>
      <c r="O73" s="36">
        <v>419512000</v>
      </c>
      <c r="P73" s="36">
        <v>16368000</v>
      </c>
      <c r="Q73" s="36">
        <v>405905000</v>
      </c>
      <c r="R73" s="36">
        <v>78966000</v>
      </c>
      <c r="S73" s="36">
        <v>33949000</v>
      </c>
      <c r="T73" s="36">
        <v>2187423000</v>
      </c>
      <c r="U73" s="36">
        <v>1444882000</v>
      </c>
      <c r="V73" s="36">
        <v>568814000</v>
      </c>
      <c r="W73" s="36">
        <v>20274000</v>
      </c>
      <c r="X73" s="36">
        <v>702198000</v>
      </c>
      <c r="Y73" s="36">
        <v>72380000</v>
      </c>
      <c r="Z73" s="36">
        <v>50920000</v>
      </c>
      <c r="AA73" s="40">
        <v>2859468000</v>
      </c>
    </row>
    <row r="74" spans="1:27" x14ac:dyDescent="0.55000000000000004">
      <c r="A74" s="10">
        <v>61</v>
      </c>
      <c r="B74" s="11" t="s">
        <v>173</v>
      </c>
      <c r="C74" s="11" t="s">
        <v>74</v>
      </c>
      <c r="D74" s="11" t="s">
        <v>242</v>
      </c>
      <c r="E74" s="11" t="s">
        <v>237</v>
      </c>
      <c r="F74" s="11" t="s">
        <v>241</v>
      </c>
      <c r="G74" s="36">
        <v>181463000</v>
      </c>
      <c r="H74" s="36">
        <v>76530000</v>
      </c>
      <c r="I74" s="36">
        <v>15668000</v>
      </c>
      <c r="J74" s="36">
        <v>88892000</v>
      </c>
      <c r="K74" s="36">
        <v>16355000</v>
      </c>
      <c r="L74" s="36">
        <v>0</v>
      </c>
      <c r="M74" s="36">
        <v>378908000</v>
      </c>
      <c r="N74" s="36">
        <v>338742000</v>
      </c>
      <c r="O74" s="36">
        <v>127930000</v>
      </c>
      <c r="P74" s="36">
        <v>27266000</v>
      </c>
      <c r="Q74" s="36">
        <v>152786000</v>
      </c>
      <c r="R74" s="36">
        <v>28620000</v>
      </c>
      <c r="S74" s="36">
        <v>15825000</v>
      </c>
      <c r="T74" s="36">
        <v>691169000</v>
      </c>
      <c r="U74" s="36">
        <v>305940000</v>
      </c>
      <c r="V74" s="36">
        <v>194186000</v>
      </c>
      <c r="W74" s="36">
        <v>20537000</v>
      </c>
      <c r="X74" s="36">
        <v>203701000</v>
      </c>
      <c r="Y74" s="36">
        <v>32699000</v>
      </c>
      <c r="Z74" s="36">
        <v>20476000</v>
      </c>
      <c r="AA74" s="40">
        <v>777539000</v>
      </c>
    </row>
    <row r="75" spans="1:27" x14ac:dyDescent="0.55000000000000004">
      <c r="A75" s="18">
        <v>57</v>
      </c>
      <c r="B75" s="19" t="s">
        <v>66</v>
      </c>
      <c r="C75" s="19" t="s">
        <v>74</v>
      </c>
      <c r="D75" s="11" t="s">
        <v>242</v>
      </c>
      <c r="E75" s="11" t="s">
        <v>237</v>
      </c>
      <c r="F75" s="11" t="s">
        <v>241</v>
      </c>
      <c r="G75" s="41">
        <v>873567000</v>
      </c>
      <c r="H75" s="41">
        <v>310823000</v>
      </c>
      <c r="I75" s="41">
        <v>71262000</v>
      </c>
      <c r="J75" s="41">
        <v>534014000</v>
      </c>
      <c r="K75" s="41">
        <v>64636000</v>
      </c>
      <c r="L75" s="41">
        <v>60883000</v>
      </c>
      <c r="M75" s="41">
        <v>1915185000</v>
      </c>
      <c r="N75" s="41">
        <v>872610000</v>
      </c>
      <c r="O75" s="41">
        <v>302340000</v>
      </c>
      <c r="P75" s="41">
        <v>64361000</v>
      </c>
      <c r="Q75" s="41">
        <v>550735000</v>
      </c>
      <c r="R75" s="41">
        <v>51286000</v>
      </c>
      <c r="S75" s="41">
        <v>57070000</v>
      </c>
      <c r="T75" s="41">
        <v>1898402000</v>
      </c>
      <c r="U75" s="41">
        <v>1054880000</v>
      </c>
      <c r="V75" s="41">
        <v>414625000</v>
      </c>
      <c r="W75" s="41">
        <v>79176000</v>
      </c>
      <c r="X75" s="41">
        <v>727819000</v>
      </c>
      <c r="Y75" s="41">
        <v>55821000</v>
      </c>
      <c r="Z75" s="41">
        <v>67946000</v>
      </c>
      <c r="AA75" s="42">
        <v>2400267000</v>
      </c>
    </row>
    <row r="76" spans="1:27" ht="14.7" thickBot="1" x14ac:dyDescent="0.6">
      <c r="A76" s="4"/>
      <c r="B76" s="2"/>
      <c r="C76" s="2"/>
      <c r="D76" s="2"/>
      <c r="E76" s="2"/>
      <c r="F76" s="2"/>
      <c r="G76" s="5"/>
      <c r="H76" s="5"/>
      <c r="I76" s="5"/>
      <c r="J76" s="5"/>
      <c r="K76" s="5"/>
      <c r="L76" s="5"/>
      <c r="M76" s="5"/>
      <c r="N76" s="5"/>
      <c r="O76" s="5"/>
      <c r="P76" s="5"/>
      <c r="Q76" s="5"/>
      <c r="R76" s="5"/>
      <c r="S76" s="5"/>
      <c r="T76" s="5"/>
      <c r="U76" s="5"/>
      <c r="V76" s="5"/>
      <c r="W76" s="5"/>
      <c r="X76" s="5"/>
      <c r="Y76" s="5"/>
      <c r="Z76" s="5"/>
      <c r="AA76" s="5"/>
    </row>
    <row r="77" spans="1:27" ht="14.7" thickBot="1" x14ac:dyDescent="0.6">
      <c r="A77" s="2"/>
      <c r="B77" s="2"/>
      <c r="C77" s="24" t="s">
        <v>132</v>
      </c>
      <c r="D77" s="80"/>
      <c r="E77" s="80"/>
      <c r="F77" s="80"/>
      <c r="G77" s="26">
        <f>SUM(Table26[[2019 Medicare ]])</f>
        <v>56958663000</v>
      </c>
      <c r="H77" s="26">
        <f>SUM(Table26[[2019 Medicaid ]])</f>
        <v>24048203000</v>
      </c>
      <c r="I77" s="26">
        <f>SUM(Table26[2019 Champus/ Tricare ])</f>
        <v>512862000</v>
      </c>
      <c r="J77" s="26">
        <f>SUM(Table26[[2019 Commercial Insurance ]])</f>
        <v>36425378000</v>
      </c>
      <c r="K77" s="26">
        <f>SUM(Table26[2019 Uninsured])</f>
        <v>6494547000</v>
      </c>
      <c r="L77" s="26">
        <f>SUM(Table26[[2019 Others ]])</f>
        <v>3252192000</v>
      </c>
      <c r="M77" s="26">
        <f>SUM(Table26[[2019 Total ]])</f>
        <v>127691845000</v>
      </c>
      <c r="N77" s="26">
        <f>SUM(Table26[[2020 Medicare ]])</f>
        <v>55583289000</v>
      </c>
      <c r="O77" s="26">
        <f>SUM(Table26[[2020 Medicaid ]])</f>
        <v>23286273000</v>
      </c>
      <c r="P77" s="26">
        <f>SUM(Table26[2020 Champus/ Tricare ])</f>
        <v>500636000</v>
      </c>
      <c r="Q77" s="26">
        <f>SUM(Table26[[2020 Commercial Insurance ]])</f>
        <v>36003192000</v>
      </c>
      <c r="R77" s="26">
        <f>SUM(Table26[2020 Uninsured])</f>
        <v>6810115000</v>
      </c>
      <c r="S77" s="26">
        <f>SUM(Table26[[2020 Others ]])</f>
        <v>3107645000</v>
      </c>
      <c r="T77" s="26">
        <f>SUM(Table26[2020 Total])</f>
        <v>125291150000</v>
      </c>
      <c r="U77" s="26">
        <f>SUM(Table26[[2021 Medicare ]])</f>
        <v>63876235000</v>
      </c>
      <c r="V77" s="26">
        <f>SUM(Table26[[2021 Medicaid ]])</f>
        <v>27664776000</v>
      </c>
      <c r="W77" s="26">
        <f>SUM(Table26[2021 Champus/ Tricare ])</f>
        <v>620528000</v>
      </c>
      <c r="X77" s="26">
        <f>SUM(Table26[[2021 Commercial Insurance ]])</f>
        <v>42711663000</v>
      </c>
      <c r="Y77" s="26">
        <f>SUM(Table26[2021 Uninsured])</f>
        <v>7356263000</v>
      </c>
      <c r="Z77" s="26">
        <f>SUM(Table26[[2021 Others ]])</f>
        <v>3941251000</v>
      </c>
      <c r="AA77" s="27">
        <f>SUM(Table26[[2021 Total ]])</f>
        <v>146170716000</v>
      </c>
    </row>
    <row r="78" spans="1:27" x14ac:dyDescent="0.55000000000000004">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x14ac:dyDescent="0.55000000000000004">
      <c r="A79" s="69" t="s">
        <v>138</v>
      </c>
      <c r="B79" s="69"/>
      <c r="C79" s="69"/>
      <c r="D79" s="69"/>
      <c r="E79" s="69"/>
      <c r="F79" s="69"/>
      <c r="G79" s="2"/>
      <c r="H79" s="2"/>
      <c r="I79" s="2"/>
      <c r="J79" s="2"/>
      <c r="K79" s="2"/>
      <c r="L79" s="2"/>
      <c r="M79" s="2"/>
      <c r="N79" s="2"/>
      <c r="O79" s="2"/>
      <c r="P79" s="2"/>
      <c r="Q79" s="2"/>
      <c r="R79" s="2"/>
      <c r="S79" s="2"/>
      <c r="T79" s="2"/>
      <c r="U79" s="2"/>
      <c r="V79" s="2"/>
      <c r="W79" s="2"/>
      <c r="X79" s="2"/>
      <c r="Y79" s="2"/>
      <c r="Z79" s="2"/>
      <c r="AA79" s="2"/>
    </row>
    <row r="80" spans="1:27" x14ac:dyDescent="0.55000000000000004">
      <c r="A80" s="69" t="s">
        <v>187</v>
      </c>
      <c r="B80" s="69"/>
      <c r="C80" s="69"/>
      <c r="D80" s="69"/>
      <c r="E80" s="69"/>
      <c r="F80" s="69"/>
      <c r="G80" s="2"/>
      <c r="H80" s="2"/>
      <c r="I80" s="2"/>
      <c r="J80" s="2"/>
      <c r="K80" s="2"/>
      <c r="L80" s="2"/>
      <c r="M80" s="2"/>
      <c r="N80" s="2"/>
      <c r="O80" s="2"/>
      <c r="P80" s="2"/>
      <c r="Q80" s="2"/>
      <c r="R80" s="2"/>
      <c r="S80" s="2"/>
      <c r="T80" s="2"/>
      <c r="U80" s="2"/>
      <c r="V80" s="2"/>
      <c r="W80" s="2"/>
      <c r="X80" s="2"/>
      <c r="Y80" s="2"/>
      <c r="Z80" s="2"/>
      <c r="AA80" s="2"/>
    </row>
    <row r="81" spans="1:27" ht="59.25" customHeight="1" x14ac:dyDescent="0.55000000000000004">
      <c r="A81" s="94" t="s">
        <v>189</v>
      </c>
      <c r="B81" s="94"/>
      <c r="C81" s="94"/>
      <c r="D81" s="72"/>
      <c r="E81" s="72"/>
      <c r="F81" s="72"/>
      <c r="G81" s="2"/>
      <c r="H81" s="2"/>
      <c r="I81" s="2"/>
      <c r="J81" s="2"/>
      <c r="K81" s="2"/>
      <c r="L81" s="2"/>
      <c r="M81" s="2"/>
      <c r="N81" s="2"/>
      <c r="O81" s="2"/>
      <c r="P81" s="2"/>
      <c r="Q81" s="2"/>
      <c r="R81" s="2"/>
      <c r="S81" s="2"/>
      <c r="T81" s="2"/>
      <c r="U81" s="2"/>
      <c r="V81" s="2"/>
      <c r="W81" s="2"/>
      <c r="X81" s="2"/>
      <c r="Y81" s="2"/>
      <c r="Z81" s="2"/>
      <c r="AA81" s="2"/>
    </row>
    <row r="82" spans="1:27" ht="59.25" customHeight="1" x14ac:dyDescent="0.55000000000000004">
      <c r="A82" s="94" t="s">
        <v>304</v>
      </c>
      <c r="B82" s="94"/>
      <c r="C82" s="94"/>
      <c r="D82" s="94"/>
      <c r="E82" s="94"/>
      <c r="F82" s="94"/>
      <c r="G82" s="94"/>
      <c r="H82" s="94"/>
      <c r="I82" s="94"/>
      <c r="J82" s="2"/>
      <c r="K82" s="2"/>
      <c r="L82" s="2"/>
      <c r="M82" s="2"/>
      <c r="N82" s="2"/>
      <c r="O82" s="2"/>
      <c r="P82" s="2"/>
      <c r="Q82" s="2"/>
      <c r="R82" s="2"/>
      <c r="S82" s="2"/>
      <c r="T82" s="2"/>
      <c r="U82" s="2"/>
      <c r="V82" s="2"/>
      <c r="W82" s="2"/>
      <c r="X82" s="2"/>
      <c r="Y82" s="2"/>
      <c r="Z82" s="2"/>
      <c r="AA82" s="2"/>
    </row>
    <row r="83" spans="1:27" s="2" customFormat="1" ht="14.1" x14ac:dyDescent="0.45">
      <c r="A83" s="94" t="s">
        <v>303</v>
      </c>
      <c r="B83" s="94"/>
      <c r="C83" s="94"/>
      <c r="D83" s="94"/>
      <c r="E83" s="94"/>
      <c r="F83" s="94"/>
      <c r="G83" s="94"/>
      <c r="H83" s="94"/>
      <c r="I83" s="94"/>
      <c r="J83" s="94"/>
      <c r="K83" s="94"/>
      <c r="L83" s="94"/>
      <c r="M83" s="94"/>
      <c r="N83" s="94"/>
      <c r="O83" s="94"/>
      <c r="P83" s="94"/>
      <c r="Q83" s="94"/>
      <c r="R83" s="94"/>
      <c r="S83" s="94"/>
      <c r="T83" s="94"/>
      <c r="U83" s="94"/>
    </row>
    <row r="84" spans="1:27" s="2" customFormat="1" ht="14.1" x14ac:dyDescent="0.45">
      <c r="A84" s="90" t="s">
        <v>305</v>
      </c>
      <c r="B84" s="89"/>
      <c r="C84" s="89"/>
      <c r="D84" s="89"/>
      <c r="E84" s="89"/>
      <c r="F84" s="89"/>
      <c r="G84" s="89"/>
      <c r="H84" s="89"/>
      <c r="I84" s="89"/>
      <c r="J84" s="89"/>
      <c r="K84" s="89"/>
      <c r="L84" s="89"/>
      <c r="M84" s="89"/>
      <c r="N84" s="89"/>
      <c r="O84" s="89"/>
      <c r="P84" s="89"/>
      <c r="Q84" s="89"/>
      <c r="R84" s="89"/>
      <c r="S84" s="89"/>
      <c r="T84" s="89"/>
      <c r="U84" s="89"/>
    </row>
    <row r="85" spans="1:27" x14ac:dyDescent="0.55000000000000004">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7.7" x14ac:dyDescent="0.6">
      <c r="A86" s="95" t="s">
        <v>92</v>
      </c>
      <c r="B86" s="95"/>
      <c r="C86" s="95"/>
      <c r="D86" s="82"/>
      <c r="E86" s="82"/>
      <c r="F86" s="82"/>
      <c r="G86" s="2"/>
      <c r="H86" s="2"/>
      <c r="I86" s="2"/>
      <c r="J86" s="2"/>
      <c r="K86" s="2"/>
      <c r="L86" s="2"/>
      <c r="M86" s="2"/>
      <c r="N86" s="2"/>
      <c r="O86" s="2"/>
      <c r="P86" s="2"/>
      <c r="Q86" s="2"/>
      <c r="R86" s="2"/>
      <c r="S86" s="2"/>
      <c r="T86" s="2"/>
      <c r="U86" s="2"/>
      <c r="V86" s="2"/>
      <c r="W86" s="2"/>
      <c r="X86" s="2"/>
      <c r="Y86" s="2"/>
      <c r="Z86" s="2"/>
      <c r="AA86" s="2"/>
    </row>
    <row r="87" spans="1:27" x14ac:dyDescent="0.55000000000000004">
      <c r="A87" s="28" t="s">
        <v>93</v>
      </c>
      <c r="B87" s="96" t="s">
        <v>98</v>
      </c>
      <c r="C87" s="96"/>
      <c r="D87" s="73"/>
      <c r="E87" s="73"/>
      <c r="F87" s="73"/>
      <c r="G87" s="2"/>
      <c r="H87" s="2"/>
      <c r="I87" s="2"/>
      <c r="J87" s="2"/>
      <c r="K87" s="2"/>
      <c r="L87" s="2"/>
      <c r="M87" s="2"/>
      <c r="N87" s="2"/>
      <c r="O87" s="2"/>
      <c r="P87" s="2"/>
      <c r="Q87" s="2"/>
      <c r="R87" s="2"/>
      <c r="S87" s="2"/>
      <c r="T87" s="2"/>
      <c r="U87" s="2"/>
      <c r="V87" s="2"/>
      <c r="W87" s="2"/>
      <c r="X87" s="2"/>
      <c r="Y87" s="2"/>
      <c r="Z87" s="2"/>
      <c r="AA87" s="2"/>
    </row>
    <row r="88" spans="1:27" x14ac:dyDescent="0.55000000000000004">
      <c r="A88" s="28" t="s">
        <v>94</v>
      </c>
      <c r="B88" s="96" t="s">
        <v>89</v>
      </c>
      <c r="C88" s="96"/>
      <c r="D88" s="73"/>
      <c r="E88" s="73"/>
      <c r="F88" s="73"/>
      <c r="G88" s="2"/>
      <c r="H88" s="2"/>
      <c r="I88" s="2"/>
      <c r="J88" s="2"/>
      <c r="K88" s="2"/>
      <c r="L88" s="2"/>
      <c r="M88" s="2"/>
      <c r="N88" s="2"/>
      <c r="O88" s="2"/>
      <c r="P88" s="2"/>
      <c r="Q88" s="2"/>
      <c r="R88" s="2"/>
      <c r="S88" s="2"/>
      <c r="T88" s="2"/>
      <c r="U88" s="2"/>
      <c r="V88" s="2"/>
      <c r="W88" s="2"/>
      <c r="X88" s="2"/>
      <c r="Y88" s="2"/>
      <c r="Z88" s="2"/>
      <c r="AA88" s="2"/>
    </row>
    <row r="89" spans="1:27" x14ac:dyDescent="0.55000000000000004">
      <c r="A89" s="28" t="s">
        <v>95</v>
      </c>
      <c r="B89" s="99" t="s">
        <v>99</v>
      </c>
      <c r="C89" s="99"/>
      <c r="D89" s="76"/>
      <c r="E89" s="76"/>
      <c r="F89" s="76"/>
      <c r="G89" s="2"/>
      <c r="H89" s="2"/>
      <c r="I89" s="2"/>
      <c r="J89" s="2"/>
      <c r="K89" s="2"/>
      <c r="L89" s="2"/>
      <c r="M89" s="2"/>
      <c r="N89" s="2"/>
      <c r="O89" s="2"/>
      <c r="P89" s="2"/>
      <c r="Q89" s="2"/>
      <c r="R89" s="2"/>
      <c r="S89" s="2"/>
      <c r="T89" s="2"/>
      <c r="U89" s="2"/>
      <c r="V89" s="2"/>
      <c r="W89" s="2"/>
      <c r="X89" s="2"/>
      <c r="Y89" s="2"/>
      <c r="Z89" s="2"/>
      <c r="AA89" s="2"/>
    </row>
    <row r="90" spans="1:27" x14ac:dyDescent="0.55000000000000004">
      <c r="A90" s="45" t="s">
        <v>96</v>
      </c>
      <c r="B90" s="91" t="s">
        <v>266</v>
      </c>
      <c r="C90" s="91"/>
      <c r="D90" s="76"/>
      <c r="E90" s="76"/>
      <c r="F90" s="76"/>
      <c r="G90" s="2"/>
      <c r="H90" s="2"/>
      <c r="I90" s="2"/>
      <c r="J90" s="2"/>
      <c r="K90" s="2"/>
      <c r="L90" s="2"/>
      <c r="M90" s="2"/>
      <c r="N90" s="2"/>
      <c r="O90" s="2"/>
      <c r="P90" s="2"/>
      <c r="Q90" s="2"/>
      <c r="R90" s="2"/>
      <c r="S90" s="2"/>
      <c r="T90" s="2"/>
      <c r="U90" s="2"/>
      <c r="V90" s="2"/>
      <c r="W90" s="2"/>
      <c r="X90" s="2"/>
      <c r="Y90" s="2"/>
      <c r="Z90" s="2"/>
      <c r="AA90" s="2"/>
    </row>
    <row r="91" spans="1:27" x14ac:dyDescent="0.55000000000000004">
      <c r="A91" s="45" t="s">
        <v>97</v>
      </c>
      <c r="B91" s="91" t="s">
        <v>267</v>
      </c>
      <c r="C91" s="91"/>
      <c r="D91" s="76"/>
      <c r="E91" s="76"/>
      <c r="F91" s="76"/>
      <c r="G91" s="2"/>
      <c r="H91" s="2"/>
      <c r="I91" s="2"/>
      <c r="J91" s="2"/>
      <c r="K91" s="2"/>
      <c r="L91" s="2"/>
      <c r="M91" s="2"/>
      <c r="N91" s="2"/>
      <c r="O91" s="2"/>
      <c r="P91" s="2"/>
      <c r="Q91" s="2"/>
      <c r="R91" s="2"/>
      <c r="S91" s="2"/>
      <c r="T91" s="2"/>
      <c r="U91" s="2"/>
      <c r="V91" s="2"/>
      <c r="W91" s="2"/>
      <c r="X91" s="2"/>
      <c r="Y91" s="2"/>
      <c r="Z91" s="2"/>
      <c r="AA91" s="2"/>
    </row>
    <row r="92" spans="1:27" x14ac:dyDescent="0.55000000000000004">
      <c r="A92" s="45" t="s">
        <v>100</v>
      </c>
      <c r="B92" s="97" t="s">
        <v>268</v>
      </c>
      <c r="C92" s="97"/>
      <c r="D92" s="76"/>
      <c r="E92" s="76"/>
      <c r="F92" s="76"/>
      <c r="G92" s="2"/>
      <c r="H92" s="2"/>
      <c r="I92" s="2"/>
      <c r="J92" s="2"/>
      <c r="K92" s="2"/>
      <c r="L92" s="2"/>
      <c r="M92" s="2"/>
      <c r="N92" s="2"/>
      <c r="O92" s="2"/>
      <c r="P92" s="2"/>
      <c r="Q92" s="2"/>
      <c r="R92" s="2"/>
      <c r="S92" s="2"/>
      <c r="T92" s="2"/>
      <c r="U92" s="2"/>
      <c r="V92" s="2"/>
      <c r="W92" s="2"/>
      <c r="X92" s="2"/>
      <c r="Y92" s="2"/>
      <c r="Z92" s="2"/>
      <c r="AA92" s="2"/>
    </row>
    <row r="93" spans="1:27" ht="17.25" customHeight="1" x14ac:dyDescent="0.55000000000000004">
      <c r="A93" s="28" t="s">
        <v>287</v>
      </c>
      <c r="B93" s="91" t="s">
        <v>163</v>
      </c>
      <c r="C93" s="91"/>
      <c r="D93" s="74"/>
      <c r="E93" s="74"/>
      <c r="F93" s="74"/>
      <c r="G93" s="2"/>
      <c r="H93" s="2"/>
      <c r="I93" s="2"/>
      <c r="J93" s="2"/>
      <c r="K93" s="2"/>
      <c r="L93" s="2"/>
      <c r="M93" s="2"/>
      <c r="N93" s="2"/>
      <c r="O93" s="2"/>
      <c r="P93" s="2"/>
      <c r="Q93" s="2"/>
      <c r="R93" s="2"/>
      <c r="S93" s="2"/>
      <c r="T93" s="2"/>
      <c r="U93" s="2"/>
      <c r="V93" s="2"/>
      <c r="W93" s="2"/>
      <c r="X93" s="2"/>
      <c r="Y93" s="2"/>
      <c r="Z93" s="2"/>
      <c r="AA93" s="2"/>
    </row>
    <row r="94" spans="1:27" x14ac:dyDescent="0.55000000000000004">
      <c r="A94" s="29" t="s">
        <v>290</v>
      </c>
      <c r="B94" s="91" t="s">
        <v>128</v>
      </c>
      <c r="C94" s="91"/>
      <c r="D94" s="74"/>
      <c r="E94" s="74"/>
      <c r="F94" s="74"/>
      <c r="G94" s="2"/>
      <c r="H94" s="2"/>
      <c r="I94" s="2"/>
      <c r="J94" s="2"/>
      <c r="K94" s="2"/>
      <c r="L94" s="2"/>
      <c r="M94" s="2"/>
      <c r="N94" s="2"/>
      <c r="O94" s="2"/>
      <c r="P94" s="2"/>
      <c r="Q94" s="2"/>
      <c r="R94" s="2"/>
      <c r="S94" s="2"/>
      <c r="T94" s="2"/>
      <c r="U94" s="2"/>
      <c r="V94" s="2"/>
      <c r="W94" s="2"/>
      <c r="X94" s="2"/>
      <c r="Y94" s="2"/>
      <c r="Z94" s="2"/>
      <c r="AA94" s="2"/>
    </row>
    <row r="95" spans="1:27" x14ac:dyDescent="0.55000000000000004">
      <c r="A95" s="28" t="s">
        <v>298</v>
      </c>
      <c r="B95" s="91" t="s">
        <v>154</v>
      </c>
      <c r="C95" s="91"/>
      <c r="D95" s="74"/>
      <c r="E95" s="74"/>
      <c r="F95" s="74"/>
      <c r="G95" s="2"/>
      <c r="H95" s="2"/>
      <c r="I95" s="2"/>
      <c r="J95" s="2"/>
      <c r="K95" s="2"/>
      <c r="L95" s="2"/>
      <c r="M95" s="2"/>
      <c r="N95" s="2"/>
      <c r="O95" s="2"/>
      <c r="P95" s="2"/>
      <c r="Q95" s="2"/>
      <c r="R95" s="2"/>
      <c r="S95" s="2"/>
      <c r="T95" s="2"/>
      <c r="U95" s="2"/>
      <c r="V95" s="2"/>
      <c r="W95" s="2"/>
      <c r="X95" s="2"/>
      <c r="Y95" s="2"/>
      <c r="Z95" s="2"/>
      <c r="AA95" s="2"/>
    </row>
    <row r="96" spans="1:27" x14ac:dyDescent="0.55000000000000004">
      <c r="A96" s="28" t="s">
        <v>296</v>
      </c>
      <c r="B96" s="91" t="s">
        <v>129</v>
      </c>
      <c r="C96" s="91"/>
      <c r="D96" s="74"/>
      <c r="E96" s="74"/>
      <c r="F96" s="74"/>
      <c r="G96" s="2"/>
      <c r="H96" s="2"/>
      <c r="I96" s="2"/>
      <c r="J96" s="2"/>
      <c r="K96" s="2"/>
      <c r="L96" s="2"/>
      <c r="M96" s="2"/>
      <c r="N96" s="2"/>
      <c r="O96" s="2"/>
      <c r="P96" s="2"/>
      <c r="Q96" s="2"/>
      <c r="R96" s="2"/>
      <c r="S96" s="2"/>
      <c r="T96" s="2"/>
      <c r="U96" s="2"/>
      <c r="V96" s="2"/>
      <c r="W96" s="2"/>
      <c r="X96" s="2"/>
      <c r="Y96" s="2"/>
      <c r="Z96" s="2"/>
      <c r="AA96" s="2"/>
    </row>
    <row r="97" spans="1:27" x14ac:dyDescent="0.55000000000000004">
      <c r="A97" s="28" t="s">
        <v>299</v>
      </c>
      <c r="B97" s="91" t="s">
        <v>155</v>
      </c>
      <c r="C97" s="91"/>
      <c r="D97" s="74"/>
      <c r="E97" s="74"/>
      <c r="F97" s="74"/>
      <c r="G97" s="2"/>
      <c r="H97" s="2"/>
      <c r="I97" s="2"/>
      <c r="J97" s="2"/>
      <c r="K97" s="2"/>
      <c r="L97" s="2"/>
      <c r="M97" s="2"/>
      <c r="N97" s="2"/>
      <c r="O97" s="2"/>
      <c r="P97" s="2"/>
      <c r="Q97" s="2"/>
      <c r="R97" s="2"/>
      <c r="S97" s="2"/>
      <c r="T97" s="2"/>
      <c r="U97" s="2"/>
      <c r="V97" s="2"/>
      <c r="W97" s="2"/>
      <c r="X97" s="2"/>
      <c r="Y97" s="2"/>
      <c r="Z97" s="2"/>
      <c r="AA97" s="2"/>
    </row>
    <row r="98" spans="1:27" x14ac:dyDescent="0.55000000000000004">
      <c r="A98" s="28" t="s">
        <v>300</v>
      </c>
      <c r="B98" s="91" t="s">
        <v>130</v>
      </c>
      <c r="C98" s="91"/>
      <c r="D98" s="74"/>
      <c r="E98" s="74"/>
      <c r="F98" s="74"/>
      <c r="G98" s="2"/>
      <c r="H98" s="2"/>
      <c r="I98" s="2"/>
      <c r="J98" s="2"/>
      <c r="K98" s="2"/>
      <c r="L98" s="2"/>
      <c r="M98" s="2"/>
      <c r="N98" s="2"/>
      <c r="O98" s="2"/>
      <c r="P98" s="2"/>
      <c r="Q98" s="2"/>
      <c r="R98" s="2"/>
      <c r="S98" s="2"/>
      <c r="T98" s="2"/>
      <c r="U98" s="2"/>
      <c r="V98" s="2"/>
      <c r="W98" s="2"/>
      <c r="X98" s="2"/>
      <c r="Y98" s="2"/>
      <c r="Z98" s="2"/>
      <c r="AA98" s="2"/>
    </row>
  </sheetData>
  <sheetProtection algorithmName="SHA-512" hashValue="/Cx4wV3LJuHmx8IhfdHcs5fC5TqX8YlPNkO4ClfvU/dk8hYXbbHdyXGz173U6PIzERx8YoifhN92lUkcCAb8Jw==" saltValue="jDKESjIAZDDRBO0Ga1H1jA==" spinCount="100000" sheet="1" objects="1" scenarios="1" selectLockedCells="1" sort="0" autoFilter="0" selectUnlockedCells="1"/>
  <mergeCells count="17">
    <mergeCell ref="B94:C94"/>
    <mergeCell ref="B95:C95"/>
    <mergeCell ref="B96:C96"/>
    <mergeCell ref="B97:C97"/>
    <mergeCell ref="B98:C98"/>
    <mergeCell ref="B93:C93"/>
    <mergeCell ref="A1:AA1"/>
    <mergeCell ref="A86:C86"/>
    <mergeCell ref="B87:C87"/>
    <mergeCell ref="B88:C88"/>
    <mergeCell ref="B89:C89"/>
    <mergeCell ref="A81:C81"/>
    <mergeCell ref="B90:C90"/>
    <mergeCell ref="B91:C91"/>
    <mergeCell ref="B92:C92"/>
    <mergeCell ref="A82:I82"/>
    <mergeCell ref="A83:U83"/>
  </mergeCells>
  <phoneticPr fontId="11" type="noConversion"/>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07114-F514-4570-8A6B-EF19B22BAB4B}">
  <dimension ref="A1:X157"/>
  <sheetViews>
    <sheetView zoomScale="70" zoomScaleNormal="70" workbookViewId="0">
      <selection sqref="A1:X1"/>
    </sheetView>
  </sheetViews>
  <sheetFormatPr defaultRowHeight="14.4" x14ac:dyDescent="0.55000000000000004"/>
  <cols>
    <col min="1" max="1" width="28" customWidth="1"/>
    <col min="2" max="2" width="76.15625" customWidth="1"/>
    <col min="3" max="3" width="40.83984375" customWidth="1"/>
    <col min="4" max="4" width="19.83984375" customWidth="1"/>
    <col min="5" max="5" width="15" customWidth="1"/>
    <col min="6" max="6" width="18.578125" customWidth="1"/>
    <col min="7" max="8" width="20.578125" bestFit="1" customWidth="1"/>
    <col min="9" max="9" width="22.578125" bestFit="1" customWidth="1"/>
    <col min="10" max="10" width="21" bestFit="1" customWidth="1"/>
    <col min="11" max="11" width="18.26171875" bestFit="1" customWidth="1"/>
    <col min="12" max="12" width="21.68359375" bestFit="1" customWidth="1"/>
    <col min="13" max="14" width="22.15625" bestFit="1" customWidth="1"/>
    <col min="15" max="15" width="21" bestFit="1" customWidth="1"/>
    <col min="16" max="16" width="20.578125" bestFit="1" customWidth="1"/>
    <col min="17" max="17" width="21" bestFit="1" customWidth="1"/>
    <col min="18" max="18" width="20.578125" bestFit="1" customWidth="1"/>
    <col min="19" max="19" width="21" bestFit="1" customWidth="1"/>
    <col min="20" max="20" width="20.578125" bestFit="1" customWidth="1"/>
    <col min="21" max="21" width="22.15625" bestFit="1" customWidth="1"/>
    <col min="22" max="22" width="21" bestFit="1" customWidth="1"/>
    <col min="23" max="23" width="18.68359375" bestFit="1" customWidth="1"/>
    <col min="24" max="24" width="22.15625" bestFit="1" customWidth="1"/>
  </cols>
  <sheetData>
    <row r="1" spans="1:24" ht="22.8" thickBot="1" x14ac:dyDescent="0.8">
      <c r="A1" s="92" t="s">
        <v>150</v>
      </c>
      <c r="B1" s="93"/>
      <c r="C1" s="93"/>
      <c r="D1" s="93"/>
      <c r="E1" s="93"/>
      <c r="F1" s="93"/>
      <c r="G1" s="93"/>
      <c r="H1" s="93"/>
      <c r="I1" s="93"/>
      <c r="J1" s="93"/>
      <c r="K1" s="93"/>
      <c r="L1" s="93"/>
      <c r="M1" s="93"/>
      <c r="N1" s="93"/>
      <c r="O1" s="93"/>
      <c r="P1" s="93"/>
      <c r="Q1" s="93"/>
      <c r="R1" s="93"/>
      <c r="S1" s="93"/>
      <c r="T1" s="93"/>
      <c r="U1" s="93"/>
      <c r="V1" s="93"/>
      <c r="W1" s="93"/>
      <c r="X1" s="93"/>
    </row>
    <row r="2" spans="1:24" x14ac:dyDescent="0.55000000000000004">
      <c r="A2" s="2"/>
      <c r="B2" s="2"/>
      <c r="C2" s="2"/>
      <c r="D2" s="2"/>
      <c r="E2" s="2"/>
      <c r="F2" s="2"/>
      <c r="G2" s="2"/>
      <c r="H2" s="2"/>
      <c r="I2" s="2"/>
      <c r="J2" s="2"/>
      <c r="K2" s="2"/>
      <c r="L2" s="2"/>
      <c r="M2" s="2"/>
      <c r="N2" s="2"/>
      <c r="O2" s="2"/>
      <c r="P2" s="2"/>
      <c r="Q2" s="2"/>
      <c r="R2" s="2"/>
      <c r="S2" s="2"/>
      <c r="T2" s="2"/>
      <c r="U2" s="2"/>
      <c r="V2" s="2"/>
      <c r="W2" s="2"/>
      <c r="X2" s="2"/>
    </row>
    <row r="3" spans="1:24" ht="24.6" x14ac:dyDescent="0.55000000000000004">
      <c r="A3" s="7" t="s">
        <v>88</v>
      </c>
      <c r="B3" s="8" t="s">
        <v>89</v>
      </c>
      <c r="C3" s="8" t="s">
        <v>99</v>
      </c>
      <c r="D3" s="8" t="s">
        <v>233</v>
      </c>
      <c r="E3" s="8" t="s">
        <v>234</v>
      </c>
      <c r="F3" s="8" t="s">
        <v>235</v>
      </c>
      <c r="G3" s="8" t="s">
        <v>107</v>
      </c>
      <c r="H3" s="8" t="s">
        <v>108</v>
      </c>
      <c r="I3" s="8" t="s">
        <v>125</v>
      </c>
      <c r="J3" s="8" t="s">
        <v>109</v>
      </c>
      <c r="K3" s="8" t="s">
        <v>110</v>
      </c>
      <c r="L3" s="8" t="s">
        <v>111</v>
      </c>
      <c r="M3" s="8" t="s">
        <v>113</v>
      </c>
      <c r="N3" s="8" t="s">
        <v>114</v>
      </c>
      <c r="O3" s="8" t="s">
        <v>126</v>
      </c>
      <c r="P3" s="8" t="s">
        <v>115</v>
      </c>
      <c r="Q3" s="8" t="s">
        <v>116</v>
      </c>
      <c r="R3" s="8" t="s">
        <v>117</v>
      </c>
      <c r="S3" s="8" t="s">
        <v>119</v>
      </c>
      <c r="T3" s="8" t="s">
        <v>120</v>
      </c>
      <c r="U3" s="8" t="s">
        <v>127</v>
      </c>
      <c r="V3" s="8" t="s">
        <v>121</v>
      </c>
      <c r="W3" s="8" t="s">
        <v>122</v>
      </c>
      <c r="X3" s="8" t="s">
        <v>123</v>
      </c>
    </row>
    <row r="4" spans="1:24" x14ac:dyDescent="0.55000000000000004">
      <c r="A4" s="10">
        <v>642</v>
      </c>
      <c r="B4" s="11" t="s">
        <v>0</v>
      </c>
      <c r="C4" s="11" t="s">
        <v>68</v>
      </c>
      <c r="D4" s="11" t="s">
        <v>236</v>
      </c>
      <c r="E4" s="11" t="s">
        <v>237</v>
      </c>
      <c r="F4" s="11" t="s">
        <v>238</v>
      </c>
      <c r="G4" s="47">
        <v>0.45626655299128094</v>
      </c>
      <c r="H4" s="47">
        <v>0.23054065539648896</v>
      </c>
      <c r="I4" s="47">
        <v>9.9998815881398688E-3</v>
      </c>
      <c r="J4" s="47">
        <v>0.22574168584280957</v>
      </c>
      <c r="K4" s="47">
        <v>5.7451461005000926E-2</v>
      </c>
      <c r="L4" s="47">
        <v>1.9999763176279738E-2</v>
      </c>
      <c r="M4" s="47">
        <v>0.39704624717970666</v>
      </c>
      <c r="N4" s="47">
        <v>0.26929230815435501</v>
      </c>
      <c r="O4" s="47">
        <v>9.6751547641840581E-3</v>
      </c>
      <c r="P4" s="47">
        <v>0.2029860383747602</v>
      </c>
      <c r="Q4" s="47">
        <v>7.6632391421052437E-2</v>
      </c>
      <c r="R4" s="47">
        <v>4.4367860105941667E-2</v>
      </c>
      <c r="S4" s="47">
        <v>0.39917987141193745</v>
      </c>
      <c r="T4" s="47">
        <v>0.27037243287939383</v>
      </c>
      <c r="U4" s="47">
        <v>1.5672724818171078E-2</v>
      </c>
      <c r="V4" s="47">
        <v>0.18815144816258572</v>
      </c>
      <c r="W4" s="47">
        <v>6.4945127884934492E-2</v>
      </c>
      <c r="X4" s="47">
        <v>6.1678394842977435E-2</v>
      </c>
    </row>
    <row r="5" spans="1:24" x14ac:dyDescent="0.55000000000000004">
      <c r="A5" s="10">
        <v>641</v>
      </c>
      <c r="B5" s="11" t="s">
        <v>1</v>
      </c>
      <c r="C5" s="11" t="s">
        <v>68</v>
      </c>
      <c r="D5" s="11" t="s">
        <v>236</v>
      </c>
      <c r="E5" s="11" t="s">
        <v>237</v>
      </c>
      <c r="F5" s="11" t="s">
        <v>238</v>
      </c>
      <c r="G5" s="47">
        <v>0.45600525474015935</v>
      </c>
      <c r="H5" s="47">
        <v>0.23064927535962593</v>
      </c>
      <c r="I5" s="47">
        <v>1.0000357686520746E-2</v>
      </c>
      <c r="J5" s="47">
        <v>0.22583351411212682</v>
      </c>
      <c r="K5" s="47">
        <v>5.7514134424168833E-2</v>
      </c>
      <c r="L5" s="47">
        <v>1.9997463677398346E-2</v>
      </c>
      <c r="M5" s="47">
        <v>0.51754107205947864</v>
      </c>
      <c r="N5" s="47">
        <v>0.16426183581929063</v>
      </c>
      <c r="O5" s="47">
        <v>1.0000153612190664E-2</v>
      </c>
      <c r="P5" s="47">
        <v>0.23262262093119709</v>
      </c>
      <c r="Q5" s="47">
        <v>3.8551379437472159E-2</v>
      </c>
      <c r="R5" s="47">
        <v>3.7022938140370817E-2</v>
      </c>
      <c r="S5" s="47">
        <v>0.50452854365003541</v>
      </c>
      <c r="T5" s="47">
        <v>0.17681349683597658</v>
      </c>
      <c r="U5" s="47">
        <v>1.7793613505827872E-2</v>
      </c>
      <c r="V5" s="47">
        <v>0.24355854286324449</v>
      </c>
      <c r="W5" s="47">
        <v>3.0259528599849386E-2</v>
      </c>
      <c r="X5" s="47">
        <v>2.7046274545066258E-2</v>
      </c>
    </row>
    <row r="6" spans="1:24" x14ac:dyDescent="0.55000000000000004">
      <c r="A6" s="10">
        <v>25</v>
      </c>
      <c r="B6" s="11" t="s">
        <v>2</v>
      </c>
      <c r="C6" s="11" t="s">
        <v>71</v>
      </c>
      <c r="D6" s="11" t="s">
        <v>248</v>
      </c>
      <c r="E6" s="11" t="s">
        <v>240</v>
      </c>
      <c r="F6" s="11" t="s">
        <v>241</v>
      </c>
      <c r="G6" s="47">
        <v>0.5220219561187448</v>
      </c>
      <c r="H6" s="47">
        <v>0.24001401948786269</v>
      </c>
      <c r="I6" s="47">
        <v>1.1379538260550763E-3</v>
      </c>
      <c r="J6" s="47">
        <v>0.17973603085836445</v>
      </c>
      <c r="K6" s="47">
        <v>5.1529363468777595E-2</v>
      </c>
      <c r="L6" s="47">
        <v>5.5606762401953953E-3</v>
      </c>
      <c r="M6" s="47">
        <v>0.51320278710995504</v>
      </c>
      <c r="N6" s="47">
        <v>0.21304095055037006</v>
      </c>
      <c r="O6" s="47">
        <v>1.2720566398938245E-3</v>
      </c>
      <c r="P6" s="47">
        <v>0.19784398491331151</v>
      </c>
      <c r="Q6" s="47">
        <v>7.1373985619472238E-2</v>
      </c>
      <c r="R6" s="47">
        <v>3.2662351669973371E-3</v>
      </c>
      <c r="S6" s="47">
        <v>0.5027907510926688</v>
      </c>
      <c r="T6" s="47">
        <v>0.21545119312988081</v>
      </c>
      <c r="U6" s="47">
        <v>1.342754101804243E-3</v>
      </c>
      <c r="V6" s="47">
        <v>0.19308334340221014</v>
      </c>
      <c r="W6" s="47">
        <v>5.9136683828586875E-2</v>
      </c>
      <c r="X6" s="47">
        <v>2.8195274444849098E-2</v>
      </c>
    </row>
    <row r="7" spans="1:24" x14ac:dyDescent="0.55000000000000004">
      <c r="A7" s="10">
        <v>112</v>
      </c>
      <c r="B7" s="11" t="s">
        <v>3</v>
      </c>
      <c r="C7" s="11" t="s">
        <v>72</v>
      </c>
      <c r="D7" s="11" t="s">
        <v>253</v>
      </c>
      <c r="E7" s="11" t="s">
        <v>251</v>
      </c>
      <c r="F7" s="11" t="s">
        <v>241</v>
      </c>
      <c r="G7" s="47">
        <v>0.54465545387510494</v>
      </c>
      <c r="H7" s="47">
        <v>0.14475327454147893</v>
      </c>
      <c r="I7" s="47">
        <v>1.9915776193135076E-3</v>
      </c>
      <c r="J7" s="47">
        <v>0.25716072851888006</v>
      </c>
      <c r="K7" s="47">
        <v>2.6711009193863936E-2</v>
      </c>
      <c r="L7" s="47">
        <v>2.472795625135862E-2</v>
      </c>
      <c r="M7" s="47">
        <v>0.53318927022388685</v>
      </c>
      <c r="N7" s="47">
        <v>0.1382163769393073</v>
      </c>
      <c r="O7" s="47">
        <v>6.0368926488675188E-4</v>
      </c>
      <c r="P7" s="47">
        <v>0.28020432924666933</v>
      </c>
      <c r="Q7" s="47">
        <v>2.5499644784018009E-2</v>
      </c>
      <c r="R7" s="47">
        <v>2.2286689541231738E-2</v>
      </c>
      <c r="S7" s="47">
        <v>0.5249253258862947</v>
      </c>
      <c r="T7" s="47">
        <v>0.13136479936980167</v>
      </c>
      <c r="U7" s="47">
        <v>7.3028619069558977E-4</v>
      </c>
      <c r="V7" s="47">
        <v>0.28936989570175908</v>
      </c>
      <c r="W7" s="47">
        <v>2.8064302796087171E-2</v>
      </c>
      <c r="X7" s="47">
        <v>2.5545390055361755E-2</v>
      </c>
    </row>
    <row r="8" spans="1:24" x14ac:dyDescent="0.55000000000000004">
      <c r="A8" s="10">
        <v>11</v>
      </c>
      <c r="B8" s="11" t="s">
        <v>4</v>
      </c>
      <c r="C8" s="11" t="s">
        <v>73</v>
      </c>
      <c r="D8" s="11" t="s">
        <v>244</v>
      </c>
      <c r="E8" s="11" t="s">
        <v>237</v>
      </c>
      <c r="F8" s="11" t="s">
        <v>238</v>
      </c>
      <c r="G8" s="47">
        <v>0.54151774895238003</v>
      </c>
      <c r="H8" s="47">
        <v>0.17319316441221522</v>
      </c>
      <c r="I8" s="47">
        <v>1.3471416033937944E-2</v>
      </c>
      <c r="J8" s="47">
        <v>0.21967902007242165</v>
      </c>
      <c r="K8" s="47">
        <v>3.6773165871000983E-2</v>
      </c>
      <c r="L8" s="47">
        <v>1.5365484658044144E-2</v>
      </c>
      <c r="M8" s="47">
        <v>0.54195479624936116</v>
      </c>
      <c r="N8" s="47">
        <v>0.16993517736266259</v>
      </c>
      <c r="O8" s="47">
        <v>1.50531410035775E-2</v>
      </c>
      <c r="P8" s="47">
        <v>0.22737726462029476</v>
      </c>
      <c r="Q8" s="47">
        <v>2.9626500620586794E-2</v>
      </c>
      <c r="R8" s="47">
        <v>1.6053120143517216E-2</v>
      </c>
      <c r="S8" s="47">
        <v>0.5256139566142124</v>
      </c>
      <c r="T8" s="47">
        <v>0.16591138829870272</v>
      </c>
      <c r="U8" s="47">
        <v>1.9040100797277235E-2</v>
      </c>
      <c r="V8" s="47">
        <v>0.25117831175632394</v>
      </c>
      <c r="W8" s="47">
        <v>2.5931162457000063E-2</v>
      </c>
      <c r="X8" s="47">
        <v>1.2325080076483698E-2</v>
      </c>
    </row>
    <row r="9" spans="1:24" x14ac:dyDescent="0.55000000000000004">
      <c r="A9" s="10">
        <v>92</v>
      </c>
      <c r="B9" s="11" t="s">
        <v>5</v>
      </c>
      <c r="C9" s="11" t="s">
        <v>70</v>
      </c>
      <c r="D9" s="11" t="s">
        <v>250</v>
      </c>
      <c r="E9" s="11" t="s">
        <v>251</v>
      </c>
      <c r="F9" s="11" t="s">
        <v>241</v>
      </c>
      <c r="G9" s="47">
        <v>0.41978041064803345</v>
      </c>
      <c r="H9" s="47">
        <v>0.25499642654776039</v>
      </c>
      <c r="I9" s="47">
        <v>4.3596117323128347E-3</v>
      </c>
      <c r="J9" s="47">
        <v>0.13513401157741578</v>
      </c>
      <c r="K9" s="47">
        <v>0.12645522079948521</v>
      </c>
      <c r="L9" s="47">
        <v>5.9274318694992327E-2</v>
      </c>
      <c r="M9" s="47">
        <v>0.42441760699485576</v>
      </c>
      <c r="N9" s="47">
        <v>0.24747917879083495</v>
      </c>
      <c r="O9" s="47">
        <v>5.9072358785471884E-3</v>
      </c>
      <c r="P9" s="47">
        <v>0.14446542322771116</v>
      </c>
      <c r="Q9" s="47">
        <v>0.12089630248070322</v>
      </c>
      <c r="R9" s="47">
        <v>5.6834252627347717E-2</v>
      </c>
      <c r="S9" s="47">
        <v>0.42533074114259301</v>
      </c>
      <c r="T9" s="47">
        <v>0.25955735112372608</v>
      </c>
      <c r="U9" s="47">
        <v>2.349154585028739E-3</v>
      </c>
      <c r="V9" s="47">
        <v>0.13480173951026717</v>
      </c>
      <c r="W9" s="47">
        <v>0.12242882366407594</v>
      </c>
      <c r="X9" s="47">
        <v>5.5532189974309067E-2</v>
      </c>
    </row>
    <row r="10" spans="1:24" x14ac:dyDescent="0.55000000000000004">
      <c r="A10" s="10">
        <v>44</v>
      </c>
      <c r="B10" s="11" t="s">
        <v>6</v>
      </c>
      <c r="C10" s="11" t="s">
        <v>70</v>
      </c>
      <c r="D10" s="11" t="s">
        <v>250</v>
      </c>
      <c r="E10" s="11" t="s">
        <v>251</v>
      </c>
      <c r="F10" s="11" t="s">
        <v>241</v>
      </c>
      <c r="G10" s="47">
        <v>0.41945538660078824</v>
      </c>
      <c r="H10" s="47">
        <v>0.15575324802209117</v>
      </c>
      <c r="I10" s="47">
        <v>1.14967259421975E-2</v>
      </c>
      <c r="J10" s="47">
        <v>0.32817128384508271</v>
      </c>
      <c r="K10" s="47">
        <v>4.9554816177141608E-2</v>
      </c>
      <c r="L10" s="47">
        <v>3.5568539412698767E-2</v>
      </c>
      <c r="M10" s="47">
        <v>0.41674560223003365</v>
      </c>
      <c r="N10" s="47">
        <v>0.15916116485470033</v>
      </c>
      <c r="O10" s="47">
        <v>1.5101105993791384E-2</v>
      </c>
      <c r="P10" s="47">
        <v>0.32453555364002695</v>
      </c>
      <c r="Q10" s="47">
        <v>4.9773944160848085E-2</v>
      </c>
      <c r="R10" s="47">
        <v>3.4682629120599592E-2</v>
      </c>
      <c r="S10" s="47">
        <v>0.40967971599353792</v>
      </c>
      <c r="T10" s="47">
        <v>0.15938620209321416</v>
      </c>
      <c r="U10" s="47">
        <v>1.725493087423375E-2</v>
      </c>
      <c r="V10" s="47">
        <v>0.33031650044958183</v>
      </c>
      <c r="W10" s="47">
        <v>4.7269732864803377E-2</v>
      </c>
      <c r="X10" s="47">
        <v>3.609291772462897E-2</v>
      </c>
    </row>
    <row r="11" spans="1:24" x14ac:dyDescent="0.55000000000000004">
      <c r="A11" s="10">
        <v>111</v>
      </c>
      <c r="B11" s="11" t="s">
        <v>7</v>
      </c>
      <c r="C11" s="11" t="s">
        <v>73</v>
      </c>
      <c r="D11" s="11" t="s">
        <v>253</v>
      </c>
      <c r="E11" s="11" t="s">
        <v>251</v>
      </c>
      <c r="F11" s="11" t="s">
        <v>241</v>
      </c>
      <c r="G11" s="47">
        <v>0.55926902463627126</v>
      </c>
      <c r="H11" s="47">
        <v>9.5059463767127469E-2</v>
      </c>
      <c r="I11" s="47">
        <v>8.1495694126853639E-3</v>
      </c>
      <c r="J11" s="47">
        <v>0.25330613519616041</v>
      </c>
      <c r="K11" s="47">
        <v>4.1133742322479204E-2</v>
      </c>
      <c r="L11" s="47">
        <v>4.3082064665276247E-2</v>
      </c>
      <c r="M11" s="47">
        <v>0.55373743962478061</v>
      </c>
      <c r="N11" s="47">
        <v>8.9499759275652679E-2</v>
      </c>
      <c r="O11" s="47">
        <v>4.0907608442435819E-3</v>
      </c>
      <c r="P11" s="47">
        <v>0.2675187790875253</v>
      </c>
      <c r="Q11" s="47">
        <v>4.1690350836322977E-2</v>
      </c>
      <c r="R11" s="47">
        <v>4.3462910331474841E-2</v>
      </c>
      <c r="S11" s="47">
        <v>0.546648692625465</v>
      </c>
      <c r="T11" s="47">
        <v>9.3420254673206832E-2</v>
      </c>
      <c r="U11" s="47">
        <v>4.1977460482122064E-3</v>
      </c>
      <c r="V11" s="47">
        <v>0.28330704805335344</v>
      </c>
      <c r="W11" s="47">
        <v>3.6582615205442065E-2</v>
      </c>
      <c r="X11" s="47">
        <v>3.5843643394320446E-2</v>
      </c>
    </row>
    <row r="12" spans="1:24" x14ac:dyDescent="0.55000000000000004">
      <c r="A12" s="10">
        <v>17</v>
      </c>
      <c r="B12" s="11" t="s">
        <v>8</v>
      </c>
      <c r="C12" s="11" t="s">
        <v>67</v>
      </c>
      <c r="D12" s="11" t="s">
        <v>254</v>
      </c>
      <c r="E12" s="11" t="s">
        <v>240</v>
      </c>
      <c r="F12" s="11" t="s">
        <v>241</v>
      </c>
      <c r="G12" s="47">
        <v>0.57509563485388726</v>
      </c>
      <c r="H12" s="47">
        <v>0.10259450655413091</v>
      </c>
      <c r="I12" s="47">
        <v>0</v>
      </c>
      <c r="J12" s="47">
        <v>0.28370202227954855</v>
      </c>
      <c r="K12" s="47">
        <v>1.7387473957509315E-2</v>
      </c>
      <c r="L12" s="47">
        <v>2.1220362354923968E-2</v>
      </c>
      <c r="M12" s="47">
        <v>0.53617546148933282</v>
      </c>
      <c r="N12" s="47">
        <v>0.10288935445720454</v>
      </c>
      <c r="O12" s="47">
        <v>0</v>
      </c>
      <c r="P12" s="47">
        <v>0.29098488356679653</v>
      </c>
      <c r="Q12" s="47">
        <v>3.1813197312404562E-2</v>
      </c>
      <c r="R12" s="47">
        <v>3.8137103174261611E-2</v>
      </c>
      <c r="S12" s="47">
        <v>0.53731551161536217</v>
      </c>
      <c r="T12" s="47">
        <v>0.12416764677272446</v>
      </c>
      <c r="U12" s="47">
        <v>0</v>
      </c>
      <c r="V12" s="47">
        <v>0.28228307231561478</v>
      </c>
      <c r="W12" s="47">
        <v>2.5511497454671937E-2</v>
      </c>
      <c r="X12" s="47">
        <v>3.0722271841626653E-2</v>
      </c>
    </row>
    <row r="13" spans="1:24" x14ac:dyDescent="0.55000000000000004">
      <c r="A13" s="10">
        <v>16</v>
      </c>
      <c r="B13" s="11" t="s">
        <v>9</v>
      </c>
      <c r="C13" s="11" t="s">
        <v>71</v>
      </c>
      <c r="D13" s="11" t="s">
        <v>248</v>
      </c>
      <c r="E13" s="11" t="s">
        <v>240</v>
      </c>
      <c r="F13" s="11" t="s">
        <v>241</v>
      </c>
      <c r="G13" s="47">
        <v>0.36951394305858076</v>
      </c>
      <c r="H13" s="47">
        <v>0.35694388440564379</v>
      </c>
      <c r="I13" s="47">
        <v>1.1256046218021296E-3</v>
      </c>
      <c r="J13" s="47">
        <v>0.13958729884824719</v>
      </c>
      <c r="K13" s="47">
        <v>0.12574592766196468</v>
      </c>
      <c r="L13" s="47">
        <v>7.0833414037614652E-3</v>
      </c>
      <c r="M13" s="47">
        <v>0.39002879643376237</v>
      </c>
      <c r="N13" s="47">
        <v>0.31843010727548327</v>
      </c>
      <c r="O13" s="47">
        <v>5.6852499132989647E-4</v>
      </c>
      <c r="P13" s="47">
        <v>0.15349824065090073</v>
      </c>
      <c r="Q13" s="47">
        <v>0.1313775917764555</v>
      </c>
      <c r="R13" s="47">
        <v>6.0967388720682388E-3</v>
      </c>
      <c r="S13" s="47">
        <v>0.37486557790978103</v>
      </c>
      <c r="T13" s="47">
        <v>0.32792807082854508</v>
      </c>
      <c r="U13" s="47">
        <v>1.297444280789214E-3</v>
      </c>
      <c r="V13" s="47">
        <v>0.15101629898192059</v>
      </c>
      <c r="W13" s="47">
        <v>0.13749672239936553</v>
      </c>
      <c r="X13" s="47">
        <v>7.3958855995985952E-3</v>
      </c>
    </row>
    <row r="14" spans="1:24" x14ac:dyDescent="0.55000000000000004">
      <c r="A14" s="10">
        <v>9</v>
      </c>
      <c r="B14" s="11" t="s">
        <v>10</v>
      </c>
      <c r="C14" s="11" t="s">
        <v>69</v>
      </c>
      <c r="D14" s="11" t="s">
        <v>246</v>
      </c>
      <c r="E14" s="11" t="s">
        <v>240</v>
      </c>
      <c r="F14" s="11" t="s">
        <v>241</v>
      </c>
      <c r="G14" s="47">
        <v>0.44254793299672324</v>
      </c>
      <c r="H14" s="47">
        <v>0.24454188210364231</v>
      </c>
      <c r="I14" s="47">
        <v>7.2006927687566491E-4</v>
      </c>
      <c r="J14" s="47">
        <v>0.20015759189188995</v>
      </c>
      <c r="K14" s="47">
        <v>7.0879517315246623E-2</v>
      </c>
      <c r="L14" s="47">
        <v>4.1153006415622251E-2</v>
      </c>
      <c r="M14" s="47">
        <v>0.43823404981035291</v>
      </c>
      <c r="N14" s="47">
        <v>0.22491220314121715</v>
      </c>
      <c r="O14" s="47">
        <v>6.3679255640737738E-4</v>
      </c>
      <c r="P14" s="47">
        <v>0.21914959647846396</v>
      </c>
      <c r="Q14" s="47">
        <v>8.1753917006167368E-2</v>
      </c>
      <c r="R14" s="47">
        <v>3.5313441007391186E-2</v>
      </c>
      <c r="S14" s="47">
        <v>0.41176740326801398</v>
      </c>
      <c r="T14" s="47">
        <v>0.2566758563680045</v>
      </c>
      <c r="U14" s="47">
        <v>3.4267733242117956E-4</v>
      </c>
      <c r="V14" s="47">
        <v>0.22465008802407788</v>
      </c>
      <c r="W14" s="47">
        <v>8.1373163221613087E-2</v>
      </c>
      <c r="X14" s="47">
        <v>2.5190811785869426E-2</v>
      </c>
    </row>
    <row r="15" spans="1:24" x14ac:dyDescent="0.55000000000000004">
      <c r="A15" s="10">
        <v>41</v>
      </c>
      <c r="B15" s="11" t="s">
        <v>11</v>
      </c>
      <c r="C15" s="11" t="s">
        <v>69</v>
      </c>
      <c r="D15" s="11" t="s">
        <v>255</v>
      </c>
      <c r="E15" s="11" t="s">
        <v>251</v>
      </c>
      <c r="F15" s="11" t="s">
        <v>241</v>
      </c>
      <c r="G15" s="47">
        <v>0.67253467704033243</v>
      </c>
      <c r="H15" s="47">
        <v>0.1106225632667262</v>
      </c>
      <c r="I15" s="47">
        <v>1.3728979662033837E-3</v>
      </c>
      <c r="J15" s="47">
        <v>0.17212720606368209</v>
      </c>
      <c r="K15" s="47">
        <v>2.5675366464422027E-2</v>
      </c>
      <c r="L15" s="47">
        <v>1.7667289198633824E-2</v>
      </c>
      <c r="M15" s="47">
        <v>0.66674652420506775</v>
      </c>
      <c r="N15" s="47">
        <v>0.11600095404083571</v>
      </c>
      <c r="O15" s="47">
        <v>1.1835205912928369E-3</v>
      </c>
      <c r="P15" s="47">
        <v>0.18131397345790401</v>
      </c>
      <c r="Q15" s="47">
        <v>2.9072216535397519E-2</v>
      </c>
      <c r="R15" s="47">
        <v>5.6828111695021409E-3</v>
      </c>
      <c r="S15" s="47">
        <v>0.65321320192868582</v>
      </c>
      <c r="T15" s="47">
        <v>0.11928401799349385</v>
      </c>
      <c r="U15" s="47">
        <v>1.3558477762654543E-3</v>
      </c>
      <c r="V15" s="47">
        <v>0.1966005492428794</v>
      </c>
      <c r="W15" s="47">
        <v>2.6235632623366634E-2</v>
      </c>
      <c r="X15" s="47">
        <v>3.3107504353088453E-3</v>
      </c>
    </row>
    <row r="16" spans="1:24" x14ac:dyDescent="0.55000000000000004">
      <c r="A16" s="10">
        <v>14</v>
      </c>
      <c r="B16" s="11" t="s">
        <v>12</v>
      </c>
      <c r="C16" s="11" t="s">
        <v>73</v>
      </c>
      <c r="D16" s="11" t="s">
        <v>243</v>
      </c>
      <c r="E16" s="11" t="s">
        <v>237</v>
      </c>
      <c r="F16" s="11" t="s">
        <v>241</v>
      </c>
      <c r="G16" s="47">
        <v>0.42445129745852683</v>
      </c>
      <c r="H16" s="47">
        <v>0.26541551585209455</v>
      </c>
      <c r="I16" s="47">
        <v>6.3375362783869025E-3</v>
      </c>
      <c r="J16" s="47">
        <v>0.25837887584202485</v>
      </c>
      <c r="K16" s="47">
        <v>2.7805468402595433E-2</v>
      </c>
      <c r="L16" s="47">
        <v>1.7611306166371417E-2</v>
      </c>
      <c r="M16" s="47">
        <v>0.430666485757566</v>
      </c>
      <c r="N16" s="47">
        <v>0.27068361939077845</v>
      </c>
      <c r="O16" s="47">
        <v>6.4001664688226895E-3</v>
      </c>
      <c r="P16" s="47">
        <v>0.24964056485013242</v>
      </c>
      <c r="Q16" s="47">
        <v>2.1832199507854234E-2</v>
      </c>
      <c r="R16" s="47">
        <v>2.0776964024846203E-2</v>
      </c>
      <c r="S16" s="47">
        <v>0.42436241908908456</v>
      </c>
      <c r="T16" s="47">
        <v>0.26551722139698936</v>
      </c>
      <c r="U16" s="47">
        <v>7.5069946752140456E-3</v>
      </c>
      <c r="V16" s="47">
        <v>0.25846538766208305</v>
      </c>
      <c r="W16" s="47">
        <v>2.0561263310428367E-2</v>
      </c>
      <c r="X16" s="47">
        <v>2.3586713866200596E-2</v>
      </c>
    </row>
    <row r="17" spans="1:24" x14ac:dyDescent="0.55000000000000004">
      <c r="A17" s="10">
        <v>76</v>
      </c>
      <c r="B17" s="11" t="s">
        <v>308</v>
      </c>
      <c r="C17" s="11" t="s">
        <v>69</v>
      </c>
      <c r="D17" s="11" t="s">
        <v>246</v>
      </c>
      <c r="E17" s="11" t="s">
        <v>240</v>
      </c>
      <c r="F17" s="11" t="s">
        <v>241</v>
      </c>
      <c r="G17" s="47">
        <v>0.43559044614242126</v>
      </c>
      <c r="H17" s="47">
        <v>0.12505617453380569</v>
      </c>
      <c r="I17" s="47">
        <v>3.1463533854084423E-3</v>
      </c>
      <c r="J17" s="47">
        <v>0.36774493762779614</v>
      </c>
      <c r="K17" s="47">
        <v>3.1633325094884618E-2</v>
      </c>
      <c r="L17" s="47">
        <v>3.6828763215683846E-2</v>
      </c>
      <c r="M17" s="47">
        <v>0.41800487206666659</v>
      </c>
      <c r="N17" s="47">
        <v>0.12594156241825075</v>
      </c>
      <c r="O17" s="47">
        <v>3.5060129649595278E-3</v>
      </c>
      <c r="P17" s="47">
        <v>0.37659956360073249</v>
      </c>
      <c r="Q17" s="47">
        <v>3.64476555258339E-2</v>
      </c>
      <c r="R17" s="47">
        <v>3.9500333423556792E-2</v>
      </c>
      <c r="S17" s="47">
        <v>0.4205773371362076</v>
      </c>
      <c r="T17" s="47">
        <v>0.12798771492804142</v>
      </c>
      <c r="U17" s="47">
        <v>2.9976145798904542E-3</v>
      </c>
      <c r="V17" s="47">
        <v>0.38418991280914633</v>
      </c>
      <c r="W17" s="47">
        <v>3.0689976694899593E-2</v>
      </c>
      <c r="X17" s="47">
        <v>3.3557443851814618E-2</v>
      </c>
    </row>
    <row r="18" spans="1:24" x14ac:dyDescent="0.55000000000000004">
      <c r="A18" s="10">
        <v>31</v>
      </c>
      <c r="B18" s="11" t="s">
        <v>13</v>
      </c>
      <c r="C18" s="11" t="s">
        <v>73</v>
      </c>
      <c r="D18" s="11" t="s">
        <v>242</v>
      </c>
      <c r="E18" s="11" t="s">
        <v>237</v>
      </c>
      <c r="F18" s="11" t="s">
        <v>241</v>
      </c>
      <c r="G18" s="47">
        <v>0.55188581969879003</v>
      </c>
      <c r="H18" s="47">
        <v>7.7561715823525737E-2</v>
      </c>
      <c r="I18" s="47">
        <v>1.5758170209578842E-2</v>
      </c>
      <c r="J18" s="47">
        <v>0.30171370998769836</v>
      </c>
      <c r="K18" s="47">
        <v>4.0734854601921271E-2</v>
      </c>
      <c r="L18" s="47">
        <v>1.2345729678485722E-2</v>
      </c>
      <c r="M18" s="47">
        <v>0.54331237162682777</v>
      </c>
      <c r="N18" s="47">
        <v>8.0704025215164898E-2</v>
      </c>
      <c r="O18" s="47">
        <v>1.0017745783466517E-2</v>
      </c>
      <c r="P18" s="47">
        <v>0.32249414476455734</v>
      </c>
      <c r="Q18" s="47">
        <v>3.3748638507695293E-2</v>
      </c>
      <c r="R18" s="47">
        <v>9.7230741022881796E-3</v>
      </c>
      <c r="S18" s="47">
        <v>0.53117156346844141</v>
      </c>
      <c r="T18" s="47">
        <v>8.5319847652822134E-2</v>
      </c>
      <c r="U18" s="47">
        <v>1.3515836326297982E-2</v>
      </c>
      <c r="V18" s="47">
        <v>0.32680057858957234</v>
      </c>
      <c r="W18" s="47">
        <v>3.5002859776464994E-2</v>
      </c>
      <c r="X18" s="47">
        <v>8.1893141864011355E-3</v>
      </c>
    </row>
    <row r="19" spans="1:24" x14ac:dyDescent="0.55000000000000004">
      <c r="A19" s="10">
        <v>83</v>
      </c>
      <c r="B19" s="11" t="s">
        <v>307</v>
      </c>
      <c r="C19" s="11" t="s">
        <v>73</v>
      </c>
      <c r="D19" s="11" t="s">
        <v>246</v>
      </c>
      <c r="E19" s="11" t="s">
        <v>240</v>
      </c>
      <c r="F19" s="11" t="s">
        <v>241</v>
      </c>
      <c r="G19" s="47">
        <v>0.50330692834956237</v>
      </c>
      <c r="H19" s="47">
        <v>0.33101295415699034</v>
      </c>
      <c r="I19" s="47">
        <v>0</v>
      </c>
      <c r="J19" s="47">
        <v>8.3207710798493692E-2</v>
      </c>
      <c r="K19" s="47">
        <v>7.7953875673462888E-2</v>
      </c>
      <c r="L19" s="47">
        <v>4.5185310214906687E-3</v>
      </c>
      <c r="M19" s="47">
        <v>0.51064857683481624</v>
      </c>
      <c r="N19" s="47">
        <v>0.33538431946177832</v>
      </c>
      <c r="O19" s="47">
        <v>4.4732521885386331E-6</v>
      </c>
      <c r="P19" s="47">
        <v>9.6776574472939067E-2</v>
      </c>
      <c r="Q19" s="47">
        <v>5.6307061923230046E-2</v>
      </c>
      <c r="R19" s="47">
        <v>8.7899405504784141E-4</v>
      </c>
      <c r="S19" s="47">
        <v>0.46081684185800692</v>
      </c>
      <c r="T19" s="47">
        <v>0.37888552860806074</v>
      </c>
      <c r="U19" s="47">
        <v>2.6670190067923345E-4</v>
      </c>
      <c r="V19" s="47">
        <v>0.10600544169749643</v>
      </c>
      <c r="W19" s="47">
        <v>5.1896764343179282E-2</v>
      </c>
      <c r="X19" s="47">
        <v>2.1287215925773679E-3</v>
      </c>
    </row>
    <row r="20" spans="1:24" x14ac:dyDescent="0.55000000000000004">
      <c r="A20" s="10">
        <v>45</v>
      </c>
      <c r="B20" s="11" t="s">
        <v>14</v>
      </c>
      <c r="C20" s="11" t="s">
        <v>73</v>
      </c>
      <c r="D20" s="11" t="s">
        <v>239</v>
      </c>
      <c r="E20" s="11" t="s">
        <v>240</v>
      </c>
      <c r="F20" s="11" t="s">
        <v>241</v>
      </c>
      <c r="G20" s="47">
        <v>0.48200697503215678</v>
      </c>
      <c r="H20" s="47">
        <v>0.11478517747919276</v>
      </c>
      <c r="I20" s="47">
        <v>0</v>
      </c>
      <c r="J20" s="47">
        <v>0.34229630241166037</v>
      </c>
      <c r="K20" s="47">
        <v>3.4907670439355165E-2</v>
      </c>
      <c r="L20" s="47">
        <v>2.6003874637634972E-2</v>
      </c>
      <c r="M20" s="47">
        <v>0.44847663788230246</v>
      </c>
      <c r="N20" s="47">
        <v>0.13052247194661573</v>
      </c>
      <c r="O20" s="47">
        <v>0</v>
      </c>
      <c r="P20" s="47">
        <v>0.35890138593789594</v>
      </c>
      <c r="Q20" s="47">
        <v>3.8007272979300816E-2</v>
      </c>
      <c r="R20" s="47">
        <v>2.4092231253885023E-2</v>
      </c>
      <c r="S20" s="47">
        <v>0.44006201988763449</v>
      </c>
      <c r="T20" s="47">
        <v>0.14657749969029327</v>
      </c>
      <c r="U20" s="47">
        <v>0</v>
      </c>
      <c r="V20" s="47">
        <v>0.35337323284197958</v>
      </c>
      <c r="W20" s="47">
        <v>3.5912413866721504E-2</v>
      </c>
      <c r="X20" s="47">
        <v>2.4074833713371154E-2</v>
      </c>
    </row>
    <row r="21" spans="1:24" x14ac:dyDescent="0.55000000000000004">
      <c r="A21" s="10">
        <v>3</v>
      </c>
      <c r="B21" s="11" t="s">
        <v>15</v>
      </c>
      <c r="C21" s="11" t="s">
        <v>72</v>
      </c>
      <c r="D21" s="11" t="s">
        <v>248</v>
      </c>
      <c r="E21" s="11" t="s">
        <v>240</v>
      </c>
      <c r="F21" s="11" t="s">
        <v>241</v>
      </c>
      <c r="G21" s="47">
        <v>0.43218335634678545</v>
      </c>
      <c r="H21" s="47">
        <v>0.24111257577918216</v>
      </c>
      <c r="I21" s="47">
        <v>4.8925323956366029E-4</v>
      </c>
      <c r="J21" s="47">
        <v>0.17935189017540076</v>
      </c>
      <c r="K21" s="47">
        <v>0.13543851350489658</v>
      </c>
      <c r="L21" s="47">
        <v>1.1424410954171347E-2</v>
      </c>
      <c r="M21" s="47">
        <v>0.36171341279430846</v>
      </c>
      <c r="N21" s="47">
        <v>0.22884517287430164</v>
      </c>
      <c r="O21" s="47">
        <v>2.8549663560481313E-4</v>
      </c>
      <c r="P21" s="47">
        <v>0.23995248037041497</v>
      </c>
      <c r="Q21" s="47">
        <v>0.15317773992203643</v>
      </c>
      <c r="R21" s="47">
        <v>1.6025697403333681E-2</v>
      </c>
      <c r="S21" s="47">
        <v>0.33734300045494597</v>
      </c>
      <c r="T21" s="47">
        <v>0.24666478545555062</v>
      </c>
      <c r="U21" s="47">
        <v>3.1788628654684503E-4</v>
      </c>
      <c r="V21" s="47">
        <v>0.26766140503435132</v>
      </c>
      <c r="W21" s="47">
        <v>0.13285343253842566</v>
      </c>
      <c r="X21" s="47">
        <v>1.5159490230179618E-2</v>
      </c>
    </row>
    <row r="22" spans="1:24" x14ac:dyDescent="0.55000000000000004">
      <c r="A22" s="10">
        <v>37</v>
      </c>
      <c r="B22" s="11" t="s">
        <v>16</v>
      </c>
      <c r="C22" s="11" t="s">
        <v>72</v>
      </c>
      <c r="D22" s="11" t="s">
        <v>239</v>
      </c>
      <c r="E22" s="11" t="s">
        <v>240</v>
      </c>
      <c r="F22" s="11" t="s">
        <v>241</v>
      </c>
      <c r="G22" s="47">
        <v>0.46215649018432137</v>
      </c>
      <c r="H22" s="47">
        <v>8.5043257512634626E-2</v>
      </c>
      <c r="I22" s="47">
        <v>2.5249772226418623E-3</v>
      </c>
      <c r="J22" s="47">
        <v>0.41026499606749883</v>
      </c>
      <c r="K22" s="47">
        <v>1.9736483487388743E-2</v>
      </c>
      <c r="L22" s="47">
        <v>2.0273795525514535E-2</v>
      </c>
      <c r="M22" s="47">
        <v>0.41770071702884609</v>
      </c>
      <c r="N22" s="47">
        <v>0.10812959923349381</v>
      </c>
      <c r="O22" s="47">
        <v>2.2480778443584046E-3</v>
      </c>
      <c r="P22" s="47">
        <v>0.4189140900487705</v>
      </c>
      <c r="Q22" s="47">
        <v>2.8045016531716548E-2</v>
      </c>
      <c r="R22" s="47">
        <v>2.4962499312814634E-2</v>
      </c>
      <c r="S22" s="47">
        <v>0.41895295292311818</v>
      </c>
      <c r="T22" s="47">
        <v>9.6772871555668147E-2</v>
      </c>
      <c r="U22" s="47">
        <v>3.652966335335231E-3</v>
      </c>
      <c r="V22" s="47">
        <v>0.43757544372084706</v>
      </c>
      <c r="W22" s="47">
        <v>2.3605501989478861E-2</v>
      </c>
      <c r="X22" s="47">
        <v>1.944026347555251E-2</v>
      </c>
    </row>
    <row r="23" spans="1:24" x14ac:dyDescent="0.55000000000000004">
      <c r="A23" s="10">
        <v>54</v>
      </c>
      <c r="B23" s="11" t="s">
        <v>17</v>
      </c>
      <c r="C23" s="11" t="s">
        <v>72</v>
      </c>
      <c r="D23" s="11" t="s">
        <v>246</v>
      </c>
      <c r="E23" s="11" t="s">
        <v>240</v>
      </c>
      <c r="F23" s="11" t="s">
        <v>241</v>
      </c>
      <c r="G23" s="47">
        <v>0.52172196992914122</v>
      </c>
      <c r="H23" s="47">
        <v>0.14073078316106205</v>
      </c>
      <c r="I23" s="47">
        <v>1.0548327281395011E-3</v>
      </c>
      <c r="J23" s="47">
        <v>0.29622922451607708</v>
      </c>
      <c r="K23" s="47">
        <v>3.4502239681522551E-2</v>
      </c>
      <c r="L23" s="47">
        <v>5.7609499840575538E-3</v>
      </c>
      <c r="M23" s="47">
        <v>0.50445253514508503</v>
      </c>
      <c r="N23" s="47">
        <v>0.14498164576863423</v>
      </c>
      <c r="O23" s="47">
        <v>1.8901855208256048E-3</v>
      </c>
      <c r="P23" s="47">
        <v>0.30371836589045403</v>
      </c>
      <c r="Q23" s="47">
        <v>3.348631470352352E-2</v>
      </c>
      <c r="R23" s="47">
        <v>1.1470952971477631E-2</v>
      </c>
      <c r="S23" s="47">
        <v>0.48820585961706775</v>
      </c>
      <c r="T23" s="47">
        <v>0.16206501670616946</v>
      </c>
      <c r="U23" s="47">
        <v>1.4062889304857246E-3</v>
      </c>
      <c r="V23" s="47">
        <v>0.30205265477962551</v>
      </c>
      <c r="W23" s="47">
        <v>3.2305515271930443E-2</v>
      </c>
      <c r="X23" s="47">
        <v>1.3964664694721105E-2</v>
      </c>
    </row>
    <row r="24" spans="1:24" x14ac:dyDescent="0.55000000000000004">
      <c r="A24" s="10">
        <v>1</v>
      </c>
      <c r="B24" s="11" t="s">
        <v>18</v>
      </c>
      <c r="C24" s="11" t="s">
        <v>72</v>
      </c>
      <c r="D24" s="11" t="s">
        <v>239</v>
      </c>
      <c r="E24" s="11" t="s">
        <v>240</v>
      </c>
      <c r="F24" s="11" t="s">
        <v>241</v>
      </c>
      <c r="G24" s="47">
        <v>0.40064984119612584</v>
      </c>
      <c r="H24" s="47">
        <v>0.1487704798823502</v>
      </c>
      <c r="I24" s="47">
        <v>0</v>
      </c>
      <c r="J24" s="47">
        <v>0.41333804642394251</v>
      </c>
      <c r="K24" s="47">
        <v>3.7241632497581417E-2</v>
      </c>
      <c r="L24" s="47">
        <v>0</v>
      </c>
      <c r="M24" s="47">
        <v>0.41114317768496883</v>
      </c>
      <c r="N24" s="47">
        <v>0.14309732185497892</v>
      </c>
      <c r="O24" s="47">
        <v>0</v>
      </c>
      <c r="P24" s="47">
        <v>0.39876814321202514</v>
      </c>
      <c r="Q24" s="47">
        <v>4.6991357248027124E-2</v>
      </c>
      <c r="R24" s="47">
        <v>0</v>
      </c>
      <c r="S24" s="47">
        <v>0.38899011396991967</v>
      </c>
      <c r="T24" s="47">
        <v>0.15258920021259609</v>
      </c>
      <c r="U24" s="47">
        <v>0</v>
      </c>
      <c r="V24" s="47">
        <v>0.41609080756074091</v>
      </c>
      <c r="W24" s="47">
        <v>4.2329878256743329E-2</v>
      </c>
      <c r="X24" s="47">
        <v>0</v>
      </c>
    </row>
    <row r="25" spans="1:24" x14ac:dyDescent="0.55000000000000004">
      <c r="A25" s="10">
        <v>115</v>
      </c>
      <c r="B25" s="11" t="s">
        <v>19</v>
      </c>
      <c r="C25" s="11" t="s">
        <v>67</v>
      </c>
      <c r="D25" s="11" t="s">
        <v>261</v>
      </c>
      <c r="E25" s="11" t="s">
        <v>240</v>
      </c>
      <c r="F25" s="11" t="s">
        <v>238</v>
      </c>
      <c r="G25" s="47">
        <v>0.58406159256016144</v>
      </c>
      <c r="H25" s="47">
        <v>7.7111836390003144E-2</v>
      </c>
      <c r="I25" s="47">
        <v>0</v>
      </c>
      <c r="J25" s="47">
        <v>0.28618424468125608</v>
      </c>
      <c r="K25" s="47">
        <v>2.2256178810857955E-2</v>
      </c>
      <c r="L25" s="47">
        <v>3.0386147557721392E-2</v>
      </c>
      <c r="M25" s="47">
        <v>0.55493253283000687</v>
      </c>
      <c r="N25" s="47">
        <v>0.11103637069461735</v>
      </c>
      <c r="O25" s="47">
        <v>0</v>
      </c>
      <c r="P25" s="47">
        <v>0.27510608677027698</v>
      </c>
      <c r="Q25" s="47">
        <v>2.7016987269587567E-2</v>
      </c>
      <c r="R25" s="47">
        <v>3.1908022435511288E-2</v>
      </c>
      <c r="S25" s="47">
        <v>0.54736782289439001</v>
      </c>
      <c r="T25" s="47">
        <v>0.1143624577796935</v>
      </c>
      <c r="U25" s="47">
        <v>0</v>
      </c>
      <c r="V25" s="47">
        <v>0.28757070212179131</v>
      </c>
      <c r="W25" s="47">
        <v>2.2369659313137807E-2</v>
      </c>
      <c r="X25" s="47">
        <v>2.8329357890987412E-2</v>
      </c>
    </row>
    <row r="26" spans="1:24" x14ac:dyDescent="0.55000000000000004">
      <c r="A26" s="10">
        <v>40</v>
      </c>
      <c r="B26" s="11" t="s">
        <v>20</v>
      </c>
      <c r="C26" s="11" t="s">
        <v>71</v>
      </c>
      <c r="D26" s="11" t="s">
        <v>248</v>
      </c>
      <c r="E26" s="11" t="s">
        <v>240</v>
      </c>
      <c r="F26" s="11" t="s">
        <v>241</v>
      </c>
      <c r="G26" s="47">
        <v>0.30581618013745637</v>
      </c>
      <c r="H26" s="47">
        <v>0.34243752502545127</v>
      </c>
      <c r="I26" s="47">
        <v>2.0539717659857136E-3</v>
      </c>
      <c r="J26" s="47">
        <v>0.20167791287876038</v>
      </c>
      <c r="K26" s="47">
        <v>0.13624735225839166</v>
      </c>
      <c r="L26" s="47">
        <v>1.1767057933954588E-2</v>
      </c>
      <c r="M26" s="47">
        <v>0.30979969707004351</v>
      </c>
      <c r="N26" s="47">
        <v>0.29041886684776508</v>
      </c>
      <c r="O26" s="47">
        <v>1.8041141497236119E-3</v>
      </c>
      <c r="P26" s="47">
        <v>0.21383630515223673</v>
      </c>
      <c r="Q26" s="47">
        <v>0.17658929449014654</v>
      </c>
      <c r="R26" s="47">
        <v>7.5517222900845175E-3</v>
      </c>
      <c r="S26" s="47">
        <v>0.29955444801516562</v>
      </c>
      <c r="T26" s="47">
        <v>0.31056145307106009</v>
      </c>
      <c r="U26" s="47">
        <v>2.5145827293605806E-3</v>
      </c>
      <c r="V26" s="47">
        <v>0.22125531753032202</v>
      </c>
      <c r="W26" s="47">
        <v>0.15693833618100061</v>
      </c>
      <c r="X26" s="47">
        <v>9.175862473091087E-3</v>
      </c>
    </row>
    <row r="27" spans="1:24" x14ac:dyDescent="0.55000000000000004">
      <c r="A27" s="10">
        <v>8</v>
      </c>
      <c r="B27" s="11" t="s">
        <v>21</v>
      </c>
      <c r="C27" s="11" t="s">
        <v>73</v>
      </c>
      <c r="D27" s="11" t="s">
        <v>239</v>
      </c>
      <c r="E27" s="11" t="s">
        <v>240</v>
      </c>
      <c r="F27" s="11" t="s">
        <v>241</v>
      </c>
      <c r="G27" s="47">
        <v>0.48028360614365601</v>
      </c>
      <c r="H27" s="47">
        <v>0.16255606373888135</v>
      </c>
      <c r="I27" s="47">
        <v>1.0592892025555766E-3</v>
      </c>
      <c r="J27" s="47">
        <v>0.28852956933307949</v>
      </c>
      <c r="K27" s="47">
        <v>2.7845912715455216E-2</v>
      </c>
      <c r="L27" s="47">
        <v>3.9725558866372385E-2</v>
      </c>
      <c r="M27" s="47">
        <v>0.47619127846208975</v>
      </c>
      <c r="N27" s="47">
        <v>0.16133685234348322</v>
      </c>
      <c r="O27" s="47">
        <v>8.9552026033590433E-4</v>
      </c>
      <c r="P27" s="47">
        <v>0.29291871566065353</v>
      </c>
      <c r="Q27" s="47">
        <v>2.4398715168182206E-2</v>
      </c>
      <c r="R27" s="47">
        <v>4.4258918105255382E-2</v>
      </c>
      <c r="S27" s="47">
        <v>0.47413309130117004</v>
      </c>
      <c r="T27" s="47">
        <v>0.16273392276639195</v>
      </c>
      <c r="U27" s="47">
        <v>1.0124318378592642E-3</v>
      </c>
      <c r="V27" s="47">
        <v>0.28802905277969965</v>
      </c>
      <c r="W27" s="47">
        <v>6.130453180323811E-2</v>
      </c>
      <c r="X27" s="47">
        <v>1.2786969511641015E-2</v>
      </c>
    </row>
    <row r="28" spans="1:24" x14ac:dyDescent="0.55000000000000004">
      <c r="A28" s="10">
        <v>118</v>
      </c>
      <c r="B28" s="11" t="s">
        <v>22</v>
      </c>
      <c r="C28" s="11" t="s">
        <v>73</v>
      </c>
      <c r="D28" s="11" t="s">
        <v>248</v>
      </c>
      <c r="E28" s="11" t="s">
        <v>240</v>
      </c>
      <c r="F28" s="11" t="s">
        <v>241</v>
      </c>
      <c r="G28" s="47">
        <v>0.24199879051108028</v>
      </c>
      <c r="H28" s="47">
        <v>6.7517711760920043E-2</v>
      </c>
      <c r="I28" s="47">
        <v>4.0661618928113108E-4</v>
      </c>
      <c r="J28" s="47">
        <v>0.44140777258500413</v>
      </c>
      <c r="K28" s="47">
        <v>3.4896474741235417E-2</v>
      </c>
      <c r="L28" s="47">
        <v>0.21377263421247897</v>
      </c>
      <c r="M28" s="47">
        <v>0.22735314149773383</v>
      </c>
      <c r="N28" s="47">
        <v>7.4103057575505712E-2</v>
      </c>
      <c r="O28" s="47">
        <v>2.3638543995216162E-4</v>
      </c>
      <c r="P28" s="47">
        <v>0.58983780073031222</v>
      </c>
      <c r="Q28" s="47">
        <v>2.1785238970568395E-2</v>
      </c>
      <c r="R28" s="47">
        <v>8.6684375785927623E-2</v>
      </c>
      <c r="S28" s="47">
        <v>0.15777948019833812</v>
      </c>
      <c r="T28" s="47">
        <v>0.13271256221030528</v>
      </c>
      <c r="U28" s="47">
        <v>9.7552372396536612E-4</v>
      </c>
      <c r="V28" s="47">
        <v>0.50733847366361517</v>
      </c>
      <c r="W28" s="47">
        <v>3.4799190921566789E-2</v>
      </c>
      <c r="X28" s="47">
        <v>0.16639476928220928</v>
      </c>
    </row>
    <row r="29" spans="1:24" x14ac:dyDescent="0.55000000000000004">
      <c r="A29" s="10">
        <v>5</v>
      </c>
      <c r="B29" s="11" t="s">
        <v>23</v>
      </c>
      <c r="C29" s="11" t="s">
        <v>73</v>
      </c>
      <c r="D29" s="11" t="s">
        <v>249</v>
      </c>
      <c r="E29" s="11" t="s">
        <v>240</v>
      </c>
      <c r="F29" s="11" t="s">
        <v>238</v>
      </c>
      <c r="G29" s="47">
        <v>0.4828580119447865</v>
      </c>
      <c r="H29" s="47">
        <v>9.9405440680078311E-2</v>
      </c>
      <c r="I29" s="47">
        <v>4.380469724642789E-3</v>
      </c>
      <c r="J29" s="47">
        <v>0.36376256755289998</v>
      </c>
      <c r="K29" s="47">
        <v>2.3861432972381198E-2</v>
      </c>
      <c r="L29" s="47">
        <v>2.5732077125211219E-2</v>
      </c>
      <c r="M29" s="47">
        <v>0.48399428840605313</v>
      </c>
      <c r="N29" s="47">
        <v>0.10371695224636401</v>
      </c>
      <c r="O29" s="47">
        <v>5.1389624919036684E-3</v>
      </c>
      <c r="P29" s="47">
        <v>0.36041188247070599</v>
      </c>
      <c r="Q29" s="47">
        <v>2.1640758405464287E-2</v>
      </c>
      <c r="R29" s="47">
        <v>2.5097155979508921E-2</v>
      </c>
      <c r="S29" s="47">
        <v>0.46633535795844949</v>
      </c>
      <c r="T29" s="47">
        <v>0.10787931018054349</v>
      </c>
      <c r="U29" s="47">
        <v>5.5392218621398634E-3</v>
      </c>
      <c r="V29" s="47">
        <v>0.37564648076253232</v>
      </c>
      <c r="W29" s="47">
        <v>1.9362925962667425E-2</v>
      </c>
      <c r="X29" s="47">
        <v>2.5236703273667414E-2</v>
      </c>
    </row>
    <row r="30" spans="1:24" x14ac:dyDescent="0.55000000000000004">
      <c r="A30" s="10">
        <v>69</v>
      </c>
      <c r="B30" s="11" t="s">
        <v>24</v>
      </c>
      <c r="C30" s="11" t="s">
        <v>80</v>
      </c>
      <c r="D30" s="11" t="s">
        <v>257</v>
      </c>
      <c r="E30" s="11" t="s">
        <v>237</v>
      </c>
      <c r="F30" s="11" t="s">
        <v>238</v>
      </c>
      <c r="G30" s="47">
        <v>0.47273827534039337</v>
      </c>
      <c r="H30" s="47">
        <v>0.18054284951499511</v>
      </c>
      <c r="I30" s="47">
        <v>9.2764972857524251E-3</v>
      </c>
      <c r="J30" s="47">
        <v>0.28290468986384265</v>
      </c>
      <c r="K30" s="47">
        <v>3.0193112040580224E-2</v>
      </c>
      <c r="L30" s="47">
        <v>2.4344575954436239E-2</v>
      </c>
      <c r="M30" s="47">
        <v>0.46398905827801312</v>
      </c>
      <c r="N30" s="47">
        <v>0.17883710844981152</v>
      </c>
      <c r="O30" s="47">
        <v>2.0524068452480233E-2</v>
      </c>
      <c r="P30" s="47">
        <v>0.2972403842946259</v>
      </c>
      <c r="Q30" s="47">
        <v>1.8701838075858158E-2</v>
      </c>
      <c r="R30" s="47">
        <v>2.0707542449211063E-2</v>
      </c>
      <c r="S30" s="47">
        <v>0.45073747774470208</v>
      </c>
      <c r="T30" s="47">
        <v>0.19112124226152763</v>
      </c>
      <c r="U30" s="47">
        <v>2.3011004647507938E-2</v>
      </c>
      <c r="V30" s="47">
        <v>0.28271573038082665</v>
      </c>
      <c r="W30" s="47">
        <v>2.2780929997132916E-2</v>
      </c>
      <c r="X30" s="47">
        <v>2.9633614968302791E-2</v>
      </c>
    </row>
    <row r="31" spans="1:24" x14ac:dyDescent="0.55000000000000004">
      <c r="A31" s="10">
        <v>1069</v>
      </c>
      <c r="B31" s="11" t="s">
        <v>178</v>
      </c>
      <c r="C31" s="11" t="s">
        <v>80</v>
      </c>
      <c r="D31" s="11" t="s">
        <v>247</v>
      </c>
      <c r="E31" s="11" t="s">
        <v>237</v>
      </c>
      <c r="F31" s="11" t="s">
        <v>241</v>
      </c>
      <c r="G31" s="47">
        <v>0.27072943059074545</v>
      </c>
      <c r="H31" s="47">
        <v>0.37775703427123619</v>
      </c>
      <c r="I31" s="47">
        <v>1.6188825176690225E-2</v>
      </c>
      <c r="J31" s="47">
        <v>0.30084011201493532</v>
      </c>
      <c r="K31" s="47">
        <v>1.808241098813175E-2</v>
      </c>
      <c r="L31" s="47">
        <v>1.6402186958261102E-2</v>
      </c>
      <c r="M31" s="47">
        <v>0.51587025779957896</v>
      </c>
      <c r="N31" s="47">
        <v>0.15305223857514288</v>
      </c>
      <c r="O31" s="47">
        <v>8.4250190588650558E-3</v>
      </c>
      <c r="P31" s="47">
        <v>0.28869222525668059</v>
      </c>
      <c r="Q31" s="47">
        <v>1.2004810657680951E-2</v>
      </c>
      <c r="R31" s="47">
        <v>2.1955448652051533E-2</v>
      </c>
      <c r="S31" s="47">
        <v>0.47891511501551065</v>
      </c>
      <c r="T31" s="47">
        <v>0.16410763439147696</v>
      </c>
      <c r="U31" s="47">
        <v>9.6094081433321168E-3</v>
      </c>
      <c r="V31" s="47">
        <v>0.31633035617388267</v>
      </c>
      <c r="W31" s="47">
        <v>1.0443783271060573E-2</v>
      </c>
      <c r="X31" s="47">
        <v>2.0593703004737052E-2</v>
      </c>
    </row>
    <row r="32" spans="1:24" x14ac:dyDescent="0.55000000000000004">
      <c r="A32" s="10">
        <v>324</v>
      </c>
      <c r="B32" s="11" t="s">
        <v>25</v>
      </c>
      <c r="C32" s="11" t="s">
        <v>80</v>
      </c>
      <c r="D32" s="11" t="s">
        <v>245</v>
      </c>
      <c r="E32" s="11" t="s">
        <v>237</v>
      </c>
      <c r="F32" s="11" t="s">
        <v>238</v>
      </c>
      <c r="G32" s="47">
        <v>0.43982367883952472</v>
      </c>
      <c r="H32" s="47">
        <v>0.27478191668764029</v>
      </c>
      <c r="I32" s="47">
        <v>9.2720434566854592E-3</v>
      </c>
      <c r="J32" s="47">
        <v>0.217647706164006</v>
      </c>
      <c r="K32" s="47">
        <v>3.7597145276449445E-2</v>
      </c>
      <c r="L32" s="47">
        <v>2.0877509575694092E-2</v>
      </c>
      <c r="M32" s="47">
        <v>0.41901787895432319</v>
      </c>
      <c r="N32" s="47">
        <v>0.27353724021405579</v>
      </c>
      <c r="O32" s="47">
        <v>1.3288474023573067E-2</v>
      </c>
      <c r="P32" s="47">
        <v>0.23731013460342912</v>
      </c>
      <c r="Q32" s="47">
        <v>3.2091542367720882E-2</v>
      </c>
      <c r="R32" s="47">
        <v>2.4754729836897957E-2</v>
      </c>
      <c r="S32" s="47">
        <v>0.41749271320874209</v>
      </c>
      <c r="T32" s="47">
        <v>0.27662736085955986</v>
      </c>
      <c r="U32" s="47">
        <v>1.3519582111360999E-2</v>
      </c>
      <c r="V32" s="47">
        <v>0.24590550120647012</v>
      </c>
      <c r="W32" s="47">
        <v>2.3520424410829539E-2</v>
      </c>
      <c r="X32" s="47">
        <v>2.2934418203037411E-2</v>
      </c>
    </row>
    <row r="33" spans="1:24" x14ac:dyDescent="0.55000000000000004">
      <c r="A33" s="10">
        <v>81</v>
      </c>
      <c r="B33" s="11" t="s">
        <v>131</v>
      </c>
      <c r="C33" s="15" t="s">
        <v>80</v>
      </c>
      <c r="D33" s="15" t="s">
        <v>247</v>
      </c>
      <c r="E33" s="15" t="s">
        <v>237</v>
      </c>
      <c r="F33" s="15" t="s">
        <v>241</v>
      </c>
      <c r="G33" s="47">
        <v>0.50642008174008735</v>
      </c>
      <c r="H33" s="47">
        <v>0.19267434673334219</v>
      </c>
      <c r="I33" s="47">
        <v>6.2078930209382831E-3</v>
      </c>
      <c r="J33" s="47">
        <v>0.26990005661694294</v>
      </c>
      <c r="K33" s="47">
        <v>2.4797621888689291E-2</v>
      </c>
      <c r="L33" s="47">
        <v>0</v>
      </c>
      <c r="M33" s="47" t="e">
        <v>#DIV/0!</v>
      </c>
      <c r="N33" s="47" t="e">
        <v>#DIV/0!</v>
      </c>
      <c r="O33" s="47" t="e">
        <v>#DIV/0!</v>
      </c>
      <c r="P33" s="47" t="e">
        <v>#DIV/0!</v>
      </c>
      <c r="Q33" s="47" t="e">
        <v>#DIV/0!</v>
      </c>
      <c r="R33" s="47" t="e">
        <v>#DIV/0!</v>
      </c>
      <c r="S33" s="47" t="e">
        <v>#DIV/0!</v>
      </c>
      <c r="T33" s="47" t="e">
        <v>#DIV/0!</v>
      </c>
      <c r="U33" s="47" t="e">
        <v>#DIV/0!</v>
      </c>
      <c r="V33" s="47" t="e">
        <v>#DIV/0!</v>
      </c>
      <c r="W33" s="47" t="e">
        <v>#DIV/0!</v>
      </c>
      <c r="X33" s="47" t="e">
        <v>#DIV/0!</v>
      </c>
    </row>
    <row r="34" spans="1:24" x14ac:dyDescent="0.55000000000000004">
      <c r="A34" s="10">
        <v>862</v>
      </c>
      <c r="B34" s="11" t="s">
        <v>26</v>
      </c>
      <c r="C34" s="11" t="s">
        <v>79</v>
      </c>
      <c r="D34" s="11" t="s">
        <v>243</v>
      </c>
      <c r="E34" s="11" t="s">
        <v>237</v>
      </c>
      <c r="F34" s="11" t="s">
        <v>241</v>
      </c>
      <c r="G34" s="47">
        <v>0.44527223093953527</v>
      </c>
      <c r="H34" s="47">
        <v>0.25555746619951419</v>
      </c>
      <c r="I34" s="47">
        <v>1.0240096296455517E-2</v>
      </c>
      <c r="J34" s="47">
        <v>0.23277518646690884</v>
      </c>
      <c r="K34" s="47">
        <v>4.2048019259291101E-2</v>
      </c>
      <c r="L34" s="47">
        <v>1.4107000838295037E-2</v>
      </c>
      <c r="M34" s="47">
        <v>0.48609750391156215</v>
      </c>
      <c r="N34" s="47">
        <v>0.21441818864209083</v>
      </c>
      <c r="O34" s="47">
        <v>2.7649017113388998E-3</v>
      </c>
      <c r="P34" s="47">
        <v>0.23224199531099965</v>
      </c>
      <c r="Q34" s="47">
        <v>4.0725332787420611E-2</v>
      </c>
      <c r="R34" s="47">
        <v>2.3752077636587852E-2</v>
      </c>
      <c r="S34" s="47">
        <v>0.46763288755280152</v>
      </c>
      <c r="T34" s="47">
        <v>0.16246333846248295</v>
      </c>
      <c r="U34" s="47">
        <v>2.9081684183009642E-3</v>
      </c>
      <c r="V34" s="47">
        <v>0.23037110090562166</v>
      </c>
      <c r="W34" s="47">
        <v>5.4693766003837949E-2</v>
      </c>
      <c r="X34" s="47">
        <v>8.1930738656954952E-2</v>
      </c>
    </row>
    <row r="35" spans="1:24" x14ac:dyDescent="0.55000000000000004">
      <c r="A35" s="10">
        <v>863</v>
      </c>
      <c r="B35" s="11" t="s">
        <v>27</v>
      </c>
      <c r="C35" s="11" t="s">
        <v>79</v>
      </c>
      <c r="D35" s="11" t="s">
        <v>243</v>
      </c>
      <c r="E35" s="11" t="s">
        <v>237</v>
      </c>
      <c r="F35" s="11" t="s">
        <v>241</v>
      </c>
      <c r="G35" s="47">
        <v>0.56338038991832795</v>
      </c>
      <c r="H35" s="47">
        <v>0.2086633880741196</v>
      </c>
      <c r="I35" s="47">
        <v>1.0776543426714675E-2</v>
      </c>
      <c r="J35" s="47">
        <v>0.1625472029507333</v>
      </c>
      <c r="K35" s="47">
        <v>4.450908931237376E-2</v>
      </c>
      <c r="L35" s="47">
        <v>1.0123386317730746E-2</v>
      </c>
      <c r="M35" s="47">
        <v>0.52876435796969745</v>
      </c>
      <c r="N35" s="47">
        <v>0.20175523541359394</v>
      </c>
      <c r="O35" s="47">
        <v>1.0763821640868256E-3</v>
      </c>
      <c r="P35" s="47">
        <v>0.19940879678599982</v>
      </c>
      <c r="Q35" s="47">
        <v>5.468940104981402E-2</v>
      </c>
      <c r="R35" s="47">
        <v>1.4305826616807949E-2</v>
      </c>
      <c r="S35" s="47">
        <v>0.52170594115467694</v>
      </c>
      <c r="T35" s="47">
        <v>0.21290430819346676</v>
      </c>
      <c r="U35" s="47">
        <v>1.0639413364277575E-3</v>
      </c>
      <c r="V35" s="47">
        <v>0.20120095349276143</v>
      </c>
      <c r="W35" s="47">
        <v>4.2519905209957146E-2</v>
      </c>
      <c r="X35" s="47">
        <v>2.0604950612709973E-2</v>
      </c>
    </row>
    <row r="36" spans="1:24" x14ac:dyDescent="0.55000000000000004">
      <c r="A36" s="10">
        <v>861</v>
      </c>
      <c r="B36" s="11" t="s">
        <v>28</v>
      </c>
      <c r="C36" s="11" t="s">
        <v>79</v>
      </c>
      <c r="D36" s="11" t="s">
        <v>247</v>
      </c>
      <c r="E36" s="11" t="s">
        <v>237</v>
      </c>
      <c r="F36" s="11" t="s">
        <v>241</v>
      </c>
      <c r="G36" s="47">
        <v>0.47968213329530396</v>
      </c>
      <c r="H36" s="47">
        <v>0.18290199350834246</v>
      </c>
      <c r="I36" s="47">
        <v>7.3617728382380501E-3</v>
      </c>
      <c r="J36" s="47">
        <v>0.27881558325427941</v>
      </c>
      <c r="K36" s="47">
        <v>2.5420278697062565E-2</v>
      </c>
      <c r="L36" s="47">
        <v>2.5818238406773601E-2</v>
      </c>
      <c r="M36" s="47">
        <v>0.53592208344494119</v>
      </c>
      <c r="N36" s="47">
        <v>0.15632354037627266</v>
      </c>
      <c r="O36" s="47">
        <v>2.2036224460209152E-3</v>
      </c>
      <c r="P36" s="47">
        <v>0.25694513863767532</v>
      </c>
      <c r="Q36" s="47">
        <v>2.3928357417619589E-2</v>
      </c>
      <c r="R36" s="47">
        <v>2.4677257677470307E-2</v>
      </c>
      <c r="S36" s="47">
        <v>0.53883374820690233</v>
      </c>
      <c r="T36" s="47">
        <v>0.16017899333389587</v>
      </c>
      <c r="U36" s="47">
        <v>1.9971943295924396E-3</v>
      </c>
      <c r="V36" s="47">
        <v>0.25072514977639015</v>
      </c>
      <c r="W36" s="47">
        <v>1.6801852164374315E-2</v>
      </c>
      <c r="X36" s="47">
        <v>3.1463062188844822E-2</v>
      </c>
    </row>
    <row r="37" spans="1:24" x14ac:dyDescent="0.55000000000000004">
      <c r="A37" s="10">
        <v>74</v>
      </c>
      <c r="B37" s="11" t="s">
        <v>29</v>
      </c>
      <c r="C37" s="11" t="s">
        <v>69</v>
      </c>
      <c r="D37" s="11" t="s">
        <v>248</v>
      </c>
      <c r="E37" s="11" t="s">
        <v>240</v>
      </c>
      <c r="F37" s="11" t="s">
        <v>241</v>
      </c>
      <c r="G37" s="47">
        <v>0.32314697661415653</v>
      </c>
      <c r="H37" s="47">
        <v>0.33729897350697902</v>
      </c>
      <c r="I37" s="47">
        <v>7.844282128003954E-3</v>
      </c>
      <c r="J37" s="47">
        <v>0.23264372630222666</v>
      </c>
      <c r="K37" s="47">
        <v>7.9565717268510375E-2</v>
      </c>
      <c r="L37" s="47">
        <v>1.950032418012345E-2</v>
      </c>
      <c r="M37" s="47">
        <v>0.33158497925333902</v>
      </c>
      <c r="N37" s="47">
        <v>0.33139570187171258</v>
      </c>
      <c r="O37" s="47">
        <v>0</v>
      </c>
      <c r="P37" s="47">
        <v>0.23544191618731897</v>
      </c>
      <c r="Q37" s="47">
        <v>8.8539692178084856E-2</v>
      </c>
      <c r="R37" s="47">
        <v>1.3037710509544559E-2</v>
      </c>
      <c r="S37" s="47">
        <v>0.3316009261436258</v>
      </c>
      <c r="T37" s="47">
        <v>0.33452487728983982</v>
      </c>
      <c r="U37" s="47">
        <v>0</v>
      </c>
      <c r="V37" s="47">
        <v>0.24163331020876933</v>
      </c>
      <c r="W37" s="47">
        <v>7.6912396604656069E-2</v>
      </c>
      <c r="X37" s="47">
        <v>1.5328489753108996E-2</v>
      </c>
    </row>
    <row r="38" spans="1:24" x14ac:dyDescent="0.55000000000000004">
      <c r="A38" s="10">
        <v>73</v>
      </c>
      <c r="B38" s="11" t="s">
        <v>30</v>
      </c>
      <c r="C38" s="11" t="s">
        <v>72</v>
      </c>
      <c r="D38" s="11" t="s">
        <v>253</v>
      </c>
      <c r="E38" s="11" t="s">
        <v>251</v>
      </c>
      <c r="F38" s="11" t="s">
        <v>241</v>
      </c>
      <c r="G38" s="47">
        <v>0.46463962190643981</v>
      </c>
      <c r="H38" s="47">
        <v>0.1485928857958258</v>
      </c>
      <c r="I38" s="47">
        <v>4.9342559350647628E-3</v>
      </c>
      <c r="J38" s="47">
        <v>0.30571092448660936</v>
      </c>
      <c r="K38" s="47">
        <v>2.8668379758251625E-2</v>
      </c>
      <c r="L38" s="47">
        <v>4.7453932117808621E-2</v>
      </c>
      <c r="M38" s="47">
        <v>0.49986728650589751</v>
      </c>
      <c r="N38" s="47">
        <v>0.14990457016774617</v>
      </c>
      <c r="O38" s="47">
        <v>3.1155382329521148E-3</v>
      </c>
      <c r="P38" s="47">
        <v>0.27162037245706055</v>
      </c>
      <c r="Q38" s="47">
        <v>4.7877019004519641E-2</v>
      </c>
      <c r="R38" s="47">
        <v>2.7615213631824037E-2</v>
      </c>
      <c r="S38" s="47">
        <v>0.48029837715301021</v>
      </c>
      <c r="T38" s="47">
        <v>0.14785306033451651</v>
      </c>
      <c r="U38" s="47">
        <v>2.1680457314614634E-3</v>
      </c>
      <c r="V38" s="47">
        <v>0.30239946912725402</v>
      </c>
      <c r="W38" s="47">
        <v>3.5809808441615486E-2</v>
      </c>
      <c r="X38" s="47">
        <v>3.1471239212142316E-2</v>
      </c>
    </row>
    <row r="39" spans="1:24" x14ac:dyDescent="0.55000000000000004">
      <c r="A39" s="10">
        <v>108</v>
      </c>
      <c r="B39" s="11" t="s">
        <v>31</v>
      </c>
      <c r="C39" s="11" t="s">
        <v>72</v>
      </c>
      <c r="D39" s="11" t="s">
        <v>252</v>
      </c>
      <c r="E39" s="11" t="s">
        <v>251</v>
      </c>
      <c r="F39" s="11" t="s">
        <v>241</v>
      </c>
      <c r="G39" s="47">
        <v>0.48057063555174945</v>
      </c>
      <c r="H39" s="47">
        <v>0.13303194580376804</v>
      </c>
      <c r="I39" s="47">
        <v>1.5227397846831418E-3</v>
      </c>
      <c r="J39" s="47">
        <v>0.307228712992415</v>
      </c>
      <c r="K39" s="47">
        <v>4.6620381698067044E-2</v>
      </c>
      <c r="L39" s="47">
        <v>3.1025584169317347E-2</v>
      </c>
      <c r="M39" s="47">
        <v>0.45874564498714365</v>
      </c>
      <c r="N39" s="47">
        <v>0.13215466397825953</v>
      </c>
      <c r="O39" s="47">
        <v>6.7302937159013031E-4</v>
      </c>
      <c r="P39" s="47">
        <v>0.31735779720229679</v>
      </c>
      <c r="Q39" s="47">
        <v>5.7669434051072312E-2</v>
      </c>
      <c r="R39" s="47">
        <v>3.3399430409637561E-2</v>
      </c>
      <c r="S39" s="47">
        <v>0.4516092871035744</v>
      </c>
      <c r="T39" s="47">
        <v>0.12951310839612862</v>
      </c>
      <c r="U39" s="47">
        <v>7.1481813629005019E-4</v>
      </c>
      <c r="V39" s="47">
        <v>0.31014262878373183</v>
      </c>
      <c r="W39" s="47">
        <v>7.6431310490210916E-2</v>
      </c>
      <c r="X39" s="47">
        <v>3.1588847090064175E-2</v>
      </c>
    </row>
    <row r="40" spans="1:24" x14ac:dyDescent="0.55000000000000004">
      <c r="A40" s="10">
        <v>75</v>
      </c>
      <c r="B40" s="11" t="s">
        <v>32</v>
      </c>
      <c r="C40" s="11" t="s">
        <v>69</v>
      </c>
      <c r="D40" s="11" t="s">
        <v>253</v>
      </c>
      <c r="E40" s="11" t="s">
        <v>251</v>
      </c>
      <c r="F40" s="11" t="s">
        <v>241</v>
      </c>
      <c r="G40" s="47">
        <v>0.35918505043740423</v>
      </c>
      <c r="H40" s="47">
        <v>0.23780043129044132</v>
      </c>
      <c r="I40" s="47">
        <v>1.8046727102509548E-3</v>
      </c>
      <c r="J40" s="47">
        <v>0.31204471675479967</v>
      </c>
      <c r="K40" s="47">
        <v>4.9227182459434055E-2</v>
      </c>
      <c r="L40" s="47">
        <v>3.9937946347669756E-2</v>
      </c>
      <c r="M40" s="47">
        <v>0.35586836710460584</v>
      </c>
      <c r="N40" s="47">
        <v>0.23324084108348325</v>
      </c>
      <c r="O40" s="47">
        <v>1.3539445920013539E-3</v>
      </c>
      <c r="P40" s="47">
        <v>0.33883623548808883</v>
      </c>
      <c r="Q40" s="47">
        <v>5.868230618255868E-2</v>
      </c>
      <c r="R40" s="47">
        <v>1.2018305549262018E-2</v>
      </c>
      <c r="S40" s="47">
        <v>0.35887878816270891</v>
      </c>
      <c r="T40" s="47">
        <v>0.22866882006549205</v>
      </c>
      <c r="U40" s="47">
        <v>1.3491925925578911E-3</v>
      </c>
      <c r="V40" s="47">
        <v>0.34714772253479559</v>
      </c>
      <c r="W40" s="47">
        <v>5.600086198415636E-2</v>
      </c>
      <c r="X40" s="47">
        <v>7.9546146602892335E-3</v>
      </c>
    </row>
    <row r="41" spans="1:24" x14ac:dyDescent="0.55000000000000004">
      <c r="A41" s="10">
        <v>84</v>
      </c>
      <c r="B41" s="11" t="s">
        <v>33</v>
      </c>
      <c r="C41" s="11" t="s">
        <v>69</v>
      </c>
      <c r="D41" s="11" t="s">
        <v>255</v>
      </c>
      <c r="E41" s="11" t="s">
        <v>251</v>
      </c>
      <c r="F41" s="11" t="s">
        <v>241</v>
      </c>
      <c r="G41" s="47">
        <v>0.54404959294943611</v>
      </c>
      <c r="H41" s="47">
        <v>0.23807304503697066</v>
      </c>
      <c r="I41" s="47">
        <v>9.7393382627530064E-4</v>
      </c>
      <c r="J41" s="47">
        <v>0.12795130330868623</v>
      </c>
      <c r="K41" s="47">
        <v>7.0574352080065725E-2</v>
      </c>
      <c r="L41" s="47">
        <v>1.8377772798565988E-2</v>
      </c>
      <c r="M41" s="47">
        <v>0.54723331440802847</v>
      </c>
      <c r="N41" s="47">
        <v>0.23729658573870813</v>
      </c>
      <c r="O41" s="47">
        <v>1.2220189892629039E-3</v>
      </c>
      <c r="P41" s="47">
        <v>0.14257989126075557</v>
      </c>
      <c r="Q41" s="47">
        <v>6.5946561439874929E-2</v>
      </c>
      <c r="R41" s="47">
        <v>5.7216281633699411E-3</v>
      </c>
      <c r="S41" s="47">
        <v>0.53682928162333043</v>
      </c>
      <c r="T41" s="47">
        <v>0.23561477543717332</v>
      </c>
      <c r="U41" s="47">
        <v>1.1492070615106247E-3</v>
      </c>
      <c r="V41" s="47">
        <v>0.15813175464788815</v>
      </c>
      <c r="W41" s="47">
        <v>6.3108583526785583E-2</v>
      </c>
      <c r="X41" s="47">
        <v>5.1663977033118451E-3</v>
      </c>
    </row>
    <row r="42" spans="1:24" x14ac:dyDescent="0.55000000000000004">
      <c r="A42" s="10">
        <v>15</v>
      </c>
      <c r="B42" s="11" t="s">
        <v>34</v>
      </c>
      <c r="C42" s="11" t="s">
        <v>67</v>
      </c>
      <c r="D42" s="11" t="s">
        <v>254</v>
      </c>
      <c r="E42" s="11" t="s">
        <v>240</v>
      </c>
      <c r="F42" s="11" t="s">
        <v>241</v>
      </c>
      <c r="G42" s="47">
        <v>0.48367400237679059</v>
      </c>
      <c r="H42" s="47">
        <v>8.4833104894494624E-2</v>
      </c>
      <c r="I42" s="47">
        <v>0</v>
      </c>
      <c r="J42" s="47">
        <v>0.3826178898411452</v>
      </c>
      <c r="K42" s="47">
        <v>1.9165761894861667E-2</v>
      </c>
      <c r="L42" s="47">
        <v>2.9709240992707924E-2</v>
      </c>
      <c r="M42" s="47">
        <v>0.46497413919091846</v>
      </c>
      <c r="N42" s="47">
        <v>9.0688258559545043E-2</v>
      </c>
      <c r="O42" s="47">
        <v>0</v>
      </c>
      <c r="P42" s="47">
        <v>0.40341028970114984</v>
      </c>
      <c r="Q42" s="47">
        <v>2.1814535792917988E-2</v>
      </c>
      <c r="R42" s="47">
        <v>1.9112776755468654E-2</v>
      </c>
      <c r="S42" s="47">
        <v>0.47500726966504547</v>
      </c>
      <c r="T42" s="47">
        <v>9.6037809132624122E-2</v>
      </c>
      <c r="U42" s="47">
        <v>0</v>
      </c>
      <c r="V42" s="47">
        <v>0.36861718253218073</v>
      </c>
      <c r="W42" s="47">
        <v>1.744348393971162E-2</v>
      </c>
      <c r="X42" s="47">
        <v>4.2894254730438071E-2</v>
      </c>
    </row>
    <row r="43" spans="1:24" x14ac:dyDescent="0.55000000000000004">
      <c r="A43" s="10">
        <v>58</v>
      </c>
      <c r="B43" s="11" t="s">
        <v>35</v>
      </c>
      <c r="C43" s="11" t="s">
        <v>73</v>
      </c>
      <c r="D43" s="11" t="s">
        <v>239</v>
      </c>
      <c r="E43" s="11" t="s">
        <v>240</v>
      </c>
      <c r="F43" s="11" t="s">
        <v>241</v>
      </c>
      <c r="G43" s="47">
        <v>0.2295897246096695</v>
      </c>
      <c r="H43" s="47">
        <v>0.44980877575358802</v>
      </c>
      <c r="I43" s="47">
        <v>0</v>
      </c>
      <c r="J43" s="47">
        <v>8.6019382873435593E-2</v>
      </c>
      <c r="K43" s="47">
        <v>0.20244273553481104</v>
      </c>
      <c r="L43" s="47">
        <v>3.2139381228495842E-2</v>
      </c>
      <c r="M43" s="47">
        <v>0.22851501610724306</v>
      </c>
      <c r="N43" s="47">
        <v>0.39083149003132378</v>
      </c>
      <c r="O43" s="47">
        <v>0</v>
      </c>
      <c r="P43" s="47">
        <v>0.13220112528020664</v>
      </c>
      <c r="Q43" s="47">
        <v>0.20307893291370377</v>
      </c>
      <c r="R43" s="47">
        <v>4.5373435667522749E-2</v>
      </c>
      <c r="S43" s="47">
        <v>0.19990726799549302</v>
      </c>
      <c r="T43" s="47">
        <v>0.34953733709579315</v>
      </c>
      <c r="U43" s="47">
        <v>0</v>
      </c>
      <c r="V43" s="47">
        <v>0.26056696148131897</v>
      </c>
      <c r="W43" s="47">
        <v>0.17075900647129794</v>
      </c>
      <c r="X43" s="47">
        <v>1.922942695609688E-2</v>
      </c>
    </row>
    <row r="44" spans="1:24" x14ac:dyDescent="0.55000000000000004">
      <c r="A44" s="10">
        <v>2</v>
      </c>
      <c r="B44" s="11" t="s">
        <v>36</v>
      </c>
      <c r="C44" s="11" t="s">
        <v>69</v>
      </c>
      <c r="D44" s="11" t="s">
        <v>246</v>
      </c>
      <c r="E44" s="11" t="s">
        <v>240</v>
      </c>
      <c r="F44" s="11" t="s">
        <v>241</v>
      </c>
      <c r="G44" s="47">
        <v>0.34521549157079762</v>
      </c>
      <c r="H44" s="47">
        <v>0.36855279528743018</v>
      </c>
      <c r="I44" s="47">
        <v>6.4567867019676983E-4</v>
      </c>
      <c r="J44" s="47">
        <v>0.19732633012754364</v>
      </c>
      <c r="K44" s="47">
        <v>6.3478837070800584E-2</v>
      </c>
      <c r="L44" s="47">
        <v>2.4780867273231165E-2</v>
      </c>
      <c r="M44" s="47">
        <v>0.34762965241679833</v>
      </c>
      <c r="N44" s="47">
        <v>0.36154866857202456</v>
      </c>
      <c r="O44" s="47">
        <v>5.9071352760271096E-4</v>
      </c>
      <c r="P44" s="47">
        <v>0.1953215313327952</v>
      </c>
      <c r="Q44" s="47">
        <v>6.7637575340076583E-2</v>
      </c>
      <c r="R44" s="47">
        <v>2.7271858810702609E-2</v>
      </c>
      <c r="S44" s="47">
        <v>0.32781256713191465</v>
      </c>
      <c r="T44" s="47">
        <v>0.36146878349566214</v>
      </c>
      <c r="U44" s="47">
        <v>6.1672320900018479E-4</v>
      </c>
      <c r="V44" s="47">
        <v>0.21578114086670419</v>
      </c>
      <c r="W44" s="47">
        <v>7.0632615547498376E-2</v>
      </c>
      <c r="X44" s="47">
        <v>2.3688169749220472E-2</v>
      </c>
    </row>
    <row r="45" spans="1:24" x14ac:dyDescent="0.55000000000000004">
      <c r="A45" s="10">
        <v>28</v>
      </c>
      <c r="B45" s="11" t="s">
        <v>37</v>
      </c>
      <c r="C45" s="11" t="s">
        <v>67</v>
      </c>
      <c r="D45" s="11" t="s">
        <v>259</v>
      </c>
      <c r="E45" s="11" t="s">
        <v>240</v>
      </c>
      <c r="F45" s="11" t="s">
        <v>238</v>
      </c>
      <c r="G45" s="47">
        <v>0.55788500237254912</v>
      </c>
      <c r="H45" s="47">
        <v>0.1162071079492517</v>
      </c>
      <c r="I45" s="47">
        <v>0</v>
      </c>
      <c r="J45" s="47">
        <v>0.27824909340916254</v>
      </c>
      <c r="K45" s="47">
        <v>1.9836588516862416E-2</v>
      </c>
      <c r="L45" s="47">
        <v>2.7822207752174258E-2</v>
      </c>
      <c r="M45" s="47">
        <v>0.55122194598911189</v>
      </c>
      <c r="N45" s="47">
        <v>0.13311762951659523</v>
      </c>
      <c r="O45" s="47">
        <v>0</v>
      </c>
      <c r="P45" s="47">
        <v>0.26963380410003324</v>
      </c>
      <c r="Q45" s="47">
        <v>2.0611197191769758E-2</v>
      </c>
      <c r="R45" s="47">
        <v>2.5415423202489941E-2</v>
      </c>
      <c r="S45" s="47">
        <v>0.55437817787780275</v>
      </c>
      <c r="T45" s="47">
        <v>0.12349788836097914</v>
      </c>
      <c r="U45" s="47">
        <v>0</v>
      </c>
      <c r="V45" s="47">
        <v>0.27516311948357458</v>
      </c>
      <c r="W45" s="47">
        <v>2.1898414418419419E-2</v>
      </c>
      <c r="X45" s="47">
        <v>2.5062399859224066E-2</v>
      </c>
    </row>
    <row r="46" spans="1:24" x14ac:dyDescent="0.55000000000000004">
      <c r="A46" s="10">
        <v>52</v>
      </c>
      <c r="B46" s="11" t="s">
        <v>38</v>
      </c>
      <c r="C46" s="11" t="s">
        <v>72</v>
      </c>
      <c r="D46" s="11" t="s">
        <v>255</v>
      </c>
      <c r="E46" s="11" t="s">
        <v>251</v>
      </c>
      <c r="F46" s="11" t="s">
        <v>241</v>
      </c>
      <c r="G46" s="47">
        <v>0.52602904953390972</v>
      </c>
      <c r="H46" s="47">
        <v>0.11063413899923319</v>
      </c>
      <c r="I46" s="47">
        <v>5.9967293340899798E-3</v>
      </c>
      <c r="J46" s="47">
        <v>0.30541775231214519</v>
      </c>
      <c r="K46" s="47">
        <v>2.5077139306366611E-2</v>
      </c>
      <c r="L46" s="47">
        <v>2.6845190514255261E-2</v>
      </c>
      <c r="M46" s="47">
        <v>0.60789985260116752</v>
      </c>
      <c r="N46" s="47">
        <v>8.5211587824618601E-2</v>
      </c>
      <c r="O46" s="47">
        <v>9.2527734254005053E-4</v>
      </c>
      <c r="P46" s="47">
        <v>0.23924025330175083</v>
      </c>
      <c r="Q46" s="47">
        <v>3.7191166036319119E-2</v>
      </c>
      <c r="R46" s="47">
        <v>2.9531862893603864E-2</v>
      </c>
      <c r="S46" s="47">
        <v>0.5904267136297362</v>
      </c>
      <c r="T46" s="47">
        <v>8.8266147601161124E-2</v>
      </c>
      <c r="U46" s="47">
        <v>3.2932018798959711E-3</v>
      </c>
      <c r="V46" s="47">
        <v>0.25157266941598755</v>
      </c>
      <c r="W46" s="47">
        <v>3.4259598469678756E-2</v>
      </c>
      <c r="X46" s="47">
        <v>3.2181669003540379E-2</v>
      </c>
    </row>
    <row r="47" spans="1:24" x14ac:dyDescent="0.55000000000000004">
      <c r="A47" s="10">
        <v>51</v>
      </c>
      <c r="B47" s="11" t="s">
        <v>39</v>
      </c>
      <c r="C47" s="11" t="s">
        <v>67</v>
      </c>
      <c r="D47" s="11" t="s">
        <v>260</v>
      </c>
      <c r="E47" s="11" t="s">
        <v>240</v>
      </c>
      <c r="F47" s="11" t="s">
        <v>241</v>
      </c>
      <c r="G47" s="47">
        <v>0.46285442048243064</v>
      </c>
      <c r="H47" s="47">
        <v>9.3556150616103451E-2</v>
      </c>
      <c r="I47" s="47">
        <v>0</v>
      </c>
      <c r="J47" s="47">
        <v>0.39074674853956542</v>
      </c>
      <c r="K47" s="47">
        <v>2.6794245789976592E-2</v>
      </c>
      <c r="L47" s="47">
        <v>2.6048434571923917E-2</v>
      </c>
      <c r="M47" s="47">
        <v>0.38289864535922868</v>
      </c>
      <c r="N47" s="47">
        <v>0.12649159059669765</v>
      </c>
      <c r="O47" s="47">
        <v>0</v>
      </c>
      <c r="P47" s="47">
        <v>0.43081888780059108</v>
      </c>
      <c r="Q47" s="47">
        <v>3.226615329032681E-2</v>
      </c>
      <c r="R47" s="47">
        <v>2.7524722953155775E-2</v>
      </c>
      <c r="S47" s="47">
        <v>0.45145944164910523</v>
      </c>
      <c r="T47" s="47">
        <v>0.11272592480728176</v>
      </c>
      <c r="U47" s="47">
        <v>0</v>
      </c>
      <c r="V47" s="47">
        <v>0.38618634120223233</v>
      </c>
      <c r="W47" s="47">
        <v>2.6402158169674422E-2</v>
      </c>
      <c r="X47" s="47">
        <v>2.3226134171706287E-2</v>
      </c>
    </row>
    <row r="48" spans="1:24" x14ac:dyDescent="0.55000000000000004">
      <c r="A48" s="10">
        <v>10</v>
      </c>
      <c r="B48" s="11" t="s">
        <v>40</v>
      </c>
      <c r="C48" s="11" t="s">
        <v>78</v>
      </c>
      <c r="D48" s="11" t="s">
        <v>252</v>
      </c>
      <c r="E48" s="11" t="s">
        <v>251</v>
      </c>
      <c r="F48" s="11" t="s">
        <v>241</v>
      </c>
      <c r="G48" s="47">
        <v>0.41190051574220971</v>
      </c>
      <c r="H48" s="47">
        <v>8.0083045169152461E-2</v>
      </c>
      <c r="I48" s="47">
        <v>0</v>
      </c>
      <c r="J48" s="47">
        <v>0.48176975120645543</v>
      </c>
      <c r="K48" s="47">
        <v>1.8189834997725429E-2</v>
      </c>
      <c r="L48" s="47">
        <v>8.0568528844569571E-3</v>
      </c>
      <c r="M48" s="47">
        <v>0.41968423320016779</v>
      </c>
      <c r="N48" s="47">
        <v>8.030735691392997E-2</v>
      </c>
      <c r="O48" s="47">
        <v>0</v>
      </c>
      <c r="P48" s="47">
        <v>0.44756978713222351</v>
      </c>
      <c r="Q48" s="47">
        <v>3.5218431865545997E-2</v>
      </c>
      <c r="R48" s="47">
        <v>1.7220190888132782E-2</v>
      </c>
      <c r="S48" s="47">
        <v>0.41451858588618656</v>
      </c>
      <c r="T48" s="47">
        <v>7.6846608577913089E-2</v>
      </c>
      <c r="U48" s="47">
        <v>0</v>
      </c>
      <c r="V48" s="47">
        <v>0.4531626287981827</v>
      </c>
      <c r="W48" s="47">
        <v>3.817350769475468E-2</v>
      </c>
      <c r="X48" s="47">
        <v>1.7298669042962976E-2</v>
      </c>
    </row>
    <row r="49" spans="1:24" x14ac:dyDescent="0.55000000000000004">
      <c r="A49" s="10">
        <v>392</v>
      </c>
      <c r="B49" s="11" t="s">
        <v>41</v>
      </c>
      <c r="C49" s="11" t="s">
        <v>72</v>
      </c>
      <c r="D49" s="11" t="s">
        <v>252</v>
      </c>
      <c r="E49" s="11" t="s">
        <v>251</v>
      </c>
      <c r="F49" s="11" t="s">
        <v>241</v>
      </c>
      <c r="G49" s="47">
        <v>0.58058367704036995</v>
      </c>
      <c r="H49" s="47">
        <v>0.10498861253454429</v>
      </c>
      <c r="I49" s="47">
        <v>8.4364454443194598E-4</v>
      </c>
      <c r="J49" s="47">
        <v>0.2594172256245747</v>
      </c>
      <c r="K49" s="47">
        <v>4.8073851879626157E-2</v>
      </c>
      <c r="L49" s="47">
        <v>6.0929883764529432E-3</v>
      </c>
      <c r="M49" s="47">
        <v>0.5589831290794075</v>
      </c>
      <c r="N49" s="47">
        <v>0.1090741606455647</v>
      </c>
      <c r="O49" s="47">
        <v>2.7043180325346619E-3</v>
      </c>
      <c r="P49" s="47">
        <v>0.27742239632954413</v>
      </c>
      <c r="Q49" s="47">
        <v>2.8613302246497305E-2</v>
      </c>
      <c r="R49" s="47">
        <v>2.3202693666451661E-2</v>
      </c>
      <c r="S49" s="47">
        <v>0.5196117524307009</v>
      </c>
      <c r="T49" s="47">
        <v>0.11149158309574603</v>
      </c>
      <c r="U49" s="47">
        <v>3.7881053492035008E-4</v>
      </c>
      <c r="V49" s="47">
        <v>0.31433299439759155</v>
      </c>
      <c r="W49" s="47">
        <v>3.32190255929714E-2</v>
      </c>
      <c r="X49" s="47">
        <v>2.0965833948069727E-2</v>
      </c>
    </row>
    <row r="50" spans="1:24" x14ac:dyDescent="0.55000000000000004">
      <c r="A50" s="10">
        <v>391</v>
      </c>
      <c r="B50" s="11" t="s">
        <v>42</v>
      </c>
      <c r="C50" s="11" t="s">
        <v>72</v>
      </c>
      <c r="D50" s="11" t="s">
        <v>252</v>
      </c>
      <c r="E50" s="11" t="s">
        <v>251</v>
      </c>
      <c r="F50" s="11" t="s">
        <v>241</v>
      </c>
      <c r="G50" s="47">
        <v>0.40918695012321171</v>
      </c>
      <c r="H50" s="47">
        <v>0.31148853995965831</v>
      </c>
      <c r="I50" s="47">
        <v>6.2281492692059168E-4</v>
      </c>
      <c r="J50" s="47">
        <v>0.18471192045658352</v>
      </c>
      <c r="K50" s="47">
        <v>9.3370644902130831E-2</v>
      </c>
      <c r="L50" s="47">
        <v>6.1912963149502603E-4</v>
      </c>
      <c r="M50" s="47">
        <v>0.35033915612947214</v>
      </c>
      <c r="N50" s="47">
        <v>0.29639244067218828</v>
      </c>
      <c r="O50" s="47">
        <v>2.2323819062429766E-4</v>
      </c>
      <c r="P50" s="47">
        <v>0.23994937923190979</v>
      </c>
      <c r="Q50" s="47">
        <v>9.2778093696688685E-2</v>
      </c>
      <c r="R50" s="47">
        <v>2.0317692079116823E-2</v>
      </c>
      <c r="S50" s="47">
        <v>0.28571306038426347</v>
      </c>
      <c r="T50" s="47">
        <v>0.34297661253430922</v>
      </c>
      <c r="U50" s="47">
        <v>2.3015782250686184E-4</v>
      </c>
      <c r="V50" s="47">
        <v>0.26857416514181154</v>
      </c>
      <c r="W50" s="47">
        <v>8.1112763037511443E-2</v>
      </c>
      <c r="X50" s="47">
        <v>2.1393241079597437E-2</v>
      </c>
    </row>
    <row r="51" spans="1:24" x14ac:dyDescent="0.55000000000000004">
      <c r="A51" s="10">
        <v>34</v>
      </c>
      <c r="B51" s="11" t="s">
        <v>43</v>
      </c>
      <c r="C51" s="11" t="s">
        <v>72</v>
      </c>
      <c r="D51" s="11" t="s">
        <v>253</v>
      </c>
      <c r="E51" s="11" t="s">
        <v>251</v>
      </c>
      <c r="F51" s="11" t="s">
        <v>241</v>
      </c>
      <c r="G51" s="47">
        <v>0.52051317238738248</v>
      </c>
      <c r="H51" s="47">
        <v>9.8833679524476345E-2</v>
      </c>
      <c r="I51" s="47">
        <v>2.1913863428492191E-3</v>
      </c>
      <c r="J51" s="47">
        <v>0.32393504012392471</v>
      </c>
      <c r="K51" s="47">
        <v>2.334437169361114E-2</v>
      </c>
      <c r="L51" s="47">
        <v>3.1182349927756099E-2</v>
      </c>
      <c r="M51" s="47">
        <v>0.52053913105037741</v>
      </c>
      <c r="N51" s="47">
        <v>8.8835487943491137E-2</v>
      </c>
      <c r="O51" s="47">
        <v>2.6791367925084854E-3</v>
      </c>
      <c r="P51" s="47">
        <v>0.33329059509716391</v>
      </c>
      <c r="Q51" s="47">
        <v>2.5259870762720196E-2</v>
      </c>
      <c r="R51" s="47">
        <v>2.9395778353738876E-2</v>
      </c>
      <c r="S51" s="47">
        <v>0.50919396345186885</v>
      </c>
      <c r="T51" s="47">
        <v>8.8303527193541897E-2</v>
      </c>
      <c r="U51" s="47">
        <v>9.210568229029352E-4</v>
      </c>
      <c r="V51" s="47">
        <v>0.33900177501679118</v>
      </c>
      <c r="W51" s="47">
        <v>3.0976381229417701E-2</v>
      </c>
      <c r="X51" s="47">
        <v>3.1603296285477464E-2</v>
      </c>
    </row>
    <row r="52" spans="1:24" x14ac:dyDescent="0.55000000000000004">
      <c r="A52" s="10">
        <v>110</v>
      </c>
      <c r="B52" s="11" t="s">
        <v>44</v>
      </c>
      <c r="C52" s="11" t="s">
        <v>69</v>
      </c>
      <c r="D52" s="11" t="s">
        <v>250</v>
      </c>
      <c r="E52" s="11" t="s">
        <v>251</v>
      </c>
      <c r="F52" s="11" t="s">
        <v>241</v>
      </c>
      <c r="G52" s="47">
        <v>0.55989816987225072</v>
      </c>
      <c r="H52" s="47">
        <v>0.11301833701781283</v>
      </c>
      <c r="I52" s="47">
        <v>3.7132703062722028E-3</v>
      </c>
      <c r="J52" s="47">
        <v>0.25496622912076577</v>
      </c>
      <c r="K52" s="47">
        <v>3.6647974975819439E-2</v>
      </c>
      <c r="L52" s="47">
        <v>3.1756018707079038E-2</v>
      </c>
      <c r="M52" s="47">
        <v>0.55803645419795989</v>
      </c>
      <c r="N52" s="47">
        <v>0.1075160208433667</v>
      </c>
      <c r="O52" s="47">
        <v>3.1664215271540821E-3</v>
      </c>
      <c r="P52" s="47">
        <v>0.20284795709841591</v>
      </c>
      <c r="Q52" s="47">
        <v>3.7990116321952788E-2</v>
      </c>
      <c r="R52" s="47">
        <v>9.0443030011150588E-2</v>
      </c>
      <c r="S52" s="47">
        <v>0.54723684431476249</v>
      </c>
      <c r="T52" s="47">
        <v>0.11910863830491587</v>
      </c>
      <c r="U52" s="47">
        <v>3.7990342088997033E-3</v>
      </c>
      <c r="V52" s="47">
        <v>0.2044793579944042</v>
      </c>
      <c r="W52" s="47">
        <v>3.3696337942124503E-2</v>
      </c>
      <c r="X52" s="47">
        <v>9.1679787234893229E-2</v>
      </c>
    </row>
    <row r="53" spans="1:24" x14ac:dyDescent="0.55000000000000004">
      <c r="A53" s="10">
        <v>24</v>
      </c>
      <c r="B53" s="11" t="s">
        <v>45</v>
      </c>
      <c r="C53" s="11" t="s">
        <v>69</v>
      </c>
      <c r="D53" s="11" t="s">
        <v>260</v>
      </c>
      <c r="E53" s="11" t="s">
        <v>240</v>
      </c>
      <c r="F53" s="11" t="s">
        <v>241</v>
      </c>
      <c r="G53" s="47">
        <v>0.55049217593447941</v>
      </c>
      <c r="H53" s="47">
        <v>0.13869796136962659</v>
      </c>
      <c r="I53" s="47">
        <v>0</v>
      </c>
      <c r="J53" s="47">
        <v>0.22738200757265706</v>
      </c>
      <c r="K53" s="47">
        <v>5.3714881744470769E-2</v>
      </c>
      <c r="L53" s="47">
        <v>2.9712973378766157E-2</v>
      </c>
      <c r="M53" s="47">
        <v>0.56860309341127757</v>
      </c>
      <c r="N53" s="47">
        <v>0.13658100921528032</v>
      </c>
      <c r="O53" s="47">
        <v>0</v>
      </c>
      <c r="P53" s="47">
        <v>0.21818157214576653</v>
      </c>
      <c r="Q53" s="47">
        <v>4.7602809239637882E-2</v>
      </c>
      <c r="R53" s="47">
        <v>2.9031515988037729E-2</v>
      </c>
      <c r="S53" s="47">
        <v>0.51827762743487349</v>
      </c>
      <c r="T53" s="47">
        <v>0.16568578293487524</v>
      </c>
      <c r="U53" s="47">
        <v>0</v>
      </c>
      <c r="V53" s="47">
        <v>0.24089082023216421</v>
      </c>
      <c r="W53" s="47">
        <v>4.8444395449647772E-2</v>
      </c>
      <c r="X53" s="47">
        <v>2.67013739484393E-2</v>
      </c>
    </row>
    <row r="54" spans="1:24" x14ac:dyDescent="0.55000000000000004">
      <c r="A54" s="10">
        <v>38</v>
      </c>
      <c r="B54" s="11" t="s">
        <v>46</v>
      </c>
      <c r="C54" s="11" t="s">
        <v>69</v>
      </c>
      <c r="D54" s="11" t="s">
        <v>252</v>
      </c>
      <c r="E54" s="11" t="s">
        <v>251</v>
      </c>
      <c r="F54" s="11" t="s">
        <v>241</v>
      </c>
      <c r="G54" s="47">
        <v>0.42759692961059459</v>
      </c>
      <c r="H54" s="47">
        <v>0.1874288191100322</v>
      </c>
      <c r="I54" s="47">
        <v>8.1549576631527573E-4</v>
      </c>
      <c r="J54" s="47">
        <v>0.31908743861852679</v>
      </c>
      <c r="K54" s="47">
        <v>4.6453842709260521E-2</v>
      </c>
      <c r="L54" s="47">
        <v>1.8617474185270644E-2</v>
      </c>
      <c r="M54" s="47">
        <v>0.4056030389012224</v>
      </c>
      <c r="N54" s="47">
        <v>0.19135132354171308</v>
      </c>
      <c r="O54" s="47">
        <v>1.0866966273170955E-3</v>
      </c>
      <c r="P54" s="47">
        <v>0.33033319687937446</v>
      </c>
      <c r="Q54" s="47">
        <v>5.6026687729433269E-2</v>
      </c>
      <c r="R54" s="47">
        <v>1.5599056320939711E-2</v>
      </c>
      <c r="S54" s="47">
        <v>0.41534219386097893</v>
      </c>
      <c r="T54" s="47">
        <v>0.19177133008061592</v>
      </c>
      <c r="U54" s="47">
        <v>1.4604887637825034E-3</v>
      </c>
      <c r="V54" s="47">
        <v>0.32052978808070559</v>
      </c>
      <c r="W54" s="47">
        <v>5.377310897717822E-2</v>
      </c>
      <c r="X54" s="47">
        <v>1.7123090236738855E-2</v>
      </c>
    </row>
    <row r="55" spans="1:24" x14ac:dyDescent="0.55000000000000004">
      <c r="A55" s="10">
        <v>48</v>
      </c>
      <c r="B55" s="11" t="s">
        <v>47</v>
      </c>
      <c r="C55" s="11" t="s">
        <v>69</v>
      </c>
      <c r="D55" s="11" t="s">
        <v>258</v>
      </c>
      <c r="E55" s="11" t="s">
        <v>251</v>
      </c>
      <c r="F55" s="11" t="s">
        <v>241</v>
      </c>
      <c r="G55" s="47">
        <v>0.51447381349006083</v>
      </c>
      <c r="H55" s="47">
        <v>0.11334759482477569</v>
      </c>
      <c r="I55" s="47">
        <v>4.7786417045906222E-4</v>
      </c>
      <c r="J55" s="47">
        <v>0.3070232634996628</v>
      </c>
      <c r="K55" s="47">
        <v>4.907263088788949E-2</v>
      </c>
      <c r="L55" s="47">
        <v>1.5604833127152063E-2</v>
      </c>
      <c r="M55" s="47">
        <v>0.52099763172617308</v>
      </c>
      <c r="N55" s="47">
        <v>0.11311188861866153</v>
      </c>
      <c r="O55" s="47">
        <v>4.4292807926325523E-4</v>
      </c>
      <c r="P55" s="47">
        <v>0.29199917675671133</v>
      </c>
      <c r="Q55" s="47">
        <v>4.8174805856622323E-2</v>
      </c>
      <c r="R55" s="47">
        <v>2.5273568962568518E-2</v>
      </c>
      <c r="S55" s="47">
        <v>0.50986277978700401</v>
      </c>
      <c r="T55" s="47">
        <v>0.12453770144196259</v>
      </c>
      <c r="U55" s="47">
        <v>3.4535371166561485E-4</v>
      </c>
      <c r="V55" s="47">
        <v>0.29122629141842832</v>
      </c>
      <c r="W55" s="47">
        <v>5.01634887720631E-2</v>
      </c>
      <c r="X55" s="47">
        <v>2.3864384868876438E-2</v>
      </c>
    </row>
    <row r="56" spans="1:24" x14ac:dyDescent="0.55000000000000004">
      <c r="A56" s="10">
        <v>50</v>
      </c>
      <c r="B56" s="11" t="s">
        <v>48</v>
      </c>
      <c r="C56" s="11" t="s">
        <v>76</v>
      </c>
      <c r="D56" s="11" t="s">
        <v>254</v>
      </c>
      <c r="E56" s="11" t="s">
        <v>240</v>
      </c>
      <c r="F56" s="11" t="s">
        <v>241</v>
      </c>
      <c r="G56" s="47">
        <v>0.35371108181330863</v>
      </c>
      <c r="H56" s="47">
        <v>6.8261304202946849E-2</v>
      </c>
      <c r="I56" s="47">
        <v>7.8524549787751911E-4</v>
      </c>
      <c r="J56" s="47">
        <v>0.53429871202352841</v>
      </c>
      <c r="K56" s="47">
        <v>4.2311982962201004E-2</v>
      </c>
      <c r="L56" s="47">
        <v>6.3167350013763532E-4</v>
      </c>
      <c r="M56" s="47">
        <v>0.43865556084611218</v>
      </c>
      <c r="N56" s="47">
        <v>0.12742689791472347</v>
      </c>
      <c r="O56" s="47">
        <v>8.0306301487805994E-3</v>
      </c>
      <c r="P56" s="47">
        <v>0.37069785341099581</v>
      </c>
      <c r="Q56" s="47">
        <v>5.0341458323821205E-2</v>
      </c>
      <c r="R56" s="47">
        <v>4.8475993555667169E-3</v>
      </c>
      <c r="S56" s="47">
        <v>0.40326506484926455</v>
      </c>
      <c r="T56" s="47">
        <v>9.0295957042019148E-2</v>
      </c>
      <c r="U56" s="47">
        <v>4.262019839752028E-3</v>
      </c>
      <c r="V56" s="47">
        <v>0.46396283399482396</v>
      </c>
      <c r="W56" s="47">
        <v>3.4186813568920039E-2</v>
      </c>
      <c r="X56" s="47">
        <v>4.0273107052202295E-3</v>
      </c>
    </row>
    <row r="57" spans="1:24" x14ac:dyDescent="0.55000000000000004">
      <c r="A57" s="10">
        <v>502</v>
      </c>
      <c r="B57" s="11" t="s">
        <v>49</v>
      </c>
      <c r="C57" s="11" t="s">
        <v>76</v>
      </c>
      <c r="D57" s="11" t="s">
        <v>254</v>
      </c>
      <c r="E57" s="11" t="s">
        <v>240</v>
      </c>
      <c r="F57" s="11" t="s">
        <v>241</v>
      </c>
      <c r="G57" s="47">
        <v>0.38825665412638055</v>
      </c>
      <c r="H57" s="47">
        <v>5.9904756471223904E-2</v>
      </c>
      <c r="I57" s="47">
        <v>5.5038543760676302E-4</v>
      </c>
      <c r="J57" s="47">
        <v>0.47671768918660418</v>
      </c>
      <c r="K57" s="47">
        <v>7.3580492192245606E-2</v>
      </c>
      <c r="L57" s="47">
        <v>9.900225859389945E-4</v>
      </c>
      <c r="M57" s="47">
        <v>0.43985324339502707</v>
      </c>
      <c r="N57" s="47">
        <v>0.12664700037645724</v>
      </c>
      <c r="O57" s="47">
        <v>4.057715213192049E-3</v>
      </c>
      <c r="P57" s="47">
        <v>0.32097607336595962</v>
      </c>
      <c r="Q57" s="47">
        <v>9.8702765417774951E-2</v>
      </c>
      <c r="R57" s="47">
        <v>9.7632022315890816E-3</v>
      </c>
      <c r="S57" s="47">
        <v>0.43570257582494321</v>
      </c>
      <c r="T57" s="47">
        <v>0.13764283239816585</v>
      </c>
      <c r="U57" s="47">
        <v>1.8087784812370944E-2</v>
      </c>
      <c r="V57" s="47">
        <v>0.34655933835423253</v>
      </c>
      <c r="W57" s="47">
        <v>5.5016216540598635E-2</v>
      </c>
      <c r="X57" s="47">
        <v>6.991252069688844E-3</v>
      </c>
    </row>
    <row r="58" spans="1:24" x14ac:dyDescent="0.55000000000000004">
      <c r="A58" s="10">
        <v>96</v>
      </c>
      <c r="B58" s="11" t="s">
        <v>50</v>
      </c>
      <c r="C58" s="11" t="s">
        <v>76</v>
      </c>
      <c r="D58" s="11" t="s">
        <v>246</v>
      </c>
      <c r="E58" s="11" t="s">
        <v>240</v>
      </c>
      <c r="F58" s="11" t="s">
        <v>241</v>
      </c>
      <c r="G58" s="47">
        <v>0.39199363985804647</v>
      </c>
      <c r="H58" s="47">
        <v>0.31667519891712725</v>
      </c>
      <c r="I58" s="47">
        <v>0</v>
      </c>
      <c r="J58" s="47">
        <v>0.2052154465548508</v>
      </c>
      <c r="K58" s="47">
        <v>8.5737186439795568E-2</v>
      </c>
      <c r="L58" s="47">
        <v>3.7852823017987141E-4</v>
      </c>
      <c r="M58" s="47">
        <v>0.4173222589800698</v>
      </c>
      <c r="N58" s="47">
        <v>0.30925331669221151</v>
      </c>
      <c r="O58" s="47">
        <v>6.5276367082955813E-4</v>
      </c>
      <c r="P58" s="47">
        <v>0.19762159028896542</v>
      </c>
      <c r="Q58" s="47">
        <v>7.5150070367923719E-2</v>
      </c>
      <c r="R58" s="47">
        <v>0</v>
      </c>
      <c r="S58" s="47">
        <v>0.48972995355875198</v>
      </c>
      <c r="T58" s="47">
        <v>0.29329900256489605</v>
      </c>
      <c r="U58" s="47">
        <v>3.1166405478239131E-4</v>
      </c>
      <c r="V58" s="47">
        <v>0.18054159063201725</v>
      </c>
      <c r="W58" s="47">
        <v>3.6117789189552316E-2</v>
      </c>
      <c r="X58" s="47">
        <v>0</v>
      </c>
    </row>
    <row r="59" spans="1:24" x14ac:dyDescent="0.55000000000000004">
      <c r="A59" s="10">
        <v>70</v>
      </c>
      <c r="B59" s="11" t="s">
        <v>51</v>
      </c>
      <c r="C59" s="11" t="s">
        <v>73</v>
      </c>
      <c r="D59" s="11" t="s">
        <v>252</v>
      </c>
      <c r="E59" s="11" t="s">
        <v>251</v>
      </c>
      <c r="F59" s="11" t="s">
        <v>241</v>
      </c>
      <c r="G59" s="47">
        <v>0.28838928468341601</v>
      </c>
      <c r="H59" s="47">
        <v>0.25334053533105239</v>
      </c>
      <c r="I59" s="47">
        <v>1.5676120244779356E-3</v>
      </c>
      <c r="J59" s="47">
        <v>0.3548461312712029</v>
      </c>
      <c r="K59" s="47">
        <v>9.1412734854971728E-2</v>
      </c>
      <c r="L59" s="47">
        <v>1.0443701834879006E-2</v>
      </c>
      <c r="M59" s="47">
        <v>0.27997970285185447</v>
      </c>
      <c r="N59" s="47">
        <v>0.24770276772122446</v>
      </c>
      <c r="O59" s="47">
        <v>2.7737683022697576E-3</v>
      </c>
      <c r="P59" s="47">
        <v>0.36691794904153818</v>
      </c>
      <c r="Q59" s="47">
        <v>9.7565656804671497E-2</v>
      </c>
      <c r="R59" s="47">
        <v>5.0601552784416415E-3</v>
      </c>
      <c r="S59" s="47">
        <v>0.27572812871323138</v>
      </c>
      <c r="T59" s="47">
        <v>0.25503568577440011</v>
      </c>
      <c r="U59" s="47">
        <v>1.5337341014822221E-3</v>
      </c>
      <c r="V59" s="47">
        <v>0.37201234857170451</v>
      </c>
      <c r="W59" s="47">
        <v>9.0853698162321236E-2</v>
      </c>
      <c r="X59" s="47">
        <v>4.8364046768605579E-3</v>
      </c>
    </row>
    <row r="60" spans="1:24" x14ac:dyDescent="0.55000000000000004">
      <c r="A60" s="10">
        <v>91</v>
      </c>
      <c r="B60" s="11" t="s">
        <v>52</v>
      </c>
      <c r="C60" s="11" t="s">
        <v>73</v>
      </c>
      <c r="D60" s="11" t="s">
        <v>257</v>
      </c>
      <c r="E60" s="11" t="s">
        <v>237</v>
      </c>
      <c r="F60" s="11" t="s">
        <v>238</v>
      </c>
      <c r="G60" s="47">
        <v>0.47012232733068771</v>
      </c>
      <c r="H60" s="47">
        <v>0.23265391900522389</v>
      </c>
      <c r="I60" s="47">
        <v>6.3592744422670674E-4</v>
      </c>
      <c r="J60" s="47">
        <v>0.25323831722135187</v>
      </c>
      <c r="K60" s="47">
        <v>4.3354967603181277E-2</v>
      </c>
      <c r="L60" s="47">
        <v>-5.4586046714738779E-6</v>
      </c>
      <c r="M60" s="47">
        <v>0.47278151610478258</v>
      </c>
      <c r="N60" s="47">
        <v>0.23699188801957144</v>
      </c>
      <c r="O60" s="47">
        <v>1.7732679206141741E-3</v>
      </c>
      <c r="P60" s="47">
        <v>0.26003389377679875</v>
      </c>
      <c r="Q60" s="47">
        <v>2.8419434178233071E-2</v>
      </c>
      <c r="R60" s="47">
        <v>0</v>
      </c>
      <c r="S60" s="47">
        <v>0.38844906938373808</v>
      </c>
      <c r="T60" s="47">
        <v>0.2673483466967706</v>
      </c>
      <c r="U60" s="47">
        <v>0</v>
      </c>
      <c r="V60" s="47">
        <v>0.28054051967850563</v>
      </c>
      <c r="W60" s="47">
        <v>6.3662064240985708E-2</v>
      </c>
      <c r="X60" s="47">
        <v>0</v>
      </c>
    </row>
    <row r="61" spans="1:24" x14ac:dyDescent="0.55000000000000004">
      <c r="A61" s="10">
        <v>47</v>
      </c>
      <c r="B61" s="11" t="s">
        <v>53</v>
      </c>
      <c r="C61" s="11" t="s">
        <v>73</v>
      </c>
      <c r="D61" s="11" t="s">
        <v>236</v>
      </c>
      <c r="E61" s="11" t="s">
        <v>237</v>
      </c>
      <c r="F61" s="11" t="s">
        <v>238</v>
      </c>
      <c r="G61" s="47">
        <v>0.50535489051686078</v>
      </c>
      <c r="H61" s="47">
        <v>0.16709944994216935</v>
      </c>
      <c r="I61" s="47">
        <v>7.3515540195508077E-3</v>
      </c>
      <c r="J61" s="47">
        <v>0.24232077191811063</v>
      </c>
      <c r="K61" s="47">
        <v>3.3134835777760441E-2</v>
      </c>
      <c r="L61" s="47">
        <v>4.4738497825548007E-2</v>
      </c>
      <c r="M61" s="47">
        <v>0.44897463134410331</v>
      </c>
      <c r="N61" s="47">
        <v>0.20938062085821293</v>
      </c>
      <c r="O61" s="47">
        <v>6.2689861536186046E-3</v>
      </c>
      <c r="P61" s="47">
        <v>0.25145347183507222</v>
      </c>
      <c r="Q61" s="47">
        <v>4.4213884030479211E-2</v>
      </c>
      <c r="R61" s="47">
        <v>3.9708405778513749E-2</v>
      </c>
      <c r="S61" s="47">
        <v>0.48736779860318064</v>
      </c>
      <c r="T61" s="47">
        <v>0.18964483105669622</v>
      </c>
      <c r="U61" s="47">
        <v>5.9598643167208289E-3</v>
      </c>
      <c r="V61" s="47">
        <v>0.24410028498910535</v>
      </c>
      <c r="W61" s="47">
        <v>3.5124653082524847E-2</v>
      </c>
      <c r="X61" s="47">
        <v>3.7802567951772115E-2</v>
      </c>
    </row>
    <row r="62" spans="1:24" x14ac:dyDescent="0.55000000000000004">
      <c r="A62" s="10">
        <v>113</v>
      </c>
      <c r="B62" s="11" t="s">
        <v>54</v>
      </c>
      <c r="C62" s="11" t="s">
        <v>72</v>
      </c>
      <c r="D62" s="11" t="s">
        <v>255</v>
      </c>
      <c r="E62" s="11" t="s">
        <v>251</v>
      </c>
      <c r="F62" s="11" t="s">
        <v>241</v>
      </c>
      <c r="G62" s="47">
        <v>0.58932137220356873</v>
      </c>
      <c r="H62" s="47">
        <v>0.13577298045114022</v>
      </c>
      <c r="I62" s="47">
        <v>3.1297968827800351E-3</v>
      </c>
      <c r="J62" s="47">
        <v>0.22917515007252345</v>
      </c>
      <c r="K62" s="47">
        <v>2.0073585277171554E-2</v>
      </c>
      <c r="L62" s="47">
        <v>2.2527115112815983E-2</v>
      </c>
      <c r="M62" s="47">
        <v>0.61864891529669985</v>
      </c>
      <c r="N62" s="47">
        <v>0.11248212484341917</v>
      </c>
      <c r="O62" s="47">
        <v>1.8579077475639903E-3</v>
      </c>
      <c r="P62" s="47">
        <v>0.21083151348535067</v>
      </c>
      <c r="Q62" s="47">
        <v>3.5561861898480193E-2</v>
      </c>
      <c r="R62" s="47">
        <v>2.0617676728486072E-2</v>
      </c>
      <c r="S62" s="47">
        <v>0.59451927718468933</v>
      </c>
      <c r="T62" s="47">
        <v>0.11449834354037426</v>
      </c>
      <c r="U62" s="47">
        <v>2.3068573744335586E-3</v>
      </c>
      <c r="V62" s="47">
        <v>0.24948917562439601</v>
      </c>
      <c r="W62" s="47">
        <v>1.8923409879055303E-2</v>
      </c>
      <c r="X62" s="47">
        <v>2.0262936397051529E-2</v>
      </c>
    </row>
    <row r="63" spans="1:24" x14ac:dyDescent="0.55000000000000004">
      <c r="A63" s="10">
        <v>21</v>
      </c>
      <c r="B63" s="11" t="s">
        <v>55</v>
      </c>
      <c r="C63" s="11" t="s">
        <v>73</v>
      </c>
      <c r="D63" s="11" t="s">
        <v>250</v>
      </c>
      <c r="E63" s="11" t="s">
        <v>251</v>
      </c>
      <c r="F63" s="11" t="s">
        <v>241</v>
      </c>
      <c r="G63" s="47">
        <v>0.43322063472116157</v>
      </c>
      <c r="H63" s="47">
        <v>0.27838047502585866</v>
      </c>
      <c r="I63" s="47">
        <v>3.0136205013195161E-3</v>
      </c>
      <c r="J63" s="47">
        <v>0.21152015041518846</v>
      </c>
      <c r="K63" s="47">
        <v>7.3865119336471816E-2</v>
      </c>
      <c r="L63" s="47">
        <v>0</v>
      </c>
      <c r="M63" s="47">
        <v>0.41917902355766418</v>
      </c>
      <c r="N63" s="47">
        <v>0.30148282691970124</v>
      </c>
      <c r="O63" s="47">
        <v>5.2971442727973283E-3</v>
      </c>
      <c r="P63" s="47">
        <v>0.19652218513737094</v>
      </c>
      <c r="Q63" s="47">
        <v>7.7518820112466275E-2</v>
      </c>
      <c r="R63" s="47">
        <v>0</v>
      </c>
      <c r="S63" s="47">
        <v>0.44475181698209759</v>
      </c>
      <c r="T63" s="47">
        <v>0.29523538366633451</v>
      </c>
      <c r="U63" s="47">
        <v>4.8735005970038233E-3</v>
      </c>
      <c r="V63" s="47">
        <v>0.18329876995409933</v>
      </c>
      <c r="W63" s="47">
        <v>7.1840528800464779E-2</v>
      </c>
      <c r="X63" s="47">
        <v>0</v>
      </c>
    </row>
    <row r="64" spans="1:24" x14ac:dyDescent="0.55000000000000004">
      <c r="A64" s="10">
        <v>19</v>
      </c>
      <c r="B64" s="11" t="s">
        <v>56</v>
      </c>
      <c r="C64" s="11" t="s">
        <v>77</v>
      </c>
      <c r="D64" s="11" t="s">
        <v>256</v>
      </c>
      <c r="E64" s="11" t="s">
        <v>240</v>
      </c>
      <c r="F64" s="11" t="s">
        <v>241</v>
      </c>
      <c r="G64" s="47">
        <v>0.35809440463149389</v>
      </c>
      <c r="H64" s="47">
        <v>0.35492463418664283</v>
      </c>
      <c r="I64" s="47">
        <v>6.3829917443376197E-4</v>
      </c>
      <c r="J64" s="47">
        <v>0.17227957871030519</v>
      </c>
      <c r="K64" s="47">
        <v>9.7306047012600747E-2</v>
      </c>
      <c r="L64" s="47">
        <v>1.675703628452354E-2</v>
      </c>
      <c r="M64" s="47">
        <v>0.35545763083896909</v>
      </c>
      <c r="N64" s="47">
        <v>0.33745869840314352</v>
      </c>
      <c r="O64" s="47">
        <v>1.1942750623992922E-3</v>
      </c>
      <c r="P64" s="47">
        <v>0.19474033413760936</v>
      </c>
      <c r="Q64" s="47">
        <v>8.9904201912635998E-2</v>
      </c>
      <c r="R64" s="47">
        <v>2.124485964524277E-2</v>
      </c>
      <c r="S64" s="47">
        <v>0.34629463090774004</v>
      </c>
      <c r="T64" s="47">
        <v>0.3362246123211699</v>
      </c>
      <c r="U64" s="47">
        <v>7.0262488399028397E-4</v>
      </c>
      <c r="V64" s="47">
        <v>0.19539882326748401</v>
      </c>
      <c r="W64" s="47">
        <v>0.10064515160687527</v>
      </c>
      <c r="X64" s="47">
        <v>2.073415701274043E-2</v>
      </c>
    </row>
    <row r="65" spans="1:24" x14ac:dyDescent="0.55000000000000004">
      <c r="A65" s="10">
        <v>116</v>
      </c>
      <c r="B65" s="11" t="s">
        <v>57</v>
      </c>
      <c r="C65" s="11" t="s">
        <v>77</v>
      </c>
      <c r="D65" s="11" t="s">
        <v>256</v>
      </c>
      <c r="E65" s="11" t="s">
        <v>240</v>
      </c>
      <c r="F65" s="11" t="s">
        <v>241</v>
      </c>
      <c r="G65" s="47">
        <v>0.53994334842049685</v>
      </c>
      <c r="H65" s="47">
        <v>0.17619438199635384</v>
      </c>
      <c r="I65" s="47">
        <v>6.5086222641371589E-4</v>
      </c>
      <c r="J65" s="47">
        <v>0.20850670288471437</v>
      </c>
      <c r="K65" s="47">
        <v>5.3322552044072671E-2</v>
      </c>
      <c r="L65" s="47">
        <v>2.1382152427948557E-2</v>
      </c>
      <c r="M65" s="47">
        <v>0.51892094675289369</v>
      </c>
      <c r="N65" s="47">
        <v>0.19297472732842083</v>
      </c>
      <c r="O65" s="47">
        <v>5.1453961610870382E-4</v>
      </c>
      <c r="P65" s="47">
        <v>0.21826632845868713</v>
      </c>
      <c r="Q65" s="47">
        <v>4.8433837777188855E-2</v>
      </c>
      <c r="R65" s="47">
        <v>2.0889620066700854E-2</v>
      </c>
      <c r="S65" s="47">
        <v>0.50483070119528184</v>
      </c>
      <c r="T65" s="47">
        <v>0.21378154434503435</v>
      </c>
      <c r="U65" s="47">
        <v>3.100336000881314E-4</v>
      </c>
      <c r="V65" s="47">
        <v>0.21396882352478303</v>
      </c>
      <c r="W65" s="47">
        <v>4.2570603463877935E-2</v>
      </c>
      <c r="X65" s="47">
        <v>2.4538293870934744E-2</v>
      </c>
    </row>
    <row r="66" spans="1:24" x14ac:dyDescent="0.55000000000000004">
      <c r="A66" s="10">
        <v>60</v>
      </c>
      <c r="B66" s="11" t="s">
        <v>58</v>
      </c>
      <c r="C66" s="11" t="s">
        <v>75</v>
      </c>
      <c r="D66" s="11" t="s">
        <v>261</v>
      </c>
      <c r="E66" s="11" t="s">
        <v>240</v>
      </c>
      <c r="F66" s="11" t="s">
        <v>238</v>
      </c>
      <c r="G66" s="47">
        <v>0.54066992271339864</v>
      </c>
      <c r="H66" s="47">
        <v>0.14494847889603005</v>
      </c>
      <c r="I66" s="47">
        <v>1.4371311973192015E-3</v>
      </c>
      <c r="J66" s="47">
        <v>0.25114386939414979</v>
      </c>
      <c r="K66" s="47">
        <v>2.7596281855748823E-2</v>
      </c>
      <c r="L66" s="47">
        <v>3.4204315943353492E-2</v>
      </c>
      <c r="M66" s="47">
        <v>0.52993512199422843</v>
      </c>
      <c r="N66" s="47">
        <v>0.13611502695077335</v>
      </c>
      <c r="O66" s="47">
        <v>2.0318337125891468E-3</v>
      </c>
      <c r="P66" s="47">
        <v>0.26695580588310469</v>
      </c>
      <c r="Q66" s="47">
        <v>3.0063411836149599E-2</v>
      </c>
      <c r="R66" s="47">
        <v>3.4898799623154779E-2</v>
      </c>
      <c r="S66" s="47">
        <v>0.5246611310989453</v>
      </c>
      <c r="T66" s="47">
        <v>0.14220152959580024</v>
      </c>
      <c r="U66" s="47">
        <v>1.3157994492511652E-3</v>
      </c>
      <c r="V66" s="47">
        <v>0.27301322285784563</v>
      </c>
      <c r="W66" s="47">
        <v>2.4021342570324088E-2</v>
      </c>
      <c r="X66" s="47">
        <v>3.4786974427833621E-2</v>
      </c>
    </row>
    <row r="67" spans="1:24" x14ac:dyDescent="0.55000000000000004">
      <c r="A67" s="10">
        <v>6</v>
      </c>
      <c r="B67" s="11" t="s">
        <v>59</v>
      </c>
      <c r="C67" s="11" t="s">
        <v>76</v>
      </c>
      <c r="D67" s="11" t="s">
        <v>256</v>
      </c>
      <c r="E67" s="11" t="s">
        <v>240</v>
      </c>
      <c r="F67" s="11" t="s">
        <v>241</v>
      </c>
      <c r="G67" s="47">
        <v>0.34622229748728306</v>
      </c>
      <c r="H67" s="47">
        <v>0.24492280360931468</v>
      </c>
      <c r="I67" s="47">
        <v>6.3904296924925229E-4</v>
      </c>
      <c r="J67" s="47">
        <v>0.32050241558242376</v>
      </c>
      <c r="K67" s="47">
        <v>7.4052299276603353E-2</v>
      </c>
      <c r="L67" s="47">
        <v>1.3661141075125892E-2</v>
      </c>
      <c r="M67" s="47">
        <v>0.37802907673860914</v>
      </c>
      <c r="N67" s="47">
        <v>0.25997302158273383</v>
      </c>
      <c r="O67" s="47">
        <v>4.1366906474820146E-4</v>
      </c>
      <c r="P67" s="47">
        <v>0.27269034772182255</v>
      </c>
      <c r="Q67" s="47">
        <v>7.0921762589928064E-2</v>
      </c>
      <c r="R67" s="47">
        <v>1.7972122302158274E-2</v>
      </c>
      <c r="S67" s="47">
        <v>0.4475447743607871</v>
      </c>
      <c r="T67" s="47">
        <v>0.23425778641844389</v>
      </c>
      <c r="U67" s="47">
        <v>4.8849220376261733E-4</v>
      </c>
      <c r="V67" s="47">
        <v>0.22595464632182555</v>
      </c>
      <c r="W67" s="47">
        <v>6.4123806998939561E-2</v>
      </c>
      <c r="X67" s="47">
        <v>2.763049369624131E-2</v>
      </c>
    </row>
    <row r="68" spans="1:24" x14ac:dyDescent="0.55000000000000004">
      <c r="A68" s="10">
        <v>27</v>
      </c>
      <c r="B68" s="11" t="s">
        <v>60</v>
      </c>
      <c r="C68" s="11" t="s">
        <v>73</v>
      </c>
      <c r="D68" s="11" t="s">
        <v>260</v>
      </c>
      <c r="E68" s="11" t="s">
        <v>240</v>
      </c>
      <c r="F68" s="11" t="s">
        <v>241</v>
      </c>
      <c r="G68" s="47">
        <v>0.37226098690317144</v>
      </c>
      <c r="H68" s="47">
        <v>0.29994339551778348</v>
      </c>
      <c r="I68" s="47">
        <v>4.6007908531449018E-4</v>
      </c>
      <c r="J68" s="47">
        <v>0.17026413636583129</v>
      </c>
      <c r="K68" s="47">
        <v>0.1276618861364624</v>
      </c>
      <c r="L68" s="47">
        <v>2.9409515991436895E-2</v>
      </c>
      <c r="M68" s="47">
        <v>0.37310635082402371</v>
      </c>
      <c r="N68" s="47">
        <v>0.2856739789800381</v>
      </c>
      <c r="O68" s="47">
        <v>2.2458263708662E-3</v>
      </c>
      <c r="P68" s="47">
        <v>0.18075253831079804</v>
      </c>
      <c r="Q68" s="47">
        <v>0.12960282925476671</v>
      </c>
      <c r="R68" s="47">
        <v>2.8618476259507263E-2</v>
      </c>
      <c r="S68" s="47">
        <v>0.34917992982878254</v>
      </c>
      <c r="T68" s="47">
        <v>0.30966515726905885</v>
      </c>
      <c r="U68" s="47">
        <v>7.5408751376319742E-4</v>
      </c>
      <c r="V68" s="47">
        <v>0.18615838625272055</v>
      </c>
      <c r="W68" s="47">
        <v>0.12776575166313708</v>
      </c>
      <c r="X68" s="47">
        <v>2.6476687472537789E-2</v>
      </c>
    </row>
    <row r="69" spans="1:24" x14ac:dyDescent="0.55000000000000004">
      <c r="A69" s="10">
        <v>119</v>
      </c>
      <c r="B69" s="11" t="s">
        <v>61</v>
      </c>
      <c r="C69" s="11" t="s">
        <v>73</v>
      </c>
      <c r="D69" s="11" t="s">
        <v>246</v>
      </c>
      <c r="E69" s="11" t="s">
        <v>240</v>
      </c>
      <c r="F69" s="11" t="s">
        <v>241</v>
      </c>
      <c r="G69" s="47">
        <v>0.24002443611998164</v>
      </c>
      <c r="H69" s="47">
        <v>0.43195591136797662</v>
      </c>
      <c r="I69" s="47">
        <v>3.2290073150057635E-3</v>
      </c>
      <c r="J69" s="47">
        <v>0.10649212158192936</v>
      </c>
      <c r="K69" s="47">
        <v>0.15414867177167627</v>
      </c>
      <c r="L69" s="47">
        <v>6.4149851843430389E-2</v>
      </c>
      <c r="M69" s="47">
        <v>0.25325605283244085</v>
      </c>
      <c r="N69" s="47">
        <v>0.405578164795385</v>
      </c>
      <c r="O69" s="47">
        <v>1.1428272423624143E-3</v>
      </c>
      <c r="P69" s="47">
        <v>0.12957666478723279</v>
      </c>
      <c r="Q69" s="47">
        <v>0.15171353939360388</v>
      </c>
      <c r="R69" s="47">
        <v>5.8732750948975079E-2</v>
      </c>
      <c r="S69" s="47">
        <v>0.24489242110575341</v>
      </c>
      <c r="T69" s="47">
        <v>0.4288421021297717</v>
      </c>
      <c r="U69" s="47">
        <v>1.9999383888831394E-3</v>
      </c>
      <c r="V69" s="47">
        <v>0.13280587756209655</v>
      </c>
      <c r="W69" s="47">
        <v>0.12789498696647975</v>
      </c>
      <c r="X69" s="47">
        <v>6.3564673847015446E-2</v>
      </c>
    </row>
    <row r="70" spans="1:24" x14ac:dyDescent="0.55000000000000004">
      <c r="A70" s="10">
        <v>12</v>
      </c>
      <c r="B70" s="11" t="s">
        <v>62</v>
      </c>
      <c r="C70" s="11" t="s">
        <v>73</v>
      </c>
      <c r="D70" s="11" t="s">
        <v>239</v>
      </c>
      <c r="E70" s="11" t="s">
        <v>240</v>
      </c>
      <c r="F70" s="11" t="s">
        <v>241</v>
      </c>
      <c r="G70" s="47">
        <v>0.5292444059660808</v>
      </c>
      <c r="H70" s="47">
        <v>3.2195568374706073E-2</v>
      </c>
      <c r="I70" s="47">
        <v>0</v>
      </c>
      <c r="J70" s="47">
        <v>0.40260066163441816</v>
      </c>
      <c r="K70" s="47">
        <v>1.5396312115469596E-2</v>
      </c>
      <c r="L70" s="47">
        <v>2.0563051909325423E-2</v>
      </c>
      <c r="M70" s="47">
        <v>0.51419108210757103</v>
      </c>
      <c r="N70" s="47">
        <v>3.3635705326040488E-2</v>
      </c>
      <c r="O70" s="47">
        <v>0</v>
      </c>
      <c r="P70" s="47">
        <v>0.41008734448968492</v>
      </c>
      <c r="Q70" s="47">
        <v>1.763554847847203E-2</v>
      </c>
      <c r="R70" s="47">
        <v>2.4450319598231542E-2</v>
      </c>
      <c r="S70" s="47">
        <v>0.50883990822821534</v>
      </c>
      <c r="T70" s="47">
        <v>3.7724631082782074E-2</v>
      </c>
      <c r="U70" s="47">
        <v>0</v>
      </c>
      <c r="V70" s="47">
        <v>0.41547158020657576</v>
      </c>
      <c r="W70" s="47">
        <v>1.5170554469410893E-2</v>
      </c>
      <c r="X70" s="47">
        <v>2.2793326013015883E-2</v>
      </c>
    </row>
    <row r="71" spans="1:24" x14ac:dyDescent="0.55000000000000004">
      <c r="A71" s="10">
        <v>224</v>
      </c>
      <c r="B71" s="11" t="s">
        <v>63</v>
      </c>
      <c r="C71" s="11" t="s">
        <v>74</v>
      </c>
      <c r="D71" s="11" t="s">
        <v>242</v>
      </c>
      <c r="E71" s="11" t="s">
        <v>237</v>
      </c>
      <c r="F71" s="11" t="s">
        <v>241</v>
      </c>
      <c r="G71" s="47">
        <v>0.59888282854858788</v>
      </c>
      <c r="H71" s="47">
        <v>7.9947581991681935E-2</v>
      </c>
      <c r="I71" s="47">
        <v>1.0819562643567662E-2</v>
      </c>
      <c r="J71" s="47">
        <v>0.24473037107497395</v>
      </c>
      <c r="K71" s="47">
        <v>2.7076228736806953E-2</v>
      </c>
      <c r="L71" s="47">
        <v>3.854342700438166E-2</v>
      </c>
      <c r="M71" s="47">
        <v>0.62192625088980757</v>
      </c>
      <c r="N71" s="47">
        <v>9.2608394218974988E-2</v>
      </c>
      <c r="O71" s="47">
        <v>1.1966897997324201E-2</v>
      </c>
      <c r="P71" s="47">
        <v>0.2408393291488222</v>
      </c>
      <c r="Q71" s="47">
        <v>1.2705409334690556E-2</v>
      </c>
      <c r="R71" s="47">
        <v>1.9953718410380433E-2</v>
      </c>
      <c r="S71" s="47">
        <v>0.58028667005800627</v>
      </c>
      <c r="T71" s="47">
        <v>0.10423695757290331</v>
      </c>
      <c r="U71" s="47">
        <v>8.7827307713739776E-3</v>
      </c>
      <c r="V71" s="47">
        <v>0.27383659375286479</v>
      </c>
      <c r="W71" s="47">
        <v>1.0079648546966758E-2</v>
      </c>
      <c r="X71" s="47">
        <v>2.2777399297884846E-2</v>
      </c>
    </row>
    <row r="72" spans="1:24" x14ac:dyDescent="0.55000000000000004">
      <c r="A72" s="10">
        <v>221</v>
      </c>
      <c r="B72" s="11" t="s">
        <v>64</v>
      </c>
      <c r="C72" s="11" t="s">
        <v>74</v>
      </c>
      <c r="D72" s="11" t="s">
        <v>243</v>
      </c>
      <c r="E72" s="11" t="s">
        <v>237</v>
      </c>
      <c r="F72" s="11" t="s">
        <v>241</v>
      </c>
      <c r="G72" s="47">
        <v>0.35487627365356622</v>
      </c>
      <c r="H72" s="47">
        <v>0.17515595757953836</v>
      </c>
      <c r="I72" s="47">
        <v>1.3535818257433978E-2</v>
      </c>
      <c r="J72" s="47">
        <v>0.39296273913495527</v>
      </c>
      <c r="K72" s="47">
        <v>2.351580370139322E-2</v>
      </c>
      <c r="L72" s="47">
        <v>3.9953407673112916E-2</v>
      </c>
      <c r="M72" s="47">
        <v>0.37277931597223685</v>
      </c>
      <c r="N72" s="47">
        <v>0.17641927950403766</v>
      </c>
      <c r="O72" s="47">
        <v>1.179297990400416E-2</v>
      </c>
      <c r="P72" s="47">
        <v>0.38436045949413472</v>
      </c>
      <c r="Q72" s="47">
        <v>1.7395809649971911E-2</v>
      </c>
      <c r="R72" s="47">
        <v>3.7252155475614723E-2</v>
      </c>
      <c r="S72" s="47">
        <v>0.37910220816604334</v>
      </c>
      <c r="T72" s="47">
        <v>0.17661184608020938</v>
      </c>
      <c r="U72" s="47">
        <v>1.1876401458298234E-2</v>
      </c>
      <c r="V72" s="47">
        <v>0.38057732948205503</v>
      </c>
      <c r="W72" s="47">
        <v>1.5340517302341808E-2</v>
      </c>
      <c r="X72" s="47">
        <v>3.6491697511052246E-2</v>
      </c>
    </row>
    <row r="73" spans="1:24" x14ac:dyDescent="0.55000000000000004">
      <c r="A73" s="10">
        <v>29</v>
      </c>
      <c r="B73" s="11" t="s">
        <v>172</v>
      </c>
      <c r="C73" s="11" t="s">
        <v>74</v>
      </c>
      <c r="D73" s="11" t="s">
        <v>243</v>
      </c>
      <c r="E73" s="11" t="s">
        <v>237</v>
      </c>
      <c r="F73" s="11" t="s">
        <v>241</v>
      </c>
      <c r="G73" s="47">
        <v>0.58164776495491566</v>
      </c>
      <c r="H73" s="47">
        <v>0.18706727731227246</v>
      </c>
      <c r="I73" s="47">
        <v>7.5055805209007873E-3</v>
      </c>
      <c r="J73" s="47">
        <v>0.19148278499783822</v>
      </c>
      <c r="K73" s="47">
        <v>3.229659221407289E-2</v>
      </c>
      <c r="L73" s="47">
        <v>0</v>
      </c>
      <c r="M73" s="47">
        <v>0.56355035125807862</v>
      </c>
      <c r="N73" s="47">
        <v>0.19178366507072478</v>
      </c>
      <c r="O73" s="47">
        <v>7.4827776794886038E-3</v>
      </c>
      <c r="P73" s="47">
        <v>0.18556310324980582</v>
      </c>
      <c r="Q73" s="47">
        <v>3.6100013577620792E-2</v>
      </c>
      <c r="R73" s="47">
        <v>1.552008916428144E-2</v>
      </c>
      <c r="S73" s="47">
        <v>0.50529748890353032</v>
      </c>
      <c r="T73" s="47">
        <v>0.19892301644921362</v>
      </c>
      <c r="U73" s="47">
        <v>7.0901300521635496E-3</v>
      </c>
      <c r="V73" s="47">
        <v>0.2455694555770514</v>
      </c>
      <c r="W73" s="47">
        <v>2.5312400768254795E-2</v>
      </c>
      <c r="X73" s="47">
        <v>1.7807508249786323E-2</v>
      </c>
    </row>
    <row r="74" spans="1:24" x14ac:dyDescent="0.55000000000000004">
      <c r="A74" s="10">
        <v>61</v>
      </c>
      <c r="B74" s="11" t="s">
        <v>173</v>
      </c>
      <c r="C74" s="11" t="s">
        <v>74</v>
      </c>
      <c r="D74" s="11" t="s">
        <v>242</v>
      </c>
      <c r="E74" s="11" t="s">
        <v>237</v>
      </c>
      <c r="F74" s="11" t="s">
        <v>241</v>
      </c>
      <c r="G74" s="47">
        <v>0.47891044791875598</v>
      </c>
      <c r="H74" s="47">
        <v>0.201975149640546</v>
      </c>
      <c r="I74" s="47">
        <v>4.1350406958945179E-2</v>
      </c>
      <c r="J74" s="47">
        <v>0.23460048349467416</v>
      </c>
      <c r="K74" s="47">
        <v>4.3163511987078657E-2</v>
      </c>
      <c r="L74" s="47">
        <v>0</v>
      </c>
      <c r="M74" s="47">
        <v>0.49010010576284524</v>
      </c>
      <c r="N74" s="47">
        <v>0.18509221333711437</v>
      </c>
      <c r="O74" s="47">
        <v>3.9449107237159074E-2</v>
      </c>
      <c r="P74" s="47">
        <v>0.22105447437602091</v>
      </c>
      <c r="Q74" s="47">
        <v>4.140810713443456E-2</v>
      </c>
      <c r="R74" s="47">
        <v>2.2895992152425819E-2</v>
      </c>
      <c r="S74" s="47">
        <v>0.3934722245443637</v>
      </c>
      <c r="T74" s="47">
        <v>0.24974438581215863</v>
      </c>
      <c r="U74" s="47">
        <v>2.6412823022382157E-2</v>
      </c>
      <c r="V74" s="47">
        <v>0.26198171410051457</v>
      </c>
      <c r="W74" s="47">
        <v>4.2054482154592891E-2</v>
      </c>
      <c r="X74" s="47">
        <v>2.6334370365988072E-2</v>
      </c>
    </row>
    <row r="75" spans="1:24" x14ac:dyDescent="0.55000000000000004">
      <c r="A75" s="18">
        <v>57</v>
      </c>
      <c r="B75" s="19" t="s">
        <v>66</v>
      </c>
      <c r="C75" s="19" t="s">
        <v>74</v>
      </c>
      <c r="D75" s="11" t="s">
        <v>242</v>
      </c>
      <c r="E75" s="11" t="s">
        <v>237</v>
      </c>
      <c r="F75" s="11" t="s">
        <v>241</v>
      </c>
      <c r="G75" s="48">
        <v>0.45612669272159084</v>
      </c>
      <c r="H75" s="48">
        <v>0.16229398204351014</v>
      </c>
      <c r="I75" s="48">
        <v>3.7208938039928259E-2</v>
      </c>
      <c r="J75" s="48">
        <v>0.27883154891041856</v>
      </c>
      <c r="K75" s="48">
        <v>3.3749220049238061E-2</v>
      </c>
      <c r="L75" s="48">
        <v>3.1789618235314079E-2</v>
      </c>
      <c r="M75" s="48">
        <v>0.45965501511271056</v>
      </c>
      <c r="N75" s="48">
        <v>0.15926026205197846</v>
      </c>
      <c r="O75" s="48">
        <v>3.3902724501975873E-2</v>
      </c>
      <c r="P75" s="48">
        <v>0.29010451948533555</v>
      </c>
      <c r="Q75" s="48">
        <v>2.7015352912607551E-2</v>
      </c>
      <c r="R75" s="48">
        <v>3.0062125935391978E-2</v>
      </c>
      <c r="S75" s="48">
        <v>0.43948444068930664</v>
      </c>
      <c r="T75" s="48">
        <v>0.17274119920825476</v>
      </c>
      <c r="U75" s="48">
        <v>3.2986330270757376E-2</v>
      </c>
      <c r="V75" s="48">
        <v>0.30322418297631054</v>
      </c>
      <c r="W75" s="48">
        <v>2.3256162751893853E-2</v>
      </c>
      <c r="X75" s="48">
        <v>2.830768410347682E-2</v>
      </c>
    </row>
    <row r="76" spans="1:24" x14ac:dyDescent="0.55000000000000004">
      <c r="A76" s="4"/>
      <c r="B76" s="2"/>
      <c r="C76" s="2"/>
      <c r="D76" s="2"/>
      <c r="E76" s="2"/>
      <c r="F76" s="2"/>
      <c r="G76" s="5"/>
      <c r="H76" s="5"/>
      <c r="I76" s="5"/>
      <c r="J76" s="5"/>
      <c r="K76" s="5"/>
      <c r="L76" s="5"/>
      <c r="M76" s="5"/>
      <c r="N76" s="5"/>
      <c r="O76" s="5"/>
      <c r="P76" s="5"/>
      <c r="Q76" s="5"/>
      <c r="R76" s="5"/>
      <c r="S76" s="5"/>
      <c r="T76" s="5"/>
      <c r="U76" s="5"/>
      <c r="V76" s="5"/>
      <c r="W76" s="5"/>
      <c r="X76" s="5"/>
    </row>
    <row r="77" spans="1:24" x14ac:dyDescent="0.55000000000000004">
      <c r="A77" s="69" t="s">
        <v>138</v>
      </c>
      <c r="B77" s="69"/>
      <c r="C77" s="69"/>
      <c r="D77" s="69"/>
      <c r="E77" s="69"/>
      <c r="F77" s="69"/>
      <c r="G77" s="2"/>
      <c r="H77" s="2"/>
      <c r="I77" s="2"/>
      <c r="J77" s="2"/>
      <c r="K77" s="2"/>
      <c r="L77" s="2"/>
      <c r="M77" s="2"/>
      <c r="N77" s="2"/>
      <c r="O77" s="2"/>
      <c r="P77" s="2"/>
      <c r="Q77" s="2"/>
      <c r="R77" s="2"/>
      <c r="S77" s="2"/>
      <c r="T77" s="2"/>
      <c r="U77" s="2"/>
      <c r="V77" s="2"/>
      <c r="W77" s="2"/>
      <c r="X77" s="2"/>
    </row>
    <row r="78" spans="1:24" x14ac:dyDescent="0.55000000000000004">
      <c r="A78" s="69" t="s">
        <v>187</v>
      </c>
      <c r="B78" s="69"/>
      <c r="C78" s="69"/>
      <c r="D78" s="69"/>
      <c r="E78" s="69"/>
      <c r="F78" s="69"/>
      <c r="G78" s="2"/>
      <c r="H78" s="2"/>
      <c r="I78" s="2"/>
      <c r="J78" s="2"/>
      <c r="K78" s="2"/>
      <c r="L78" s="2"/>
      <c r="M78" s="2"/>
      <c r="N78" s="2"/>
      <c r="O78" s="2"/>
      <c r="P78" s="2"/>
      <c r="Q78" s="2"/>
      <c r="R78" s="2"/>
      <c r="S78" s="2"/>
      <c r="T78" s="2"/>
      <c r="U78" s="2"/>
      <c r="V78" s="2"/>
      <c r="W78" s="2"/>
      <c r="X78" s="2"/>
    </row>
    <row r="79" spans="1:24" ht="58.5" customHeight="1" x14ac:dyDescent="0.55000000000000004">
      <c r="A79" s="94" t="s">
        <v>189</v>
      </c>
      <c r="B79" s="94"/>
      <c r="C79" s="94"/>
      <c r="D79" s="72"/>
      <c r="E79" s="72"/>
      <c r="F79" s="72"/>
      <c r="G79" s="46"/>
      <c r="H79" s="46"/>
      <c r="I79" s="46"/>
      <c r="J79" s="46"/>
      <c r="K79" s="46"/>
      <c r="L79" s="46"/>
      <c r="M79" s="46"/>
      <c r="N79" s="46"/>
      <c r="O79" s="46"/>
      <c r="P79" s="46"/>
      <c r="Q79" s="46"/>
      <c r="R79" s="46"/>
      <c r="S79" s="46"/>
      <c r="T79" s="46"/>
      <c r="U79" s="46"/>
      <c r="V79" s="46"/>
      <c r="W79" s="46"/>
      <c r="X79" s="46"/>
    </row>
    <row r="80" spans="1:24" ht="58.5" customHeight="1" x14ac:dyDescent="0.55000000000000004">
      <c r="A80" s="94" t="s">
        <v>302</v>
      </c>
      <c r="B80" s="94"/>
      <c r="C80" s="94"/>
      <c r="D80" s="94"/>
      <c r="E80" s="94"/>
      <c r="F80" s="94"/>
      <c r="G80" s="94"/>
      <c r="H80" s="94"/>
      <c r="I80" s="94"/>
      <c r="J80" s="46"/>
      <c r="K80" s="46"/>
      <c r="L80" s="46"/>
      <c r="M80" s="46"/>
      <c r="N80" s="46"/>
      <c r="O80" s="46"/>
      <c r="P80" s="46"/>
      <c r="Q80" s="46"/>
      <c r="R80" s="46"/>
      <c r="S80" s="46"/>
      <c r="T80" s="46"/>
      <c r="U80" s="46"/>
      <c r="V80" s="46"/>
      <c r="W80" s="46"/>
      <c r="X80" s="46"/>
    </row>
    <row r="81" spans="1:24" s="2" customFormat="1" ht="14.1" x14ac:dyDescent="0.45">
      <c r="A81" s="94" t="s">
        <v>303</v>
      </c>
      <c r="B81" s="94"/>
      <c r="C81" s="94"/>
      <c r="D81" s="94"/>
      <c r="E81" s="94"/>
      <c r="F81" s="94"/>
      <c r="G81" s="94"/>
      <c r="H81" s="94"/>
      <c r="I81" s="94"/>
      <c r="J81" s="94"/>
      <c r="K81" s="94"/>
      <c r="L81" s="94"/>
      <c r="M81" s="94"/>
      <c r="N81" s="94"/>
      <c r="O81" s="94"/>
      <c r="P81" s="94"/>
      <c r="Q81" s="94"/>
      <c r="R81" s="94"/>
      <c r="S81" s="94"/>
      <c r="T81" s="94"/>
      <c r="U81" s="94"/>
    </row>
    <row r="82" spans="1:24" s="2" customFormat="1" ht="14.1" x14ac:dyDescent="0.45">
      <c r="A82" s="90" t="s">
        <v>305</v>
      </c>
      <c r="B82" s="89"/>
      <c r="C82" s="89"/>
      <c r="D82" s="89"/>
      <c r="E82" s="89"/>
      <c r="F82" s="89"/>
      <c r="G82" s="89"/>
      <c r="H82" s="89"/>
      <c r="I82" s="89"/>
      <c r="J82" s="89"/>
      <c r="K82" s="89"/>
      <c r="L82" s="89"/>
      <c r="M82" s="89"/>
      <c r="N82" s="89"/>
      <c r="O82" s="89"/>
      <c r="P82" s="89"/>
      <c r="Q82" s="89"/>
      <c r="R82" s="89"/>
      <c r="S82" s="89"/>
      <c r="T82" s="89"/>
      <c r="U82" s="89"/>
    </row>
    <row r="83" spans="1:24" x14ac:dyDescent="0.55000000000000004">
      <c r="A83" s="55"/>
      <c r="B83" s="2"/>
      <c r="C83" s="2"/>
      <c r="D83" s="2"/>
      <c r="E83" s="2"/>
      <c r="F83" s="2"/>
      <c r="G83" s="46"/>
      <c r="H83" s="46"/>
      <c r="I83" s="46"/>
      <c r="J83" s="46"/>
      <c r="K83" s="46"/>
      <c r="L83" s="46"/>
      <c r="M83" s="46"/>
      <c r="N83" s="46"/>
      <c r="O83" s="46"/>
      <c r="P83" s="46"/>
      <c r="Q83" s="46"/>
      <c r="R83" s="46"/>
      <c r="S83" s="46"/>
      <c r="T83" s="46"/>
      <c r="U83" s="46"/>
      <c r="V83" s="46"/>
      <c r="W83" s="46"/>
      <c r="X83" s="46"/>
    </row>
    <row r="84" spans="1:24" ht="17.7" x14ac:dyDescent="0.6">
      <c r="A84" s="95" t="s">
        <v>92</v>
      </c>
      <c r="B84" s="95"/>
      <c r="C84" s="95"/>
      <c r="D84" s="82"/>
      <c r="E84" s="82"/>
      <c r="F84" s="82"/>
      <c r="G84" s="46"/>
      <c r="H84" s="46"/>
      <c r="I84" s="46"/>
      <c r="J84" s="46"/>
      <c r="K84" s="46"/>
      <c r="L84" s="46"/>
      <c r="M84" s="46"/>
      <c r="N84" s="46"/>
      <c r="O84" s="46"/>
      <c r="P84" s="46"/>
      <c r="Q84" s="46"/>
      <c r="R84" s="46"/>
      <c r="S84" s="46"/>
      <c r="T84" s="46"/>
      <c r="U84" s="46"/>
      <c r="V84" s="46"/>
      <c r="W84" s="46"/>
      <c r="X84" s="46"/>
    </row>
    <row r="85" spans="1:24" x14ac:dyDescent="0.55000000000000004">
      <c r="A85" s="28" t="s">
        <v>93</v>
      </c>
      <c r="B85" s="96" t="s">
        <v>98</v>
      </c>
      <c r="C85" s="96"/>
      <c r="D85" s="73"/>
      <c r="E85" s="73"/>
      <c r="F85" s="73"/>
      <c r="G85" s="46"/>
      <c r="H85" s="46"/>
      <c r="I85" s="46"/>
      <c r="J85" s="46"/>
      <c r="K85" s="46"/>
      <c r="L85" s="46"/>
      <c r="M85" s="46"/>
      <c r="N85" s="46"/>
      <c r="O85" s="46"/>
      <c r="P85" s="46"/>
      <c r="Q85" s="46"/>
      <c r="R85" s="46"/>
      <c r="S85" s="46"/>
      <c r="T85" s="46"/>
      <c r="U85" s="46"/>
      <c r="V85" s="46"/>
      <c r="W85" s="46"/>
      <c r="X85" s="46"/>
    </row>
    <row r="86" spans="1:24" x14ac:dyDescent="0.55000000000000004">
      <c r="A86" s="28" t="s">
        <v>94</v>
      </c>
      <c r="B86" s="96" t="s">
        <v>89</v>
      </c>
      <c r="C86" s="96"/>
      <c r="D86" s="73"/>
      <c r="E86" s="73"/>
      <c r="F86" s="73"/>
      <c r="G86" s="46"/>
      <c r="H86" s="46"/>
      <c r="I86" s="46"/>
      <c r="J86" s="46"/>
      <c r="K86" s="46"/>
      <c r="L86" s="46"/>
      <c r="M86" s="46"/>
      <c r="N86" s="46"/>
      <c r="O86" s="46"/>
      <c r="P86" s="46"/>
      <c r="Q86" s="46"/>
      <c r="R86" s="46"/>
      <c r="S86" s="46"/>
      <c r="T86" s="46"/>
      <c r="U86" s="46"/>
      <c r="V86" s="46"/>
      <c r="W86" s="46"/>
      <c r="X86" s="46"/>
    </row>
    <row r="87" spans="1:24" x14ac:dyDescent="0.55000000000000004">
      <c r="A87" s="28" t="s">
        <v>95</v>
      </c>
      <c r="B87" s="99" t="s">
        <v>99</v>
      </c>
      <c r="C87" s="99"/>
      <c r="D87" s="76"/>
      <c r="E87" s="76"/>
      <c r="F87" s="76"/>
      <c r="G87" s="46"/>
      <c r="H87" s="46"/>
      <c r="I87" s="46"/>
      <c r="J87" s="46"/>
      <c r="K87" s="46"/>
      <c r="L87" s="46"/>
      <c r="M87" s="46"/>
      <c r="N87" s="46"/>
      <c r="O87" s="46"/>
      <c r="P87" s="46"/>
      <c r="Q87" s="46"/>
      <c r="R87" s="46"/>
      <c r="S87" s="46"/>
      <c r="T87" s="46"/>
      <c r="U87" s="46"/>
      <c r="V87" s="46"/>
      <c r="W87" s="46"/>
      <c r="X87" s="46"/>
    </row>
    <row r="88" spans="1:24" x14ac:dyDescent="0.55000000000000004">
      <c r="A88" s="45" t="s">
        <v>96</v>
      </c>
      <c r="B88" s="91" t="s">
        <v>266</v>
      </c>
      <c r="C88" s="91"/>
      <c r="D88" s="76"/>
      <c r="E88" s="76"/>
      <c r="F88" s="76"/>
      <c r="G88" s="46"/>
      <c r="H88" s="46"/>
      <c r="I88" s="46"/>
      <c r="J88" s="46"/>
      <c r="K88" s="46"/>
      <c r="L88" s="46"/>
      <c r="M88" s="46"/>
      <c r="N88" s="46"/>
      <c r="O88" s="46"/>
      <c r="P88" s="46"/>
      <c r="Q88" s="46"/>
      <c r="R88" s="46"/>
      <c r="S88" s="46"/>
      <c r="T88" s="46"/>
      <c r="U88" s="46"/>
      <c r="V88" s="46"/>
      <c r="W88" s="46"/>
      <c r="X88" s="46"/>
    </row>
    <row r="89" spans="1:24" x14ac:dyDescent="0.55000000000000004">
      <c r="A89" s="45" t="s">
        <v>97</v>
      </c>
      <c r="B89" s="91" t="s">
        <v>267</v>
      </c>
      <c r="C89" s="91"/>
      <c r="D89" s="76"/>
      <c r="E89" s="76"/>
      <c r="F89" s="76"/>
      <c r="G89" s="46"/>
      <c r="H89" s="46"/>
      <c r="I89" s="46"/>
      <c r="J89" s="46"/>
      <c r="K89" s="46"/>
      <c r="L89" s="46"/>
      <c r="M89" s="46"/>
      <c r="N89" s="46"/>
      <c r="O89" s="46"/>
      <c r="P89" s="46"/>
      <c r="Q89" s="46"/>
      <c r="R89" s="46"/>
      <c r="S89" s="46"/>
      <c r="T89" s="46"/>
      <c r="U89" s="46"/>
      <c r="V89" s="46"/>
      <c r="W89" s="46"/>
      <c r="X89" s="46"/>
    </row>
    <row r="90" spans="1:24" x14ac:dyDescent="0.55000000000000004">
      <c r="A90" s="45" t="s">
        <v>100</v>
      </c>
      <c r="B90" s="97" t="s">
        <v>268</v>
      </c>
      <c r="C90" s="97"/>
      <c r="D90" s="76"/>
      <c r="E90" s="76"/>
      <c r="F90" s="76"/>
      <c r="G90" s="46"/>
      <c r="H90" s="46"/>
      <c r="I90" s="46"/>
      <c r="J90" s="46"/>
      <c r="K90" s="46"/>
      <c r="L90" s="46"/>
      <c r="M90" s="46"/>
      <c r="N90" s="46"/>
      <c r="O90" s="46"/>
      <c r="P90" s="46"/>
      <c r="Q90" s="46"/>
      <c r="R90" s="46"/>
      <c r="S90" s="46"/>
      <c r="T90" s="46"/>
      <c r="U90" s="46"/>
      <c r="V90" s="46"/>
      <c r="W90" s="46"/>
      <c r="X90" s="46"/>
    </row>
    <row r="91" spans="1:24" ht="27" customHeight="1" x14ac:dyDescent="0.55000000000000004">
      <c r="A91" s="28" t="s">
        <v>287</v>
      </c>
      <c r="B91" s="91" t="s">
        <v>168</v>
      </c>
      <c r="C91" s="91"/>
      <c r="D91" s="74"/>
      <c r="E91" s="74"/>
      <c r="F91" s="74"/>
      <c r="G91" s="46"/>
      <c r="H91" s="46"/>
      <c r="I91" s="46"/>
      <c r="J91" s="46"/>
      <c r="K91" s="46"/>
      <c r="L91" s="46"/>
      <c r="M91" s="46"/>
      <c r="N91" s="46"/>
      <c r="O91" s="46"/>
      <c r="P91" s="46"/>
      <c r="Q91" s="46"/>
      <c r="R91" s="46"/>
      <c r="S91" s="46"/>
      <c r="T91" s="46"/>
      <c r="U91" s="46"/>
      <c r="V91" s="46"/>
      <c r="W91" s="46"/>
      <c r="X91" s="46"/>
    </row>
    <row r="92" spans="1:24" x14ac:dyDescent="0.55000000000000004">
      <c r="A92" s="28" t="s">
        <v>288</v>
      </c>
      <c r="B92" s="91" t="s">
        <v>169</v>
      </c>
      <c r="C92" s="91"/>
      <c r="D92" s="74"/>
      <c r="E92" s="74"/>
      <c r="F92" s="74"/>
      <c r="G92" s="46"/>
      <c r="H92" s="46"/>
      <c r="I92" s="46"/>
      <c r="J92" s="46"/>
      <c r="K92" s="46"/>
      <c r="L92" s="46"/>
      <c r="M92" s="46"/>
      <c r="N92" s="46"/>
      <c r="O92" s="46"/>
      <c r="P92" s="46"/>
      <c r="Q92" s="46"/>
      <c r="R92" s="46"/>
      <c r="S92" s="46"/>
      <c r="T92" s="46"/>
      <c r="U92" s="46"/>
      <c r="V92" s="46"/>
      <c r="W92" s="46"/>
      <c r="X92" s="46"/>
    </row>
    <row r="93" spans="1:24" x14ac:dyDescent="0.55000000000000004">
      <c r="A93" s="28" t="s">
        <v>289</v>
      </c>
      <c r="B93" s="91" t="s">
        <v>170</v>
      </c>
      <c r="C93" s="91"/>
      <c r="D93" s="74"/>
      <c r="E93" s="74"/>
      <c r="F93" s="74"/>
      <c r="G93" s="46"/>
      <c r="H93" s="46"/>
      <c r="I93" s="46"/>
      <c r="J93" s="46"/>
      <c r="K93" s="46"/>
      <c r="L93" s="46"/>
      <c r="M93" s="46"/>
      <c r="N93" s="46"/>
      <c r="O93" s="46"/>
      <c r="P93" s="46"/>
      <c r="Q93" s="46"/>
      <c r="R93" s="46"/>
      <c r="S93" s="46"/>
      <c r="T93" s="46"/>
      <c r="U93" s="46"/>
      <c r="V93" s="46"/>
      <c r="W93" s="46"/>
      <c r="X93" s="46"/>
    </row>
    <row r="94" spans="1:24" x14ac:dyDescent="0.55000000000000004">
      <c r="G94" s="46"/>
      <c r="H94" s="46"/>
      <c r="I94" s="46"/>
      <c r="J94" s="46"/>
      <c r="K94" s="46"/>
      <c r="L94" s="46"/>
      <c r="M94" s="46"/>
      <c r="N94" s="46"/>
      <c r="O94" s="46"/>
      <c r="P94" s="46"/>
      <c r="Q94" s="46"/>
      <c r="R94" s="46"/>
      <c r="S94" s="46"/>
      <c r="T94" s="46"/>
      <c r="U94" s="46"/>
      <c r="V94" s="46"/>
      <c r="W94" s="46"/>
      <c r="X94" s="46"/>
    </row>
    <row r="95" spans="1:24" x14ac:dyDescent="0.55000000000000004">
      <c r="G95" s="46"/>
      <c r="H95" s="46"/>
      <c r="I95" s="46"/>
      <c r="J95" s="46"/>
      <c r="K95" s="46"/>
      <c r="L95" s="46"/>
      <c r="M95" s="46"/>
      <c r="N95" s="46"/>
      <c r="O95" s="46"/>
      <c r="P95" s="46"/>
      <c r="Q95" s="46"/>
      <c r="R95" s="46"/>
      <c r="S95" s="46"/>
      <c r="T95" s="46"/>
      <c r="U95" s="46"/>
      <c r="V95" s="46"/>
      <c r="W95" s="46"/>
      <c r="X95" s="46"/>
    </row>
    <row r="96" spans="1:24" x14ac:dyDescent="0.55000000000000004">
      <c r="G96" s="46"/>
      <c r="H96" s="46"/>
      <c r="I96" s="46"/>
      <c r="J96" s="46"/>
      <c r="K96" s="46"/>
      <c r="L96" s="46"/>
      <c r="M96" s="46"/>
      <c r="N96" s="46"/>
      <c r="O96" s="46"/>
      <c r="P96" s="46"/>
      <c r="Q96" s="46"/>
      <c r="R96" s="46"/>
      <c r="S96" s="46"/>
      <c r="T96" s="46"/>
      <c r="U96" s="46"/>
      <c r="V96" s="46"/>
      <c r="W96" s="46"/>
      <c r="X96" s="46"/>
    </row>
    <row r="97" spans="7:24" x14ac:dyDescent="0.55000000000000004">
      <c r="G97" s="46"/>
      <c r="H97" s="46"/>
      <c r="I97" s="46"/>
      <c r="J97" s="46"/>
      <c r="K97" s="46"/>
      <c r="L97" s="46"/>
      <c r="M97" s="46"/>
      <c r="N97" s="46"/>
      <c r="O97" s="46"/>
      <c r="P97" s="46"/>
      <c r="Q97" s="46"/>
      <c r="R97" s="46"/>
      <c r="S97" s="46"/>
      <c r="T97" s="46"/>
      <c r="U97" s="46"/>
      <c r="V97" s="46"/>
      <c r="W97" s="46"/>
      <c r="X97" s="46"/>
    </row>
    <row r="98" spans="7:24" x14ac:dyDescent="0.55000000000000004">
      <c r="G98" s="46"/>
      <c r="H98" s="46"/>
      <c r="I98" s="46"/>
      <c r="J98" s="46"/>
      <c r="K98" s="46"/>
      <c r="L98" s="46"/>
      <c r="M98" s="46"/>
      <c r="N98" s="46"/>
      <c r="O98" s="46"/>
      <c r="P98" s="46"/>
      <c r="Q98" s="46"/>
      <c r="R98" s="46"/>
      <c r="S98" s="46"/>
      <c r="T98" s="46"/>
      <c r="U98" s="46"/>
      <c r="V98" s="46"/>
      <c r="W98" s="46"/>
      <c r="X98" s="46"/>
    </row>
    <row r="99" spans="7:24" x14ac:dyDescent="0.55000000000000004">
      <c r="G99" s="46"/>
      <c r="H99" s="46"/>
      <c r="I99" s="46"/>
      <c r="J99" s="46"/>
      <c r="K99" s="46"/>
      <c r="L99" s="46"/>
      <c r="M99" s="46"/>
      <c r="N99" s="46"/>
      <c r="O99" s="46"/>
      <c r="P99" s="46"/>
      <c r="Q99" s="46"/>
      <c r="R99" s="46"/>
      <c r="S99" s="46"/>
      <c r="T99" s="46"/>
      <c r="U99" s="46"/>
      <c r="V99" s="46"/>
      <c r="W99" s="46"/>
      <c r="X99" s="46"/>
    </row>
    <row r="100" spans="7:24" x14ac:dyDescent="0.55000000000000004">
      <c r="G100" s="46"/>
      <c r="H100" s="46"/>
      <c r="I100" s="46"/>
      <c r="J100" s="46"/>
      <c r="K100" s="46"/>
      <c r="L100" s="46"/>
      <c r="M100" s="46"/>
      <c r="N100" s="46"/>
      <c r="O100" s="46"/>
      <c r="P100" s="46"/>
      <c r="Q100" s="46"/>
      <c r="R100" s="46"/>
      <c r="S100" s="46"/>
      <c r="T100" s="46"/>
      <c r="U100" s="46"/>
      <c r="V100" s="46"/>
      <c r="W100" s="46"/>
      <c r="X100" s="46"/>
    </row>
    <row r="101" spans="7:24" x14ac:dyDescent="0.55000000000000004">
      <c r="G101" s="46"/>
      <c r="H101" s="46"/>
      <c r="I101" s="46"/>
      <c r="J101" s="46"/>
      <c r="K101" s="46"/>
      <c r="L101" s="46"/>
      <c r="M101" s="46"/>
      <c r="N101" s="46"/>
      <c r="O101" s="46"/>
      <c r="P101" s="46"/>
      <c r="Q101" s="46"/>
      <c r="R101" s="46"/>
      <c r="S101" s="46"/>
      <c r="T101" s="46"/>
      <c r="U101" s="46"/>
      <c r="V101" s="46"/>
      <c r="W101" s="46"/>
      <c r="X101" s="46"/>
    </row>
    <row r="102" spans="7:24" x14ac:dyDescent="0.55000000000000004">
      <c r="G102" s="46"/>
      <c r="H102" s="46"/>
      <c r="I102" s="46"/>
      <c r="J102" s="46"/>
      <c r="K102" s="46"/>
      <c r="L102" s="46"/>
      <c r="M102" s="46"/>
      <c r="N102" s="46"/>
      <c r="O102" s="46"/>
      <c r="P102" s="46"/>
      <c r="Q102" s="46"/>
      <c r="R102" s="46"/>
      <c r="S102" s="46"/>
      <c r="T102" s="46"/>
      <c r="U102" s="46"/>
      <c r="V102" s="46"/>
      <c r="W102" s="46"/>
      <c r="X102" s="46"/>
    </row>
    <row r="103" spans="7:24" x14ac:dyDescent="0.55000000000000004">
      <c r="G103" s="46"/>
      <c r="H103" s="46"/>
      <c r="I103" s="46"/>
      <c r="J103" s="46"/>
      <c r="K103" s="46"/>
      <c r="L103" s="46"/>
      <c r="M103" s="46"/>
      <c r="N103" s="46"/>
      <c r="O103" s="46"/>
      <c r="P103" s="46"/>
      <c r="Q103" s="46"/>
      <c r="R103" s="46"/>
      <c r="S103" s="46"/>
      <c r="T103" s="46"/>
      <c r="U103" s="46"/>
      <c r="V103" s="46"/>
      <c r="W103" s="46"/>
      <c r="X103" s="46"/>
    </row>
    <row r="104" spans="7:24" x14ac:dyDescent="0.55000000000000004">
      <c r="G104" s="46"/>
      <c r="H104" s="46"/>
      <c r="I104" s="46"/>
      <c r="J104" s="46"/>
      <c r="K104" s="46"/>
      <c r="L104" s="46"/>
      <c r="M104" s="46"/>
      <c r="N104" s="46"/>
      <c r="O104" s="46"/>
      <c r="P104" s="46"/>
      <c r="Q104" s="46"/>
      <c r="R104" s="46"/>
      <c r="S104" s="46"/>
      <c r="T104" s="46"/>
      <c r="U104" s="46"/>
      <c r="V104" s="46"/>
      <c r="W104" s="46"/>
      <c r="X104" s="46"/>
    </row>
    <row r="105" spans="7:24" x14ac:dyDescent="0.55000000000000004">
      <c r="G105" s="46"/>
      <c r="H105" s="46"/>
      <c r="I105" s="46"/>
      <c r="J105" s="46"/>
      <c r="K105" s="46"/>
      <c r="L105" s="46"/>
      <c r="M105" s="46"/>
      <c r="N105" s="46"/>
      <c r="O105" s="46"/>
      <c r="P105" s="46"/>
      <c r="Q105" s="46"/>
      <c r="R105" s="46"/>
      <c r="S105" s="46"/>
      <c r="T105" s="46"/>
      <c r="U105" s="46"/>
      <c r="V105" s="46"/>
      <c r="W105" s="46"/>
      <c r="X105" s="46"/>
    </row>
    <row r="106" spans="7:24" x14ac:dyDescent="0.55000000000000004">
      <c r="G106" s="46"/>
      <c r="H106" s="46"/>
      <c r="I106" s="46"/>
      <c r="J106" s="46"/>
      <c r="K106" s="46"/>
      <c r="L106" s="46"/>
      <c r="M106" s="46"/>
      <c r="N106" s="46"/>
      <c r="O106" s="46"/>
      <c r="P106" s="46"/>
      <c r="Q106" s="46"/>
      <c r="R106" s="46"/>
      <c r="S106" s="46"/>
      <c r="T106" s="46"/>
      <c r="U106" s="46"/>
      <c r="V106" s="46"/>
      <c r="W106" s="46"/>
      <c r="X106" s="46"/>
    </row>
    <row r="107" spans="7:24" x14ac:dyDescent="0.55000000000000004">
      <c r="G107" s="46"/>
      <c r="H107" s="46"/>
      <c r="I107" s="46"/>
      <c r="J107" s="46"/>
      <c r="K107" s="46"/>
      <c r="L107" s="46"/>
      <c r="M107" s="46"/>
      <c r="N107" s="46"/>
      <c r="O107" s="46"/>
      <c r="P107" s="46"/>
      <c r="Q107" s="46"/>
      <c r="R107" s="46"/>
      <c r="S107" s="46"/>
      <c r="T107" s="46"/>
      <c r="U107" s="46"/>
      <c r="V107" s="46"/>
      <c r="W107" s="46"/>
      <c r="X107" s="46"/>
    </row>
    <row r="108" spans="7:24" x14ac:dyDescent="0.55000000000000004">
      <c r="G108" s="46"/>
      <c r="H108" s="46"/>
      <c r="I108" s="46"/>
      <c r="J108" s="46"/>
      <c r="K108" s="46"/>
      <c r="L108" s="46"/>
      <c r="M108" s="46"/>
      <c r="N108" s="46"/>
      <c r="O108" s="46"/>
      <c r="P108" s="46"/>
      <c r="Q108" s="46"/>
      <c r="R108" s="46"/>
      <c r="S108" s="46"/>
      <c r="T108" s="46"/>
      <c r="U108" s="46"/>
      <c r="V108" s="46"/>
      <c r="W108" s="46"/>
      <c r="X108" s="46"/>
    </row>
    <row r="109" spans="7:24" x14ac:dyDescent="0.55000000000000004">
      <c r="G109" s="46"/>
      <c r="H109" s="46"/>
      <c r="I109" s="46"/>
      <c r="J109" s="46"/>
      <c r="K109" s="46"/>
      <c r="L109" s="46"/>
      <c r="M109" s="46"/>
      <c r="N109" s="46"/>
      <c r="O109" s="46"/>
      <c r="P109" s="46"/>
      <c r="Q109" s="46"/>
      <c r="R109" s="46"/>
      <c r="S109" s="46"/>
      <c r="T109" s="46"/>
      <c r="U109" s="46"/>
      <c r="V109" s="46"/>
      <c r="W109" s="46"/>
      <c r="X109" s="46"/>
    </row>
    <row r="110" spans="7:24" x14ac:dyDescent="0.55000000000000004">
      <c r="G110" s="46"/>
      <c r="H110" s="46"/>
      <c r="I110" s="46"/>
      <c r="J110" s="46"/>
      <c r="K110" s="46"/>
      <c r="L110" s="46"/>
      <c r="M110" s="46"/>
      <c r="N110" s="46"/>
      <c r="O110" s="46"/>
      <c r="P110" s="46"/>
      <c r="Q110" s="46"/>
      <c r="R110" s="46"/>
      <c r="S110" s="46"/>
      <c r="T110" s="46"/>
      <c r="U110" s="46"/>
      <c r="V110" s="46"/>
      <c r="W110" s="46"/>
      <c r="X110" s="46"/>
    </row>
    <row r="111" spans="7:24" x14ac:dyDescent="0.55000000000000004">
      <c r="G111" s="46"/>
      <c r="H111" s="46"/>
      <c r="I111" s="46"/>
      <c r="J111" s="46"/>
      <c r="K111" s="46"/>
      <c r="L111" s="46"/>
      <c r="M111" s="46"/>
      <c r="N111" s="46"/>
      <c r="O111" s="46"/>
      <c r="P111" s="46"/>
      <c r="Q111" s="46"/>
      <c r="R111" s="46"/>
      <c r="S111" s="46"/>
      <c r="T111" s="46"/>
      <c r="U111" s="46"/>
      <c r="V111" s="46"/>
      <c r="W111" s="46"/>
      <c r="X111" s="46"/>
    </row>
    <row r="112" spans="7:24" x14ac:dyDescent="0.55000000000000004">
      <c r="G112" s="46"/>
      <c r="H112" s="46"/>
      <c r="I112" s="46"/>
      <c r="J112" s="46"/>
      <c r="K112" s="46"/>
      <c r="L112" s="46"/>
      <c r="M112" s="46"/>
      <c r="N112" s="46"/>
      <c r="O112" s="46"/>
      <c r="P112" s="46"/>
      <c r="Q112" s="46"/>
      <c r="R112" s="46"/>
      <c r="S112" s="46"/>
      <c r="T112" s="46"/>
      <c r="U112" s="46"/>
      <c r="V112" s="46"/>
      <c r="W112" s="46"/>
      <c r="X112" s="46"/>
    </row>
    <row r="113" spans="7:24" x14ac:dyDescent="0.55000000000000004">
      <c r="G113" s="46"/>
      <c r="H113" s="46"/>
      <c r="I113" s="46"/>
      <c r="J113" s="46"/>
      <c r="K113" s="46"/>
      <c r="L113" s="46"/>
      <c r="M113" s="46"/>
      <c r="N113" s="46"/>
      <c r="O113" s="46"/>
      <c r="P113" s="46"/>
      <c r="Q113" s="46"/>
      <c r="R113" s="46"/>
      <c r="S113" s="46"/>
      <c r="T113" s="46"/>
      <c r="U113" s="46"/>
      <c r="V113" s="46"/>
      <c r="W113" s="46"/>
      <c r="X113" s="46"/>
    </row>
    <row r="114" spans="7:24" x14ac:dyDescent="0.55000000000000004">
      <c r="G114" s="46"/>
      <c r="H114" s="46"/>
      <c r="I114" s="46"/>
      <c r="J114" s="46"/>
      <c r="K114" s="46"/>
      <c r="L114" s="46"/>
      <c r="M114" s="46"/>
      <c r="N114" s="46"/>
      <c r="O114" s="46"/>
      <c r="P114" s="46"/>
      <c r="Q114" s="46"/>
      <c r="R114" s="46"/>
      <c r="S114" s="46"/>
      <c r="T114" s="46"/>
      <c r="U114" s="46"/>
      <c r="V114" s="46"/>
      <c r="W114" s="46"/>
      <c r="X114" s="46"/>
    </row>
    <row r="115" spans="7:24" x14ac:dyDescent="0.55000000000000004">
      <c r="G115" s="46"/>
      <c r="H115" s="46"/>
      <c r="I115" s="46"/>
      <c r="J115" s="46"/>
      <c r="K115" s="46"/>
      <c r="L115" s="46"/>
      <c r="M115" s="46"/>
      <c r="N115" s="46"/>
      <c r="O115" s="46"/>
      <c r="P115" s="46"/>
      <c r="Q115" s="46"/>
      <c r="R115" s="46"/>
      <c r="S115" s="46"/>
      <c r="T115" s="46"/>
      <c r="U115" s="46"/>
      <c r="V115" s="46"/>
      <c r="W115" s="46"/>
      <c r="X115" s="46"/>
    </row>
    <row r="116" spans="7:24" x14ac:dyDescent="0.55000000000000004">
      <c r="G116" s="46"/>
      <c r="H116" s="46"/>
      <c r="I116" s="46"/>
      <c r="J116" s="46"/>
      <c r="K116" s="46"/>
      <c r="L116" s="46"/>
      <c r="M116" s="46"/>
      <c r="N116" s="46"/>
      <c r="O116" s="46"/>
      <c r="P116" s="46"/>
      <c r="Q116" s="46"/>
      <c r="R116" s="46"/>
      <c r="S116" s="46"/>
      <c r="T116" s="46"/>
      <c r="U116" s="46"/>
      <c r="V116" s="46"/>
      <c r="W116" s="46"/>
      <c r="X116" s="46"/>
    </row>
    <row r="117" spans="7:24" x14ac:dyDescent="0.55000000000000004">
      <c r="G117" s="46"/>
      <c r="H117" s="46"/>
      <c r="I117" s="46"/>
      <c r="J117" s="46"/>
      <c r="K117" s="46"/>
      <c r="L117" s="46"/>
      <c r="M117" s="46"/>
      <c r="N117" s="46"/>
      <c r="O117" s="46"/>
      <c r="P117" s="46"/>
      <c r="Q117" s="46"/>
      <c r="R117" s="46"/>
      <c r="S117" s="46"/>
      <c r="T117" s="46"/>
      <c r="U117" s="46"/>
      <c r="V117" s="46"/>
      <c r="W117" s="46"/>
      <c r="X117" s="46"/>
    </row>
    <row r="118" spans="7:24" x14ac:dyDescent="0.55000000000000004">
      <c r="G118" s="46"/>
      <c r="H118" s="46"/>
      <c r="I118" s="46"/>
      <c r="J118" s="46"/>
      <c r="K118" s="46"/>
      <c r="L118" s="46"/>
      <c r="M118" s="46"/>
      <c r="N118" s="46"/>
      <c r="O118" s="46"/>
      <c r="P118" s="46"/>
      <c r="Q118" s="46"/>
      <c r="R118" s="46"/>
      <c r="S118" s="46"/>
      <c r="T118" s="46"/>
      <c r="U118" s="46"/>
      <c r="V118" s="46"/>
      <c r="W118" s="46"/>
      <c r="X118" s="46"/>
    </row>
    <row r="119" spans="7:24" x14ac:dyDescent="0.55000000000000004">
      <c r="G119" s="46"/>
      <c r="H119" s="46"/>
      <c r="I119" s="46"/>
      <c r="J119" s="46"/>
      <c r="K119" s="46"/>
      <c r="L119" s="46"/>
      <c r="M119" s="46"/>
      <c r="N119" s="46"/>
      <c r="O119" s="46"/>
      <c r="P119" s="46"/>
      <c r="Q119" s="46"/>
      <c r="R119" s="46"/>
      <c r="S119" s="46"/>
      <c r="T119" s="46"/>
      <c r="U119" s="46"/>
      <c r="V119" s="46"/>
      <c r="W119" s="46"/>
      <c r="X119" s="46"/>
    </row>
    <row r="120" spans="7:24" x14ac:dyDescent="0.55000000000000004">
      <c r="G120" s="46"/>
      <c r="H120" s="46"/>
      <c r="I120" s="46"/>
      <c r="J120" s="46"/>
      <c r="K120" s="46"/>
      <c r="L120" s="46"/>
      <c r="M120" s="46"/>
      <c r="N120" s="46"/>
      <c r="O120" s="46"/>
      <c r="P120" s="46"/>
      <c r="Q120" s="46"/>
      <c r="R120" s="46"/>
      <c r="S120" s="46"/>
      <c r="T120" s="46"/>
      <c r="U120" s="46"/>
      <c r="V120" s="46"/>
      <c r="W120" s="46"/>
      <c r="X120" s="46"/>
    </row>
    <row r="121" spans="7:24" x14ac:dyDescent="0.55000000000000004">
      <c r="G121" s="46"/>
      <c r="H121" s="46"/>
      <c r="I121" s="46"/>
      <c r="J121" s="46"/>
      <c r="K121" s="46"/>
      <c r="L121" s="46"/>
      <c r="M121" s="46"/>
      <c r="N121" s="46"/>
      <c r="O121" s="46"/>
      <c r="P121" s="46"/>
      <c r="Q121" s="46"/>
      <c r="R121" s="46"/>
      <c r="S121" s="46"/>
      <c r="T121" s="46"/>
      <c r="U121" s="46"/>
      <c r="V121" s="46"/>
      <c r="W121" s="46"/>
      <c r="X121" s="46"/>
    </row>
    <row r="122" spans="7:24" x14ac:dyDescent="0.55000000000000004">
      <c r="G122" s="46"/>
      <c r="H122" s="46"/>
      <c r="I122" s="46"/>
      <c r="J122" s="46"/>
      <c r="K122" s="46"/>
      <c r="L122" s="46"/>
      <c r="M122" s="46"/>
      <c r="N122" s="46"/>
      <c r="O122" s="46"/>
      <c r="P122" s="46"/>
      <c r="Q122" s="46"/>
      <c r="R122" s="46"/>
      <c r="S122" s="46"/>
      <c r="T122" s="46"/>
      <c r="U122" s="46"/>
      <c r="V122" s="46"/>
      <c r="W122" s="46"/>
      <c r="X122" s="46"/>
    </row>
    <row r="123" spans="7:24" x14ac:dyDescent="0.55000000000000004">
      <c r="G123" s="46"/>
      <c r="H123" s="46"/>
      <c r="I123" s="46"/>
      <c r="J123" s="46"/>
      <c r="K123" s="46"/>
      <c r="L123" s="46"/>
      <c r="M123" s="46"/>
      <c r="N123" s="46"/>
      <c r="O123" s="46"/>
      <c r="P123" s="46"/>
      <c r="Q123" s="46"/>
      <c r="R123" s="46"/>
      <c r="S123" s="46"/>
      <c r="T123" s="46"/>
      <c r="U123" s="46"/>
      <c r="V123" s="46"/>
      <c r="W123" s="46"/>
      <c r="X123" s="46"/>
    </row>
    <row r="124" spans="7:24" x14ac:dyDescent="0.55000000000000004">
      <c r="G124" s="46"/>
      <c r="H124" s="46"/>
      <c r="I124" s="46"/>
      <c r="J124" s="46"/>
      <c r="K124" s="46"/>
      <c r="L124" s="46"/>
      <c r="M124" s="46"/>
      <c r="N124" s="46"/>
      <c r="O124" s="46"/>
      <c r="P124" s="46"/>
      <c r="Q124" s="46"/>
      <c r="R124" s="46"/>
      <c r="S124" s="46"/>
      <c r="T124" s="46"/>
      <c r="U124" s="46"/>
      <c r="V124" s="46"/>
      <c r="W124" s="46"/>
      <c r="X124" s="46"/>
    </row>
    <row r="125" spans="7:24" x14ac:dyDescent="0.55000000000000004">
      <c r="G125" s="46"/>
      <c r="H125" s="46"/>
      <c r="I125" s="46"/>
      <c r="J125" s="46"/>
      <c r="K125" s="46"/>
      <c r="L125" s="46"/>
      <c r="M125" s="46"/>
      <c r="N125" s="46"/>
      <c r="O125" s="46"/>
      <c r="P125" s="46"/>
      <c r="Q125" s="46"/>
      <c r="R125" s="46"/>
      <c r="S125" s="46"/>
      <c r="T125" s="46"/>
      <c r="U125" s="46"/>
      <c r="V125" s="46"/>
      <c r="W125" s="46"/>
      <c r="X125" s="46"/>
    </row>
    <row r="126" spans="7:24" x14ac:dyDescent="0.55000000000000004">
      <c r="G126" s="46"/>
      <c r="H126" s="46"/>
      <c r="I126" s="46"/>
      <c r="J126" s="46"/>
      <c r="K126" s="46"/>
      <c r="L126" s="46"/>
      <c r="M126" s="46"/>
      <c r="N126" s="46"/>
      <c r="O126" s="46"/>
      <c r="P126" s="46"/>
      <c r="Q126" s="46"/>
      <c r="R126" s="46"/>
      <c r="S126" s="46"/>
      <c r="T126" s="46"/>
      <c r="U126" s="46"/>
      <c r="V126" s="46"/>
      <c r="W126" s="46"/>
      <c r="X126" s="46"/>
    </row>
    <row r="127" spans="7:24" x14ac:dyDescent="0.55000000000000004">
      <c r="G127" s="46"/>
      <c r="H127" s="46"/>
      <c r="I127" s="46"/>
      <c r="J127" s="46"/>
      <c r="K127" s="46"/>
      <c r="L127" s="46"/>
      <c r="M127" s="46"/>
      <c r="N127" s="46"/>
      <c r="O127" s="46"/>
      <c r="P127" s="46"/>
      <c r="Q127" s="46"/>
      <c r="R127" s="46"/>
      <c r="S127" s="46"/>
      <c r="T127" s="46"/>
      <c r="U127" s="46"/>
      <c r="V127" s="46"/>
      <c r="W127" s="46"/>
      <c r="X127" s="46"/>
    </row>
    <row r="128" spans="7:24" x14ac:dyDescent="0.55000000000000004">
      <c r="G128" s="46"/>
      <c r="H128" s="46"/>
      <c r="I128" s="46"/>
      <c r="J128" s="46"/>
      <c r="K128" s="46"/>
      <c r="L128" s="46"/>
      <c r="M128" s="46"/>
      <c r="N128" s="46"/>
      <c r="O128" s="46"/>
      <c r="P128" s="46"/>
      <c r="Q128" s="46"/>
      <c r="R128" s="46"/>
      <c r="S128" s="46"/>
      <c r="T128" s="46"/>
      <c r="U128" s="46"/>
      <c r="V128" s="46"/>
      <c r="W128" s="46"/>
      <c r="X128" s="46"/>
    </row>
    <row r="129" spans="7:24" x14ac:dyDescent="0.55000000000000004">
      <c r="G129" s="46"/>
      <c r="H129" s="46"/>
      <c r="I129" s="46"/>
      <c r="J129" s="46"/>
      <c r="K129" s="46"/>
      <c r="L129" s="46"/>
      <c r="M129" s="46"/>
      <c r="N129" s="46"/>
      <c r="O129" s="46"/>
      <c r="P129" s="46"/>
      <c r="Q129" s="46"/>
      <c r="R129" s="46"/>
      <c r="S129" s="46"/>
      <c r="T129" s="46"/>
      <c r="U129" s="46"/>
      <c r="V129" s="46"/>
      <c r="W129" s="46"/>
      <c r="X129" s="46"/>
    </row>
    <row r="130" spans="7:24" x14ac:dyDescent="0.55000000000000004">
      <c r="G130" s="46"/>
      <c r="H130" s="46"/>
      <c r="I130" s="46"/>
      <c r="J130" s="46"/>
      <c r="K130" s="46"/>
      <c r="L130" s="46"/>
      <c r="M130" s="46"/>
      <c r="N130" s="46"/>
      <c r="O130" s="46"/>
      <c r="P130" s="46"/>
      <c r="Q130" s="46"/>
      <c r="R130" s="46"/>
      <c r="S130" s="46"/>
      <c r="T130" s="46"/>
      <c r="U130" s="46"/>
      <c r="V130" s="46"/>
      <c r="W130" s="46"/>
      <c r="X130" s="46"/>
    </row>
    <row r="131" spans="7:24" x14ac:dyDescent="0.55000000000000004">
      <c r="G131" s="46"/>
      <c r="H131" s="46"/>
      <c r="I131" s="46"/>
      <c r="J131" s="46"/>
      <c r="K131" s="46"/>
      <c r="L131" s="46"/>
      <c r="M131" s="46"/>
      <c r="N131" s="46"/>
      <c r="O131" s="46"/>
      <c r="P131" s="46"/>
      <c r="Q131" s="46"/>
      <c r="R131" s="46"/>
      <c r="S131" s="46"/>
      <c r="T131" s="46"/>
      <c r="U131" s="46"/>
      <c r="V131" s="46"/>
      <c r="W131" s="46"/>
      <c r="X131" s="46"/>
    </row>
    <row r="132" spans="7:24" x14ac:dyDescent="0.55000000000000004">
      <c r="G132" s="46"/>
      <c r="H132" s="46"/>
      <c r="I132" s="46"/>
      <c r="J132" s="46"/>
      <c r="K132" s="46"/>
      <c r="L132" s="46"/>
      <c r="M132" s="46"/>
      <c r="N132" s="46"/>
      <c r="O132" s="46"/>
      <c r="P132" s="46"/>
      <c r="Q132" s="46"/>
      <c r="R132" s="46"/>
      <c r="S132" s="46"/>
      <c r="T132" s="46"/>
      <c r="U132" s="46"/>
      <c r="V132" s="46"/>
      <c r="W132" s="46"/>
      <c r="X132" s="46"/>
    </row>
    <row r="133" spans="7:24" x14ac:dyDescent="0.55000000000000004">
      <c r="G133" s="46"/>
      <c r="H133" s="46"/>
      <c r="I133" s="46"/>
      <c r="J133" s="46"/>
      <c r="K133" s="46"/>
      <c r="L133" s="46"/>
      <c r="M133" s="46"/>
      <c r="N133" s="46"/>
      <c r="O133" s="46"/>
      <c r="P133" s="46"/>
      <c r="Q133" s="46"/>
      <c r="R133" s="46"/>
      <c r="S133" s="46"/>
      <c r="T133" s="46"/>
      <c r="U133" s="46"/>
      <c r="V133" s="46"/>
      <c r="W133" s="46"/>
      <c r="X133" s="46"/>
    </row>
    <row r="134" spans="7:24" x14ac:dyDescent="0.55000000000000004">
      <c r="G134" s="46"/>
      <c r="H134" s="46"/>
      <c r="I134" s="46"/>
      <c r="J134" s="46"/>
      <c r="K134" s="46"/>
      <c r="L134" s="46"/>
      <c r="M134" s="46"/>
      <c r="N134" s="46"/>
      <c r="O134" s="46"/>
      <c r="P134" s="46"/>
      <c r="Q134" s="46"/>
      <c r="R134" s="46"/>
      <c r="S134" s="46"/>
      <c r="T134" s="46"/>
      <c r="U134" s="46"/>
      <c r="V134" s="46"/>
      <c r="W134" s="46"/>
      <c r="X134" s="46"/>
    </row>
    <row r="135" spans="7:24" x14ac:dyDescent="0.55000000000000004">
      <c r="G135" s="46"/>
      <c r="H135" s="46"/>
      <c r="I135" s="46"/>
      <c r="J135" s="46"/>
      <c r="K135" s="46"/>
      <c r="L135" s="46"/>
      <c r="M135" s="46"/>
      <c r="N135" s="46"/>
      <c r="O135" s="46"/>
      <c r="P135" s="46"/>
      <c r="Q135" s="46"/>
      <c r="R135" s="46"/>
      <c r="S135" s="46"/>
      <c r="T135" s="46"/>
      <c r="U135" s="46"/>
      <c r="V135" s="46"/>
      <c r="W135" s="46"/>
      <c r="X135" s="46"/>
    </row>
    <row r="136" spans="7:24" x14ac:dyDescent="0.55000000000000004">
      <c r="G136" s="46"/>
      <c r="H136" s="46"/>
      <c r="I136" s="46"/>
      <c r="J136" s="46"/>
      <c r="K136" s="46"/>
      <c r="L136" s="46"/>
      <c r="M136" s="46"/>
      <c r="N136" s="46"/>
      <c r="O136" s="46"/>
      <c r="P136" s="46"/>
      <c r="Q136" s="46"/>
      <c r="R136" s="46"/>
      <c r="S136" s="46"/>
      <c r="T136" s="46"/>
      <c r="U136" s="46"/>
      <c r="V136" s="46"/>
      <c r="W136" s="46"/>
      <c r="X136" s="46"/>
    </row>
    <row r="137" spans="7:24" x14ac:dyDescent="0.55000000000000004">
      <c r="G137" s="46"/>
      <c r="H137" s="46"/>
      <c r="I137" s="46"/>
      <c r="J137" s="46"/>
      <c r="K137" s="46"/>
      <c r="L137" s="46"/>
      <c r="M137" s="46"/>
      <c r="N137" s="46"/>
      <c r="O137" s="46"/>
      <c r="P137" s="46"/>
      <c r="Q137" s="46"/>
      <c r="R137" s="46"/>
      <c r="S137" s="46"/>
      <c r="T137" s="46"/>
      <c r="U137" s="46"/>
      <c r="V137" s="46"/>
      <c r="W137" s="46"/>
      <c r="X137" s="46"/>
    </row>
    <row r="138" spans="7:24" x14ac:dyDescent="0.55000000000000004">
      <c r="G138" s="46"/>
      <c r="H138" s="46"/>
      <c r="I138" s="46"/>
      <c r="J138" s="46"/>
      <c r="K138" s="46"/>
      <c r="L138" s="46"/>
      <c r="M138" s="46"/>
      <c r="N138" s="46"/>
      <c r="O138" s="46"/>
      <c r="P138" s="46"/>
      <c r="Q138" s="46"/>
      <c r="R138" s="46"/>
      <c r="S138" s="46"/>
      <c r="T138" s="46"/>
      <c r="U138" s="46"/>
      <c r="V138" s="46"/>
      <c r="W138" s="46"/>
      <c r="X138" s="46"/>
    </row>
    <row r="139" spans="7:24" x14ac:dyDescent="0.55000000000000004">
      <c r="G139" s="46"/>
      <c r="H139" s="46"/>
      <c r="I139" s="46"/>
      <c r="J139" s="46"/>
      <c r="K139" s="46"/>
      <c r="L139" s="46"/>
      <c r="M139" s="46"/>
      <c r="N139" s="46"/>
      <c r="O139" s="46"/>
      <c r="P139" s="46"/>
      <c r="Q139" s="46"/>
      <c r="R139" s="46"/>
      <c r="S139" s="46"/>
      <c r="T139" s="46"/>
      <c r="U139" s="46"/>
      <c r="V139" s="46"/>
      <c r="W139" s="46"/>
      <c r="X139" s="46"/>
    </row>
    <row r="140" spans="7:24" x14ac:dyDescent="0.55000000000000004">
      <c r="G140" s="46"/>
      <c r="H140" s="46"/>
      <c r="I140" s="46"/>
      <c r="J140" s="46"/>
      <c r="K140" s="46"/>
      <c r="L140" s="46"/>
      <c r="M140" s="46"/>
      <c r="N140" s="46"/>
      <c r="O140" s="46"/>
      <c r="P140" s="46"/>
      <c r="Q140" s="46"/>
      <c r="R140" s="46"/>
      <c r="S140" s="46"/>
      <c r="T140" s="46"/>
      <c r="U140" s="46"/>
      <c r="V140" s="46"/>
      <c r="W140" s="46"/>
      <c r="X140" s="46"/>
    </row>
    <row r="141" spans="7:24" x14ac:dyDescent="0.55000000000000004">
      <c r="G141" s="46"/>
      <c r="H141" s="46"/>
      <c r="I141" s="46"/>
      <c r="J141" s="46"/>
      <c r="K141" s="46"/>
      <c r="L141" s="46"/>
      <c r="M141" s="46"/>
      <c r="N141" s="46"/>
      <c r="O141" s="46"/>
      <c r="P141" s="46"/>
      <c r="Q141" s="46"/>
      <c r="R141" s="46"/>
      <c r="S141" s="46"/>
      <c r="T141" s="46"/>
      <c r="U141" s="46"/>
      <c r="V141" s="46"/>
      <c r="W141" s="46"/>
      <c r="X141" s="46"/>
    </row>
    <row r="142" spans="7:24" x14ac:dyDescent="0.55000000000000004">
      <c r="G142" s="46"/>
      <c r="H142" s="46"/>
      <c r="I142" s="46"/>
      <c r="J142" s="46"/>
      <c r="K142" s="46"/>
      <c r="L142" s="46"/>
      <c r="M142" s="46"/>
      <c r="N142" s="46"/>
      <c r="O142" s="46"/>
      <c r="P142" s="46"/>
      <c r="Q142" s="46"/>
      <c r="R142" s="46"/>
      <c r="S142" s="46"/>
      <c r="T142" s="46"/>
      <c r="U142" s="46"/>
      <c r="V142" s="46"/>
      <c r="W142" s="46"/>
      <c r="X142" s="46"/>
    </row>
    <row r="143" spans="7:24" x14ac:dyDescent="0.55000000000000004">
      <c r="G143" s="46"/>
      <c r="H143" s="46"/>
      <c r="I143" s="46"/>
      <c r="J143" s="46"/>
      <c r="K143" s="46"/>
      <c r="L143" s="46"/>
      <c r="M143" s="46"/>
      <c r="N143" s="46"/>
      <c r="O143" s="46"/>
      <c r="P143" s="46"/>
      <c r="Q143" s="46"/>
      <c r="R143" s="46"/>
      <c r="S143" s="46"/>
      <c r="T143" s="46"/>
      <c r="U143" s="46"/>
      <c r="V143" s="46"/>
      <c r="W143" s="46"/>
      <c r="X143" s="46"/>
    </row>
    <row r="144" spans="7:24" x14ac:dyDescent="0.55000000000000004">
      <c r="G144" s="46"/>
      <c r="H144" s="46"/>
      <c r="I144" s="46"/>
      <c r="J144" s="46"/>
      <c r="K144" s="46"/>
      <c r="L144" s="46"/>
      <c r="M144" s="46"/>
      <c r="N144" s="46"/>
      <c r="O144" s="46"/>
      <c r="P144" s="46"/>
      <c r="Q144" s="46"/>
      <c r="R144" s="46"/>
      <c r="S144" s="46"/>
      <c r="T144" s="46"/>
      <c r="U144" s="46"/>
      <c r="V144" s="46"/>
      <c r="W144" s="46"/>
      <c r="X144" s="46"/>
    </row>
    <row r="145" spans="7:24" x14ac:dyDescent="0.55000000000000004">
      <c r="G145" s="46"/>
      <c r="H145" s="46"/>
      <c r="I145" s="46"/>
      <c r="J145" s="46"/>
      <c r="K145" s="46"/>
      <c r="L145" s="46"/>
      <c r="M145" s="46"/>
      <c r="N145" s="46"/>
      <c r="O145" s="46"/>
      <c r="P145" s="46"/>
      <c r="Q145" s="46"/>
      <c r="R145" s="46"/>
      <c r="S145" s="46"/>
      <c r="T145" s="46"/>
      <c r="U145" s="46"/>
      <c r="V145" s="46"/>
      <c r="W145" s="46"/>
      <c r="X145" s="46"/>
    </row>
    <row r="146" spans="7:24" x14ac:dyDescent="0.55000000000000004">
      <c r="G146" s="46"/>
      <c r="H146" s="46"/>
      <c r="I146" s="46"/>
      <c r="J146" s="46"/>
      <c r="K146" s="46"/>
      <c r="L146" s="46"/>
      <c r="M146" s="46"/>
      <c r="N146" s="46"/>
      <c r="O146" s="46"/>
      <c r="P146" s="46"/>
      <c r="Q146" s="46"/>
      <c r="R146" s="46"/>
      <c r="S146" s="46"/>
      <c r="T146" s="46"/>
      <c r="U146" s="46"/>
      <c r="V146" s="46"/>
      <c r="W146" s="46"/>
      <c r="X146" s="46"/>
    </row>
    <row r="147" spans="7:24" x14ac:dyDescent="0.55000000000000004">
      <c r="G147" s="46"/>
      <c r="H147" s="46"/>
      <c r="I147" s="46"/>
      <c r="J147" s="46"/>
      <c r="K147" s="46"/>
      <c r="L147" s="46"/>
      <c r="M147" s="46"/>
      <c r="N147" s="46"/>
      <c r="O147" s="46"/>
      <c r="P147" s="46"/>
      <c r="Q147" s="46"/>
      <c r="R147" s="46"/>
      <c r="S147" s="46"/>
      <c r="T147" s="46"/>
      <c r="U147" s="46"/>
      <c r="V147" s="46"/>
      <c r="W147" s="46"/>
      <c r="X147" s="46"/>
    </row>
    <row r="148" spans="7:24" x14ac:dyDescent="0.55000000000000004">
      <c r="G148" s="46"/>
      <c r="H148" s="46"/>
      <c r="I148" s="46"/>
      <c r="J148" s="46"/>
      <c r="K148" s="46"/>
      <c r="L148" s="46"/>
      <c r="M148" s="46"/>
      <c r="N148" s="46"/>
      <c r="O148" s="46"/>
      <c r="P148" s="46"/>
      <c r="Q148" s="46"/>
      <c r="R148" s="46"/>
      <c r="S148" s="46"/>
      <c r="T148" s="46"/>
      <c r="U148" s="46"/>
      <c r="V148" s="46"/>
      <c r="W148" s="46"/>
      <c r="X148" s="46"/>
    </row>
    <row r="149" spans="7:24" x14ac:dyDescent="0.55000000000000004">
      <c r="G149" s="46"/>
      <c r="H149" s="46"/>
      <c r="I149" s="46"/>
      <c r="J149" s="46"/>
      <c r="K149" s="46"/>
      <c r="L149" s="46"/>
      <c r="M149" s="46"/>
      <c r="N149" s="46"/>
      <c r="O149" s="46"/>
      <c r="P149" s="46"/>
      <c r="Q149" s="46"/>
      <c r="R149" s="46"/>
      <c r="S149" s="46"/>
      <c r="T149" s="46"/>
      <c r="U149" s="46"/>
      <c r="V149" s="46"/>
      <c r="W149" s="46"/>
      <c r="X149" s="46"/>
    </row>
    <row r="150" spans="7:24" x14ac:dyDescent="0.55000000000000004">
      <c r="G150" s="46"/>
      <c r="H150" s="46"/>
      <c r="I150" s="46"/>
      <c r="J150" s="46"/>
      <c r="K150" s="46"/>
      <c r="L150" s="46"/>
      <c r="M150" s="46"/>
      <c r="N150" s="46"/>
      <c r="O150" s="46"/>
      <c r="P150" s="46"/>
      <c r="Q150" s="46"/>
      <c r="R150" s="46"/>
      <c r="S150" s="46"/>
      <c r="T150" s="46"/>
      <c r="U150" s="46"/>
      <c r="V150" s="46"/>
      <c r="W150" s="46"/>
      <c r="X150" s="46"/>
    </row>
    <row r="151" spans="7:24" x14ac:dyDescent="0.55000000000000004">
      <c r="G151" s="46"/>
      <c r="H151" s="46"/>
      <c r="I151" s="46"/>
      <c r="J151" s="46"/>
      <c r="K151" s="46"/>
      <c r="L151" s="46"/>
      <c r="M151" s="46"/>
      <c r="N151" s="46"/>
      <c r="O151" s="46"/>
      <c r="P151" s="46"/>
      <c r="Q151" s="46"/>
      <c r="R151" s="46"/>
      <c r="S151" s="46"/>
      <c r="T151" s="46"/>
      <c r="U151" s="46"/>
      <c r="V151" s="46"/>
      <c r="W151" s="46"/>
      <c r="X151" s="46"/>
    </row>
    <row r="152" spans="7:24" x14ac:dyDescent="0.55000000000000004">
      <c r="G152" s="46"/>
      <c r="H152" s="46"/>
      <c r="I152" s="46"/>
      <c r="J152" s="46"/>
      <c r="K152" s="46"/>
      <c r="L152" s="46"/>
      <c r="M152" s="46"/>
      <c r="N152" s="46"/>
      <c r="O152" s="46"/>
      <c r="P152" s="46"/>
      <c r="Q152" s="46"/>
      <c r="R152" s="46"/>
      <c r="S152" s="46"/>
      <c r="T152" s="46"/>
      <c r="U152" s="46"/>
      <c r="V152" s="46"/>
      <c r="W152" s="46"/>
      <c r="X152" s="46"/>
    </row>
    <row r="153" spans="7:24" x14ac:dyDescent="0.55000000000000004">
      <c r="G153" s="46"/>
      <c r="H153" s="46"/>
      <c r="I153" s="46"/>
      <c r="J153" s="46"/>
      <c r="K153" s="46"/>
      <c r="L153" s="46"/>
      <c r="M153" s="46"/>
      <c r="N153" s="46"/>
      <c r="O153" s="46"/>
      <c r="P153" s="46"/>
      <c r="Q153" s="46"/>
      <c r="R153" s="46"/>
      <c r="S153" s="46"/>
      <c r="T153" s="46"/>
      <c r="U153" s="46"/>
      <c r="V153" s="46"/>
      <c r="W153" s="46"/>
      <c r="X153" s="46"/>
    </row>
    <row r="154" spans="7:24" x14ac:dyDescent="0.55000000000000004">
      <c r="G154" s="46"/>
      <c r="H154" s="46"/>
      <c r="I154" s="46"/>
      <c r="J154" s="46"/>
      <c r="K154" s="46"/>
      <c r="L154" s="46"/>
      <c r="M154" s="46"/>
      <c r="N154" s="46"/>
      <c r="O154" s="46"/>
      <c r="P154" s="46"/>
      <c r="Q154" s="46"/>
      <c r="R154" s="46"/>
      <c r="S154" s="46"/>
      <c r="T154" s="46"/>
      <c r="U154" s="46"/>
      <c r="V154" s="46"/>
      <c r="W154" s="46"/>
      <c r="X154" s="46"/>
    </row>
    <row r="155" spans="7:24" x14ac:dyDescent="0.55000000000000004">
      <c r="G155" s="46"/>
    </row>
    <row r="156" spans="7:24" x14ac:dyDescent="0.55000000000000004">
      <c r="G156" s="2"/>
    </row>
    <row r="157" spans="7:24" x14ac:dyDescent="0.55000000000000004">
      <c r="G157" s="2"/>
    </row>
  </sheetData>
  <sheetProtection algorithmName="SHA-512" hashValue="Rtx2WUJSIlADxdGQbB90W/Y+uMemGR6FL71Q9IZP7fDj79XPp3lKlCxdVuDcMMy6W86QO8QKm86nxe+t1ohIfg==" saltValue="yHohQQrFkGogvZITK1yzzw==" spinCount="100000" sheet="1" objects="1" scenarios="1" selectLockedCells="1" sort="0" autoFilter="0" selectUnlockedCells="1"/>
  <mergeCells count="14">
    <mergeCell ref="A1:X1"/>
    <mergeCell ref="A84:C84"/>
    <mergeCell ref="B85:C85"/>
    <mergeCell ref="B86:C86"/>
    <mergeCell ref="B87:C87"/>
    <mergeCell ref="A79:C79"/>
    <mergeCell ref="A80:I80"/>
    <mergeCell ref="A81:U81"/>
    <mergeCell ref="B92:C92"/>
    <mergeCell ref="B93:C93"/>
    <mergeCell ref="B88:C88"/>
    <mergeCell ref="B89:C89"/>
    <mergeCell ref="B90:C90"/>
    <mergeCell ref="B91:C91"/>
  </mergeCells>
  <phoneticPr fontId="11" type="noConversion"/>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2AC33-061D-4165-8011-695C272D0DCD}">
  <dimension ref="A1:U100"/>
  <sheetViews>
    <sheetView zoomScale="80" zoomScaleNormal="80" workbookViewId="0">
      <selection sqref="A1:O1"/>
    </sheetView>
  </sheetViews>
  <sheetFormatPr defaultColWidth="9.15625" defaultRowHeight="13.8" x14ac:dyDescent="0.45"/>
  <cols>
    <col min="1" max="1" width="11.41796875" style="2" customWidth="1"/>
    <col min="2" max="2" width="78.68359375" style="2" customWidth="1"/>
    <col min="3" max="3" width="34.578125" style="2" customWidth="1"/>
    <col min="4" max="4" width="16.578125" style="2" customWidth="1"/>
    <col min="5" max="5" width="14.83984375" style="2" customWidth="1"/>
    <col min="6" max="6" width="15" style="2" customWidth="1"/>
    <col min="7" max="7" width="24.41796875" style="2" customWidth="1"/>
    <col min="8" max="8" width="26.41796875" style="2" customWidth="1"/>
    <col min="9" max="9" width="20.15625" style="2" customWidth="1"/>
    <col min="10" max="10" width="22.68359375" style="2" customWidth="1"/>
    <col min="11" max="11" width="24.15625" style="2" customWidth="1"/>
    <col min="12" max="12" width="23.26171875" style="2" customWidth="1"/>
    <col min="13" max="13" width="21.15625" style="2" customWidth="1"/>
    <col min="14" max="14" width="24.26171875" style="2" customWidth="1"/>
    <col min="15" max="15" width="20" style="2" customWidth="1"/>
    <col min="16" max="16384" width="9.15625" style="2"/>
  </cols>
  <sheetData>
    <row r="1" spans="1:15" ht="22.8" thickBot="1" x14ac:dyDescent="0.8">
      <c r="A1" s="92" t="s">
        <v>153</v>
      </c>
      <c r="B1" s="93"/>
      <c r="C1" s="93"/>
      <c r="D1" s="93"/>
      <c r="E1" s="93"/>
      <c r="F1" s="93"/>
      <c r="G1" s="93"/>
      <c r="H1" s="93"/>
      <c r="I1" s="93"/>
      <c r="J1" s="93"/>
      <c r="K1" s="93"/>
      <c r="L1" s="93"/>
      <c r="M1" s="93"/>
      <c r="N1" s="93"/>
      <c r="O1" s="98"/>
    </row>
    <row r="3" spans="1:15" s="3" customFormat="1" ht="69.75" customHeight="1" x14ac:dyDescent="0.45">
      <c r="A3" s="1" t="s">
        <v>88</v>
      </c>
      <c r="B3" s="1" t="s">
        <v>89</v>
      </c>
      <c r="C3" s="1" t="s">
        <v>99</v>
      </c>
      <c r="D3" s="1" t="s">
        <v>233</v>
      </c>
      <c r="E3" s="1" t="s">
        <v>234</v>
      </c>
      <c r="F3" s="1" t="s">
        <v>235</v>
      </c>
      <c r="G3" s="33" t="s">
        <v>82</v>
      </c>
      <c r="H3" s="33" t="s">
        <v>81</v>
      </c>
      <c r="I3" s="34" t="s">
        <v>83</v>
      </c>
      <c r="J3" s="34" t="s">
        <v>84</v>
      </c>
      <c r="K3" s="34" t="s">
        <v>85</v>
      </c>
      <c r="L3" s="34" t="s">
        <v>90</v>
      </c>
      <c r="M3" s="34" t="s">
        <v>86</v>
      </c>
      <c r="N3" s="34" t="s">
        <v>87</v>
      </c>
      <c r="O3" s="34" t="s">
        <v>91</v>
      </c>
    </row>
    <row r="4" spans="1:15" x14ac:dyDescent="0.45">
      <c r="A4" s="35">
        <v>642</v>
      </c>
      <c r="B4" s="11" t="s">
        <v>0</v>
      </c>
      <c r="C4" s="11" t="s">
        <v>68</v>
      </c>
      <c r="D4" s="11" t="s">
        <v>236</v>
      </c>
      <c r="E4" s="11" t="s">
        <v>237</v>
      </c>
      <c r="F4" s="11" t="s">
        <v>238</v>
      </c>
      <c r="G4" s="68">
        <v>124671000</v>
      </c>
      <c r="H4" s="68">
        <v>399273000</v>
      </c>
      <c r="I4" s="37">
        <f t="shared" ref="I4:I35" si="0">G4/H4</f>
        <v>0.31224500529712751</v>
      </c>
      <c r="J4" s="36">
        <v>11724000</v>
      </c>
      <c r="K4" s="36">
        <v>292803000</v>
      </c>
      <c r="L4" s="37">
        <f t="shared" ref="L4:L32" si="1">J4/K4</f>
        <v>4.00405733547812E-2</v>
      </c>
      <c r="M4" s="36">
        <v>63669000</v>
      </c>
      <c r="N4" s="36">
        <v>356464000</v>
      </c>
      <c r="O4" s="37">
        <f t="shared" ref="O4:O32" si="2">M4/N4</f>
        <v>0.17861270703352933</v>
      </c>
    </row>
    <row r="5" spans="1:15" x14ac:dyDescent="0.45">
      <c r="A5" s="35">
        <v>641</v>
      </c>
      <c r="B5" s="11" t="s">
        <v>1</v>
      </c>
      <c r="C5" s="11" t="s">
        <v>68</v>
      </c>
      <c r="D5" s="11" t="s">
        <v>236</v>
      </c>
      <c r="E5" s="11" t="s">
        <v>237</v>
      </c>
      <c r="F5" s="11" t="s">
        <v>238</v>
      </c>
      <c r="G5" s="68">
        <v>-29897000</v>
      </c>
      <c r="H5" s="68">
        <v>399609000</v>
      </c>
      <c r="I5" s="37">
        <f t="shared" si="0"/>
        <v>-7.481563228055424E-2</v>
      </c>
      <c r="J5" s="36">
        <v>18334000</v>
      </c>
      <c r="K5" s="36">
        <v>457969000</v>
      </c>
      <c r="L5" s="37">
        <f t="shared" si="1"/>
        <v>4.0033277361568143E-2</v>
      </c>
      <c r="M5" s="36">
        <v>99313000</v>
      </c>
      <c r="N5" s="36">
        <v>557278000</v>
      </c>
      <c r="O5" s="37">
        <f t="shared" si="2"/>
        <v>0.17821087500314026</v>
      </c>
    </row>
    <row r="6" spans="1:15" x14ac:dyDescent="0.45">
      <c r="A6" s="35">
        <v>25</v>
      </c>
      <c r="B6" s="11" t="s">
        <v>2</v>
      </c>
      <c r="C6" s="11" t="s">
        <v>71</v>
      </c>
      <c r="D6" s="11" t="s">
        <v>248</v>
      </c>
      <c r="E6" s="11" t="s">
        <v>240</v>
      </c>
      <c r="F6" s="11" t="s">
        <v>241</v>
      </c>
      <c r="G6" s="68">
        <v>-12619000</v>
      </c>
      <c r="H6" s="68">
        <v>149516000</v>
      </c>
      <c r="I6" s="37">
        <f t="shared" si="0"/>
        <v>-8.4398994087589288E-2</v>
      </c>
      <c r="J6" s="36">
        <v>-13013000</v>
      </c>
      <c r="K6" s="36">
        <v>141467000</v>
      </c>
      <c r="L6" s="37">
        <f t="shared" si="1"/>
        <v>-9.1986116903588822E-2</v>
      </c>
      <c r="M6" s="36">
        <v>-1975000</v>
      </c>
      <c r="N6" s="36">
        <v>156392000</v>
      </c>
      <c r="O6" s="37">
        <f t="shared" si="2"/>
        <v>-1.2628523198117551E-2</v>
      </c>
    </row>
    <row r="7" spans="1:15" x14ac:dyDescent="0.45">
      <c r="A7" s="35">
        <v>112</v>
      </c>
      <c r="B7" s="11" t="s">
        <v>3</v>
      </c>
      <c r="C7" s="11" t="s">
        <v>72</v>
      </c>
      <c r="D7" s="11" t="s">
        <v>253</v>
      </c>
      <c r="E7" s="11" t="s">
        <v>251</v>
      </c>
      <c r="F7" s="11" t="s">
        <v>241</v>
      </c>
      <c r="G7" s="68">
        <v>-229000</v>
      </c>
      <c r="H7" s="68">
        <v>164162000</v>
      </c>
      <c r="I7" s="37">
        <f t="shared" si="0"/>
        <v>-1.3949635116531232E-3</v>
      </c>
      <c r="J7" s="36">
        <v>22291000</v>
      </c>
      <c r="K7" s="36">
        <v>186850000</v>
      </c>
      <c r="L7" s="37">
        <f t="shared" si="1"/>
        <v>0.1192989028632593</v>
      </c>
      <c r="M7" s="36">
        <v>-34152000</v>
      </c>
      <c r="N7" s="36">
        <v>191399000</v>
      </c>
      <c r="O7" s="37">
        <f t="shared" si="2"/>
        <v>-0.17843353413549706</v>
      </c>
    </row>
    <row r="8" spans="1:15" x14ac:dyDescent="0.45">
      <c r="A8" s="35">
        <v>11</v>
      </c>
      <c r="B8" s="11" t="s">
        <v>4</v>
      </c>
      <c r="C8" s="11" t="s">
        <v>73</v>
      </c>
      <c r="D8" s="11" t="s">
        <v>244</v>
      </c>
      <c r="E8" s="11" t="s">
        <v>237</v>
      </c>
      <c r="F8" s="11" t="s">
        <v>238</v>
      </c>
      <c r="G8" s="68">
        <v>14445000</v>
      </c>
      <c r="H8" s="68">
        <v>138011000</v>
      </c>
      <c r="I8" s="37">
        <f t="shared" si="0"/>
        <v>0.10466557013571381</v>
      </c>
      <c r="J8" s="36">
        <v>11858000</v>
      </c>
      <c r="K8" s="36">
        <v>135078000</v>
      </c>
      <c r="L8" s="37">
        <f t="shared" si="1"/>
        <v>8.7786316054427813E-2</v>
      </c>
      <c r="M8" s="36">
        <v>12373000</v>
      </c>
      <c r="N8" s="36">
        <v>150891000</v>
      </c>
      <c r="O8" s="37">
        <f t="shared" si="2"/>
        <v>8.1999589107368889E-2</v>
      </c>
    </row>
    <row r="9" spans="1:15" x14ac:dyDescent="0.45">
      <c r="A9" s="35">
        <v>92</v>
      </c>
      <c r="B9" s="11" t="s">
        <v>5</v>
      </c>
      <c r="C9" s="11" t="s">
        <v>70</v>
      </c>
      <c r="D9" s="11" t="s">
        <v>250</v>
      </c>
      <c r="E9" s="11" t="s">
        <v>251</v>
      </c>
      <c r="F9" s="11" t="s">
        <v>241</v>
      </c>
      <c r="G9" s="68">
        <v>-2394000</v>
      </c>
      <c r="H9" s="68">
        <v>270834000</v>
      </c>
      <c r="I9" s="37">
        <f t="shared" si="0"/>
        <v>-8.8393628569529668E-3</v>
      </c>
      <c r="J9" s="36">
        <v>-7576000</v>
      </c>
      <c r="K9" s="36">
        <v>278205000</v>
      </c>
      <c r="L9" s="37">
        <f t="shared" si="1"/>
        <v>-2.723171761830305E-2</v>
      </c>
      <c r="M9" s="36">
        <v>16125000</v>
      </c>
      <c r="N9" s="36">
        <v>331475000</v>
      </c>
      <c r="O9" s="37">
        <f t="shared" si="2"/>
        <v>4.8646202579380043E-2</v>
      </c>
    </row>
    <row r="10" spans="1:15" x14ac:dyDescent="0.45">
      <c r="A10" s="35">
        <v>44</v>
      </c>
      <c r="B10" s="11" t="s">
        <v>6</v>
      </c>
      <c r="C10" s="11" t="s">
        <v>70</v>
      </c>
      <c r="D10" s="11" t="s">
        <v>250</v>
      </c>
      <c r="E10" s="11" t="s">
        <v>251</v>
      </c>
      <c r="F10" s="11" t="s">
        <v>241</v>
      </c>
      <c r="G10" s="68">
        <v>22807000</v>
      </c>
      <c r="H10" s="68">
        <v>465055000</v>
      </c>
      <c r="I10" s="37">
        <f t="shared" si="0"/>
        <v>4.9041511219103114E-2</v>
      </c>
      <c r="J10" s="36">
        <v>-4799000</v>
      </c>
      <c r="K10" s="36">
        <v>503139000</v>
      </c>
      <c r="L10" s="37">
        <f t="shared" si="1"/>
        <v>-9.5381196846199556E-3</v>
      </c>
      <c r="M10" s="36">
        <v>16016000</v>
      </c>
      <c r="N10" s="36">
        <v>609974000</v>
      </c>
      <c r="O10" s="37">
        <f t="shared" si="2"/>
        <v>2.6256856849636214E-2</v>
      </c>
    </row>
    <row r="11" spans="1:15" x14ac:dyDescent="0.45">
      <c r="A11" s="35">
        <v>111</v>
      </c>
      <c r="B11" s="11" t="s">
        <v>7</v>
      </c>
      <c r="C11" s="11" t="s">
        <v>73</v>
      </c>
      <c r="D11" s="11" t="s">
        <v>253</v>
      </c>
      <c r="E11" s="11" t="s">
        <v>251</v>
      </c>
      <c r="F11" s="11" t="s">
        <v>241</v>
      </c>
      <c r="G11" s="68">
        <v>26778000</v>
      </c>
      <c r="H11" s="68">
        <v>320691000</v>
      </c>
      <c r="I11" s="37">
        <f t="shared" si="0"/>
        <v>8.3500940157347728E-2</v>
      </c>
      <c r="J11" s="36">
        <v>9081000</v>
      </c>
      <c r="K11" s="36">
        <v>307629000</v>
      </c>
      <c r="L11" s="37">
        <f t="shared" si="1"/>
        <v>2.9519323600830871E-2</v>
      </c>
      <c r="M11" s="36">
        <v>3692000</v>
      </c>
      <c r="N11" s="36">
        <v>348739000</v>
      </c>
      <c r="O11" s="37">
        <f t="shared" si="2"/>
        <v>1.0586713846171492E-2</v>
      </c>
    </row>
    <row r="12" spans="1:15" x14ac:dyDescent="0.45">
      <c r="A12" s="35">
        <v>17</v>
      </c>
      <c r="B12" s="11" t="s">
        <v>8</v>
      </c>
      <c r="C12" s="11" t="s">
        <v>67</v>
      </c>
      <c r="D12" s="11" t="s">
        <v>254</v>
      </c>
      <c r="E12" s="11" t="s">
        <v>240</v>
      </c>
      <c r="F12" s="11" t="s">
        <v>241</v>
      </c>
      <c r="G12" s="68">
        <v>7738000</v>
      </c>
      <c r="H12" s="68">
        <v>205109000</v>
      </c>
      <c r="I12" s="37">
        <f t="shared" si="0"/>
        <v>3.7726282123163785E-2</v>
      </c>
      <c r="J12" s="36">
        <v>18913000</v>
      </c>
      <c r="K12" s="36">
        <v>222464000</v>
      </c>
      <c r="L12" s="37">
        <f t="shared" si="1"/>
        <v>8.5016002589182973E-2</v>
      </c>
      <c r="M12" s="36">
        <v>24844000</v>
      </c>
      <c r="N12" s="36">
        <v>238036000</v>
      </c>
      <c r="O12" s="37">
        <f t="shared" si="2"/>
        <v>0.10437076744694079</v>
      </c>
    </row>
    <row r="13" spans="1:15" x14ac:dyDescent="0.45">
      <c r="A13" s="35">
        <v>16</v>
      </c>
      <c r="B13" s="11" t="s">
        <v>9</v>
      </c>
      <c r="C13" s="11" t="s">
        <v>71</v>
      </c>
      <c r="D13" s="11" t="s">
        <v>248</v>
      </c>
      <c r="E13" s="11" t="s">
        <v>240</v>
      </c>
      <c r="F13" s="11" t="s">
        <v>241</v>
      </c>
      <c r="G13" s="68">
        <v>-1767000</v>
      </c>
      <c r="H13" s="68">
        <v>200740000</v>
      </c>
      <c r="I13" s="37">
        <f t="shared" si="0"/>
        <v>-8.802431005280463E-3</v>
      </c>
      <c r="J13" s="36">
        <v>-11074000</v>
      </c>
      <c r="K13" s="36">
        <v>183575000</v>
      </c>
      <c r="L13" s="37">
        <f t="shared" si="1"/>
        <v>-6.0324118207816968E-2</v>
      </c>
      <c r="M13" s="36">
        <v>-3506000</v>
      </c>
      <c r="N13" s="36">
        <v>178960000</v>
      </c>
      <c r="O13" s="37">
        <f t="shared" si="2"/>
        <v>-1.9590970049172998E-2</v>
      </c>
    </row>
    <row r="14" spans="1:15" x14ac:dyDescent="0.45">
      <c r="A14" s="35">
        <v>9</v>
      </c>
      <c r="B14" s="11" t="s">
        <v>10</v>
      </c>
      <c r="C14" s="11" t="s">
        <v>69</v>
      </c>
      <c r="D14" s="11" t="s">
        <v>246</v>
      </c>
      <c r="E14" s="11" t="s">
        <v>240</v>
      </c>
      <c r="F14" s="11" t="s">
        <v>241</v>
      </c>
      <c r="G14" s="68">
        <v>-16016000</v>
      </c>
      <c r="H14" s="68">
        <v>266478000</v>
      </c>
      <c r="I14" s="37">
        <f t="shared" si="0"/>
        <v>-6.0102522534693295E-2</v>
      </c>
      <c r="J14" s="36">
        <v>-28541000</v>
      </c>
      <c r="K14" s="36">
        <v>286686000</v>
      </c>
      <c r="L14" s="37">
        <f t="shared" si="1"/>
        <v>-9.9554913738375786E-2</v>
      </c>
      <c r="M14" s="36">
        <v>3033000</v>
      </c>
      <c r="N14" s="36">
        <v>347115000</v>
      </c>
      <c r="O14" s="37">
        <f t="shared" si="2"/>
        <v>8.7377382135603466E-3</v>
      </c>
    </row>
    <row r="15" spans="1:15" x14ac:dyDescent="0.45">
      <c r="A15" s="35">
        <v>41</v>
      </c>
      <c r="B15" s="11" t="s">
        <v>11</v>
      </c>
      <c r="C15" s="11" t="s">
        <v>69</v>
      </c>
      <c r="D15" s="11" t="s">
        <v>255</v>
      </c>
      <c r="E15" s="11" t="s">
        <v>251</v>
      </c>
      <c r="F15" s="11" t="s">
        <v>241</v>
      </c>
      <c r="G15" s="68">
        <v>15326000</v>
      </c>
      <c r="H15" s="68">
        <v>395158000</v>
      </c>
      <c r="I15" s="37">
        <f t="shared" si="0"/>
        <v>3.878448620551779E-2</v>
      </c>
      <c r="J15" s="36">
        <v>4379000</v>
      </c>
      <c r="K15" s="36">
        <v>412937000</v>
      </c>
      <c r="L15" s="37">
        <f t="shared" si="1"/>
        <v>1.0604523208140709E-2</v>
      </c>
      <c r="M15" s="36">
        <v>-4585000</v>
      </c>
      <c r="N15" s="36">
        <v>459320000</v>
      </c>
      <c r="O15" s="37">
        <f t="shared" si="2"/>
        <v>-9.9821475224244529E-3</v>
      </c>
    </row>
    <row r="16" spans="1:15" x14ac:dyDescent="0.45">
      <c r="A16" s="35">
        <v>14</v>
      </c>
      <c r="B16" s="11" t="s">
        <v>12</v>
      </c>
      <c r="C16" s="11" t="s">
        <v>73</v>
      </c>
      <c r="D16" s="11" t="s">
        <v>243</v>
      </c>
      <c r="E16" s="11" t="s">
        <v>237</v>
      </c>
      <c r="F16" s="11" t="s">
        <v>241</v>
      </c>
      <c r="G16" s="68">
        <v>152085000</v>
      </c>
      <c r="H16" s="68">
        <v>1107668000</v>
      </c>
      <c r="I16" s="37">
        <f t="shared" si="0"/>
        <v>0.13730197134881572</v>
      </c>
      <c r="J16" s="36">
        <v>-7149000</v>
      </c>
      <c r="K16" s="36">
        <v>1212031000</v>
      </c>
      <c r="L16" s="37">
        <f t="shared" si="1"/>
        <v>-5.8983639857396386E-3</v>
      </c>
      <c r="M16" s="36">
        <v>205583000</v>
      </c>
      <c r="N16" s="36">
        <v>1488911000</v>
      </c>
      <c r="O16" s="37">
        <f t="shared" si="2"/>
        <v>0.13807608379547198</v>
      </c>
    </row>
    <row r="17" spans="1:15" x14ac:dyDescent="0.45">
      <c r="A17" s="35">
        <v>76</v>
      </c>
      <c r="B17" s="11" t="s">
        <v>308</v>
      </c>
      <c r="C17" s="11" t="s">
        <v>69</v>
      </c>
      <c r="D17" s="11" t="s">
        <v>246</v>
      </c>
      <c r="E17" s="11" t="s">
        <v>240</v>
      </c>
      <c r="F17" s="11" t="s">
        <v>241</v>
      </c>
      <c r="G17" s="68">
        <v>44050000</v>
      </c>
      <c r="H17" s="68">
        <v>910566000</v>
      </c>
      <c r="I17" s="37">
        <f t="shared" si="0"/>
        <v>4.8376504284148539E-2</v>
      </c>
      <c r="J17" s="36">
        <v>55506000</v>
      </c>
      <c r="K17" s="36">
        <v>954015000</v>
      </c>
      <c r="L17" s="37">
        <f t="shared" si="1"/>
        <v>5.818147513403877E-2</v>
      </c>
      <c r="M17" s="36">
        <v>28098000</v>
      </c>
      <c r="N17" s="36">
        <v>1045104000</v>
      </c>
      <c r="O17" s="37">
        <f t="shared" si="2"/>
        <v>2.6885362605061313E-2</v>
      </c>
    </row>
    <row r="18" spans="1:15" x14ac:dyDescent="0.45">
      <c r="A18" s="35">
        <v>31</v>
      </c>
      <c r="B18" s="11" t="s">
        <v>13</v>
      </c>
      <c r="C18" s="11" t="s">
        <v>73</v>
      </c>
      <c r="D18" s="11" t="s">
        <v>242</v>
      </c>
      <c r="E18" s="11" t="s">
        <v>237</v>
      </c>
      <c r="F18" s="11" t="s">
        <v>241</v>
      </c>
      <c r="G18" s="68">
        <v>3835000</v>
      </c>
      <c r="H18" s="68">
        <v>213453000</v>
      </c>
      <c r="I18" s="37">
        <f t="shared" si="0"/>
        <v>1.7966484425142773E-2</v>
      </c>
      <c r="J18" s="36">
        <v>8052000</v>
      </c>
      <c r="K18" s="36">
        <v>210019000</v>
      </c>
      <c r="L18" s="37">
        <f t="shared" si="1"/>
        <v>3.833938834105486E-2</v>
      </c>
      <c r="M18" s="36">
        <v>15794000</v>
      </c>
      <c r="N18" s="36">
        <v>235524000</v>
      </c>
      <c r="O18" s="37">
        <f t="shared" si="2"/>
        <v>6.7058983373244341E-2</v>
      </c>
    </row>
    <row r="19" spans="1:15" x14ac:dyDescent="0.45">
      <c r="A19" s="35">
        <v>83</v>
      </c>
      <c r="B19" s="11" t="s">
        <v>307</v>
      </c>
      <c r="C19" s="11" t="s">
        <v>73</v>
      </c>
      <c r="D19" s="11" t="s">
        <v>246</v>
      </c>
      <c r="E19" s="11" t="s">
        <v>240</v>
      </c>
      <c r="F19" s="11" t="s">
        <v>241</v>
      </c>
      <c r="G19" s="68">
        <v>-80483000</v>
      </c>
      <c r="H19" s="68">
        <v>83969000</v>
      </c>
      <c r="I19" s="37">
        <f t="shared" si="0"/>
        <v>-0.95848467886958277</v>
      </c>
      <c r="J19" s="36">
        <v>-11611000</v>
      </c>
      <c r="K19" s="36">
        <v>96588000</v>
      </c>
      <c r="L19" s="37">
        <f t="shared" si="1"/>
        <v>-0.12021162049115833</v>
      </c>
      <c r="M19" s="36">
        <v>-9290000</v>
      </c>
      <c r="N19" s="36">
        <v>98610000</v>
      </c>
      <c r="O19" s="37">
        <f t="shared" si="2"/>
        <v>-9.4209512219856004E-2</v>
      </c>
    </row>
    <row r="20" spans="1:15" x14ac:dyDescent="0.45">
      <c r="A20" s="35">
        <v>45</v>
      </c>
      <c r="B20" s="11" t="s">
        <v>14</v>
      </c>
      <c r="C20" s="11" t="s">
        <v>73</v>
      </c>
      <c r="D20" s="11" t="s">
        <v>239</v>
      </c>
      <c r="E20" s="11" t="s">
        <v>240</v>
      </c>
      <c r="F20" s="11" t="s">
        <v>241</v>
      </c>
      <c r="G20" s="68">
        <v>56274000</v>
      </c>
      <c r="H20" s="68">
        <v>781508000</v>
      </c>
      <c r="I20" s="37">
        <f t="shared" si="0"/>
        <v>7.2006940427993063E-2</v>
      </c>
      <c r="J20" s="36">
        <v>60327000</v>
      </c>
      <c r="K20" s="36">
        <v>842167000</v>
      </c>
      <c r="L20" s="37">
        <f t="shared" si="1"/>
        <v>7.1633060901222678E-2</v>
      </c>
      <c r="M20" s="36">
        <v>9978000</v>
      </c>
      <c r="N20" s="36">
        <v>908739000</v>
      </c>
      <c r="O20" s="37">
        <f t="shared" si="2"/>
        <v>1.0980050377501131E-2</v>
      </c>
    </row>
    <row r="21" spans="1:15" x14ac:dyDescent="0.45">
      <c r="A21" s="35">
        <v>3</v>
      </c>
      <c r="B21" s="11" t="s">
        <v>15</v>
      </c>
      <c r="C21" s="11" t="s">
        <v>72</v>
      </c>
      <c r="D21" s="11" t="s">
        <v>248</v>
      </c>
      <c r="E21" s="11" t="s">
        <v>240</v>
      </c>
      <c r="F21" s="11" t="s">
        <v>241</v>
      </c>
      <c r="G21" s="68">
        <v>-16335000</v>
      </c>
      <c r="H21" s="68">
        <v>188280000</v>
      </c>
      <c r="I21" s="37">
        <f t="shared" si="0"/>
        <v>-8.6759082217973238E-2</v>
      </c>
      <c r="J21" s="36">
        <v>-14216000</v>
      </c>
      <c r="K21" s="36">
        <v>170537000</v>
      </c>
      <c r="L21" s="37">
        <f t="shared" si="1"/>
        <v>-8.3360209221459272E-2</v>
      </c>
      <c r="M21" s="36">
        <v>75685000</v>
      </c>
      <c r="N21" s="36">
        <v>275470000</v>
      </c>
      <c r="O21" s="37">
        <f t="shared" si="2"/>
        <v>0.27474861146404328</v>
      </c>
    </row>
    <row r="22" spans="1:15" x14ac:dyDescent="0.45">
      <c r="A22" s="35">
        <v>37</v>
      </c>
      <c r="B22" s="11" t="s">
        <v>16</v>
      </c>
      <c r="C22" s="11" t="s">
        <v>72</v>
      </c>
      <c r="D22" s="11" t="s">
        <v>239</v>
      </c>
      <c r="E22" s="11" t="s">
        <v>240</v>
      </c>
      <c r="F22" s="11" t="s">
        <v>241</v>
      </c>
      <c r="G22" s="68">
        <v>13174000</v>
      </c>
      <c r="H22" s="68">
        <v>129013000</v>
      </c>
      <c r="I22" s="37">
        <f t="shared" si="0"/>
        <v>0.102113740475766</v>
      </c>
      <c r="J22" s="36">
        <v>16590000</v>
      </c>
      <c r="K22" s="36">
        <v>120807000</v>
      </c>
      <c r="L22" s="37">
        <f t="shared" si="1"/>
        <v>0.1373264794258611</v>
      </c>
      <c r="M22" s="36">
        <v>27380000</v>
      </c>
      <c r="N22" s="36">
        <v>140489000</v>
      </c>
      <c r="O22" s="37">
        <f t="shared" si="2"/>
        <v>0.19489070318672636</v>
      </c>
    </row>
    <row r="23" spans="1:15" x14ac:dyDescent="0.45">
      <c r="A23" s="35">
        <v>54</v>
      </c>
      <c r="B23" s="11" t="s">
        <v>17</v>
      </c>
      <c r="C23" s="11" t="s">
        <v>72</v>
      </c>
      <c r="D23" s="11" t="s">
        <v>246</v>
      </c>
      <c r="E23" s="11" t="s">
        <v>240</v>
      </c>
      <c r="F23" s="11" t="s">
        <v>241</v>
      </c>
      <c r="G23" s="68">
        <v>21114000</v>
      </c>
      <c r="H23" s="68">
        <v>251824000</v>
      </c>
      <c r="I23" s="37">
        <f t="shared" si="0"/>
        <v>8.384427219010103E-2</v>
      </c>
      <c r="J23" s="36">
        <v>35962000</v>
      </c>
      <c r="K23" s="36">
        <v>241408000</v>
      </c>
      <c r="L23" s="37">
        <f t="shared" si="1"/>
        <v>0.14896772269353128</v>
      </c>
      <c r="M23" s="36">
        <v>57034000</v>
      </c>
      <c r="N23" s="36">
        <v>288236000</v>
      </c>
      <c r="O23" s="37">
        <f t="shared" si="2"/>
        <v>0.19787257663858782</v>
      </c>
    </row>
    <row r="24" spans="1:15" x14ac:dyDescent="0.45">
      <c r="A24" s="35">
        <v>1</v>
      </c>
      <c r="B24" s="11" t="s">
        <v>18</v>
      </c>
      <c r="C24" s="11" t="s">
        <v>72</v>
      </c>
      <c r="D24" s="11" t="s">
        <v>239</v>
      </c>
      <c r="E24" s="11" t="s">
        <v>240</v>
      </c>
      <c r="F24" s="11" t="s">
        <v>241</v>
      </c>
      <c r="G24" s="68">
        <v>266471000</v>
      </c>
      <c r="H24" s="68">
        <v>1970785000</v>
      </c>
      <c r="I24" s="37">
        <f t="shared" si="0"/>
        <v>0.13521058867405628</v>
      </c>
      <c r="J24" s="36">
        <v>-55104000</v>
      </c>
      <c r="K24" s="36">
        <v>1816472000</v>
      </c>
      <c r="L24" s="37">
        <f t="shared" si="1"/>
        <v>-3.0335727718346334E-2</v>
      </c>
      <c r="M24" s="36">
        <v>33090000</v>
      </c>
      <c r="N24" s="36">
        <v>2117773000</v>
      </c>
      <c r="O24" s="37">
        <f t="shared" si="2"/>
        <v>1.5624904085565355E-2</v>
      </c>
    </row>
    <row r="25" spans="1:15" x14ac:dyDescent="0.45">
      <c r="A25" s="35">
        <v>115</v>
      </c>
      <c r="B25" s="11" t="s">
        <v>19</v>
      </c>
      <c r="C25" s="11" t="s">
        <v>67</v>
      </c>
      <c r="D25" s="11" t="s">
        <v>261</v>
      </c>
      <c r="E25" s="11" t="s">
        <v>240</v>
      </c>
      <c r="F25" s="11" t="s">
        <v>238</v>
      </c>
      <c r="G25" s="68">
        <v>-3324000</v>
      </c>
      <c r="H25" s="68">
        <v>86168000</v>
      </c>
      <c r="I25" s="37">
        <f t="shared" si="0"/>
        <v>-3.8575805403398014E-2</v>
      </c>
      <c r="J25" s="36">
        <v>1354000</v>
      </c>
      <c r="K25" s="36">
        <v>97949000</v>
      </c>
      <c r="L25" s="37">
        <f t="shared" si="1"/>
        <v>1.3823520403475278E-2</v>
      </c>
      <c r="M25" s="36">
        <v>5904000</v>
      </c>
      <c r="N25" s="36">
        <v>109120000</v>
      </c>
      <c r="O25" s="37">
        <f t="shared" si="2"/>
        <v>5.4105571847507333E-2</v>
      </c>
    </row>
    <row r="26" spans="1:15" x14ac:dyDescent="0.45">
      <c r="A26" s="35">
        <v>40</v>
      </c>
      <c r="B26" s="11" t="s">
        <v>20</v>
      </c>
      <c r="C26" s="11" t="s">
        <v>71</v>
      </c>
      <c r="D26" s="11" t="s">
        <v>248</v>
      </c>
      <c r="E26" s="11" t="s">
        <v>240</v>
      </c>
      <c r="F26" s="11" t="s">
        <v>241</v>
      </c>
      <c r="G26" s="68">
        <v>11492000</v>
      </c>
      <c r="H26" s="68">
        <v>209222000</v>
      </c>
      <c r="I26" s="37">
        <f t="shared" si="0"/>
        <v>5.492730210016155E-2</v>
      </c>
      <c r="J26" s="36">
        <v>-10736000</v>
      </c>
      <c r="K26" s="36">
        <v>178740000</v>
      </c>
      <c r="L26" s="37">
        <f t="shared" si="1"/>
        <v>-6.0064898735593598E-2</v>
      </c>
      <c r="M26" s="36">
        <v>4662000</v>
      </c>
      <c r="N26" s="36">
        <v>188960000</v>
      </c>
      <c r="O26" s="37">
        <f t="shared" si="2"/>
        <v>2.4671888230313292E-2</v>
      </c>
    </row>
    <row r="27" spans="1:15" x14ac:dyDescent="0.45">
      <c r="A27" s="35">
        <v>8</v>
      </c>
      <c r="B27" s="11" t="s">
        <v>21</v>
      </c>
      <c r="C27" s="11" t="s">
        <v>73</v>
      </c>
      <c r="D27" s="11" t="s">
        <v>239</v>
      </c>
      <c r="E27" s="11" t="s">
        <v>240</v>
      </c>
      <c r="F27" s="11" t="s">
        <v>241</v>
      </c>
      <c r="G27" s="68">
        <v>68654000</v>
      </c>
      <c r="H27" s="68">
        <v>467732000</v>
      </c>
      <c r="I27" s="37">
        <f t="shared" si="0"/>
        <v>0.14678063506452413</v>
      </c>
      <c r="J27" s="36">
        <v>88357000</v>
      </c>
      <c r="K27" s="36">
        <v>484613000</v>
      </c>
      <c r="L27" s="37">
        <f t="shared" si="1"/>
        <v>0.18232486540806789</v>
      </c>
      <c r="M27" s="36">
        <v>62407000</v>
      </c>
      <c r="N27" s="36">
        <v>502287000</v>
      </c>
      <c r="O27" s="37">
        <f t="shared" si="2"/>
        <v>0.12424570016743415</v>
      </c>
    </row>
    <row r="28" spans="1:15" x14ac:dyDescent="0.45">
      <c r="A28" s="35">
        <v>118</v>
      </c>
      <c r="B28" s="11" t="s">
        <v>22</v>
      </c>
      <c r="C28" s="11" t="s">
        <v>73</v>
      </c>
      <c r="D28" s="11" t="s">
        <v>248</v>
      </c>
      <c r="E28" s="11" t="s">
        <v>240</v>
      </c>
      <c r="F28" s="11" t="s">
        <v>241</v>
      </c>
      <c r="G28" s="68">
        <v>8774000</v>
      </c>
      <c r="H28" s="68">
        <v>101376000</v>
      </c>
      <c r="I28" s="37">
        <f t="shared" si="0"/>
        <v>8.6549084595959599E-2</v>
      </c>
      <c r="J28" s="36">
        <v>11898000</v>
      </c>
      <c r="K28" s="36">
        <v>120758000</v>
      </c>
      <c r="L28" s="37">
        <f t="shared" si="1"/>
        <v>9.8527633779956603E-2</v>
      </c>
      <c r="M28" s="36">
        <v>26798000</v>
      </c>
      <c r="N28" s="36">
        <v>162915000</v>
      </c>
      <c r="O28" s="37">
        <f t="shared" si="2"/>
        <v>0.16449068532670411</v>
      </c>
    </row>
    <row r="29" spans="1:15" x14ac:dyDescent="0.45">
      <c r="A29" s="35">
        <v>5</v>
      </c>
      <c r="B29" s="11" t="s">
        <v>23</v>
      </c>
      <c r="C29" s="11" t="s">
        <v>73</v>
      </c>
      <c r="D29" s="11" t="s">
        <v>249</v>
      </c>
      <c r="E29" s="11" t="s">
        <v>240</v>
      </c>
      <c r="F29" s="11" t="s">
        <v>238</v>
      </c>
      <c r="G29" s="68">
        <v>29192000</v>
      </c>
      <c r="H29" s="68">
        <v>375509000</v>
      </c>
      <c r="I29" s="37">
        <f t="shared" si="0"/>
        <v>7.7739814491796469E-2</v>
      </c>
      <c r="J29" s="36">
        <v>11096000</v>
      </c>
      <c r="K29" s="36">
        <v>359646000</v>
      </c>
      <c r="L29" s="37">
        <f t="shared" si="1"/>
        <v>3.0852560573452783E-2</v>
      </c>
      <c r="M29" s="36">
        <v>27445000</v>
      </c>
      <c r="N29" s="36">
        <v>414621000</v>
      </c>
      <c r="O29" s="37">
        <f t="shared" si="2"/>
        <v>6.6192981059811251E-2</v>
      </c>
    </row>
    <row r="30" spans="1:15" x14ac:dyDescent="0.45">
      <c r="A30" s="35">
        <v>69</v>
      </c>
      <c r="B30" s="11" t="s">
        <v>24</v>
      </c>
      <c r="C30" s="11" t="s">
        <v>80</v>
      </c>
      <c r="D30" s="11" t="s">
        <v>257</v>
      </c>
      <c r="E30" s="11" t="s">
        <v>237</v>
      </c>
      <c r="F30" s="11" t="s">
        <v>238</v>
      </c>
      <c r="G30" s="68">
        <v>8304000</v>
      </c>
      <c r="H30" s="68">
        <v>68712000</v>
      </c>
      <c r="I30" s="37">
        <f t="shared" si="0"/>
        <v>0.12085225288159274</v>
      </c>
      <c r="J30" s="36">
        <v>9903000</v>
      </c>
      <c r="K30" s="36">
        <v>64989000</v>
      </c>
      <c r="L30" s="37">
        <f t="shared" si="1"/>
        <v>0.15237963347643446</v>
      </c>
      <c r="M30" s="36">
        <v>12913000</v>
      </c>
      <c r="N30" s="36">
        <v>70892000</v>
      </c>
      <c r="O30" s="37">
        <f t="shared" si="2"/>
        <v>0.18215031315240082</v>
      </c>
    </row>
    <row r="31" spans="1:15" ht="14.25" customHeight="1" x14ac:dyDescent="0.45">
      <c r="A31" s="35">
        <v>1069</v>
      </c>
      <c r="B31" s="11" t="s">
        <v>178</v>
      </c>
      <c r="C31" s="11" t="s">
        <v>80</v>
      </c>
      <c r="D31" s="11" t="s">
        <v>247</v>
      </c>
      <c r="E31" s="11" t="s">
        <v>237</v>
      </c>
      <c r="F31" s="11" t="s">
        <v>241</v>
      </c>
      <c r="G31" s="68">
        <v>-2888000</v>
      </c>
      <c r="H31" s="68">
        <v>9196000</v>
      </c>
      <c r="I31" s="37">
        <f t="shared" si="0"/>
        <v>-0.31404958677685951</v>
      </c>
      <c r="J31" s="36">
        <v>16351000</v>
      </c>
      <c r="K31" s="36">
        <v>257551000</v>
      </c>
      <c r="L31" s="37">
        <f t="shared" si="1"/>
        <v>6.3486455109861742E-2</v>
      </c>
      <c r="M31" s="36">
        <v>42989000</v>
      </c>
      <c r="N31" s="36">
        <v>346814000</v>
      </c>
      <c r="O31" s="37">
        <f t="shared" si="2"/>
        <v>0.12395405029785418</v>
      </c>
    </row>
    <row r="32" spans="1:15" x14ac:dyDescent="0.45">
      <c r="A32" s="35">
        <v>324</v>
      </c>
      <c r="B32" s="11" t="s">
        <v>25</v>
      </c>
      <c r="C32" s="11" t="s">
        <v>80</v>
      </c>
      <c r="D32" s="11" t="s">
        <v>245</v>
      </c>
      <c r="E32" s="11" t="s">
        <v>237</v>
      </c>
      <c r="F32" s="11" t="s">
        <v>238</v>
      </c>
      <c r="G32" s="68">
        <v>108674000</v>
      </c>
      <c r="H32" s="68">
        <v>506111000</v>
      </c>
      <c r="I32" s="37">
        <f t="shared" si="0"/>
        <v>0.21472364757928597</v>
      </c>
      <c r="J32" s="36">
        <v>65396000</v>
      </c>
      <c r="K32" s="36">
        <v>535838000</v>
      </c>
      <c r="L32" s="37">
        <f t="shared" si="1"/>
        <v>0.12204434922495232</v>
      </c>
      <c r="M32" s="36">
        <v>63965000</v>
      </c>
      <c r="N32" s="36">
        <v>570682000</v>
      </c>
      <c r="O32" s="37">
        <f t="shared" si="2"/>
        <v>0.11208518929982021</v>
      </c>
    </row>
    <row r="33" spans="1:15" x14ac:dyDescent="0.45">
      <c r="A33" s="38">
        <v>81</v>
      </c>
      <c r="B33" s="15" t="s">
        <v>131</v>
      </c>
      <c r="C33" s="15" t="s">
        <v>80</v>
      </c>
      <c r="D33" s="15" t="s">
        <v>247</v>
      </c>
      <c r="E33" s="15" t="s">
        <v>237</v>
      </c>
      <c r="F33" s="15" t="s">
        <v>241</v>
      </c>
      <c r="G33" s="68">
        <v>24907000</v>
      </c>
      <c r="H33" s="68">
        <v>249937000</v>
      </c>
      <c r="I33" s="39">
        <f t="shared" si="0"/>
        <v>9.9653112584371262E-2</v>
      </c>
      <c r="J33" s="36">
        <v>0</v>
      </c>
      <c r="K33" s="36">
        <v>0</v>
      </c>
      <c r="L33" s="39">
        <v>0</v>
      </c>
      <c r="M33" s="36">
        <v>0</v>
      </c>
      <c r="N33" s="36">
        <v>0</v>
      </c>
      <c r="O33" s="39">
        <v>0</v>
      </c>
    </row>
    <row r="34" spans="1:15" x14ac:dyDescent="0.45">
      <c r="A34" s="35">
        <v>862</v>
      </c>
      <c r="B34" s="11" t="s">
        <v>26</v>
      </c>
      <c r="C34" s="11" t="s">
        <v>79</v>
      </c>
      <c r="D34" s="11" t="s">
        <v>243</v>
      </c>
      <c r="E34" s="11" t="s">
        <v>237</v>
      </c>
      <c r="F34" s="11" t="s">
        <v>241</v>
      </c>
      <c r="G34" s="68">
        <v>-57731000</v>
      </c>
      <c r="H34" s="68">
        <v>99507000</v>
      </c>
      <c r="I34" s="37">
        <f t="shared" si="0"/>
        <v>-0.58017023927964861</v>
      </c>
      <c r="J34" s="36">
        <v>-92025000</v>
      </c>
      <c r="K34" s="36">
        <v>110221000</v>
      </c>
      <c r="L34" s="37">
        <f t="shared" ref="L34:L75" si="3">J34/K34</f>
        <v>-0.8349134919842861</v>
      </c>
      <c r="M34" s="36">
        <v>48672000</v>
      </c>
      <c r="N34" s="36">
        <v>248990000</v>
      </c>
      <c r="O34" s="37">
        <f t="shared" ref="O34:O75" si="4">M34/N34</f>
        <v>0.19547773002931845</v>
      </c>
    </row>
    <row r="35" spans="1:15" x14ac:dyDescent="0.45">
      <c r="A35" s="35">
        <v>863</v>
      </c>
      <c r="B35" s="11" t="s">
        <v>27</v>
      </c>
      <c r="C35" s="11" t="s">
        <v>79</v>
      </c>
      <c r="D35" s="11" t="s">
        <v>243</v>
      </c>
      <c r="E35" s="11" t="s">
        <v>237</v>
      </c>
      <c r="F35" s="11" t="s">
        <v>241</v>
      </c>
      <c r="G35" s="68">
        <v>21458000</v>
      </c>
      <c r="H35" s="68">
        <v>156232000</v>
      </c>
      <c r="I35" s="37">
        <f t="shared" si="0"/>
        <v>0.13734702237697782</v>
      </c>
      <c r="J35" s="36">
        <v>20425000</v>
      </c>
      <c r="K35" s="36">
        <v>205391000</v>
      </c>
      <c r="L35" s="37">
        <f t="shared" si="3"/>
        <v>9.9444474197993099E-2</v>
      </c>
      <c r="M35" s="36">
        <v>-7989000</v>
      </c>
      <c r="N35" s="36">
        <v>134599000</v>
      </c>
      <c r="O35" s="37">
        <f t="shared" si="4"/>
        <v>-5.9354081382476838E-2</v>
      </c>
    </row>
    <row r="36" spans="1:15" x14ac:dyDescent="0.45">
      <c r="A36" s="35">
        <v>861</v>
      </c>
      <c r="B36" s="11" t="s">
        <v>28</v>
      </c>
      <c r="C36" s="11" t="s">
        <v>79</v>
      </c>
      <c r="D36" s="11" t="s">
        <v>247</v>
      </c>
      <c r="E36" s="11" t="s">
        <v>237</v>
      </c>
      <c r="F36" s="11" t="s">
        <v>241</v>
      </c>
      <c r="G36" s="68">
        <v>118442000</v>
      </c>
      <c r="H36" s="68">
        <v>387534000</v>
      </c>
      <c r="I36" s="37">
        <f t="shared" ref="I36:I67" si="5">G36/H36</f>
        <v>0.30562995762952411</v>
      </c>
      <c r="J36" s="36">
        <v>-71203000</v>
      </c>
      <c r="K36" s="36">
        <v>276978000</v>
      </c>
      <c r="L36" s="37">
        <f t="shared" si="3"/>
        <v>-0.25707095870430141</v>
      </c>
      <c r="M36" s="36">
        <v>40134000</v>
      </c>
      <c r="N36" s="36">
        <v>360285000</v>
      </c>
      <c r="O36" s="37">
        <f t="shared" si="4"/>
        <v>0.11139514550980474</v>
      </c>
    </row>
    <row r="37" spans="1:15" x14ac:dyDescent="0.45">
      <c r="A37" s="35">
        <v>74</v>
      </c>
      <c r="B37" s="11" t="s">
        <v>29</v>
      </c>
      <c r="C37" s="11" t="s">
        <v>69</v>
      </c>
      <c r="D37" s="11" t="s">
        <v>248</v>
      </c>
      <c r="E37" s="11" t="s">
        <v>240</v>
      </c>
      <c r="F37" s="11" t="s">
        <v>241</v>
      </c>
      <c r="G37" s="68">
        <v>7225000</v>
      </c>
      <c r="H37" s="68">
        <v>399849000</v>
      </c>
      <c r="I37" s="37">
        <f t="shared" si="5"/>
        <v>1.8069321168741201E-2</v>
      </c>
      <c r="J37" s="36">
        <v>-7323000</v>
      </c>
      <c r="K37" s="36">
        <v>413562000</v>
      </c>
      <c r="L37" s="37">
        <f t="shared" si="3"/>
        <v>-1.7707139437375775E-2</v>
      </c>
      <c r="M37" s="36">
        <v>-15765000</v>
      </c>
      <c r="N37" s="36">
        <v>444940000</v>
      </c>
      <c r="O37" s="37">
        <f t="shared" si="4"/>
        <v>-3.5431743605879445E-2</v>
      </c>
    </row>
    <row r="38" spans="1:15" x14ac:dyDescent="0.45">
      <c r="A38" s="35">
        <v>73</v>
      </c>
      <c r="B38" s="11" t="s">
        <v>30</v>
      </c>
      <c r="C38" s="11" t="s">
        <v>72</v>
      </c>
      <c r="D38" s="11" t="s">
        <v>253</v>
      </c>
      <c r="E38" s="11" t="s">
        <v>251</v>
      </c>
      <c r="F38" s="11" t="s">
        <v>241</v>
      </c>
      <c r="G38" s="68">
        <v>57606000</v>
      </c>
      <c r="H38" s="68">
        <v>930399000</v>
      </c>
      <c r="I38" s="37">
        <f t="shared" si="5"/>
        <v>6.1915371792102096E-2</v>
      </c>
      <c r="J38" s="36">
        <v>6791000</v>
      </c>
      <c r="K38" s="36">
        <v>962701000</v>
      </c>
      <c r="L38" s="37">
        <f t="shared" si="3"/>
        <v>7.0541112972771405E-3</v>
      </c>
      <c r="M38" s="36">
        <v>-268403000</v>
      </c>
      <c r="N38" s="36">
        <v>1096326000</v>
      </c>
      <c r="O38" s="37">
        <f t="shared" si="4"/>
        <v>-0.2448204275005792</v>
      </c>
    </row>
    <row r="39" spans="1:15" x14ac:dyDescent="0.45">
      <c r="A39" s="35">
        <v>108</v>
      </c>
      <c r="B39" s="11" t="s">
        <v>31</v>
      </c>
      <c r="C39" s="11" t="s">
        <v>72</v>
      </c>
      <c r="D39" s="11" t="s">
        <v>252</v>
      </c>
      <c r="E39" s="11" t="s">
        <v>251</v>
      </c>
      <c r="F39" s="11" t="s">
        <v>241</v>
      </c>
      <c r="G39" s="68">
        <v>27019000</v>
      </c>
      <c r="H39" s="68">
        <v>625784000</v>
      </c>
      <c r="I39" s="37">
        <f t="shared" si="5"/>
        <v>4.3176239724889098E-2</v>
      </c>
      <c r="J39" s="36">
        <v>-16177000</v>
      </c>
      <c r="K39" s="36">
        <v>673931000</v>
      </c>
      <c r="L39" s="37">
        <f t="shared" si="3"/>
        <v>-2.4003941056280242E-2</v>
      </c>
      <c r="M39" s="36">
        <v>124972000</v>
      </c>
      <c r="N39" s="36">
        <v>866820000</v>
      </c>
      <c r="O39" s="37">
        <f t="shared" si="4"/>
        <v>0.14417295401582797</v>
      </c>
    </row>
    <row r="40" spans="1:15" x14ac:dyDescent="0.45">
      <c r="A40" s="35">
        <v>75</v>
      </c>
      <c r="B40" s="11" t="s">
        <v>32</v>
      </c>
      <c r="C40" s="11" t="s">
        <v>69</v>
      </c>
      <c r="D40" s="11" t="s">
        <v>253</v>
      </c>
      <c r="E40" s="11" t="s">
        <v>251</v>
      </c>
      <c r="F40" s="11" t="s">
        <v>241</v>
      </c>
      <c r="G40" s="68">
        <v>27244000</v>
      </c>
      <c r="H40" s="68">
        <v>422305000</v>
      </c>
      <c r="I40" s="37">
        <f t="shared" si="5"/>
        <v>6.4512615289897116E-2</v>
      </c>
      <c r="J40" s="36">
        <v>19734000</v>
      </c>
      <c r="K40" s="36">
        <v>434680000</v>
      </c>
      <c r="L40" s="37">
        <f t="shared" si="3"/>
        <v>4.5398914143737923E-2</v>
      </c>
      <c r="M40" s="36">
        <v>3318000</v>
      </c>
      <c r="N40" s="36">
        <v>461536000</v>
      </c>
      <c r="O40" s="37">
        <f t="shared" si="4"/>
        <v>7.1890383415378215E-3</v>
      </c>
    </row>
    <row r="41" spans="1:15" x14ac:dyDescent="0.45">
      <c r="A41" s="35">
        <v>84</v>
      </c>
      <c r="B41" s="11" t="s">
        <v>33</v>
      </c>
      <c r="C41" s="11" t="s">
        <v>69</v>
      </c>
      <c r="D41" s="11" t="s">
        <v>255</v>
      </c>
      <c r="E41" s="11" t="s">
        <v>251</v>
      </c>
      <c r="F41" s="11" t="s">
        <v>241</v>
      </c>
      <c r="G41" s="68">
        <v>3129000</v>
      </c>
      <c r="H41" s="68">
        <v>132079000</v>
      </c>
      <c r="I41" s="37">
        <f t="shared" si="5"/>
        <v>2.3690367128763847E-2</v>
      </c>
      <c r="J41" s="36">
        <v>-4762000</v>
      </c>
      <c r="K41" s="36">
        <v>129739000</v>
      </c>
      <c r="L41" s="37">
        <f t="shared" si="3"/>
        <v>-3.6704460493760548E-2</v>
      </c>
      <c r="M41" s="36">
        <v>-9663000</v>
      </c>
      <c r="N41" s="36">
        <v>125034000</v>
      </c>
      <c r="O41" s="37">
        <f t="shared" si="4"/>
        <v>-7.7282979029703922E-2</v>
      </c>
    </row>
    <row r="42" spans="1:15" x14ac:dyDescent="0.45">
      <c r="A42" s="35">
        <v>15</v>
      </c>
      <c r="B42" s="11" t="s">
        <v>34</v>
      </c>
      <c r="C42" s="11" t="s">
        <v>67</v>
      </c>
      <c r="D42" s="11" t="s">
        <v>254</v>
      </c>
      <c r="E42" s="11" t="s">
        <v>240</v>
      </c>
      <c r="F42" s="11" t="s">
        <v>241</v>
      </c>
      <c r="G42" s="68">
        <v>456551000</v>
      </c>
      <c r="H42" s="68">
        <v>1698165000</v>
      </c>
      <c r="I42" s="37">
        <f t="shared" si="5"/>
        <v>0.26884961119796957</v>
      </c>
      <c r="J42" s="36">
        <v>351693000</v>
      </c>
      <c r="K42" s="36">
        <v>1632330000</v>
      </c>
      <c r="L42" s="37">
        <f t="shared" si="3"/>
        <v>0.21545459557810001</v>
      </c>
      <c r="M42" s="36">
        <v>535347000</v>
      </c>
      <c r="N42" s="36">
        <v>1917003000</v>
      </c>
      <c r="O42" s="37">
        <f t="shared" si="4"/>
        <v>0.27926247376764668</v>
      </c>
    </row>
    <row r="43" spans="1:15" x14ac:dyDescent="0.45">
      <c r="A43" s="35">
        <v>58</v>
      </c>
      <c r="B43" s="11" t="s">
        <v>35</v>
      </c>
      <c r="C43" s="11" t="s">
        <v>73</v>
      </c>
      <c r="D43" s="11" t="s">
        <v>239</v>
      </c>
      <c r="E43" s="11" t="s">
        <v>240</v>
      </c>
      <c r="F43" s="11" t="s">
        <v>241</v>
      </c>
      <c r="G43" s="68">
        <v>-13522000</v>
      </c>
      <c r="H43" s="68">
        <v>215699000</v>
      </c>
      <c r="I43" s="37">
        <f t="shared" si="5"/>
        <v>-6.2689210427493869E-2</v>
      </c>
      <c r="J43" s="36">
        <v>8942000</v>
      </c>
      <c r="K43" s="36">
        <v>256574000</v>
      </c>
      <c r="L43" s="37">
        <f t="shared" si="3"/>
        <v>3.4851543804126688E-2</v>
      </c>
      <c r="M43" s="36">
        <v>2580000</v>
      </c>
      <c r="N43" s="36">
        <v>267269000</v>
      </c>
      <c r="O43" s="37">
        <f t="shared" si="4"/>
        <v>9.6531958438876193E-3</v>
      </c>
    </row>
    <row r="44" spans="1:15" x14ac:dyDescent="0.45">
      <c r="A44" s="35">
        <v>2</v>
      </c>
      <c r="B44" s="11" t="s">
        <v>36</v>
      </c>
      <c r="C44" s="11" t="s">
        <v>69</v>
      </c>
      <c r="D44" s="11" t="s">
        <v>246</v>
      </c>
      <c r="E44" s="11" t="s">
        <v>240</v>
      </c>
      <c r="F44" s="11" t="s">
        <v>241</v>
      </c>
      <c r="G44" s="68">
        <v>-33106000</v>
      </c>
      <c r="H44" s="68">
        <v>659845000</v>
      </c>
      <c r="I44" s="37">
        <f t="shared" si="5"/>
        <v>-5.0172388970136927E-2</v>
      </c>
      <c r="J44" s="36">
        <v>10700000</v>
      </c>
      <c r="K44" s="36">
        <v>643292000</v>
      </c>
      <c r="L44" s="37">
        <f t="shared" si="3"/>
        <v>1.6633193013437134E-2</v>
      </c>
      <c r="M44" s="36">
        <v>4346000</v>
      </c>
      <c r="N44" s="36">
        <v>693697000</v>
      </c>
      <c r="O44" s="37">
        <f t="shared" si="4"/>
        <v>6.2649831266388643E-3</v>
      </c>
    </row>
    <row r="45" spans="1:15" x14ac:dyDescent="0.45">
      <c r="A45" s="35">
        <v>28</v>
      </c>
      <c r="B45" s="11" t="s">
        <v>37</v>
      </c>
      <c r="C45" s="11" t="s">
        <v>67</v>
      </c>
      <c r="D45" s="11" t="s">
        <v>259</v>
      </c>
      <c r="E45" s="11" t="s">
        <v>240</v>
      </c>
      <c r="F45" s="11" t="s">
        <v>238</v>
      </c>
      <c r="G45" s="68">
        <v>935000</v>
      </c>
      <c r="H45" s="68">
        <v>170414000</v>
      </c>
      <c r="I45" s="37">
        <f t="shared" si="5"/>
        <v>5.4866384217259149E-3</v>
      </c>
      <c r="J45" s="36">
        <v>3947000</v>
      </c>
      <c r="K45" s="36">
        <v>176940000</v>
      </c>
      <c r="L45" s="37">
        <f t="shared" si="3"/>
        <v>2.2306996722052674E-2</v>
      </c>
      <c r="M45" s="36">
        <v>6191000</v>
      </c>
      <c r="N45" s="36">
        <v>197905000</v>
      </c>
      <c r="O45" s="37">
        <f t="shared" si="4"/>
        <v>3.1282686137288095E-2</v>
      </c>
    </row>
    <row r="46" spans="1:15" x14ac:dyDescent="0.45">
      <c r="A46" s="35">
        <v>52</v>
      </c>
      <c r="B46" s="11" t="s">
        <v>38</v>
      </c>
      <c r="C46" s="11" t="s">
        <v>72</v>
      </c>
      <c r="D46" s="11" t="s">
        <v>255</v>
      </c>
      <c r="E46" s="11" t="s">
        <v>251</v>
      </c>
      <c r="F46" s="11" t="s">
        <v>241</v>
      </c>
      <c r="G46" s="68">
        <v>16251000</v>
      </c>
      <c r="H46" s="68">
        <v>384335000</v>
      </c>
      <c r="I46" s="37">
        <f t="shared" si="5"/>
        <v>4.2283424616545461E-2</v>
      </c>
      <c r="J46" s="36">
        <v>22715000</v>
      </c>
      <c r="K46" s="36">
        <v>424301000</v>
      </c>
      <c r="L46" s="37">
        <f t="shared" si="3"/>
        <v>5.3535108331113995E-2</v>
      </c>
      <c r="M46" s="36">
        <v>27809000</v>
      </c>
      <c r="N46" s="36">
        <v>477681000</v>
      </c>
      <c r="O46" s="37">
        <f t="shared" si="4"/>
        <v>5.8216675982507154E-2</v>
      </c>
    </row>
    <row r="47" spans="1:15" x14ac:dyDescent="0.45">
      <c r="A47" s="35">
        <v>51</v>
      </c>
      <c r="B47" s="11" t="s">
        <v>39</v>
      </c>
      <c r="C47" s="11" t="s">
        <v>67</v>
      </c>
      <c r="D47" s="11" t="s">
        <v>260</v>
      </c>
      <c r="E47" s="11" t="s">
        <v>240</v>
      </c>
      <c r="F47" s="11" t="s">
        <v>241</v>
      </c>
      <c r="G47" s="68">
        <v>98931000</v>
      </c>
      <c r="H47" s="68">
        <v>754990000</v>
      </c>
      <c r="I47" s="37">
        <f t="shared" si="5"/>
        <v>0.1310361726645386</v>
      </c>
      <c r="J47" s="36">
        <v>118526000</v>
      </c>
      <c r="K47" s="36">
        <v>741763000</v>
      </c>
      <c r="L47" s="37">
        <f t="shared" si="3"/>
        <v>0.15978958238682706</v>
      </c>
      <c r="M47" s="36">
        <v>131474000</v>
      </c>
      <c r="N47" s="36">
        <v>863083000</v>
      </c>
      <c r="O47" s="37">
        <f t="shared" si="4"/>
        <v>0.15233065649537761</v>
      </c>
    </row>
    <row r="48" spans="1:15" x14ac:dyDescent="0.45">
      <c r="A48" s="35">
        <v>10</v>
      </c>
      <c r="B48" s="11" t="s">
        <v>40</v>
      </c>
      <c r="C48" s="11" t="s">
        <v>78</v>
      </c>
      <c r="D48" s="11" t="s">
        <v>252</v>
      </c>
      <c r="E48" s="11" t="s">
        <v>251</v>
      </c>
      <c r="F48" s="11" t="s">
        <v>241</v>
      </c>
      <c r="G48" s="68">
        <v>-6247000</v>
      </c>
      <c r="H48" s="68">
        <v>417135000</v>
      </c>
      <c r="I48" s="37">
        <f t="shared" si="5"/>
        <v>-1.4975967013077301E-2</v>
      </c>
      <c r="J48" s="36">
        <v>-9247000</v>
      </c>
      <c r="K48" s="36">
        <v>375905000</v>
      </c>
      <c r="L48" s="37">
        <f t="shared" si="3"/>
        <v>-2.4599300355142923E-2</v>
      </c>
      <c r="M48" s="36">
        <v>-15031000</v>
      </c>
      <c r="N48" s="36">
        <v>413581000</v>
      </c>
      <c r="O48" s="37">
        <f t="shared" si="4"/>
        <v>-3.6343545762498763E-2</v>
      </c>
    </row>
    <row r="49" spans="1:15" x14ac:dyDescent="0.45">
      <c r="A49" s="35">
        <v>392</v>
      </c>
      <c r="B49" s="11" t="s">
        <v>41</v>
      </c>
      <c r="C49" s="11" t="s">
        <v>72</v>
      </c>
      <c r="D49" s="11" t="s">
        <v>252</v>
      </c>
      <c r="E49" s="11" t="s">
        <v>251</v>
      </c>
      <c r="F49" s="11" t="s">
        <v>241</v>
      </c>
      <c r="G49" s="68">
        <v>10842000</v>
      </c>
      <c r="H49" s="68">
        <v>95878000</v>
      </c>
      <c r="I49" s="37">
        <f t="shared" si="5"/>
        <v>0.11308120736769645</v>
      </c>
      <c r="J49" s="36">
        <v>5664000</v>
      </c>
      <c r="K49" s="36">
        <v>108701000</v>
      </c>
      <c r="L49" s="37">
        <f t="shared" si="3"/>
        <v>5.2106236373170439E-2</v>
      </c>
      <c r="M49" s="36">
        <v>30157000</v>
      </c>
      <c r="N49" s="36">
        <v>141517000</v>
      </c>
      <c r="O49" s="37">
        <f t="shared" si="4"/>
        <v>0.21309807302302902</v>
      </c>
    </row>
    <row r="50" spans="1:15" x14ac:dyDescent="0.45">
      <c r="A50" s="35">
        <v>391</v>
      </c>
      <c r="B50" s="11" t="s">
        <v>42</v>
      </c>
      <c r="C50" s="11" t="s">
        <v>72</v>
      </c>
      <c r="D50" s="11" t="s">
        <v>252</v>
      </c>
      <c r="E50" s="11" t="s">
        <v>251</v>
      </c>
      <c r="F50" s="11" t="s">
        <v>241</v>
      </c>
      <c r="G50" s="68">
        <v>-29546000</v>
      </c>
      <c r="H50" s="68">
        <v>132191000</v>
      </c>
      <c r="I50" s="37">
        <f t="shared" si="5"/>
        <v>-0.22350992125031205</v>
      </c>
      <c r="J50" s="36">
        <v>-40144000</v>
      </c>
      <c r="K50" s="36">
        <v>132310000</v>
      </c>
      <c r="L50" s="37">
        <f t="shared" si="3"/>
        <v>-0.30340866147683471</v>
      </c>
      <c r="M50" s="36">
        <v>-24332000</v>
      </c>
      <c r="N50" s="36">
        <v>142120000</v>
      </c>
      <c r="O50" s="37">
        <f t="shared" si="4"/>
        <v>-0.17120743034055727</v>
      </c>
    </row>
    <row r="51" spans="1:15" x14ac:dyDescent="0.45">
      <c r="A51" s="35">
        <v>34</v>
      </c>
      <c r="B51" s="11" t="s">
        <v>43</v>
      </c>
      <c r="C51" s="11" t="s">
        <v>72</v>
      </c>
      <c r="D51" s="11" t="s">
        <v>253</v>
      </c>
      <c r="E51" s="11" t="s">
        <v>251</v>
      </c>
      <c r="F51" s="11" t="s">
        <v>241</v>
      </c>
      <c r="G51" s="68">
        <v>22043000</v>
      </c>
      <c r="H51" s="68">
        <v>315197000</v>
      </c>
      <c r="I51" s="37">
        <f t="shared" si="5"/>
        <v>6.9934041250392612E-2</v>
      </c>
      <c r="J51" s="36">
        <v>21013000</v>
      </c>
      <c r="K51" s="36">
        <v>329637000</v>
      </c>
      <c r="L51" s="37">
        <f t="shared" si="3"/>
        <v>6.3745878041603338E-2</v>
      </c>
      <c r="M51" s="36">
        <v>-251848000</v>
      </c>
      <c r="N51" s="36">
        <v>361397000</v>
      </c>
      <c r="O51" s="37">
        <f t="shared" si="4"/>
        <v>-0.69687352136293323</v>
      </c>
    </row>
    <row r="52" spans="1:15" x14ac:dyDescent="0.45">
      <c r="A52" s="35">
        <v>110</v>
      </c>
      <c r="B52" s="11" t="s">
        <v>44</v>
      </c>
      <c r="C52" s="11" t="s">
        <v>69</v>
      </c>
      <c r="D52" s="11" t="s">
        <v>250</v>
      </c>
      <c r="E52" s="11" t="s">
        <v>251</v>
      </c>
      <c r="F52" s="11" t="s">
        <v>241</v>
      </c>
      <c r="G52" s="68">
        <v>-2819000</v>
      </c>
      <c r="H52" s="68">
        <v>194861000</v>
      </c>
      <c r="I52" s="37">
        <f t="shared" si="5"/>
        <v>-1.4466722432913718E-2</v>
      </c>
      <c r="J52" s="36">
        <v>-3354000</v>
      </c>
      <c r="K52" s="36">
        <v>201018000</v>
      </c>
      <c r="L52" s="37">
        <f t="shared" si="3"/>
        <v>-1.6685072978539234E-2</v>
      </c>
      <c r="M52" s="36">
        <v>-12459000</v>
      </c>
      <c r="N52" s="36">
        <v>203459000</v>
      </c>
      <c r="O52" s="37">
        <f t="shared" si="4"/>
        <v>-6.1235924682614185E-2</v>
      </c>
    </row>
    <row r="53" spans="1:15" x14ac:dyDescent="0.45">
      <c r="A53" s="35">
        <v>24</v>
      </c>
      <c r="B53" s="11" t="s">
        <v>45</v>
      </c>
      <c r="C53" s="11" t="s">
        <v>69</v>
      </c>
      <c r="D53" s="11" t="s">
        <v>260</v>
      </c>
      <c r="E53" s="11" t="s">
        <v>240</v>
      </c>
      <c r="F53" s="11" t="s">
        <v>241</v>
      </c>
      <c r="G53" s="68">
        <v>-3184000</v>
      </c>
      <c r="H53" s="68">
        <v>115210000</v>
      </c>
      <c r="I53" s="37">
        <f t="shared" si="5"/>
        <v>-2.7636489888030552E-2</v>
      </c>
      <c r="J53" s="36">
        <v>439000</v>
      </c>
      <c r="K53" s="36">
        <v>122537000</v>
      </c>
      <c r="L53" s="37">
        <f t="shared" si="3"/>
        <v>3.5825913805626057E-3</v>
      </c>
      <c r="M53" s="36">
        <v>-625000</v>
      </c>
      <c r="N53" s="36">
        <v>137300000</v>
      </c>
      <c r="O53" s="37">
        <f t="shared" si="4"/>
        <v>-4.5520757465404224E-3</v>
      </c>
    </row>
    <row r="54" spans="1:15" x14ac:dyDescent="0.45">
      <c r="A54" s="35">
        <v>38</v>
      </c>
      <c r="B54" s="11" t="s">
        <v>46</v>
      </c>
      <c r="C54" s="11" t="s">
        <v>69</v>
      </c>
      <c r="D54" s="11" t="s">
        <v>252</v>
      </c>
      <c r="E54" s="11" t="s">
        <v>251</v>
      </c>
      <c r="F54" s="11" t="s">
        <v>241</v>
      </c>
      <c r="G54" s="68">
        <v>-72982000</v>
      </c>
      <c r="H54" s="68">
        <v>1150409000</v>
      </c>
      <c r="I54" s="37">
        <f t="shared" si="5"/>
        <v>-6.3440046105341666E-2</v>
      </c>
      <c r="J54" s="36">
        <v>30124000</v>
      </c>
      <c r="K54" s="36">
        <v>1221927000</v>
      </c>
      <c r="L54" s="37">
        <f t="shared" si="3"/>
        <v>2.4652863878120379E-2</v>
      </c>
      <c r="M54" s="36">
        <v>90851000</v>
      </c>
      <c r="N54" s="36">
        <v>1419829000</v>
      </c>
      <c r="O54" s="37">
        <f t="shared" si="4"/>
        <v>6.3987282975625934E-2</v>
      </c>
    </row>
    <row r="55" spans="1:15" x14ac:dyDescent="0.45">
      <c r="A55" s="35">
        <v>48</v>
      </c>
      <c r="B55" s="11" t="s">
        <v>47</v>
      </c>
      <c r="C55" s="11" t="s">
        <v>69</v>
      </c>
      <c r="D55" s="11" t="s">
        <v>258</v>
      </c>
      <c r="E55" s="11" t="s">
        <v>251</v>
      </c>
      <c r="F55" s="11" t="s">
        <v>241</v>
      </c>
      <c r="G55" s="68">
        <v>13385000</v>
      </c>
      <c r="H55" s="68">
        <v>297328000</v>
      </c>
      <c r="I55" s="37">
        <f t="shared" si="5"/>
        <v>4.5017623634504657E-2</v>
      </c>
      <c r="J55" s="36">
        <v>15596000</v>
      </c>
      <c r="K55" s="36">
        <v>326299000</v>
      </c>
      <c r="L55" s="37">
        <f t="shared" si="3"/>
        <v>4.7796652763263142E-2</v>
      </c>
      <c r="M55" s="36">
        <v>-6847000</v>
      </c>
      <c r="N55" s="36">
        <v>347927000</v>
      </c>
      <c r="O55" s="37">
        <f t="shared" si="4"/>
        <v>-1.9679415509575283E-2</v>
      </c>
    </row>
    <row r="56" spans="1:15" x14ac:dyDescent="0.45">
      <c r="A56" s="35">
        <v>50</v>
      </c>
      <c r="B56" s="11" t="s">
        <v>48</v>
      </c>
      <c r="C56" s="11" t="s">
        <v>76</v>
      </c>
      <c r="D56" s="11" t="s">
        <v>254</v>
      </c>
      <c r="E56" s="11" t="s">
        <v>240</v>
      </c>
      <c r="F56" s="11" t="s">
        <v>241</v>
      </c>
      <c r="G56" s="68">
        <v>54819000</v>
      </c>
      <c r="H56" s="68">
        <v>230023000</v>
      </c>
      <c r="I56" s="37">
        <f t="shared" si="5"/>
        <v>0.23831964629623995</v>
      </c>
      <c r="J56" s="36">
        <v>55683000</v>
      </c>
      <c r="K56" s="36">
        <v>228617000</v>
      </c>
      <c r="L56" s="37">
        <f t="shared" si="3"/>
        <v>0.24356456431498971</v>
      </c>
      <c r="M56" s="36">
        <v>57176000</v>
      </c>
      <c r="N56" s="36">
        <v>227082000</v>
      </c>
      <c r="O56" s="37">
        <f t="shared" si="4"/>
        <v>0.25178569855823008</v>
      </c>
    </row>
    <row r="57" spans="1:15" x14ac:dyDescent="0.45">
      <c r="A57" s="35">
        <v>502</v>
      </c>
      <c r="B57" s="11" t="s">
        <v>49</v>
      </c>
      <c r="C57" s="11" t="s">
        <v>76</v>
      </c>
      <c r="D57" s="11" t="s">
        <v>254</v>
      </c>
      <c r="E57" s="11" t="s">
        <v>240</v>
      </c>
      <c r="F57" s="11" t="s">
        <v>241</v>
      </c>
      <c r="G57" s="68">
        <v>2094000</v>
      </c>
      <c r="H57" s="68">
        <v>78672000</v>
      </c>
      <c r="I57" s="37">
        <f t="shared" si="5"/>
        <v>2.6616839536302624E-2</v>
      </c>
      <c r="J57" s="36">
        <v>2228000</v>
      </c>
      <c r="K57" s="36">
        <v>81881000</v>
      </c>
      <c r="L57" s="37">
        <f t="shared" si="3"/>
        <v>2.721021970909002E-2</v>
      </c>
      <c r="M57" s="36">
        <v>3129000</v>
      </c>
      <c r="N57" s="36">
        <v>85009000</v>
      </c>
      <c r="O57" s="37">
        <f t="shared" si="4"/>
        <v>3.6807867402275055E-2</v>
      </c>
    </row>
    <row r="58" spans="1:15" x14ac:dyDescent="0.45">
      <c r="A58" s="35">
        <v>96</v>
      </c>
      <c r="B58" s="11" t="s">
        <v>50</v>
      </c>
      <c r="C58" s="11" t="s">
        <v>76</v>
      </c>
      <c r="D58" s="11" t="s">
        <v>246</v>
      </c>
      <c r="E58" s="11" t="s">
        <v>240</v>
      </c>
      <c r="F58" s="11" t="s">
        <v>241</v>
      </c>
      <c r="G58" s="68">
        <v>-2072000</v>
      </c>
      <c r="H58" s="68">
        <v>177030000</v>
      </c>
      <c r="I58" s="37">
        <f t="shared" si="5"/>
        <v>-1.1704230921312772E-2</v>
      </c>
      <c r="J58" s="36">
        <v>6431000</v>
      </c>
      <c r="K58" s="36">
        <v>185750000</v>
      </c>
      <c r="L58" s="37">
        <f t="shared" si="3"/>
        <v>3.4621803499327052E-2</v>
      </c>
      <c r="M58" s="36">
        <v>10402000</v>
      </c>
      <c r="N58" s="36">
        <v>190816000</v>
      </c>
      <c r="O58" s="37">
        <f t="shared" si="4"/>
        <v>5.4513248364916986E-2</v>
      </c>
    </row>
    <row r="59" spans="1:15" x14ac:dyDescent="0.45">
      <c r="A59" s="35">
        <v>70</v>
      </c>
      <c r="B59" s="11" t="s">
        <v>51</v>
      </c>
      <c r="C59" s="11" t="s">
        <v>73</v>
      </c>
      <c r="D59" s="11" t="s">
        <v>252</v>
      </c>
      <c r="E59" s="11" t="s">
        <v>251</v>
      </c>
      <c r="F59" s="11" t="s">
        <v>241</v>
      </c>
      <c r="G59" s="68">
        <v>9246000</v>
      </c>
      <c r="H59" s="68">
        <v>494412000</v>
      </c>
      <c r="I59" s="37">
        <f t="shared" si="5"/>
        <v>1.87010024028543E-2</v>
      </c>
      <c r="J59" s="36">
        <v>5401000</v>
      </c>
      <c r="K59" s="36">
        <v>505770000</v>
      </c>
      <c r="L59" s="37">
        <f t="shared" si="3"/>
        <v>1.0678767028491212E-2</v>
      </c>
      <c r="M59" s="36">
        <v>106329000</v>
      </c>
      <c r="N59" s="36">
        <v>617011000</v>
      </c>
      <c r="O59" s="37">
        <f t="shared" si="4"/>
        <v>0.17232918051704102</v>
      </c>
    </row>
    <row r="60" spans="1:15" ht="14.25" customHeight="1" x14ac:dyDescent="0.45">
      <c r="A60" s="35">
        <v>91</v>
      </c>
      <c r="B60" s="11" t="s">
        <v>52</v>
      </c>
      <c r="C60" s="11" t="s">
        <v>73</v>
      </c>
      <c r="D60" s="11" t="s">
        <v>257</v>
      </c>
      <c r="E60" s="11" t="s">
        <v>237</v>
      </c>
      <c r="F60" s="11" t="s">
        <v>238</v>
      </c>
      <c r="G60" s="68">
        <v>-3766000</v>
      </c>
      <c r="H60" s="68">
        <v>50395000</v>
      </c>
      <c r="I60" s="37">
        <f t="shared" si="5"/>
        <v>-7.4729635876575051E-2</v>
      </c>
      <c r="J60" s="36">
        <v>-1422000</v>
      </c>
      <c r="K60" s="36">
        <v>62429000</v>
      </c>
      <c r="L60" s="37">
        <f t="shared" si="3"/>
        <v>-2.2777875666757437E-2</v>
      </c>
      <c r="M60" s="36">
        <v>-14444000</v>
      </c>
      <c r="N60" s="36">
        <v>52858000</v>
      </c>
      <c r="O60" s="37">
        <f t="shared" si="4"/>
        <v>-0.27326043361459001</v>
      </c>
    </row>
    <row r="61" spans="1:15" x14ac:dyDescent="0.45">
      <c r="A61" s="35">
        <v>47</v>
      </c>
      <c r="B61" s="11" t="s">
        <v>53</v>
      </c>
      <c r="C61" s="11" t="s">
        <v>73</v>
      </c>
      <c r="D61" s="11" t="s">
        <v>236</v>
      </c>
      <c r="E61" s="11" t="s">
        <v>237</v>
      </c>
      <c r="F61" s="11" t="s">
        <v>238</v>
      </c>
      <c r="G61" s="68">
        <v>21901000</v>
      </c>
      <c r="H61" s="68">
        <v>195121000</v>
      </c>
      <c r="I61" s="37">
        <f t="shared" si="5"/>
        <v>0.11224317218546441</v>
      </c>
      <c r="J61" s="36">
        <v>30039000</v>
      </c>
      <c r="K61" s="36">
        <v>196092000</v>
      </c>
      <c r="L61" s="37">
        <f t="shared" si="3"/>
        <v>0.15318829936968362</v>
      </c>
      <c r="M61" s="36">
        <v>38143000</v>
      </c>
      <c r="N61" s="36">
        <v>230368000</v>
      </c>
      <c r="O61" s="37">
        <f t="shared" si="4"/>
        <v>0.1655742116960689</v>
      </c>
    </row>
    <row r="62" spans="1:15" x14ac:dyDescent="0.45">
      <c r="A62" s="35">
        <v>113</v>
      </c>
      <c r="B62" s="11" t="s">
        <v>54</v>
      </c>
      <c r="C62" s="11" t="s">
        <v>72</v>
      </c>
      <c r="D62" s="11" t="s">
        <v>255</v>
      </c>
      <c r="E62" s="11" t="s">
        <v>251</v>
      </c>
      <c r="F62" s="11" t="s">
        <v>241</v>
      </c>
      <c r="G62" s="68">
        <v>2127000</v>
      </c>
      <c r="H62" s="68">
        <v>199836000</v>
      </c>
      <c r="I62" s="37">
        <f t="shared" si="5"/>
        <v>1.0643727856842611E-2</v>
      </c>
      <c r="J62" s="36">
        <v>12438000</v>
      </c>
      <c r="K62" s="36">
        <v>210297000</v>
      </c>
      <c r="L62" s="37">
        <f t="shared" si="3"/>
        <v>5.9144923608040058E-2</v>
      </c>
      <c r="M62" s="36">
        <v>25397000</v>
      </c>
      <c r="N62" s="36">
        <v>236240000</v>
      </c>
      <c r="O62" s="37">
        <f t="shared" si="4"/>
        <v>0.10750507958008805</v>
      </c>
    </row>
    <row r="63" spans="1:15" x14ac:dyDescent="0.45">
      <c r="A63" s="35">
        <v>21</v>
      </c>
      <c r="B63" s="11" t="s">
        <v>55</v>
      </c>
      <c r="C63" s="11" t="s">
        <v>73</v>
      </c>
      <c r="D63" s="11" t="s">
        <v>250</v>
      </c>
      <c r="E63" s="11" t="s">
        <v>251</v>
      </c>
      <c r="F63" s="11" t="s">
        <v>241</v>
      </c>
      <c r="G63" s="68">
        <v>-15003000</v>
      </c>
      <c r="H63" s="68">
        <v>130775000</v>
      </c>
      <c r="I63" s="37">
        <f t="shared" si="5"/>
        <v>-0.11472376218696234</v>
      </c>
      <c r="J63" s="36">
        <v>-26824000</v>
      </c>
      <c r="K63" s="36">
        <v>120595000</v>
      </c>
      <c r="L63" s="37">
        <f t="shared" si="3"/>
        <v>-0.22243044902359135</v>
      </c>
      <c r="M63" s="36">
        <v>-5344000</v>
      </c>
      <c r="N63" s="36">
        <v>138446000</v>
      </c>
      <c r="O63" s="37">
        <f t="shared" si="4"/>
        <v>-3.8599887320688211E-2</v>
      </c>
    </row>
    <row r="64" spans="1:15" x14ac:dyDescent="0.45">
      <c r="A64" s="35">
        <v>19</v>
      </c>
      <c r="B64" s="11" t="s">
        <v>56</v>
      </c>
      <c r="C64" s="11" t="s">
        <v>77</v>
      </c>
      <c r="D64" s="11" t="s">
        <v>256</v>
      </c>
      <c r="E64" s="11" t="s">
        <v>240</v>
      </c>
      <c r="F64" s="11" t="s">
        <v>241</v>
      </c>
      <c r="G64" s="68">
        <v>-22770000</v>
      </c>
      <c r="H64" s="68">
        <v>702503000</v>
      </c>
      <c r="I64" s="37">
        <f t="shared" si="5"/>
        <v>-3.2412672970791583E-2</v>
      </c>
      <c r="J64" s="36">
        <v>35872000</v>
      </c>
      <c r="K64" s="36">
        <v>797653000</v>
      </c>
      <c r="L64" s="37">
        <f t="shared" si="3"/>
        <v>4.4971936418467681E-2</v>
      </c>
      <c r="M64" s="36">
        <v>78275000</v>
      </c>
      <c r="N64" s="36">
        <v>849450000</v>
      </c>
      <c r="O64" s="37">
        <f t="shared" si="4"/>
        <v>9.2147860380246041E-2</v>
      </c>
    </row>
    <row r="65" spans="1:15" x14ac:dyDescent="0.45">
      <c r="A65" s="35">
        <v>116</v>
      </c>
      <c r="B65" s="11" t="s">
        <v>57</v>
      </c>
      <c r="C65" s="11" t="s">
        <v>77</v>
      </c>
      <c r="D65" s="11" t="s">
        <v>256</v>
      </c>
      <c r="E65" s="11" t="s">
        <v>240</v>
      </c>
      <c r="F65" s="11" t="s">
        <v>241</v>
      </c>
      <c r="G65" s="68">
        <v>9360000</v>
      </c>
      <c r="H65" s="68">
        <v>138784000</v>
      </c>
      <c r="I65" s="37">
        <f t="shared" si="5"/>
        <v>6.7442932902928285E-2</v>
      </c>
      <c r="J65" s="36">
        <v>32447000</v>
      </c>
      <c r="K65" s="36">
        <v>146712000</v>
      </c>
      <c r="L65" s="37">
        <f t="shared" si="3"/>
        <v>0.22116118654234146</v>
      </c>
      <c r="M65" s="36">
        <v>72344000</v>
      </c>
      <c r="N65" s="36">
        <v>194623000</v>
      </c>
      <c r="O65" s="37">
        <f t="shared" si="4"/>
        <v>0.37171351792953555</v>
      </c>
    </row>
    <row r="66" spans="1:15" x14ac:dyDescent="0.45">
      <c r="A66" s="35">
        <v>60</v>
      </c>
      <c r="B66" s="11" t="s">
        <v>58</v>
      </c>
      <c r="C66" s="11" t="s">
        <v>75</v>
      </c>
      <c r="D66" s="11" t="s">
        <v>261</v>
      </c>
      <c r="E66" s="11" t="s">
        <v>240</v>
      </c>
      <c r="F66" s="11" t="s">
        <v>238</v>
      </c>
      <c r="G66" s="68">
        <v>14811000</v>
      </c>
      <c r="H66" s="68">
        <v>124140000</v>
      </c>
      <c r="I66" s="37">
        <f t="shared" si="5"/>
        <v>0.11930884485258579</v>
      </c>
      <c r="J66" s="36">
        <v>25840000</v>
      </c>
      <c r="K66" s="36">
        <v>141047000</v>
      </c>
      <c r="L66" s="37">
        <f t="shared" si="3"/>
        <v>0.18320134423277348</v>
      </c>
      <c r="M66" s="36">
        <v>26731000</v>
      </c>
      <c r="N66" s="36">
        <v>146800000</v>
      </c>
      <c r="O66" s="37">
        <f t="shared" si="4"/>
        <v>0.18209128065395094</v>
      </c>
    </row>
    <row r="67" spans="1:15" x14ac:dyDescent="0.45">
      <c r="A67" s="35">
        <v>6</v>
      </c>
      <c r="B67" s="11" t="s">
        <v>59</v>
      </c>
      <c r="C67" s="11" t="s">
        <v>76</v>
      </c>
      <c r="D67" s="11" t="s">
        <v>256</v>
      </c>
      <c r="E67" s="11" t="s">
        <v>240</v>
      </c>
      <c r="F67" s="11" t="s">
        <v>241</v>
      </c>
      <c r="G67" s="68">
        <v>-4303000</v>
      </c>
      <c r="H67" s="68">
        <v>125816000</v>
      </c>
      <c r="I67" s="37">
        <f t="shared" si="5"/>
        <v>-3.4200737585044827E-2</v>
      </c>
      <c r="J67" s="36">
        <v>-3661000</v>
      </c>
      <c r="K67" s="36">
        <v>129480000</v>
      </c>
      <c r="L67" s="37">
        <f t="shared" si="3"/>
        <v>-2.8274637009576768E-2</v>
      </c>
      <c r="M67" s="36">
        <v>11321000</v>
      </c>
      <c r="N67" s="36">
        <v>157430000</v>
      </c>
      <c r="O67" s="37">
        <f t="shared" si="4"/>
        <v>7.1911325668551102E-2</v>
      </c>
    </row>
    <row r="68" spans="1:15" x14ac:dyDescent="0.45">
      <c r="A68" s="35">
        <v>27</v>
      </c>
      <c r="B68" s="11" t="s">
        <v>60</v>
      </c>
      <c r="C68" s="11" t="s">
        <v>73</v>
      </c>
      <c r="D68" s="11" t="s">
        <v>260</v>
      </c>
      <c r="E68" s="11" t="s">
        <v>240</v>
      </c>
      <c r="F68" s="11" t="s">
        <v>241</v>
      </c>
      <c r="G68" s="68">
        <v>10556000</v>
      </c>
      <c r="H68" s="68">
        <v>312997000</v>
      </c>
      <c r="I68" s="37">
        <f t="shared" ref="I68:I75" si="6">G68/H68</f>
        <v>3.3725562864819793E-2</v>
      </c>
      <c r="J68" s="36">
        <v>19226000</v>
      </c>
      <c r="K68" s="36">
        <v>329495000</v>
      </c>
      <c r="L68" s="37">
        <f t="shared" si="3"/>
        <v>5.83498990879983E-2</v>
      </c>
      <c r="M68" s="36">
        <v>21512000</v>
      </c>
      <c r="N68" s="36">
        <v>337175000</v>
      </c>
      <c r="O68" s="37">
        <f t="shared" si="4"/>
        <v>6.3800696967450138E-2</v>
      </c>
    </row>
    <row r="69" spans="1:15" x14ac:dyDescent="0.45">
      <c r="A69" s="35">
        <v>119</v>
      </c>
      <c r="B69" s="11" t="s">
        <v>61</v>
      </c>
      <c r="C69" s="11" t="s">
        <v>73</v>
      </c>
      <c r="D69" s="11" t="s">
        <v>246</v>
      </c>
      <c r="E69" s="11" t="s">
        <v>240</v>
      </c>
      <c r="F69" s="11" t="s">
        <v>241</v>
      </c>
      <c r="G69" s="68">
        <v>-59743000</v>
      </c>
      <c r="H69" s="68">
        <v>707853000</v>
      </c>
      <c r="I69" s="37">
        <f t="shared" si="6"/>
        <v>-8.4400292151053963E-2</v>
      </c>
      <c r="J69" s="36">
        <v>-47689000</v>
      </c>
      <c r="K69" s="36">
        <v>774439000</v>
      </c>
      <c r="L69" s="37">
        <f t="shared" si="3"/>
        <v>-6.1578768631228541E-2</v>
      </c>
      <c r="M69" s="36">
        <v>-7445000</v>
      </c>
      <c r="N69" s="36">
        <v>877788000</v>
      </c>
      <c r="O69" s="37">
        <f t="shared" si="4"/>
        <v>-8.4815467971765396E-3</v>
      </c>
    </row>
    <row r="70" spans="1:15" x14ac:dyDescent="0.45">
      <c r="A70" s="35">
        <v>12</v>
      </c>
      <c r="B70" s="11" t="s">
        <v>62</v>
      </c>
      <c r="C70" s="11" t="s">
        <v>73</v>
      </c>
      <c r="D70" s="11" t="s">
        <v>239</v>
      </c>
      <c r="E70" s="11" t="s">
        <v>240</v>
      </c>
      <c r="F70" s="11" t="s">
        <v>241</v>
      </c>
      <c r="G70" s="68">
        <v>197421000</v>
      </c>
      <c r="H70" s="68">
        <v>892819000</v>
      </c>
      <c r="I70" s="37">
        <f t="shared" si="6"/>
        <v>0.2211209662876798</v>
      </c>
      <c r="J70" s="36">
        <v>170046000</v>
      </c>
      <c r="K70" s="36">
        <v>965655000</v>
      </c>
      <c r="L70" s="37">
        <f t="shared" si="3"/>
        <v>0.17609394659583391</v>
      </c>
      <c r="M70" s="36">
        <v>157635000</v>
      </c>
      <c r="N70" s="36">
        <v>920465000</v>
      </c>
      <c r="O70" s="37">
        <f t="shared" si="4"/>
        <v>0.17125583264980201</v>
      </c>
    </row>
    <row r="71" spans="1:15" x14ac:dyDescent="0.45">
      <c r="A71" s="35">
        <v>224</v>
      </c>
      <c r="B71" s="11" t="s">
        <v>63</v>
      </c>
      <c r="C71" s="11" t="s">
        <v>74</v>
      </c>
      <c r="D71" s="11" t="s">
        <v>242</v>
      </c>
      <c r="E71" s="11" t="s">
        <v>237</v>
      </c>
      <c r="F71" s="11" t="s">
        <v>241</v>
      </c>
      <c r="G71" s="68">
        <v>52395000</v>
      </c>
      <c r="H71" s="68">
        <v>191166000</v>
      </c>
      <c r="I71" s="37">
        <f t="shared" si="6"/>
        <v>0.27408116506073255</v>
      </c>
      <c r="J71" s="36">
        <v>36998000</v>
      </c>
      <c r="K71" s="36">
        <v>165736000</v>
      </c>
      <c r="L71" s="37">
        <f t="shared" si="3"/>
        <v>0.22323454168074527</v>
      </c>
      <c r="M71" s="36">
        <v>9195000</v>
      </c>
      <c r="N71" s="36">
        <v>166072000</v>
      </c>
      <c r="O71" s="37">
        <f t="shared" si="4"/>
        <v>5.5367551423478975E-2</v>
      </c>
    </row>
    <row r="72" spans="1:15" x14ac:dyDescent="0.45">
      <c r="A72" s="35">
        <v>221</v>
      </c>
      <c r="B72" s="11" t="s">
        <v>64</v>
      </c>
      <c r="C72" s="11" t="s">
        <v>74</v>
      </c>
      <c r="D72" s="11" t="s">
        <v>243</v>
      </c>
      <c r="E72" s="11" t="s">
        <v>237</v>
      </c>
      <c r="F72" s="11" t="s">
        <v>241</v>
      </c>
      <c r="G72" s="68">
        <v>223196000</v>
      </c>
      <c r="H72" s="68">
        <v>855490000</v>
      </c>
      <c r="I72" s="37">
        <f t="shared" si="6"/>
        <v>0.26089843247729372</v>
      </c>
      <c r="J72" s="36">
        <v>169420000</v>
      </c>
      <c r="K72" s="36">
        <v>776277000</v>
      </c>
      <c r="L72" s="37">
        <f t="shared" si="3"/>
        <v>0.21824683714704932</v>
      </c>
      <c r="M72" s="36">
        <v>288986000</v>
      </c>
      <c r="N72" s="36">
        <v>972098000</v>
      </c>
      <c r="O72" s="37">
        <f t="shared" si="4"/>
        <v>0.29728072684029799</v>
      </c>
    </row>
    <row r="73" spans="1:15" x14ac:dyDescent="0.45">
      <c r="A73" s="35">
        <v>29</v>
      </c>
      <c r="B73" s="11" t="s">
        <v>65</v>
      </c>
      <c r="C73" s="11" t="s">
        <v>74</v>
      </c>
      <c r="D73" s="11" t="s">
        <v>243</v>
      </c>
      <c r="E73" s="11" t="s">
        <v>237</v>
      </c>
      <c r="F73" s="11" t="s">
        <v>241</v>
      </c>
      <c r="G73" s="68">
        <v>1458000</v>
      </c>
      <c r="H73" s="68">
        <v>163465000</v>
      </c>
      <c r="I73" s="37">
        <f t="shared" si="6"/>
        <v>8.9193405316122711E-3</v>
      </c>
      <c r="J73" s="36">
        <v>29646000</v>
      </c>
      <c r="K73" s="36">
        <v>369163000</v>
      </c>
      <c r="L73" s="37">
        <f t="shared" si="3"/>
        <v>8.0305989495155258E-2</v>
      </c>
      <c r="M73" s="36">
        <v>33751000</v>
      </c>
      <c r="N73" s="36">
        <v>412610000</v>
      </c>
      <c r="O73" s="37">
        <f t="shared" si="4"/>
        <v>8.1798793049126295E-2</v>
      </c>
    </row>
    <row r="74" spans="1:15" x14ac:dyDescent="0.45">
      <c r="A74" s="35">
        <v>61</v>
      </c>
      <c r="B74" s="11" t="s">
        <v>173</v>
      </c>
      <c r="C74" s="11" t="s">
        <v>74</v>
      </c>
      <c r="D74" s="11" t="s">
        <v>242</v>
      </c>
      <c r="E74" s="11" t="s">
        <v>237</v>
      </c>
      <c r="F74" s="11" t="s">
        <v>241</v>
      </c>
      <c r="G74" s="68">
        <v>-1082000</v>
      </c>
      <c r="H74" s="68">
        <v>58605000</v>
      </c>
      <c r="I74" s="37">
        <f t="shared" si="6"/>
        <v>-1.8462588516338196E-2</v>
      </c>
      <c r="J74" s="36">
        <v>1808000</v>
      </c>
      <c r="K74" s="36">
        <v>112687000</v>
      </c>
      <c r="L74" s="37">
        <f t="shared" si="3"/>
        <v>1.6044441683601481E-2</v>
      </c>
      <c r="M74" s="36">
        <v>6468000</v>
      </c>
      <c r="N74" s="36">
        <v>111505000</v>
      </c>
      <c r="O74" s="37">
        <f t="shared" si="4"/>
        <v>5.8006367427469618E-2</v>
      </c>
    </row>
    <row r="75" spans="1:15" x14ac:dyDescent="0.45">
      <c r="A75" s="35">
        <v>57</v>
      </c>
      <c r="B75" s="11" t="s">
        <v>179</v>
      </c>
      <c r="C75" s="11" t="s">
        <v>74</v>
      </c>
      <c r="D75" s="11" t="s">
        <v>242</v>
      </c>
      <c r="E75" s="11" t="s">
        <v>237</v>
      </c>
      <c r="F75" s="11" t="s">
        <v>241</v>
      </c>
      <c r="G75" s="68">
        <v>18965000</v>
      </c>
      <c r="H75" s="68">
        <v>351475000</v>
      </c>
      <c r="I75" s="37">
        <f t="shared" si="6"/>
        <v>5.3958318514830357E-2</v>
      </c>
      <c r="J75" s="36">
        <v>26445000</v>
      </c>
      <c r="K75" s="36">
        <v>361852000</v>
      </c>
      <c r="L75" s="37">
        <f t="shared" si="3"/>
        <v>7.3082365165868912E-2</v>
      </c>
      <c r="M75" s="36">
        <v>69882000</v>
      </c>
      <c r="N75" s="36">
        <v>409773000</v>
      </c>
      <c r="O75" s="37">
        <f t="shared" si="4"/>
        <v>0.17053832243705661</v>
      </c>
    </row>
    <row r="76" spans="1:15" ht="14.1" thickBot="1" x14ac:dyDescent="0.5"/>
    <row r="77" spans="1:15" ht="14.4" thickBot="1" x14ac:dyDescent="0.55000000000000004">
      <c r="C77" s="79" t="s">
        <v>132</v>
      </c>
      <c r="G77" s="30">
        <f>SUM(Table1[2019 Total Income])</f>
        <v>2034347000</v>
      </c>
      <c r="H77" s="31">
        <f>SUM(Table1[2019 Total Revenue])</f>
        <v>27022388000</v>
      </c>
      <c r="I77" s="49"/>
      <c r="J77" s="25">
        <f>SUM(Table1[2020 Total Income])</f>
        <v>1285999000</v>
      </c>
      <c r="K77" s="27">
        <f>SUM(Table1[2020 Total Revenue])</f>
        <v>27735294000</v>
      </c>
      <c r="L77" s="50"/>
      <c r="M77" s="25">
        <f>SUM(Table1[2021 Income])</f>
        <v>2307614000</v>
      </c>
      <c r="N77" s="27">
        <f>SUM(Table1[2021 Total Revenue])</f>
        <v>31547107000</v>
      </c>
      <c r="O77" s="49"/>
    </row>
    <row r="79" spans="1:15" ht="14.1" x14ac:dyDescent="0.5">
      <c r="A79" s="69" t="s">
        <v>138</v>
      </c>
      <c r="B79" s="69"/>
      <c r="C79" s="69"/>
      <c r="D79" s="69"/>
      <c r="E79" s="69"/>
      <c r="F79" s="69"/>
      <c r="G79" s="69"/>
      <c r="H79" s="69"/>
      <c r="I79" s="69"/>
      <c r="J79" s="69"/>
      <c r="K79" s="69"/>
      <c r="L79" s="69"/>
      <c r="M79" s="69"/>
      <c r="N79" s="69"/>
      <c r="O79" s="69"/>
    </row>
    <row r="80" spans="1:15" ht="14.1" x14ac:dyDescent="0.5">
      <c r="A80" s="69" t="s">
        <v>187</v>
      </c>
      <c r="B80" s="69"/>
      <c r="C80" s="69"/>
      <c r="D80" s="69"/>
      <c r="E80" s="69"/>
      <c r="F80" s="69"/>
      <c r="G80" s="69"/>
      <c r="H80" s="69"/>
      <c r="I80" s="69"/>
      <c r="J80" s="69"/>
      <c r="K80" s="69"/>
      <c r="L80" s="69"/>
      <c r="M80" s="69"/>
      <c r="N80" s="69"/>
      <c r="O80" s="69"/>
    </row>
    <row r="81" spans="1:21" ht="14.1" x14ac:dyDescent="0.5">
      <c r="A81" s="70" t="s">
        <v>226</v>
      </c>
      <c r="B81" s="69"/>
      <c r="C81" s="69"/>
      <c r="D81" s="69"/>
      <c r="E81" s="69"/>
      <c r="F81" s="69"/>
      <c r="G81" s="69"/>
      <c r="H81" s="69"/>
      <c r="I81" s="69"/>
      <c r="J81" s="69"/>
      <c r="K81" s="69"/>
      <c r="L81" s="69"/>
      <c r="M81" s="69"/>
      <c r="N81" s="69"/>
      <c r="O81" s="69"/>
    </row>
    <row r="82" spans="1:21" ht="30.75" customHeight="1" x14ac:dyDescent="0.45">
      <c r="A82" s="94" t="s">
        <v>198</v>
      </c>
      <c r="B82" s="94"/>
      <c r="C82" s="94"/>
      <c r="D82" s="94"/>
      <c r="E82" s="94"/>
      <c r="F82" s="94"/>
      <c r="G82" s="94"/>
      <c r="H82" s="94"/>
      <c r="I82" s="94"/>
      <c r="J82" s="94"/>
      <c r="K82" s="94"/>
      <c r="L82" s="94"/>
      <c r="M82" s="94"/>
      <c r="N82" s="94"/>
      <c r="O82" s="94"/>
    </row>
    <row r="83" spans="1:21" ht="32.25" customHeight="1" x14ac:dyDescent="0.45">
      <c r="A83" s="94" t="s">
        <v>189</v>
      </c>
      <c r="B83" s="94"/>
      <c r="C83" s="94"/>
      <c r="D83" s="94"/>
      <c r="E83" s="94"/>
      <c r="F83" s="94"/>
      <c r="G83" s="94"/>
      <c r="H83" s="94"/>
      <c r="I83" s="94"/>
      <c r="J83" s="94"/>
      <c r="K83" s="94"/>
      <c r="L83" s="94"/>
      <c r="M83" s="94"/>
      <c r="N83" s="94"/>
      <c r="O83" s="94"/>
    </row>
    <row r="84" spans="1:21" ht="14.1" x14ac:dyDescent="0.45">
      <c r="A84" s="94" t="s">
        <v>306</v>
      </c>
      <c r="B84" s="94"/>
      <c r="C84" s="94"/>
      <c r="D84" s="94"/>
      <c r="E84" s="94"/>
      <c r="F84" s="94"/>
      <c r="G84" s="94"/>
      <c r="H84" s="94"/>
      <c r="I84" s="94"/>
      <c r="J84" s="94"/>
      <c r="K84" s="94"/>
      <c r="L84" s="94"/>
      <c r="M84" s="94"/>
      <c r="N84" s="94"/>
      <c r="O84" s="94"/>
    </row>
    <row r="85" spans="1:21" ht="14.1" x14ac:dyDescent="0.45">
      <c r="A85" s="94" t="s">
        <v>303</v>
      </c>
      <c r="B85" s="94"/>
      <c r="C85" s="94"/>
      <c r="D85" s="94"/>
      <c r="E85" s="94"/>
      <c r="F85" s="94"/>
      <c r="G85" s="94"/>
      <c r="H85" s="94"/>
      <c r="I85" s="94"/>
      <c r="J85" s="94"/>
      <c r="K85" s="94"/>
      <c r="L85" s="94"/>
      <c r="M85" s="94"/>
      <c r="N85" s="94"/>
      <c r="O85" s="94"/>
      <c r="P85" s="94"/>
      <c r="Q85" s="94"/>
      <c r="R85" s="94"/>
      <c r="S85" s="94"/>
      <c r="T85" s="94"/>
      <c r="U85" s="94"/>
    </row>
    <row r="86" spans="1:21" ht="14.1" x14ac:dyDescent="0.45">
      <c r="A86" s="90" t="s">
        <v>305</v>
      </c>
      <c r="B86" s="89"/>
      <c r="C86" s="89"/>
      <c r="D86" s="89"/>
      <c r="E86" s="89"/>
      <c r="F86" s="89"/>
      <c r="G86" s="89"/>
      <c r="H86" s="89"/>
      <c r="I86" s="89"/>
      <c r="J86" s="89"/>
      <c r="K86" s="89"/>
      <c r="L86" s="89"/>
      <c r="M86" s="89"/>
      <c r="N86" s="89"/>
      <c r="O86" s="89"/>
      <c r="P86" s="89"/>
      <c r="Q86" s="89"/>
      <c r="R86" s="89"/>
      <c r="S86" s="89"/>
      <c r="T86" s="89"/>
      <c r="U86" s="89"/>
    </row>
    <row r="87" spans="1:21" x14ac:dyDescent="0.45">
      <c r="A87" s="67"/>
      <c r="B87" s="67"/>
      <c r="C87" s="67"/>
      <c r="D87" s="67"/>
      <c r="E87" s="67"/>
      <c r="F87" s="67"/>
      <c r="G87" s="67"/>
      <c r="H87" s="67"/>
      <c r="I87" s="67"/>
      <c r="J87" s="67"/>
      <c r="K87" s="67"/>
      <c r="L87" s="67"/>
      <c r="M87" s="67"/>
      <c r="N87" s="67"/>
      <c r="O87" s="67"/>
    </row>
    <row r="88" spans="1:21" ht="17.7" x14ac:dyDescent="0.6">
      <c r="A88" s="95" t="s">
        <v>92</v>
      </c>
      <c r="B88" s="95"/>
      <c r="C88" s="95"/>
      <c r="D88" s="82"/>
      <c r="E88" s="82"/>
      <c r="F88" s="82"/>
      <c r="G88" s="32"/>
      <c r="H88" s="32"/>
      <c r="I88" s="32"/>
      <c r="J88" s="32"/>
      <c r="K88" s="32"/>
      <c r="L88" s="32"/>
      <c r="M88" s="32"/>
      <c r="N88" s="32"/>
      <c r="O88" s="32"/>
    </row>
    <row r="89" spans="1:21" ht="14.1" x14ac:dyDescent="0.45">
      <c r="A89" s="28" t="s">
        <v>93</v>
      </c>
      <c r="B89" s="102" t="s">
        <v>98</v>
      </c>
      <c r="C89" s="102"/>
      <c r="D89" s="77"/>
      <c r="E89" s="77"/>
      <c r="F89" s="77"/>
    </row>
    <row r="90" spans="1:21" ht="14.1" x14ac:dyDescent="0.45">
      <c r="A90" s="28" t="s">
        <v>94</v>
      </c>
      <c r="B90" s="102" t="s">
        <v>89</v>
      </c>
      <c r="C90" s="102"/>
      <c r="D90" s="77"/>
      <c r="E90" s="77"/>
      <c r="F90" s="77"/>
    </row>
    <row r="91" spans="1:21" ht="14.1" x14ac:dyDescent="0.45">
      <c r="A91" s="28" t="s">
        <v>95</v>
      </c>
      <c r="B91" s="102" t="s">
        <v>99</v>
      </c>
      <c r="C91" s="102"/>
      <c r="D91" s="77"/>
      <c r="E91" s="77"/>
      <c r="F91" s="77"/>
    </row>
    <row r="92" spans="1:21" ht="72" customHeight="1" x14ac:dyDescent="0.45">
      <c r="A92" s="28" t="s">
        <v>96</v>
      </c>
      <c r="B92" s="91" t="s">
        <v>231</v>
      </c>
      <c r="C92" s="91"/>
      <c r="D92" s="74"/>
      <c r="E92" s="74"/>
      <c r="F92" s="74"/>
    </row>
    <row r="93" spans="1:21" ht="32.25" customHeight="1" x14ac:dyDescent="0.45">
      <c r="A93" s="28" t="s">
        <v>97</v>
      </c>
      <c r="B93" s="91" t="s">
        <v>230</v>
      </c>
      <c r="C93" s="91"/>
      <c r="D93" s="74"/>
      <c r="E93" s="74"/>
      <c r="F93" s="74"/>
    </row>
    <row r="94" spans="1:21" ht="88.5" customHeight="1" x14ac:dyDescent="0.45">
      <c r="A94" s="28" t="s">
        <v>100</v>
      </c>
      <c r="B94" s="91" t="s">
        <v>232</v>
      </c>
      <c r="C94" s="91"/>
      <c r="D94" s="74"/>
      <c r="E94" s="74"/>
      <c r="F94" s="74"/>
      <c r="G94" s="3"/>
      <c r="H94" s="3"/>
      <c r="I94" s="3"/>
      <c r="J94" s="3"/>
      <c r="K94" s="3"/>
      <c r="L94" s="3"/>
      <c r="M94" s="3"/>
      <c r="N94" s="3"/>
      <c r="O94" s="3"/>
    </row>
    <row r="95" spans="1:21" ht="14.1" x14ac:dyDescent="0.45">
      <c r="A95" s="28" t="s">
        <v>101</v>
      </c>
      <c r="B95" s="102" t="s">
        <v>158</v>
      </c>
      <c r="C95" s="102"/>
      <c r="D95" s="77"/>
      <c r="E95" s="77"/>
      <c r="F95" s="77"/>
    </row>
    <row r="96" spans="1:21" ht="14.1" x14ac:dyDescent="0.45">
      <c r="A96" s="28" t="s">
        <v>102</v>
      </c>
      <c r="B96" s="102" t="s">
        <v>159</v>
      </c>
      <c r="C96" s="102"/>
      <c r="D96" s="77"/>
      <c r="E96" s="77"/>
      <c r="F96" s="77"/>
    </row>
    <row r="97" spans="1:6" ht="14.1" x14ac:dyDescent="0.45">
      <c r="A97" s="28" t="s">
        <v>103</v>
      </c>
      <c r="B97" s="102" t="s">
        <v>160</v>
      </c>
      <c r="C97" s="102"/>
      <c r="D97" s="77"/>
      <c r="E97" s="77"/>
      <c r="F97" s="77"/>
    </row>
    <row r="98" spans="1:6" ht="14.1" x14ac:dyDescent="0.45">
      <c r="A98" s="28" t="s">
        <v>104</v>
      </c>
      <c r="B98" s="102" t="s">
        <v>161</v>
      </c>
      <c r="C98" s="102"/>
      <c r="D98" s="77"/>
      <c r="E98" s="77"/>
      <c r="F98" s="77"/>
    </row>
    <row r="99" spans="1:6" ht="14.1" x14ac:dyDescent="0.45">
      <c r="A99" s="28" t="s">
        <v>105</v>
      </c>
      <c r="B99" s="102" t="s">
        <v>162</v>
      </c>
      <c r="C99" s="102"/>
      <c r="D99" s="77"/>
      <c r="E99" s="77"/>
      <c r="F99" s="77"/>
    </row>
    <row r="100" spans="1:6" ht="14.1" x14ac:dyDescent="0.45">
      <c r="A100" s="28" t="s">
        <v>106</v>
      </c>
      <c r="B100" s="101" t="s">
        <v>167</v>
      </c>
      <c r="C100" s="101"/>
      <c r="D100" s="78"/>
      <c r="E100" s="78"/>
      <c r="F100" s="78"/>
    </row>
  </sheetData>
  <sheetProtection algorithmName="SHA-512" hashValue="8tGLA5lhJu2M2LjJbe7tHJjIW54mwOnDD/e1JjOkXS2zMJM0d3ZO/toFEJl6b5TBZrI8HbminuawAS0yrU33jA==" saltValue="wjYr7zmbzNbqBP8gVUeL9Q==" spinCount="100000" sheet="1" objects="1" scenarios="1" selectLockedCells="1" sort="0" autoFilter="0" selectUnlockedCells="1"/>
  <mergeCells count="18">
    <mergeCell ref="A84:O84"/>
    <mergeCell ref="A1:O1"/>
    <mergeCell ref="B99:C99"/>
    <mergeCell ref="A88:C88"/>
    <mergeCell ref="B94:C94"/>
    <mergeCell ref="A82:O82"/>
    <mergeCell ref="A83:O83"/>
    <mergeCell ref="A85:U85"/>
    <mergeCell ref="B100:C100"/>
    <mergeCell ref="B89:C89"/>
    <mergeCell ref="B90:C90"/>
    <mergeCell ref="B91:C91"/>
    <mergeCell ref="B92:C92"/>
    <mergeCell ref="B93:C93"/>
    <mergeCell ref="B95:C95"/>
    <mergeCell ref="B96:C96"/>
    <mergeCell ref="B97:C97"/>
    <mergeCell ref="B98:C98"/>
  </mergeCells>
  <phoneticPr fontId="11" type="noConversion"/>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9A33-DD4F-4E41-90E1-FC25EE69E11C}">
  <dimension ref="A1:B21"/>
  <sheetViews>
    <sheetView zoomScale="140" zoomScaleNormal="140" workbookViewId="0">
      <selection activeCell="A2" sqref="A2"/>
    </sheetView>
  </sheetViews>
  <sheetFormatPr defaultRowHeight="14.4" x14ac:dyDescent="0.55000000000000004"/>
  <cols>
    <col min="1" max="1" width="32.15625" style="56" customWidth="1"/>
    <col min="2" max="2" width="70.578125" style="57" customWidth="1"/>
  </cols>
  <sheetData>
    <row r="1" spans="1:2" ht="22.8" thickBot="1" x14ac:dyDescent="0.8">
      <c r="A1" s="103" t="s">
        <v>206</v>
      </c>
      <c r="B1" s="104"/>
    </row>
    <row r="2" spans="1:2" ht="8.25" customHeight="1" x14ac:dyDescent="0.55000000000000004">
      <c r="A2" s="3"/>
      <c r="B2" s="58"/>
    </row>
    <row r="3" spans="1:2" x14ac:dyDescent="0.55000000000000004">
      <c r="A3" s="59" t="s">
        <v>207</v>
      </c>
      <c r="B3" s="60" t="s">
        <v>217</v>
      </c>
    </row>
    <row r="4" spans="1:2" ht="69" x14ac:dyDescent="0.55000000000000004">
      <c r="A4" s="61" t="s">
        <v>195</v>
      </c>
      <c r="B4" s="64" t="s">
        <v>222</v>
      </c>
    </row>
    <row r="5" spans="1:2" ht="41.4" x14ac:dyDescent="0.55000000000000004">
      <c r="A5" s="62" t="s">
        <v>194</v>
      </c>
      <c r="B5" s="65" t="s">
        <v>214</v>
      </c>
    </row>
    <row r="6" spans="1:2" ht="42.3" x14ac:dyDescent="0.55000000000000004">
      <c r="A6" s="61" t="s">
        <v>196</v>
      </c>
      <c r="B6" s="64" t="s">
        <v>224</v>
      </c>
    </row>
    <row r="7" spans="1:2" ht="27.6" x14ac:dyDescent="0.55000000000000004">
      <c r="A7" s="61" t="s">
        <v>197</v>
      </c>
      <c r="B7" s="64" t="s">
        <v>215</v>
      </c>
    </row>
    <row r="8" spans="1:2" ht="41.4" x14ac:dyDescent="0.55000000000000004">
      <c r="A8" s="61" t="s">
        <v>192</v>
      </c>
      <c r="B8" s="64" t="s">
        <v>210</v>
      </c>
    </row>
    <row r="9" spans="1:2" ht="36.75" customHeight="1" x14ac:dyDescent="0.55000000000000004">
      <c r="A9" s="62" t="s">
        <v>209</v>
      </c>
      <c r="B9" s="65" t="s">
        <v>211</v>
      </c>
    </row>
    <row r="10" spans="1:2" x14ac:dyDescent="0.55000000000000004">
      <c r="A10" s="61" t="s">
        <v>199</v>
      </c>
      <c r="B10" s="65" t="s">
        <v>212</v>
      </c>
    </row>
    <row r="11" spans="1:2" ht="41.4" x14ac:dyDescent="0.55000000000000004">
      <c r="A11" s="62" t="s">
        <v>220</v>
      </c>
      <c r="B11" s="65" t="s">
        <v>221</v>
      </c>
    </row>
    <row r="12" spans="1:2" ht="27.6" x14ac:dyDescent="0.55000000000000004">
      <c r="A12" s="61" t="s">
        <v>191</v>
      </c>
      <c r="B12" s="65" t="s">
        <v>213</v>
      </c>
    </row>
    <row r="13" spans="1:2" ht="69" x14ac:dyDescent="0.55000000000000004">
      <c r="A13" s="62" t="s">
        <v>193</v>
      </c>
      <c r="B13" s="65" t="s">
        <v>208</v>
      </c>
    </row>
    <row r="14" spans="1:2" ht="138" x14ac:dyDescent="0.55000000000000004">
      <c r="A14" s="62" t="s">
        <v>216</v>
      </c>
      <c r="B14" s="65" t="s">
        <v>225</v>
      </c>
    </row>
    <row r="15" spans="1:2" ht="27.6" x14ac:dyDescent="0.55000000000000004">
      <c r="A15" s="62" t="s">
        <v>202</v>
      </c>
      <c r="B15" s="65" t="s">
        <v>218</v>
      </c>
    </row>
    <row r="16" spans="1:2" ht="27.6" x14ac:dyDescent="0.55000000000000004">
      <c r="A16" s="62" t="s">
        <v>201</v>
      </c>
      <c r="B16" s="65" t="s">
        <v>219</v>
      </c>
    </row>
    <row r="17" spans="1:2" x14ac:dyDescent="0.55000000000000004">
      <c r="A17" s="62" t="s">
        <v>203</v>
      </c>
      <c r="B17" s="65" t="s">
        <v>204</v>
      </c>
    </row>
    <row r="18" spans="1:2" ht="55.2" x14ac:dyDescent="0.55000000000000004">
      <c r="A18" s="63" t="s">
        <v>200</v>
      </c>
      <c r="B18" s="66" t="s">
        <v>223</v>
      </c>
    </row>
    <row r="21" spans="1:2" ht="107.25" customHeight="1" x14ac:dyDescent="0.55000000000000004"/>
  </sheetData>
  <sheetProtection algorithmName="SHA-512" hashValue="paSSq1WW6gsmWxur6eTHnNLePHFbrdHPdqb574I8PBezMPu12qAxx7LTAG4BN/RV2hwpon6LBYfGt+wSV4ClFQ==" saltValue="zxiMk12jk2c5MB/3nqUx9Q==" spinCount="100000" sheet="1" objects="1" scenarios="1" selectLockedCells="1" sort="0" autoFilter="0" selectUnlockedCells="1"/>
  <mergeCells count="1">
    <mergeCell ref="A1:B1"/>
  </mergeCell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Total Operating Expenses</vt:lpstr>
      <vt:lpstr>OperatingMargin19,20,21</vt:lpstr>
      <vt:lpstr>Year-EndCash19,20,21</vt:lpstr>
      <vt:lpstr>NetPatRev-PayorMix$19,20,21</vt:lpstr>
      <vt:lpstr>GrossPatRev-PayorMix$19,20,21</vt:lpstr>
      <vt:lpstr>Payor Mix % Based on Gross Rev</vt:lpstr>
      <vt:lpstr>NetProfitMargins19,20,21</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Garcia-Santana, Humberto</dc:creator>
  <cp:lastModifiedBy>Garcia-Santana, Humberto [DOH]</cp:lastModifiedBy>
  <dcterms:created xsi:type="dcterms:W3CDTF">2023-01-18T18:35:33Z</dcterms:created>
  <dcterms:modified xsi:type="dcterms:W3CDTF">2024-01-16T16:18:41Z</dcterms:modified>
</cp:coreProperties>
</file>