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rgelbhauer\Downloads\"/>
    </mc:Choice>
  </mc:AlternateContent>
  <xr:revisionPtr revIDLastSave="0" documentId="13_ncr:1_{A25728F1-722D-429B-85A5-9A20466FBABA}" xr6:coauthVersionLast="47" xr6:coauthVersionMax="47" xr10:uidLastSave="{00000000-0000-0000-0000-000000000000}"/>
  <workbookProtection workbookAlgorithmName="SHA-512" workbookHashValue="xgkx8bzEuYxqUu0b8uJpclwcM0s8C0YB+J8S+1mIAlDGihiPE4qjchIsqkvPJAZ4spmhLU3sWJl4Hzt1j1JQxg==" workbookSaltValue="loNOft6i6+dbbTMlCYKkMw==" workbookSpinCount="100000" lockStructure="1"/>
  <bookViews>
    <workbookView xWindow="-120" yWindow="-120" windowWidth="29040" windowHeight="15720" tabRatio="706" firstSheet="1" activeTab="1" xr2:uid="{09B28D7C-EA5F-4161-B453-E75FB69A8B51}"/>
  </bookViews>
  <sheets>
    <sheet name="Total Operating Expenses" sheetId="9" r:id="rId1"/>
    <sheet name="OperatingMargin21,22,23" sheetId="2" r:id="rId2"/>
    <sheet name="Year-EndCash21,22,23" sheetId="1" r:id="rId3"/>
    <sheet name="NetPatRev-PayorMix$21,22,23" sheetId="3" r:id="rId4"/>
    <sheet name="GrossPatRev-PayorMix$21,22,23" sheetId="5" r:id="rId5"/>
    <sheet name="Payor Mix % Based on Gross Rev" sheetId="7" r:id="rId6"/>
    <sheet name="NetProfitMargins21,22,23" sheetId="4" r:id="rId7"/>
    <sheet name="Glossary" sheetId="8" r:id="rId8"/>
  </sheets>
  <definedNames>
    <definedName name="_xlnm._FilterDatabase" localSheetId="3" hidden="1">'NetPatRev-PayorMix$21,22,23'!$A$3:$AA$76</definedName>
    <definedName name="_xlnm._FilterDatabase" localSheetId="6" hidden="1">'NetProfitMargins21,22,23'!$A$3:$O$76</definedName>
    <definedName name="_xlnm._FilterDatabase" localSheetId="1" hidden="1">'OperatingMargin21,22,23'!$A$3:$O$76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 i="9" l="1"/>
  <c r="T5" i="9"/>
  <c r="T6" i="9"/>
  <c r="T7" i="9"/>
  <c r="T8" i="9"/>
  <c r="T9" i="9"/>
  <c r="T10" i="9"/>
  <c r="T11" i="9"/>
  <c r="T12" i="9"/>
  <c r="T13" i="9"/>
  <c r="T14" i="9"/>
  <c r="T15" i="9"/>
  <c r="T16" i="9"/>
  <c r="T17" i="9"/>
  <c r="T18" i="9"/>
  <c r="T20" i="9"/>
  <c r="T21" i="9"/>
  <c r="T22" i="9"/>
  <c r="T23" i="9"/>
  <c r="T24" i="9"/>
  <c r="T25" i="9"/>
  <c r="T26" i="9"/>
  <c r="T27" i="9"/>
  <c r="T28" i="9"/>
  <c r="T29" i="9"/>
  <c r="T30" i="9"/>
  <c r="T31" i="9"/>
  <c r="T32" i="9"/>
  <c r="T33" i="9"/>
  <c r="T34" i="9"/>
  <c r="T35" i="9"/>
  <c r="T36" i="9"/>
  <c r="T37" i="9"/>
  <c r="T38" i="9"/>
  <c r="T39" i="9"/>
  <c r="T40" i="9"/>
  <c r="T41" i="9"/>
  <c r="T42" i="9"/>
  <c r="T43" i="9"/>
  <c r="T44" i="9"/>
  <c r="T45" i="9"/>
  <c r="T46" i="9"/>
  <c r="T47" i="9"/>
  <c r="T48" i="9"/>
  <c r="T50" i="9"/>
  <c r="T51" i="9"/>
  <c r="T52" i="9"/>
  <c r="T53" i="9"/>
  <c r="T54" i="9"/>
  <c r="T55" i="9"/>
  <c r="T56" i="9"/>
  <c r="T57" i="9"/>
  <c r="T58" i="9"/>
  <c r="T59" i="9"/>
  <c r="T60" i="9"/>
  <c r="T61" i="9"/>
  <c r="T62" i="9"/>
  <c r="T63" i="9"/>
  <c r="T64" i="9"/>
  <c r="T65" i="9"/>
  <c r="T66" i="9"/>
  <c r="T67" i="9"/>
  <c r="T68" i="9"/>
  <c r="T69" i="9"/>
  <c r="T70" i="9"/>
  <c r="T71" i="9"/>
  <c r="T72" i="9"/>
  <c r="T73" i="9"/>
  <c r="T74" i="9"/>
  <c r="T75" i="9"/>
  <c r="T76" i="9"/>
  <c r="S4" i="9"/>
  <c r="S5" i="9"/>
  <c r="S6" i="9"/>
  <c r="S7" i="9"/>
  <c r="S8" i="9"/>
  <c r="S9" i="9"/>
  <c r="S10" i="9"/>
  <c r="S11" i="9"/>
  <c r="S12" i="9"/>
  <c r="S13" i="9"/>
  <c r="S14" i="9"/>
  <c r="S15" i="9"/>
  <c r="S16" i="9"/>
  <c r="S17" i="9"/>
  <c r="S18" i="9"/>
  <c r="S20" i="9"/>
  <c r="S21" i="9"/>
  <c r="S22" i="9"/>
  <c r="S23" i="9"/>
  <c r="S24" i="9"/>
  <c r="S25" i="9"/>
  <c r="S26" i="9"/>
  <c r="S27" i="9"/>
  <c r="S28" i="9"/>
  <c r="S29" i="9"/>
  <c r="S30" i="9"/>
  <c r="S31" i="9"/>
  <c r="S32" i="9"/>
  <c r="S33" i="9"/>
  <c r="S34" i="9"/>
  <c r="S35" i="9"/>
  <c r="S36" i="9"/>
  <c r="S37" i="9"/>
  <c r="S38" i="9"/>
  <c r="S39" i="9"/>
  <c r="S40" i="9"/>
  <c r="S41" i="9"/>
  <c r="S42" i="9"/>
  <c r="S43" i="9"/>
  <c r="S44" i="9"/>
  <c r="S45" i="9"/>
  <c r="S46" i="9"/>
  <c r="S47" i="9"/>
  <c r="S48" i="9"/>
  <c r="S50" i="9"/>
  <c r="S51" i="9"/>
  <c r="S52" i="9"/>
  <c r="S53" i="9"/>
  <c r="S54" i="9"/>
  <c r="S55" i="9"/>
  <c r="S56" i="9"/>
  <c r="S57" i="9"/>
  <c r="S58" i="9"/>
  <c r="S59" i="9"/>
  <c r="S60" i="9"/>
  <c r="S61" i="9"/>
  <c r="S62" i="9"/>
  <c r="S63" i="9"/>
  <c r="S64" i="9"/>
  <c r="S65" i="9"/>
  <c r="S66" i="9"/>
  <c r="S67" i="9"/>
  <c r="S68" i="9"/>
  <c r="S69" i="9"/>
  <c r="S70" i="9"/>
  <c r="S71" i="9"/>
  <c r="S72" i="9"/>
  <c r="S73" i="9"/>
  <c r="S74" i="9"/>
  <c r="S75" i="9"/>
  <c r="S76" i="9"/>
  <c r="P78" i="9"/>
  <c r="K78" i="9"/>
  <c r="AA77" i="3" l="1"/>
  <c r="Y77" i="3"/>
  <c r="U78" i="9" l="1"/>
  <c r="H78" i="1"/>
  <c r="I78" i="1"/>
  <c r="G78" i="1"/>
  <c r="AA77" i="5"/>
  <c r="Z77" i="5"/>
  <c r="Y77" i="5"/>
  <c r="X77" i="5"/>
  <c r="W77" i="5"/>
  <c r="V77" i="5"/>
  <c r="U77" i="5"/>
  <c r="T77" i="5"/>
  <c r="S77" i="5"/>
  <c r="R77" i="5"/>
  <c r="Q77" i="5"/>
  <c r="P77" i="5"/>
  <c r="O77" i="5"/>
  <c r="N77" i="5"/>
  <c r="M77" i="5"/>
  <c r="L77" i="5"/>
  <c r="K77" i="5"/>
  <c r="J77" i="5"/>
  <c r="I77" i="5"/>
  <c r="H77" i="5"/>
  <c r="G77" i="5"/>
  <c r="K78" i="2"/>
  <c r="M78" i="2"/>
  <c r="N78" i="2"/>
  <c r="H78" i="2"/>
  <c r="G78" i="2"/>
  <c r="H78" i="4"/>
  <c r="J78" i="4"/>
  <c r="K78" i="4"/>
  <c r="M78" i="4"/>
  <c r="N78" i="4"/>
  <c r="G78" i="4"/>
  <c r="G77" i="3"/>
  <c r="H77" i="3"/>
  <c r="I77" i="3"/>
  <c r="J77" i="3"/>
  <c r="K77" i="3"/>
  <c r="L77" i="3"/>
  <c r="M77" i="3"/>
  <c r="N77" i="3"/>
  <c r="O77" i="3"/>
  <c r="P77" i="3"/>
  <c r="Q77" i="3"/>
  <c r="R77" i="3"/>
  <c r="S77" i="3"/>
  <c r="T77" i="3"/>
  <c r="U77" i="3"/>
  <c r="V77" i="3"/>
  <c r="W77" i="3"/>
  <c r="X77" i="3"/>
  <c r="Z77" i="3"/>
  <c r="J78" i="2" l="1"/>
</calcChain>
</file>

<file path=xl/sharedStrings.xml><?xml version="1.0" encoding="utf-8"?>
<sst xmlns="http://schemas.openxmlformats.org/spreadsheetml/2006/main" count="2965" uniqueCount="312">
  <si>
    <t>AtlantiCare Regional Medical Center, Inc.-City Division</t>
  </si>
  <si>
    <t>AtlantiCare Regional Medical Center, Inc.-Mainland Division</t>
  </si>
  <si>
    <t>Bayonne Hospital</t>
  </si>
  <si>
    <t>Bayshore Community Hospital</t>
  </si>
  <si>
    <t>Cape Regional Medical Center</t>
  </si>
  <si>
    <t>Capital Health Regional Medical Center</t>
  </si>
  <si>
    <t>Capital Health System at Hopewell</t>
  </si>
  <si>
    <t>CentraState Medical Center</t>
  </si>
  <si>
    <t>Chilton Memorial Hospital</t>
  </si>
  <si>
    <t>Christ Hospital</t>
  </si>
  <si>
    <t>Clara Maass Medical Center</t>
  </si>
  <si>
    <t>Community Medical Center</t>
  </si>
  <si>
    <t>Cooper Hospital/University Medical Center</t>
  </si>
  <si>
    <t>Deborah Heart and Lung Center</t>
  </si>
  <si>
    <t>Englewood Hospital and Medical Center</t>
  </si>
  <si>
    <t>Hackensack UMC - Palisades Medical Center</t>
  </si>
  <si>
    <t>Hackensack UMC at Pascack Valley</t>
  </si>
  <si>
    <t>Hackensack UMC Mountainside</t>
  </si>
  <si>
    <t>Hackensack University Medical Center</t>
  </si>
  <si>
    <t>Hackettstown Community Hospital</t>
  </si>
  <si>
    <t>Hoboken University Medical Center</t>
  </si>
  <si>
    <t>Holy Name Hospital</t>
  </si>
  <si>
    <t>Hudson Regional Hospital (Meadowlands)</t>
  </si>
  <si>
    <t>Hunterdon Medical Center</t>
  </si>
  <si>
    <t>Inspira Medical Center - Elmer</t>
  </si>
  <si>
    <t>Inspira Medical Center - Vineland (SouthJersey Healthcare MC)</t>
  </si>
  <si>
    <t>Jefferson Cherry Hill Hospital (Kennedy)</t>
  </si>
  <si>
    <t>Jefferson Stratford Hospital (Kennedy)</t>
  </si>
  <si>
    <t>Jefferson Washington Township Hospital (Kennedy)</t>
  </si>
  <si>
    <t>Jersey City Medical Center</t>
  </si>
  <si>
    <t>Jersey Shore Medical Center</t>
  </si>
  <si>
    <t>JFK Medical Center (Anthony M. Yelencsics Community Hosp.)</t>
  </si>
  <si>
    <t>Monmouth Medical Center</t>
  </si>
  <si>
    <t>Monmouth Medical Center (Kimball)</t>
  </si>
  <si>
    <t>Morristown Memorial Hospital</t>
  </si>
  <si>
    <t>New Bridge Medical Center (Bergen Regional)</t>
  </si>
  <si>
    <t>Newark Beth Israel Medical Center</t>
  </si>
  <si>
    <t>Newton Memorial Hospital</t>
  </si>
  <si>
    <t>Ocean Medical Center</t>
  </si>
  <si>
    <t>Overlook Hospital</t>
  </si>
  <si>
    <t>Penn Medicine Princeton Medical Center</t>
  </si>
  <si>
    <t>Raritan Bay Medical Center - Old Bridge Division</t>
  </si>
  <si>
    <t>Raritan Bay Medical Center - Perth Amboy Division</t>
  </si>
  <si>
    <t>Riverview Medical Center</t>
  </si>
  <si>
    <t>Robert Wood Johnson Univ. Hospital at Hamilton</t>
  </si>
  <si>
    <t>Robert Wood Johnson Univ. Hospital at Rahway</t>
  </si>
  <si>
    <t>Robert Wood Johnson University Hospital</t>
  </si>
  <si>
    <t>RWJUniversity Hospital -Somerset</t>
  </si>
  <si>
    <t>Saint Clare's Hospital / Denville Campus</t>
  </si>
  <si>
    <t>Saint Clare's Hospital / Dover Campus</t>
  </si>
  <si>
    <t>Saint Michael's Medical Center</t>
  </si>
  <si>
    <t>Saint Peter's University Hospital</t>
  </si>
  <si>
    <t>Salem Medical Center (Memorial Hosp of Salem County)</t>
  </si>
  <si>
    <t>Shore Memorial Hospital</t>
  </si>
  <si>
    <t>Southern Ocean County Hospital</t>
  </si>
  <si>
    <t>St. Francis Medical Center (Trenton)</t>
  </si>
  <si>
    <t>St. Joseph's University Medical Center</t>
  </si>
  <si>
    <t>St. Joseph's Wayne Hospital</t>
  </si>
  <si>
    <t>St. Luke's Warren Hospital</t>
  </si>
  <si>
    <t>St. Mary's Hospital (Passaic)</t>
  </si>
  <si>
    <t>Trinitas Hospital - Williamson Street Campus</t>
  </si>
  <si>
    <t>UMDNJ - University Hospital</t>
  </si>
  <si>
    <t>Valley Hospital</t>
  </si>
  <si>
    <t>Virtua - West Jersey Hospital Marlton</t>
  </si>
  <si>
    <t>Virtua - West Jersey Hospital Voorhees</t>
  </si>
  <si>
    <t>Virtua Our Lady of Lourdes Medical Center</t>
  </si>
  <si>
    <t>Virtua-Memorial Hospital of Burlington County, Inc.</t>
  </si>
  <si>
    <t>Atlantic Health System</t>
  </si>
  <si>
    <t>AtlantiCare Health System</t>
  </si>
  <si>
    <t>RWJBarnabas Health Care System</t>
  </si>
  <si>
    <t>Capital Health System</t>
  </si>
  <si>
    <t>CarePoint Health</t>
  </si>
  <si>
    <t xml:space="preserve">Hackensack Meridian Health </t>
  </si>
  <si>
    <t>Single Site</t>
  </si>
  <si>
    <t>Virtua Healthcare</t>
  </si>
  <si>
    <t>St. Luke's Health Network</t>
  </si>
  <si>
    <t>Prime Healthcare</t>
  </si>
  <si>
    <t>St. Joseph's Healthcare System</t>
  </si>
  <si>
    <t>Penn Medicine</t>
  </si>
  <si>
    <t>Jefferson Health</t>
  </si>
  <si>
    <t>Inspira Health Network</t>
  </si>
  <si>
    <t>2021 Income</t>
  </si>
  <si>
    <t>2021 Total Revenue</t>
  </si>
  <si>
    <t>Hospital Code</t>
  </si>
  <si>
    <t>Hospital Name</t>
  </si>
  <si>
    <t>Legend:</t>
  </si>
  <si>
    <t>Column A</t>
  </si>
  <si>
    <t>Column B</t>
  </si>
  <si>
    <t>Column C</t>
  </si>
  <si>
    <t>Column D</t>
  </si>
  <si>
    <t>Column E</t>
  </si>
  <si>
    <t>Hospital Number (assigned by NJDOH)</t>
  </si>
  <si>
    <t>Health System (if any) or Single Site</t>
  </si>
  <si>
    <t>Column F</t>
  </si>
  <si>
    <t>Column G</t>
  </si>
  <si>
    <t>Column H</t>
  </si>
  <si>
    <t>Column I</t>
  </si>
  <si>
    <t>Column J</t>
  </si>
  <si>
    <t>Column K</t>
  </si>
  <si>
    <t>Column L</t>
  </si>
  <si>
    <t xml:space="preserve">2021 Medicare </t>
  </si>
  <si>
    <t xml:space="preserve">2021 Medicaid </t>
  </si>
  <si>
    <t xml:space="preserve">2021 Commercial Insurance </t>
  </si>
  <si>
    <t xml:space="preserve">2021 Self Pay </t>
  </si>
  <si>
    <t xml:space="preserve">2021 Others </t>
  </si>
  <si>
    <t xml:space="preserve">2021 Champus/ Tricare </t>
  </si>
  <si>
    <t>2021 Total (All Payors)</t>
  </si>
  <si>
    <t>Inspira Medical Center- Woodbury (Underwood)*</t>
  </si>
  <si>
    <t>TOTALS</t>
  </si>
  <si>
    <t>Hospital Code (assigned by NJDOH)</t>
  </si>
  <si>
    <t xml:space="preserve">2021 Year-End Total Cash on Hand </t>
  </si>
  <si>
    <t xml:space="preserve">CY 2021 Operating Revenue </t>
  </si>
  <si>
    <t xml:space="preserve"> CY 2021 Operating Income</t>
  </si>
  <si>
    <t>CY 2021 Operating Margin</t>
  </si>
  <si>
    <t>Column P</t>
  </si>
  <si>
    <t>Virtua Our Lady of Lourdes Medical Center**</t>
  </si>
  <si>
    <t>Virtua Willingboro Hospital (Lourdes M C of Burlington County)**</t>
  </si>
  <si>
    <t>St. Joseph's University Medical Center***</t>
  </si>
  <si>
    <t>St. Joseph's Wayne Hospital***</t>
  </si>
  <si>
    <t>Saint Clare's Hospital / Denville Campus***</t>
  </si>
  <si>
    <t>Saint Clare's Hospital / Dover Campus***</t>
  </si>
  <si>
    <t>Inspira Medical Center - Mullica Hill*</t>
  </si>
  <si>
    <t>Virtua-Memorial Hospital of Burlington County, Inc.**</t>
  </si>
  <si>
    <t>CY 2021 Year-End Cash on Hand, Form L1, line 1, column D + Form L1, Line 2, column A</t>
  </si>
  <si>
    <t>NOTE: Net patient revenue by payor shown includes the bad debt provision defined as a direct reduction to gross revenue from patient care.</t>
  </si>
  <si>
    <t>NOTE: Please note that all of the figures in this spreadsheet are based upon ACH financial information submitted by each hospital and then subsequently audited by the Department’s contracted vendor, Myers &amp; Stauffer (M&amp;S). Typically, the ACH figures do not change post-audit by M&amp;S; however, there are instances where a hospital may have to submit corrections and/or adjustments after an audit and, in those cases, there may be a discrepancy that should be reconciled.</t>
  </si>
  <si>
    <t>NOTE: Please note that the ACH Cost report does not have a specific line-item for any federal COVID-19 funding and instead is reported as “other revenue”. This information is captured on the Net Profit Margin tab and Operating Margin of this spreadsheet as it is reported on Form L3, line 14.</t>
  </si>
  <si>
    <t>Operating Income</t>
  </si>
  <si>
    <t>Operating Revenue</t>
  </si>
  <si>
    <t>Operating Margin</t>
  </si>
  <si>
    <t>Net Patient  Service Revenue</t>
  </si>
  <si>
    <t>Gross Patient Service Revenue</t>
  </si>
  <si>
    <t>Other Revenue, Sales and Services Not Related to Patient Care</t>
  </si>
  <si>
    <t>Assets released from restrictions</t>
  </si>
  <si>
    <t>NOTE: Jefferson Health reports consolidated “operating investment revenue” at the corporate/system level and is unable to break out this financial data between its three system member hospital sites. Therefore, Jefferson Health reports the same numbers for each site; however, that is a total number for the entire system. This information is captured on both the Operating and Net Profit Margin tabs of this spreadsheet with one exception in CY 2021 when Jefferson reported a negative $1.2 million operational investment loss at Jefferson Cherry Hill instead of the $526,000 gain attributed to Jefferson Washington Township Hospital and Jefferson Stratford Hospital.</t>
  </si>
  <si>
    <t>Operating Expenses</t>
  </si>
  <si>
    <t>Net Profit Margin</t>
  </si>
  <si>
    <t>Total Expenses</t>
  </si>
  <si>
    <t>Total Revenues</t>
  </si>
  <si>
    <t>Total Income</t>
  </si>
  <si>
    <t xml:space="preserve">Found by subtracting total expenses from total revenues </t>
  </si>
  <si>
    <t xml:space="preserve">***Please note that the following health systems/hospitals do not break out cash on hand amounts between individual sites: St. Clare's (Denville and Dover), St. Joseph's (University Medical Center and Wayne Hospital) &amp; Inspira. </t>
  </si>
  <si>
    <t>Glossary of Terms</t>
  </si>
  <si>
    <t>Term</t>
  </si>
  <si>
    <t>The operating margin assesses the profitability of an institution based on operations. It measures the percentage of total operating revenue that remains after the payment of all operating expenses. Positive and increasing values indicate an institution's revenues exceeded expenses and are therefore preferable.</t>
  </si>
  <si>
    <t>Non-Operating Revenue</t>
  </si>
  <si>
    <t>The funds (money) coming into a business that flow from its primary/core business activities. This is often reported on income statements and balance sheets.</t>
  </si>
  <si>
    <t>The funds (money) coming into a business that flow from sources other than primary/core operations (e.g., one-time sale of real estate, etc.). </t>
  </si>
  <si>
    <t xml:space="preserve">Costs incurred by a business through its normal operations. </t>
  </si>
  <si>
    <t xml:space="preserve">The funds (money) made from operational activities substracted from all operating expenses. </t>
  </si>
  <si>
    <t>The difference between charges (Gross Patient Service Revenue) and contractual adjustments, charity care, and other deductions. To this end, net patient service revenue is the amount hospitals are actually paid/reimbursed.</t>
  </si>
  <si>
    <t>Assets that may be used by the hospital for general expenses or any other business-related expenditure.</t>
  </si>
  <si>
    <t>Year-End Cash on Hand</t>
  </si>
  <si>
    <t>Definition &amp; Additional Information</t>
  </si>
  <si>
    <t>Total funds (money) brought into a businss that include both operating revenues and non-operating revenues.</t>
  </si>
  <si>
    <t>Total costs incurred by a business through its normal operations that include both operating expenses and non-operating expenses.</t>
  </si>
  <si>
    <t>Non-Operating Expenses</t>
  </si>
  <si>
    <t>Costs incurred by a business outside of a company's day-to-day activities. These types of costs can include monthly charges like interest payments on debt and can also include one-time or unusual costs.</t>
  </si>
  <si>
    <r>
      <t xml:space="preserve">The total amount of </t>
    </r>
    <r>
      <rPr>
        <u/>
        <sz val="11"/>
        <color theme="1"/>
        <rFont val="Arial"/>
        <family val="2"/>
      </rPr>
      <t>charges</t>
    </r>
    <r>
      <rPr>
        <sz val="11"/>
        <color theme="1"/>
        <rFont val="Arial"/>
        <family val="2"/>
      </rPr>
      <t xml:space="preserve"> posted by a hospital for services rendered to patients in a year. It is important to note that "charges" are so-called "list prices", i.e., the dollar amount a hospital sets for services before negotiating any discounts is known as the charge. To this end, charges are not the amount hospitals are actually paid/reimbursed.</t>
    </r>
  </si>
  <si>
    <t>The profit margin indicates the profitability of a hospital. It measures the percentage of total revenues that are in excess of total expenses. This ratio includes net non-operating revenue and therefore measures the overall or "bottom line" profitability of a hospital. Higher values are preferable.</t>
  </si>
  <si>
    <t>This includes services provided to an external organization (i.e., data processing, laundry, etc.), sale of medical supplies, medical records, cafeteria operations, parking garage, etc.; excludes services related to patient care</t>
  </si>
  <si>
    <t>Please note that this metric includes both actual cash funds as well as unrestricted short term investments reported as current assets (unrestricted marketable securities, e.g., stocks/bonds, etc.). This metric represents the year-end cash on hand, which corresponds to the number of days that an institution could meet its daily expenditures solely and/or finance  capital purchases with existing cash on hand. Higher values are generally preferable.  Please note that due to corporate accounting strategies utilized within some health/hospital systems, the year-end cash on hand may not be broken out by individual hospital site (e.g., St. Clare's (Denville and Dover), St. Joseph's (University Medical Center and Wayne Hospital) &amp; Inspira).</t>
  </si>
  <si>
    <t>NOTE: Please note that the ACH Cost report does not have a specific line-item for any federal COVID-19 funding and instead is reported as “other revenue”.This information is captured on the Net Profit Margin tab and Operating Margin of this spreadsheet as it is reported on Form L3, line 14.</t>
  </si>
  <si>
    <t>County</t>
  </si>
  <si>
    <t>Hospital Region</t>
  </si>
  <si>
    <t>Rural/Urban</t>
  </si>
  <si>
    <t>Atlantic</t>
  </si>
  <si>
    <t>South</t>
  </si>
  <si>
    <t>Rural</t>
  </si>
  <si>
    <t>Bergen</t>
  </si>
  <si>
    <t>North</t>
  </si>
  <si>
    <t>Urban</t>
  </si>
  <si>
    <t>Burlington</t>
  </si>
  <si>
    <t>Camden</t>
  </si>
  <si>
    <t>Cape May</t>
  </si>
  <si>
    <t>Cumberland</t>
  </si>
  <si>
    <t>Essex</t>
  </si>
  <si>
    <t>Gloucester</t>
  </si>
  <si>
    <t>Hudson</t>
  </si>
  <si>
    <t>Hunterdon</t>
  </si>
  <si>
    <t>Mercer</t>
  </si>
  <si>
    <t>Central</t>
  </si>
  <si>
    <t>Middlesex</t>
  </si>
  <si>
    <t>Monmouth</t>
  </si>
  <si>
    <t>Morris</t>
  </si>
  <si>
    <t>Ocean</t>
  </si>
  <si>
    <t>Passaic</t>
  </si>
  <si>
    <t>Salem</t>
  </si>
  <si>
    <t>Somerset</t>
  </si>
  <si>
    <t>Sussex</t>
  </si>
  <si>
    <t>Union</t>
  </si>
  <si>
    <t>Warren</t>
  </si>
  <si>
    <t>CY 2021 Operating Expenses</t>
  </si>
  <si>
    <t>Hospital County</t>
  </si>
  <si>
    <t>Hospital Designation</t>
  </si>
  <si>
    <t>Hospital Population Designation</t>
  </si>
  <si>
    <t>CY 2021 Total Staffing Cost/Salaries</t>
  </si>
  <si>
    <t>CY 2021 Contract Services</t>
  </si>
  <si>
    <t>CY 2021 % Staffing Cost to Total</t>
  </si>
  <si>
    <t>CY 2021 % Contract Services Cost to Total</t>
  </si>
  <si>
    <t xml:space="preserve">NOTE: Please note that St. Joseph's is unable to break up total expenses between sites </t>
  </si>
  <si>
    <t>2021 Uninsured</t>
  </si>
  <si>
    <t>Columns G-L</t>
  </si>
  <si>
    <t>Column M-R</t>
  </si>
  <si>
    <t>Columns S-X</t>
  </si>
  <si>
    <t>Column M</t>
  </si>
  <si>
    <t>Column N</t>
  </si>
  <si>
    <t>Column O</t>
  </si>
  <si>
    <t>Column Q</t>
  </si>
  <si>
    <t>Column R</t>
  </si>
  <si>
    <t>Column S</t>
  </si>
  <si>
    <t>Column T</t>
  </si>
  <si>
    <t>Column U</t>
  </si>
  <si>
    <t>Column N-S</t>
  </si>
  <si>
    <t>Columns U-Z</t>
  </si>
  <si>
    <t>Column AA</t>
  </si>
  <si>
    <t>Columns G</t>
  </si>
  <si>
    <t>NOTE: The payor buckets have been consolidated into six categories. Medicaid (Medicaid and Medicaid HMO ), Medicare (Medicare and Medicare HMO), commercial (Commercial, Blue Cross and Other Blue cross), and Uninsured (Charity Care &amp; Self-Pay) with two separate buckets for “Tricare/CHAMPUS” and “Other”</t>
  </si>
  <si>
    <t>NOTE: The payor buckets have been consolidated into six categories. Medicaid (Medicaid and Medicaid HMO ), Medicare (Medicare and Medicare HMO), Commercial (Commercial, HMO, Blue Cross and Other Blue cross), and Uninsured (Charity Care &amp; Self-Pay) with two separate buckets for “Tricare/CHAMPUS” and “Other”</t>
  </si>
  <si>
    <t>NOTE: Please note our report omits any unit that is not under the hospital's license. As a result, there could be variances between the hospital's audited financial statements and the figures shown in this report.</t>
  </si>
  <si>
    <t>NOTE: Bad debt is excluded from this report. The definition of bad debt in the ACH Cost reports that this report is referencing is an expense in accordance with the definition found in N.J.A.C 31B Hospital Financing Rules.</t>
  </si>
  <si>
    <t>East Orange General Hospital *CareWell Health Medical Center as of 1/1/2022</t>
  </si>
  <si>
    <t>Cooperman Barnabas Medical Center * formerly Saint Barnabas Medical Center</t>
  </si>
  <si>
    <t>CY 2022 Year-End Cash on Hand, Form L1, line 1, column D + Form L1, Line 2, column A</t>
  </si>
  <si>
    <t>Individual 2022 Payor Sources - Gross Patient Revenue. Same formula as above.</t>
  </si>
  <si>
    <t>2022 Total (All Payors)</t>
  </si>
  <si>
    <t xml:space="preserve">2022 Total </t>
  </si>
  <si>
    <t>Individual 2022 Payor Sources / Gross Patient Revenue. Same formula as above.</t>
  </si>
  <si>
    <t>2022 Medicare</t>
  </si>
  <si>
    <t>2022 Medicaid</t>
  </si>
  <si>
    <t>2022 Champus/ Tricare</t>
  </si>
  <si>
    <t>2022 Commercial Insurance</t>
  </si>
  <si>
    <t>2022 Self Pay</t>
  </si>
  <si>
    <t>2022 Others</t>
  </si>
  <si>
    <t>CY 2022 Total Staffing Cost/Salaries</t>
  </si>
  <si>
    <t>CY 2022 Contract Services</t>
  </si>
  <si>
    <t>CY 2022 % Staffing Cost to Total</t>
  </si>
  <si>
    <t>CY 2022 % Contract Services Cost to Total</t>
  </si>
  <si>
    <t>CY 2022 Operating Expenses</t>
  </si>
  <si>
    <t>CY 2022 Operating Income, Form L3, Line 34  - Line 12</t>
  </si>
  <si>
    <t>CY 2022 Operating Margin: Same formula as above.</t>
  </si>
  <si>
    <t xml:space="preserve"> CY 2022 Operating Income</t>
  </si>
  <si>
    <t>CY 2022 Operating Revenue</t>
  </si>
  <si>
    <t>CY 2022 Operating Margin</t>
  </si>
  <si>
    <t>Individual 2022 Payor Sources - Net Patient Revenue. Same formula as above.</t>
  </si>
  <si>
    <t>2022 Income</t>
  </si>
  <si>
    <t>2022 Total Revenue</t>
  </si>
  <si>
    <t xml:space="preserve">2021 Net Profit Margin </t>
  </si>
  <si>
    <t>2022 Total Income. Same formula as above.</t>
  </si>
  <si>
    <t>2022 Total Revenue. Same formula as above.</t>
  </si>
  <si>
    <t>2023 Year-End Total Cash on Hand</t>
  </si>
  <si>
    <t xml:space="preserve">2022 Year-End Total Cash on Hand </t>
  </si>
  <si>
    <t>Inspira Mannington</t>
  </si>
  <si>
    <t>2021 Total</t>
  </si>
  <si>
    <t xml:space="preserve">2023 Medicare </t>
  </si>
  <si>
    <t xml:space="preserve">2023 Medicaid </t>
  </si>
  <si>
    <t xml:space="preserve">2023 Champus/ Tricare </t>
  </si>
  <si>
    <t xml:space="preserve">2023 Commercial Insurance </t>
  </si>
  <si>
    <t>2023 Uninsured</t>
  </si>
  <si>
    <t xml:space="preserve">2023 Others </t>
  </si>
  <si>
    <t>2023 Medicare</t>
  </si>
  <si>
    <t>2023 Medicaid</t>
  </si>
  <si>
    <t>2023 Champus/ Tricare</t>
  </si>
  <si>
    <t>2023 Commercial Insurance</t>
  </si>
  <si>
    <t>2023 Others</t>
  </si>
  <si>
    <t>2023 Total</t>
  </si>
  <si>
    <t>Year-End Cash on Hand, Calender Year (CY) 2021, 2022, &amp; 2023</t>
  </si>
  <si>
    <t>Payor Mix (Total Net Patient Revenue), Expressed in Dollars ($) - Calender Year (CY) 2021, 2022, &amp; 2023</t>
  </si>
  <si>
    <t>Payor Mix (Total Gross Patient Revenue), Expressed in Dollars ($) - Calender Year (CY) 2021, 2022 &amp; 2023</t>
  </si>
  <si>
    <t>Operating Margins, Calender Year (CY) 2021, 2022 &amp; 2023</t>
  </si>
  <si>
    <t>Inspira Medical Center - Mannington</t>
  </si>
  <si>
    <t>2023  Net Profit Margin</t>
  </si>
  <si>
    <t>2023 Total Revenue</t>
  </si>
  <si>
    <t>2023 Income</t>
  </si>
  <si>
    <t>2022  Net Profit Margin</t>
  </si>
  <si>
    <t>Net Profit Margins, Expressed in Dollars ($) - Calender Year (CY) 2021, 2022 &amp; 2023</t>
  </si>
  <si>
    <t>Total Operating Expenses, Calender Year (CY) 2021, 2022 &amp; 2023</t>
  </si>
  <si>
    <t>CY 2023 Total Staffing Cost/Salaries</t>
  </si>
  <si>
    <t>CY 2023 Contract Services</t>
  </si>
  <si>
    <t>CY 2023 % Staffing Cost to Total</t>
  </si>
  <si>
    <t>CY 2023 % Contract Services Cost to Total</t>
  </si>
  <si>
    <t>CY 2023 Operating Expenses</t>
  </si>
  <si>
    <t>NOTE: Significant variances observed in hospitals' metrics for CY2021 for the vast majority of NJ hospitals are primarily due to the industry-wide impacts of the unprecedented COVID-19 pandemic on hospital admissions and overall operations.</t>
  </si>
  <si>
    <t xml:space="preserve"> CY 2023 Operating Income</t>
  </si>
  <si>
    <t>CY 2023 Operating Revenue</t>
  </si>
  <si>
    <t>CY 2023 Operating Margin</t>
  </si>
  <si>
    <t>NOTE: Significant variances observed in hospitals' metrics for CY 2021 for the vast majority of NJ hospitals are primarily due to the industry-wide impacts of the unprecedented COVID-19 pandemic on hospital admissions and overall operations.</t>
  </si>
  <si>
    <t>CY 2023 Operating Income, Form L3, Line 34  - Line 12</t>
  </si>
  <si>
    <t>CY 2023 Operating Revenue, Form L3, Line 15  - (Line 12 + Line 31)</t>
  </si>
  <si>
    <t>CY 2023 Operating Margin: Same formula as above.</t>
  </si>
  <si>
    <t>CY 2021 Operating Income, Form L3, Line 34 - Line 12</t>
  </si>
  <si>
    <t>CY 2021 Operating Revenue, Form L3, Line 15  - (Line 12 + Line 31)</t>
  </si>
  <si>
    <t>CY 2021 Operating Margin: (Form L3, Line 34  - Line 12) / (Form L3, Line 15  - Line 12)</t>
  </si>
  <si>
    <t>CY 2022 Operating Revenue, Form L3, Line 15  - ( Line 12 + Line 31)</t>
  </si>
  <si>
    <t>CY 2023 Year-End Cash on Hand, Form L1, line 1, column D + Form L1, Line 2, column A</t>
  </si>
  <si>
    <t>2022 Uninsured</t>
  </si>
  <si>
    <t>Individual 2021 Payor Sources - Net Patient Revenue: ( Form E6, line 1 - line 20) + (E5, line 1 - line 20)</t>
  </si>
  <si>
    <t>Individual 2023 Payor Sources - Net Patient Revenue. Same formula as above.</t>
  </si>
  <si>
    <t>2023 Total (All Payors)</t>
  </si>
  <si>
    <t>Individual 2023 Payor Sources - Gross Patient Revenue. Same formula as above.</t>
  </si>
  <si>
    <t>Individual 2021 Payor Sources - Gross Patient Revenue:  (Form E6, Line 1) + (E5, Line 1 )</t>
  </si>
  <si>
    <t>Individual 2021 Payor Sources / Gross Patient Revenue: Percentage of dollars for individual payor source divided by total dollars across all payor sources.</t>
  </si>
  <si>
    <t>Individual 2023 Payor Sources / Gross Patient Revenue. Same formula as above.</t>
  </si>
  <si>
    <t>Payor Mix (Total Gross Patient Revenue), Expressed as a Percentage (%) of Total - Calender Year (CY) 2021, 2022 &amp; 2023</t>
  </si>
  <si>
    <t>2023 Self Pay</t>
  </si>
  <si>
    <r>
      <t xml:space="preserve">2021 Total Income:  (Form L3, Line 15 + any positive values on Lines 35-38) Line 31 is then subtracted from the Total Revenue - (Form, L3 Line 33 (plus any negative values on 35-38). </t>
    </r>
    <r>
      <rPr>
        <i/>
        <sz val="11"/>
        <color theme="1"/>
        <rFont val="Arial"/>
        <family val="2"/>
      </rPr>
      <t xml:space="preserve">One note - The expenses on Line 33 are reported as a positive number and the expenses reported on lines 35-38 are reported as a negative number, so you must invert (i.e., negatives become positives) before merging with Line 33 and doing the calculation. </t>
    </r>
  </si>
  <si>
    <t>2021 Total Revenue: (Form L3, Line 15 + any positive values on Lines 35-38). Line 31 is then subtracted from the Total Revenue.</t>
  </si>
  <si>
    <r>
      <t xml:space="preserve">2021 Net Profit Margin: (Form L3, Line 15 + any positive values on Lines 35-38) Line 31 is then subtracted from the Total Revenue - (Form L3, Line 33 + any negative values on Lines 35-38) / (Form L3, Line 15 + any positive values on Line 35-38). Line 31 is then subtracted from the Total Revenue. </t>
    </r>
    <r>
      <rPr>
        <i/>
        <sz val="11"/>
        <color theme="1"/>
        <rFont val="Arial"/>
        <family val="2"/>
      </rPr>
      <t xml:space="preserve">One note - The expenses on Line 33 are reported as a positive number and the expenses reported on lines 35-38 are reported as a negative number, so you must invert (i.e., negatives become positives) before merging with Line 33 and doing the calculation. </t>
    </r>
  </si>
  <si>
    <t>2022 "Net Profit". Same formula as above.</t>
  </si>
  <si>
    <t>2023 Total Income. Same formula as above.</t>
  </si>
  <si>
    <t>2023 Total Revenue. Same formula as above.</t>
  </si>
  <si>
    <t>2023  Net Profit Margin. Same formula as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</si>
</sst>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0.00%;[Red]\ \(0.00%\)"/>
    <numFmt numFmtId="165" formatCode="&quot;$&quot;#,##0.00"/>
    <numFmt numFmtId="166" formatCode="&quot;$&quot;#,##0"/>
  </numFmts>
  <fonts count="19" x14ac:knownFonts="1">
    <font>
      <sz val="11"/>
      <color theme="1"/>
      <name val="Calibri"/>
      <family val="2"/>
      <scheme val="minor"/>
    </font>
    <font>
      <b/>
      <sz val="11"/>
      <color rgb="FF3F3F3F"/>
      <name val="Calibri"/>
      <family val="2"/>
      <scheme val="minor"/>
    </font>
    <font>
      <b/>
      <sz val="10"/>
      <name val="Arial"/>
      <family val="2"/>
    </font>
    <font>
      <b/>
      <sz val="18"/>
      <color theme="1"/>
      <name val="Arial"/>
      <family val="2"/>
    </font>
    <font>
      <sz val="11"/>
      <color theme="1"/>
      <name val="Arial"/>
      <family val="2"/>
    </font>
    <font>
      <sz val="11"/>
      <name val="Arial"/>
      <family val="2"/>
    </font>
    <font>
      <b/>
      <sz val="11"/>
      <color theme="1"/>
      <name val="Arial"/>
      <family val="2"/>
    </font>
    <font>
      <b/>
      <sz val="14"/>
      <color theme="1"/>
      <name val="Arial"/>
      <family val="2"/>
    </font>
    <font>
      <sz val="14"/>
      <color theme="1"/>
      <name val="Arial"/>
      <family val="2"/>
    </font>
    <font>
      <sz val="11"/>
      <color rgb="FF000000"/>
      <name val="Arial"/>
      <family val="2"/>
    </font>
    <font>
      <sz val="10"/>
      <name val="MS Sans Serif"/>
      <family val="2"/>
    </font>
    <font>
      <sz val="8"/>
      <name val="Calibri"/>
      <family val="2"/>
      <scheme val="minor"/>
    </font>
    <font>
      <b/>
      <sz val="11"/>
      <color theme="1"/>
      <name val="Calibri"/>
      <family val="2"/>
      <scheme val="minor"/>
    </font>
    <font>
      <b/>
      <sz val="11"/>
      <name val="Arial"/>
      <family val="2"/>
    </font>
    <font>
      <u/>
      <sz val="11"/>
      <color theme="1"/>
      <name val="Arial"/>
      <family val="2"/>
    </font>
    <font>
      <i/>
      <sz val="11"/>
      <color theme="1"/>
      <name val="Arial"/>
      <family val="2"/>
    </font>
    <font>
      <i/>
      <sz val="11"/>
      <color rgb="FF000000"/>
      <name val="Arial"/>
      <family val="2"/>
    </font>
    <font>
      <b/>
      <i/>
      <sz val="11"/>
      <color theme="1"/>
      <name val="Arial"/>
      <family val="2"/>
    </font>
    <font>
      <sz val="11"/>
      <color theme="1"/>
      <name val="Calibri"/>
      <family val="2"/>
      <scheme val="minor"/>
    </font>
  </fonts>
  <fills count="6">
    <fill>
      <patternFill patternType="none"/>
    </fill>
    <fill>
      <patternFill patternType="gray125"/>
    </fill>
    <fill>
      <patternFill patternType="solid">
        <fgColor rgb="FFF2F2F2"/>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s>
  <borders count="20">
    <border>
      <left/>
      <right/>
      <top/>
      <bottom/>
      <diagonal/>
    </border>
    <border>
      <left style="thin">
        <color rgb="FF3F3F3F"/>
      </left>
      <right style="thin">
        <color rgb="FF3F3F3F"/>
      </right>
      <top style="thin">
        <color rgb="FF3F3F3F"/>
      </top>
      <bottom style="thin">
        <color rgb="FF3F3F3F"/>
      </bottom>
      <diagonal/>
    </border>
    <border>
      <left style="thin">
        <color rgb="FF3F3F3F"/>
      </left>
      <right style="thin">
        <color rgb="FF3F3F3F"/>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4">
    <xf numFmtId="0" fontId="0" fillId="0" borderId="0"/>
    <xf numFmtId="0" fontId="1" fillId="2" borderId="1" applyNumberFormat="0" applyAlignment="0" applyProtection="0"/>
    <xf numFmtId="0" fontId="10" fillId="0" borderId="0"/>
    <xf numFmtId="9" fontId="18" fillId="0" borderId="0" applyFont="0" applyFill="0" applyBorder="0" applyAlignment="0" applyProtection="0"/>
  </cellStyleXfs>
  <cellXfs count="120">
    <xf numFmtId="0" fontId="0" fillId="0" borderId="0" xfId="0"/>
    <xf numFmtId="0" fontId="2" fillId="3" borderId="2" xfId="0" applyFont="1" applyFill="1" applyBorder="1" applyAlignment="1">
      <alignment horizontal="center" vertical="center" wrapText="1"/>
    </xf>
    <xf numFmtId="0" fontId="4" fillId="0" borderId="0" xfId="0" applyFont="1"/>
    <xf numFmtId="0" fontId="4" fillId="0" borderId="0" xfId="0" applyFont="1" applyAlignment="1">
      <alignment wrapText="1"/>
    </xf>
    <xf numFmtId="0" fontId="4" fillId="0" borderId="0" xfId="0" applyNumberFormat="1" applyFont="1"/>
    <xf numFmtId="6" fontId="4" fillId="0" borderId="0" xfId="0" applyNumberFormat="1" applyFont="1"/>
    <xf numFmtId="0" fontId="5" fillId="0" borderId="0" xfId="0" applyFont="1"/>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4" fillId="0" borderId="15" xfId="0" applyNumberFormat="1" applyFont="1" applyBorder="1" applyAlignment="1">
      <alignment horizontal="left"/>
    </xf>
    <xf numFmtId="0" fontId="4" fillId="0" borderId="3" xfId="0" applyFont="1" applyBorder="1"/>
    <xf numFmtId="6" fontId="4" fillId="0" borderId="3" xfId="0" applyNumberFormat="1" applyFont="1" applyBorder="1" applyAlignment="1">
      <alignment horizontal="right"/>
    </xf>
    <xf numFmtId="6" fontId="4" fillId="0" borderId="16" xfId="0" applyNumberFormat="1" applyFont="1" applyBorder="1" applyAlignment="1">
      <alignment horizontal="right"/>
    </xf>
    <xf numFmtId="0" fontId="5" fillId="0" borderId="15" xfId="0" applyNumberFormat="1" applyFont="1" applyBorder="1" applyAlignment="1">
      <alignment horizontal="left"/>
    </xf>
    <xf numFmtId="0" fontId="5" fillId="0" borderId="3" xfId="0" applyFont="1" applyBorder="1"/>
    <xf numFmtId="6" fontId="5" fillId="0" borderId="3" xfId="0" applyNumberFormat="1" applyFont="1" applyBorder="1" applyAlignment="1">
      <alignment horizontal="right"/>
    </xf>
    <xf numFmtId="6" fontId="5" fillId="0" borderId="16" xfId="0" applyNumberFormat="1" applyFont="1" applyBorder="1" applyAlignment="1">
      <alignment horizontal="right"/>
    </xf>
    <xf numFmtId="0" fontId="4" fillId="0" borderId="17" xfId="0" applyNumberFormat="1" applyFont="1" applyBorder="1" applyAlignment="1">
      <alignment horizontal="left"/>
    </xf>
    <xf numFmtId="0" fontId="4" fillId="0" borderId="18" xfId="0" applyFont="1" applyBorder="1"/>
    <xf numFmtId="6" fontId="4" fillId="0" borderId="18" xfId="0" applyNumberFormat="1" applyFont="1" applyBorder="1" applyAlignment="1">
      <alignment horizontal="right"/>
    </xf>
    <xf numFmtId="6" fontId="4" fillId="0" borderId="19" xfId="0" applyNumberFormat="1" applyFont="1" applyBorder="1" applyAlignment="1">
      <alignment horizontal="right"/>
    </xf>
    <xf numFmtId="0" fontId="4" fillId="0" borderId="0" xfId="0" applyFont="1" applyAlignment="1">
      <alignment horizontal="center" vertical="center" wrapText="1"/>
    </xf>
    <xf numFmtId="3" fontId="4" fillId="0" borderId="0" xfId="0" applyNumberFormat="1" applyFont="1"/>
    <xf numFmtId="0" fontId="6" fillId="0" borderId="4" xfId="0" applyNumberFormat="1" applyFont="1" applyBorder="1"/>
    <xf numFmtId="6" fontId="6" fillId="0" borderId="9" xfId="0" applyNumberFormat="1" applyFont="1" applyBorder="1"/>
    <xf numFmtId="6" fontId="6" fillId="0" borderId="10" xfId="0" applyNumberFormat="1" applyFont="1" applyBorder="1"/>
    <xf numFmtId="6" fontId="6" fillId="0" borderId="11" xfId="0" applyNumberFormat="1" applyFont="1" applyBorder="1"/>
    <xf numFmtId="0" fontId="6" fillId="0" borderId="3" xfId="0" applyFont="1" applyBorder="1" applyAlignment="1">
      <alignment horizontal="center" vertical="center"/>
    </xf>
    <xf numFmtId="0" fontId="6" fillId="0" borderId="8" xfId="0" applyFont="1" applyFill="1" applyBorder="1" applyAlignment="1">
      <alignment horizontal="center" vertical="center"/>
    </xf>
    <xf numFmtId="6" fontId="6" fillId="0" borderId="5" xfId="0" applyNumberFormat="1" applyFont="1" applyBorder="1"/>
    <xf numFmtId="6" fontId="6" fillId="0" borderId="4" xfId="0" applyNumberFormat="1" applyFont="1" applyBorder="1"/>
    <xf numFmtId="0" fontId="8" fillId="0" borderId="0" xfId="0" applyFont="1" applyAlignment="1"/>
    <xf numFmtId="0" fontId="2" fillId="4" borderId="2" xfId="1" applyFont="1" applyFill="1" applyBorder="1" applyAlignment="1">
      <alignment horizontal="center" vertical="center" wrapText="1"/>
    </xf>
    <xf numFmtId="0" fontId="4" fillId="0" borderId="3" xfId="0" applyNumberFormat="1" applyFont="1" applyBorder="1" applyAlignment="1">
      <alignment horizontal="left"/>
    </xf>
    <xf numFmtId="6" fontId="4" fillId="0" borderId="3" xfId="0" applyNumberFormat="1" applyFont="1" applyBorder="1"/>
    <xf numFmtId="164" fontId="4" fillId="0" borderId="3" xfId="0" applyNumberFormat="1" applyFont="1" applyBorder="1"/>
    <xf numFmtId="0" fontId="5" fillId="0" borderId="3" xfId="0" applyNumberFormat="1" applyFont="1" applyBorder="1" applyAlignment="1">
      <alignment horizontal="left"/>
    </xf>
    <xf numFmtId="164" fontId="5" fillId="0" borderId="3" xfId="0" applyNumberFormat="1" applyFont="1" applyBorder="1"/>
    <xf numFmtId="6" fontId="4" fillId="0" borderId="16" xfId="0" applyNumberFormat="1" applyFont="1" applyBorder="1"/>
    <xf numFmtId="6" fontId="4" fillId="0" borderId="18" xfId="0" applyNumberFormat="1" applyFont="1" applyBorder="1"/>
    <xf numFmtId="6" fontId="4" fillId="0" borderId="19" xfId="0" applyNumberFormat="1" applyFont="1" applyBorder="1"/>
    <xf numFmtId="6" fontId="6" fillId="0" borderId="0" xfId="0" applyNumberFormat="1" applyFont="1"/>
    <xf numFmtId="0" fontId="6" fillId="0" borderId="9" xfId="0" applyFont="1" applyBorder="1"/>
    <xf numFmtId="0" fontId="6" fillId="0" borderId="3" xfId="0" applyFont="1" applyFill="1" applyBorder="1" applyAlignment="1">
      <alignment horizontal="center" vertical="center"/>
    </xf>
    <xf numFmtId="10" fontId="4" fillId="0" borderId="0" xfId="0" applyNumberFormat="1" applyFont="1"/>
    <xf numFmtId="10" fontId="4" fillId="0" borderId="3" xfId="0" applyNumberFormat="1" applyFont="1" applyBorder="1"/>
    <xf numFmtId="10" fontId="4" fillId="0" borderId="18" xfId="0" applyNumberFormat="1" applyFont="1" applyBorder="1"/>
    <xf numFmtId="6" fontId="6" fillId="0" borderId="0" xfId="0" applyNumberFormat="1" applyFont="1" applyFill="1" applyBorder="1"/>
    <xf numFmtId="0" fontId="4" fillId="0" borderId="0" xfId="0" applyFont="1" applyFill="1"/>
    <xf numFmtId="0" fontId="4" fillId="0" borderId="3" xfId="0" applyNumberFormat="1" applyFont="1" applyBorder="1" applyAlignment="1">
      <alignment horizontal="left" vertical="top"/>
    </xf>
    <xf numFmtId="0" fontId="5" fillId="0" borderId="3" xfId="0" applyNumberFormat="1" applyFont="1" applyBorder="1" applyAlignment="1">
      <alignment horizontal="left" vertical="top"/>
    </xf>
    <xf numFmtId="6" fontId="5" fillId="0" borderId="3" xfId="0" applyNumberFormat="1" applyFont="1" applyBorder="1"/>
    <xf numFmtId="0" fontId="6" fillId="0" borderId="0" xfId="0" applyFont="1"/>
    <xf numFmtId="0" fontId="9" fillId="0" borderId="0" xfId="0" applyFont="1" applyAlignment="1">
      <alignment horizontal="left" vertical="top"/>
    </xf>
    <xf numFmtId="0" fontId="0" fillId="0" borderId="0" xfId="0" applyAlignment="1">
      <alignment wrapText="1"/>
    </xf>
    <xf numFmtId="0" fontId="12" fillId="0" borderId="0" xfId="0" applyFont="1" applyAlignment="1">
      <alignment horizontal="center" vertical="center" wrapText="1"/>
    </xf>
    <xf numFmtId="0" fontId="6" fillId="0" borderId="0" xfId="0" applyFont="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5"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7" xfId="0" applyFont="1" applyBorder="1" applyAlignment="1">
      <alignment horizontal="center" vertical="center" wrapText="1"/>
    </xf>
    <xf numFmtId="0" fontId="4" fillId="0" borderId="3" xfId="0" applyFont="1" applyBorder="1" applyAlignment="1">
      <alignment vertical="top" wrapText="1"/>
    </xf>
    <xf numFmtId="0" fontId="5" fillId="0" borderId="3" xfId="0" applyFont="1" applyBorder="1" applyAlignment="1">
      <alignment vertical="top" wrapText="1"/>
    </xf>
    <xf numFmtId="0" fontId="5" fillId="0" borderId="18" xfId="0" applyFont="1" applyBorder="1" applyAlignment="1">
      <alignment vertical="top" wrapText="1"/>
    </xf>
    <xf numFmtId="0" fontId="9" fillId="0" borderId="0" xfId="0" applyFont="1" applyAlignment="1">
      <alignment horizontal="left" vertical="top" wrapText="1"/>
    </xf>
    <xf numFmtId="0" fontId="15" fillId="0" borderId="0" xfId="0" applyFont="1"/>
    <xf numFmtId="0" fontId="16" fillId="0" borderId="0" xfId="0" applyFont="1"/>
    <xf numFmtId="0" fontId="17" fillId="0" borderId="0" xfId="0" applyFont="1"/>
    <xf numFmtId="0" fontId="16" fillId="0" borderId="0" xfId="0" applyFont="1" applyAlignment="1">
      <alignment horizontal="left" vertical="top" wrapText="1"/>
    </xf>
    <xf numFmtId="0" fontId="4" fillId="0" borderId="0" xfId="0" applyFont="1" applyBorder="1" applyAlignment="1">
      <alignment horizont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wrapText="1"/>
    </xf>
    <xf numFmtId="0" fontId="4" fillId="0" borderId="0" xfId="0" applyFont="1" applyFill="1" applyBorder="1" applyAlignment="1">
      <alignment horizontal="center"/>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165" fontId="6" fillId="0" borderId="4" xfId="0" applyNumberFormat="1" applyFont="1" applyBorder="1" applyAlignment="1">
      <alignment horizontal="center"/>
    </xf>
    <xf numFmtId="0" fontId="6" fillId="0" borderId="0" xfId="0" applyNumberFormat="1" applyFont="1" applyBorder="1"/>
    <xf numFmtId="0" fontId="6" fillId="0" borderId="4" xfId="0" applyFont="1" applyBorder="1"/>
    <xf numFmtId="0" fontId="10" fillId="0" borderId="0" xfId="2"/>
    <xf numFmtId="166" fontId="4" fillId="0" borderId="3" xfId="0" applyNumberFormat="1" applyFont="1" applyBorder="1"/>
    <xf numFmtId="6" fontId="6" fillId="0" borderId="0" xfId="0" applyNumberFormat="1" applyFont="1" applyBorder="1"/>
    <xf numFmtId="6" fontId="0" fillId="0" borderId="0" xfId="0" applyNumberFormat="1"/>
    <xf numFmtId="0" fontId="16" fillId="0" borderId="0" xfId="0" applyFont="1" applyAlignment="1">
      <alignment horizontal="left" vertical="top" wrapText="1"/>
    </xf>
    <xf numFmtId="0" fontId="16" fillId="0" borderId="0" xfId="0" applyFont="1" applyAlignment="1">
      <alignment vertical="top"/>
    </xf>
    <xf numFmtId="0" fontId="16" fillId="0" borderId="0" xfId="0" applyFont="1" applyAlignment="1">
      <alignment horizontal="left" vertical="top" wrapText="1"/>
    </xf>
    <xf numFmtId="0" fontId="16" fillId="0" borderId="0" xfId="0" applyFont="1" applyAlignment="1">
      <alignment horizontal="left" vertical="top"/>
    </xf>
    <xf numFmtId="0" fontId="16" fillId="0" borderId="0" xfId="0" applyFont="1" applyAlignment="1">
      <alignment horizontal="left" vertical="top" wrapText="1"/>
    </xf>
    <xf numFmtId="10" fontId="0" fillId="0" borderId="0" xfId="3" applyNumberFormat="1" applyFont="1"/>
    <xf numFmtId="10" fontId="2" fillId="3" borderId="2" xfId="0" applyNumberFormat="1" applyFont="1" applyFill="1" applyBorder="1" applyAlignment="1">
      <alignment horizontal="center" vertical="center" wrapText="1"/>
    </xf>
    <xf numFmtId="10" fontId="6" fillId="0" borderId="0" xfId="0" applyNumberFormat="1" applyFont="1" applyBorder="1"/>
    <xf numFmtId="10" fontId="15" fillId="0" borderId="0" xfId="0" applyNumberFormat="1" applyFont="1"/>
    <xf numFmtId="10" fontId="16" fillId="0" borderId="0" xfId="0" applyNumberFormat="1" applyFont="1" applyAlignment="1">
      <alignment horizontal="left" vertical="top" wrapText="1"/>
    </xf>
    <xf numFmtId="10" fontId="10" fillId="0" borderId="0" xfId="2" applyNumberFormat="1"/>
    <xf numFmtId="10" fontId="4" fillId="0" borderId="0" xfId="0" applyNumberFormat="1" applyFont="1" applyBorder="1" applyAlignment="1">
      <alignment horizontal="center"/>
    </xf>
    <xf numFmtId="10" fontId="4" fillId="0" borderId="0" xfId="0" applyNumberFormat="1" applyFont="1" applyFill="1" applyBorder="1" applyAlignment="1">
      <alignment horizontal="center" vertical="center" wrapText="1"/>
    </xf>
    <xf numFmtId="10" fontId="4" fillId="0" borderId="0" xfId="0" applyNumberFormat="1" applyFont="1" applyFill="1" applyBorder="1" applyAlignment="1">
      <alignment horizontal="center" wrapText="1"/>
    </xf>
    <xf numFmtId="0" fontId="4" fillId="0" borderId="3" xfId="0" applyFont="1" applyFill="1" applyBorder="1" applyAlignment="1">
      <alignment horizontal="center" vertical="center" wrapText="1"/>
    </xf>
    <xf numFmtId="0" fontId="3" fillId="5" borderId="5" xfId="0" applyFont="1" applyFill="1" applyBorder="1" applyAlignment="1">
      <alignment horizontal="left"/>
    </xf>
    <xf numFmtId="0" fontId="3" fillId="5" borderId="6" xfId="0" applyFont="1" applyFill="1" applyBorder="1" applyAlignment="1">
      <alignment horizontal="left"/>
    </xf>
    <xf numFmtId="0" fontId="16" fillId="0" borderId="0" xfId="0" applyFont="1" applyAlignment="1">
      <alignment horizontal="left" vertical="top" wrapText="1"/>
    </xf>
    <xf numFmtId="0" fontId="7" fillId="5" borderId="3" xfId="0" applyFont="1" applyFill="1" applyBorder="1" applyAlignment="1">
      <alignment horizontal="center"/>
    </xf>
    <xf numFmtId="0" fontId="4" fillId="0" borderId="3" xfId="0" applyFont="1" applyBorder="1" applyAlignment="1">
      <alignment horizontal="center"/>
    </xf>
    <xf numFmtId="0" fontId="4" fillId="0" borderId="3" xfId="0" applyFont="1" applyFill="1" applyBorder="1" applyAlignment="1">
      <alignment horizontal="center" wrapText="1"/>
    </xf>
    <xf numFmtId="0" fontId="4" fillId="0" borderId="16" xfId="0" applyFont="1" applyBorder="1" applyAlignment="1">
      <alignment horizontal="center"/>
    </xf>
    <xf numFmtId="0" fontId="4" fillId="0" borderId="15" xfId="0" applyFont="1" applyBorder="1" applyAlignment="1">
      <alignment horizontal="center"/>
    </xf>
    <xf numFmtId="0" fontId="4" fillId="0" borderId="1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3" fillId="5" borderId="7" xfId="0" applyFont="1" applyFill="1" applyBorder="1" applyAlignment="1">
      <alignment horizontal="left"/>
    </xf>
    <xf numFmtId="0" fontId="4" fillId="0" borderId="3" xfId="0" applyFont="1" applyFill="1" applyBorder="1" applyAlignment="1">
      <alignment horizontal="center"/>
    </xf>
    <xf numFmtId="0" fontId="15" fillId="0" borderId="0" xfId="0" applyFont="1" applyAlignment="1">
      <alignment horizontal="left" vertical="top" wrapText="1"/>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3" fillId="4" borderId="5" xfId="0" applyFont="1" applyFill="1" applyBorder="1" applyAlignment="1">
      <alignment horizontal="left"/>
    </xf>
    <xf numFmtId="0" fontId="3" fillId="4" borderId="7" xfId="0" applyFont="1" applyFill="1" applyBorder="1" applyAlignment="1">
      <alignment horizontal="left"/>
    </xf>
    <xf numFmtId="0" fontId="4" fillId="0" borderId="3" xfId="0" applyNumberFormat="1" applyFont="1" applyFill="1" applyBorder="1" applyAlignment="1">
      <alignment horizontal="left" vertical="top"/>
    </xf>
    <xf numFmtId="0" fontId="4" fillId="0" borderId="3" xfId="0" applyFont="1" applyFill="1" applyBorder="1"/>
    <xf numFmtId="6" fontId="4" fillId="0" borderId="3" xfId="0" applyNumberFormat="1" applyFont="1" applyFill="1" applyBorder="1"/>
    <xf numFmtId="164" fontId="4" fillId="0" borderId="3" xfId="0" applyNumberFormat="1" applyFont="1" applyFill="1" applyBorder="1"/>
  </cellXfs>
  <cellStyles count="4">
    <cellStyle name="Normal" xfId="0" builtinId="0"/>
    <cellStyle name="Normal 2" xfId="2" xr:uid="{EC525747-7A62-42AD-BAB2-11A508712395}"/>
    <cellStyle name="Output" xfId="1" builtinId="21"/>
    <cellStyle name="Percent" xfId="3" builtinId="5"/>
  </cellStyles>
  <dxfs count="177">
    <dxf>
      <font>
        <b val="0"/>
        <i val="0"/>
        <strike val="0"/>
        <condense val="0"/>
        <extend val="0"/>
        <outline val="0"/>
        <shadow val="0"/>
        <u val="none"/>
        <vertAlign val="baseline"/>
        <sz val="11"/>
        <color theme="1"/>
        <name val="Arial"/>
        <family val="2"/>
        <scheme val="none"/>
      </font>
      <numFmt numFmtId="164" formatCode="0.00%;[Red]\ \(0.0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name val="Arial"/>
        <family val="2"/>
        <scheme val="none"/>
      </font>
    </dxf>
    <dxf>
      <border>
        <bottom style="thin">
          <color indexed="64"/>
        </bottom>
      </border>
    </dxf>
    <dxf>
      <font>
        <strike val="0"/>
        <outline val="0"/>
        <shadow val="0"/>
        <vertAlign val="baseline"/>
        <name val="Arial"/>
        <family val="2"/>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164" formatCode="0.00%;[Red]\ \(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64" formatCode="0.00%;[Red]\ \(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64" formatCode="0.00%;[Red]\ \(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0" formatCode="Genera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rgb="FF3F3F3F"/>
        </top>
      </border>
    </dxf>
    <dxf>
      <font>
        <strike val="0"/>
        <outline val="0"/>
        <shadow val="0"/>
        <u val="none"/>
        <vertAlign val="baseline"/>
        <name val="Arial"/>
        <family val="2"/>
        <scheme val="none"/>
      </font>
    </dxf>
    <dxf>
      <border outline="0">
        <bottom style="thin">
          <color rgb="FF3F3F3F"/>
        </bottom>
      </border>
    </dxf>
    <dxf>
      <font>
        <b/>
        <i val="0"/>
        <strike val="0"/>
        <condense val="0"/>
        <extend val="0"/>
        <outline val="0"/>
        <shadow val="0"/>
        <u val="none"/>
        <vertAlign val="baseline"/>
        <sz val="10"/>
        <color auto="1"/>
        <name val="Arial"/>
        <family val="2"/>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rgb="FF3F3F3F"/>
        </left>
        <right style="thin">
          <color rgb="FF3F3F3F"/>
        </right>
        <top/>
        <bottom/>
      </border>
    </dxf>
    <dxf>
      <font>
        <strike val="0"/>
        <outline val="0"/>
        <shadow val="0"/>
        <u val="none"/>
        <vertAlign val="baseline"/>
        <name val="Arial"/>
        <family val="2"/>
        <scheme val="none"/>
      </font>
      <numFmt numFmtId="14" formatCode="0.0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numFmt numFmtId="14" formatCode="0.0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numFmt numFmtId="14" formatCode="0.0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numFmt numFmtId="14" formatCode="0.0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numFmt numFmtId="14" formatCode="0.0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numFmt numFmtId="14" formatCode="0.0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numFmt numFmtId="14" formatCode="0.0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4" formatCode="0.0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4" formatCode="0.0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4" formatCode="0.0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4" formatCode="0.0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4" formatCode="0.0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4" formatCode="0.0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4" formatCode="0.0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4" formatCode="0.0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4" formatCode="0.0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4" formatCode="0.0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4" formatCode="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numFmt numFmtId="0" formatCode="Genera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name val="Arial"/>
        <family val="2"/>
        <scheme val="none"/>
      </font>
    </dxf>
    <dxf>
      <border>
        <bottom style="thin">
          <color rgb="FF000000"/>
        </bottom>
      </border>
    </dxf>
    <dxf>
      <font>
        <b/>
        <i val="0"/>
        <strike val="0"/>
        <condense val="0"/>
        <extend val="0"/>
        <outline val="0"/>
        <shadow val="0"/>
        <u val="none"/>
        <vertAlign val="baseline"/>
        <sz val="10"/>
        <color auto="1"/>
        <name val="Arial"/>
        <family val="2"/>
        <scheme val="none"/>
      </font>
      <fill>
        <patternFill patternType="solid">
          <fgColor indexed="64"/>
          <bgColor indexed="2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numFmt numFmtId="0" formatCode="Genera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dxf>
    <dxf>
      <border>
        <bottom style="thin">
          <color indexed="64"/>
        </bottom>
      </border>
    </dxf>
    <dxf>
      <font>
        <b/>
        <i val="0"/>
        <strike val="0"/>
        <condense val="0"/>
        <extend val="0"/>
        <outline val="0"/>
        <shadow val="0"/>
        <u val="none"/>
        <vertAlign val="baseline"/>
        <sz val="10"/>
        <color auto="1"/>
        <name val="Arial"/>
        <family val="2"/>
        <scheme val="none"/>
      </font>
      <fill>
        <patternFill patternType="solid">
          <fgColor indexed="64"/>
          <bgColor indexed="2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family val="2"/>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numFmt numFmtId="0" formatCode="Genera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dxf>
    <dxf>
      <border>
        <bottom style="thin">
          <color indexed="64"/>
        </bottom>
      </border>
    </dxf>
    <dxf>
      <font>
        <b/>
        <i val="0"/>
        <strike val="0"/>
        <condense val="0"/>
        <extend val="0"/>
        <outline val="0"/>
        <shadow val="0"/>
        <u val="none"/>
        <vertAlign val="baseline"/>
        <sz val="10"/>
        <color auto="1"/>
        <name val="Arial"/>
        <family val="2"/>
        <scheme val="none"/>
      </font>
      <fill>
        <patternFill patternType="solid">
          <fgColor indexed="64"/>
          <bgColor indexed="2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10" formatCode="&quot;$&quot;#,##0_);[Red]\(&quot;$&quot;#,##0\)"/>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0" formatCode="&quot;$&quot;#,##0_);[Red]\(&quot;$&quot;#,##0\)"/>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numFmt numFmtId="10" formatCode="&quot;$&quot;#,##0_);[Red]\(&quot;$&quot;#,##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0" formatCode="Genera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0"/>
        <color auto="1"/>
        <name val="Arial"/>
        <family val="2"/>
        <scheme val="none"/>
      </font>
      <fill>
        <patternFill patternType="solid">
          <fgColor indexed="64"/>
          <bgColor indexed="2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numFmt numFmtId="164" formatCode="0.00%;[Red]\ \(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numFmt numFmtId="164" formatCode="0.00%;[Red]\ \(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rgb="FF3F3F3F"/>
        </top>
      </border>
    </dxf>
    <dxf>
      <font>
        <b val="0"/>
        <i val="0"/>
        <strike val="0"/>
        <condense val="0"/>
        <extend val="0"/>
        <outline val="0"/>
        <shadow val="0"/>
        <u val="none"/>
        <vertAlign val="baseline"/>
        <sz val="11"/>
        <color theme="1"/>
        <name val="Arial"/>
        <family val="2"/>
        <scheme val="none"/>
      </font>
    </dxf>
    <dxf>
      <border outline="0">
        <bottom style="thin">
          <color rgb="FF3F3F3F"/>
        </bottom>
      </border>
    </dxf>
    <dxf>
      <font>
        <b/>
        <i val="0"/>
        <strike val="0"/>
        <condense val="0"/>
        <extend val="0"/>
        <outline val="0"/>
        <shadow val="0"/>
        <u val="none"/>
        <vertAlign val="baseline"/>
        <sz val="10"/>
        <color auto="1"/>
        <name val="Arial"/>
        <family val="2"/>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rgb="FF3F3F3F"/>
        </left>
        <right style="thin">
          <color rgb="FF3F3F3F"/>
        </right>
        <top/>
        <bottom/>
      </border>
    </dxf>
    <dxf>
      <font>
        <b val="0"/>
        <i val="0"/>
        <strike val="0"/>
        <condense val="0"/>
        <extend val="0"/>
        <outline val="0"/>
        <shadow val="0"/>
        <u val="none"/>
        <vertAlign val="baseline"/>
        <sz val="11"/>
        <color theme="1"/>
        <name val="Arial"/>
        <family val="2"/>
        <scheme val="none"/>
      </font>
      <numFmt numFmtId="166" formatCode="&quot;$&quot;#,##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numFmt numFmtId="14" formatCode="0.0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4" formatCode="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numFmt numFmtId="166" formatCode="&quot;$&quot;#,##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numFmt numFmtId="166" formatCode="&quot;$&quot;#,##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numFmt numFmtId="166" formatCode="&quot;$&quot;#,##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4" formatCode="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numFmt numFmtId="14" formatCode="0.0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166" formatCode="&quot;$&quot;#,##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4" formatCode="0.0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4" formatCode="0.0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0" formatCode="&quot;$&quot;#,##0_);[Red]\(&quot;$&quot;#,##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0"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rgb="FF3F3F3F"/>
        </top>
      </border>
    </dxf>
    <dxf>
      <font>
        <b val="0"/>
        <i val="0"/>
        <strike val="0"/>
        <condense val="0"/>
        <extend val="0"/>
        <outline val="0"/>
        <shadow val="0"/>
        <u val="none"/>
        <vertAlign val="baseline"/>
        <sz val="11"/>
        <color theme="1"/>
        <name val="Arial"/>
        <family val="2"/>
        <scheme val="none"/>
      </font>
    </dxf>
    <dxf>
      <border outline="0">
        <bottom style="thin">
          <color rgb="FF3F3F3F"/>
        </bottom>
      </border>
    </dxf>
    <dxf>
      <font>
        <b/>
        <i val="0"/>
        <strike val="0"/>
        <condense val="0"/>
        <extend val="0"/>
        <outline val="0"/>
        <shadow val="0"/>
        <u val="none"/>
        <vertAlign val="baseline"/>
        <sz val="10"/>
        <color auto="1"/>
        <name val="Arial"/>
        <family val="2"/>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rgb="FF3F3F3F"/>
        </left>
        <right style="thin">
          <color rgb="FF3F3F3F"/>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80A624B-EB9B-4DED-9FE7-BD9732A80251}" name="Table49" displayName="Table49" ref="A3:U76" totalsRowShown="0" headerRowDxfId="176" dataDxfId="174" headerRowBorderDxfId="175" tableBorderDxfId="173" headerRowCellStyle="Output">
  <autoFilter ref="A3:U76" xr:uid="{A80A624B-EB9B-4DED-9FE7-BD9732A80251}"/>
  <sortState xmlns:xlrd2="http://schemas.microsoft.com/office/spreadsheetml/2017/richdata2" ref="A4:U76">
    <sortCondition ref="A3:A76"/>
  </sortState>
  <tableColumns count="21">
    <tableColumn id="1" xr3:uid="{DC8A7A3A-1C4F-428B-9F8A-A718FB96B832}" name="Hospital Code" dataDxfId="172"/>
    <tableColumn id="2" xr3:uid="{BC5F8CBC-9759-4C1C-9D6B-56F193754962}" name="Hospital Name" dataDxfId="171"/>
    <tableColumn id="3" xr3:uid="{758FD94D-8C7C-4525-895C-E563BDEA1C20}" name="Health System (if any) or Single Site" dataDxfId="170"/>
    <tableColumn id="13" xr3:uid="{8ADABB4D-7CAE-4278-82C0-B118555012C2}" name="County" dataDxfId="169"/>
    <tableColumn id="14" xr3:uid="{38BC16D8-51D4-418A-9678-6B29E5C538ED}" name="Hospital Region" dataDxfId="168"/>
    <tableColumn id="15" xr3:uid="{FD75F3A7-E4E5-4F7F-A973-C84FC74626AD}" name="Rural/Urban" dataDxfId="167"/>
    <tableColumn id="12" xr3:uid="{720B1BA3-6274-4220-BB90-0C43CB8F80D7}" name="CY 2021 Total Staffing Cost/Salaries" dataDxfId="166"/>
    <tableColumn id="16" xr3:uid="{91EFB4BA-F13D-484F-A57A-11D36C685533}" name="CY 2021 Contract Services" dataDxfId="165"/>
    <tableColumn id="21" xr3:uid="{5EFD0D78-3DAE-486B-831C-B6BB44003A83}" name="CY 2021 % Staffing Cost to Total" dataDxfId="164"/>
    <tableColumn id="6" xr3:uid="{40870F39-0696-4EF7-BDEC-68ACE83C82D3}" name="CY 2021 % Contract Services Cost to Total" dataDxfId="163"/>
    <tableColumn id="4" xr3:uid="{0F1F1B2D-41EA-489C-ADE6-24E23026CC58}" name="CY 2021 Operating Expenses" dataDxfId="162"/>
    <tableColumn id="17" xr3:uid="{0D253103-3F80-4EBB-9D73-83F16BE40986}" name="CY 2022 Total Staffing Cost/Salaries" dataDxfId="161"/>
    <tableColumn id="18" xr3:uid="{A3DE2B5C-9F32-49CB-9611-3661F823677D}" name="CY 2022 Contract Services" dataDxfId="160"/>
    <tableColumn id="22" xr3:uid="{F212C0BB-A38E-4334-94B5-0825A616041F}" name="CY 2022 % Staffing Cost to Total" dataDxfId="159"/>
    <tableColumn id="8" xr3:uid="{73E13F28-6E4C-49F1-89E4-C70BF23421FE}" name="CY 2022 % Contract Services Cost to Total" dataDxfId="158"/>
    <tableColumn id="5" xr3:uid="{0BECB4B5-6FD7-4F21-A75A-546EB15CC36A}" name="CY 2022 Operating Expenses" dataDxfId="157"/>
    <tableColumn id="19" xr3:uid="{5CDCC5C2-9E05-41B4-BEDE-4C8D5EAEB69E}" name="CY 2023 Total Staffing Cost/Salaries" dataDxfId="156"/>
    <tableColumn id="20" xr3:uid="{DC3D3169-AEF2-4064-A00E-EEEA84A11B60}" name="CY 2023 Contract Services" dataDxfId="155"/>
    <tableColumn id="23" xr3:uid="{539994BE-C446-4001-820D-164155A061C6}" name="CY 2023 % Staffing Cost to Total" dataDxfId="154">
      <calculatedColumnFormula>Table49[[#This Row],[CY 2023 Total Staffing Cost/Salaries]]/Table49[[#This Row],[CY 2023 Operating Expenses]]</calculatedColumnFormula>
    </tableColumn>
    <tableColumn id="9" xr3:uid="{0F3327D6-3AE5-41EB-8130-938425F40CBC}" name="CY 2023 % Contract Services Cost to Total" dataDxfId="153">
      <calculatedColumnFormula>Table49[[#This Row],[CY 2023 Contract Services]]/Table49[[#This Row],[CY 2023 Operating Expenses]]</calculatedColumnFormula>
    </tableColumn>
    <tableColumn id="7" xr3:uid="{2AE82541-FDF5-4644-9BC6-2CD30F11F780}" name="CY 2023 Operating Expenses" dataDxfId="152"/>
  </tableColumns>
  <tableStyleInfo name="TableStyleMedium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A0D0C5D-21D2-4470-A937-64C07B52A665}" name="Table4" displayName="Table4" ref="A3:O76" totalsRowShown="0" headerRowDxfId="151" dataDxfId="149" headerRowBorderDxfId="150" tableBorderDxfId="148" headerRowCellStyle="Output">
  <autoFilter ref="A3:O76" xr:uid="{3A0D0C5D-21D2-4470-A937-64C07B52A665}"/>
  <sortState xmlns:xlrd2="http://schemas.microsoft.com/office/spreadsheetml/2017/richdata2" ref="A4:O76">
    <sortCondition ref="A3:A76"/>
  </sortState>
  <tableColumns count="15">
    <tableColumn id="1" xr3:uid="{D9FC34CE-1F72-4EEE-932C-BB422739FB9D}" name="Hospital Code" dataDxfId="147"/>
    <tableColumn id="2" xr3:uid="{C42E8BB6-395A-4DDE-92CE-7E2894DB5337}" name="Hospital Name" dataDxfId="146"/>
    <tableColumn id="3" xr3:uid="{BCE08314-FCB6-4EF0-9089-664BE975ADF0}" name="Health System (if any) or Single Site" dataDxfId="145"/>
    <tableColumn id="13" xr3:uid="{626AC905-1704-4A15-843B-D1AF05CCB54E}" name="County" dataDxfId="144"/>
    <tableColumn id="14" xr3:uid="{D3ECE90C-4A96-4F55-9012-1C5D309A9EED}" name="Hospital Region" dataDxfId="143"/>
    <tableColumn id="15" xr3:uid="{96EE6BFA-F383-4EC7-9C54-8B8E56B94CEE}" name="Rural/Urban" dataDxfId="142"/>
    <tableColumn id="4" xr3:uid="{4ECACB8C-024B-4D98-9A10-0BDCF1A5676F}" name=" CY 2021 Operating Income" dataDxfId="141"/>
    <tableColumn id="5" xr3:uid="{5A8E21E8-CC68-4313-98A3-E368010A8B44}" name="CY 2021 Operating Revenue " dataDxfId="140"/>
    <tableColumn id="6" xr3:uid="{88D072A2-ABD6-4728-B8F0-630360523EBA}" name="CY 2021 Operating Margin" dataDxfId="139"/>
    <tableColumn id="7" xr3:uid="{06846946-6C9F-4A12-AB59-BFCEE08A095C}" name=" CY 2022 Operating Income" dataDxfId="138"/>
    <tableColumn id="8" xr3:uid="{01D29795-0FB7-498B-9332-C2DD585FD5AB}" name="CY 2022 Operating Revenue" dataDxfId="137"/>
    <tableColumn id="9" xr3:uid="{AEE387D5-5F72-44FD-A558-4CEB08BAB2F7}" name="CY 2022 Operating Margin" dataDxfId="136"/>
    <tableColumn id="10" xr3:uid="{3E9FD832-A3EE-4257-B7B7-1328219ECCC2}" name=" CY 2023 Operating Income" dataDxfId="135"/>
    <tableColumn id="11" xr3:uid="{B5BF78FF-3B47-4E37-81EF-64D4C99C8B0B}" name="CY 2023 Operating Revenue" dataDxfId="134"/>
    <tableColumn id="12" xr3:uid="{48EF5297-B3DA-4B10-89DB-C3123BEACF03}" name="CY 2023 Operating Margin" dataDxfId="0"/>
  </tableColumns>
  <tableStyleInfo name="TableStyleMedium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281BC43-EC94-44EA-8835-6A557F28EEBF}" name="Table3" displayName="Table3" ref="A3:I76" totalsRowShown="0" headerRowDxfId="133" dataDxfId="131" headerRowBorderDxfId="132" tableBorderDxfId="130" totalsRowBorderDxfId="129">
  <autoFilter ref="A3:I76" xr:uid="{8281BC43-EC94-44EA-8835-6A557F28EEBF}"/>
  <sortState xmlns:xlrd2="http://schemas.microsoft.com/office/spreadsheetml/2017/richdata2" ref="A4:I76">
    <sortCondition ref="A3:A76"/>
  </sortState>
  <tableColumns count="9">
    <tableColumn id="1" xr3:uid="{CD726511-1EDE-4ADE-B464-148A510AC593}" name="Hospital Code" dataDxfId="128"/>
    <tableColumn id="2" xr3:uid="{542BE120-D972-434D-AFF4-DBE9A70CCCB0}" name="Hospital Name" dataDxfId="127"/>
    <tableColumn id="3" xr3:uid="{C7ECFEA2-EC0B-477D-8A51-713D22883C0F}" name="Health System (if any) or Single Site" dataDxfId="126"/>
    <tableColumn id="7" xr3:uid="{21CE892F-2F65-4333-80E7-B4490FD50C8C}" name="County" dataDxfId="125"/>
    <tableColumn id="8" xr3:uid="{A36AA150-EBB6-4693-B797-3CEF9230F80B}" name="Hospital Region" dataDxfId="124"/>
    <tableColumn id="9" xr3:uid="{23E65205-C499-492E-AD13-CE70589E4F40}" name="Rural/Urban" dataDxfId="123"/>
    <tableColumn id="4" xr3:uid="{7B88AE95-6AA4-41E8-8A12-928D8C7B45AF}" name="2021 Year-End Total Cash on Hand " dataDxfId="122"/>
    <tableColumn id="5" xr3:uid="{E9FBB6CE-B365-4926-B104-E6D3F94DC524}" name="2022 Year-End Total Cash on Hand " dataDxfId="121"/>
    <tableColumn id="6" xr3:uid="{CB757682-BFCE-4FC1-ADBD-980F050ED6D8}" name="2023 Year-End Total Cash on Hand" dataDxfId="120"/>
  </tableColumns>
  <tableStyleInfo name="TableStyleMedium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D4E0E0C-E5FD-4092-8F1D-B3806E2F2A68}" name="Table2" displayName="Table2" ref="A3:AA76" totalsRowShown="0" headerRowDxfId="119" dataDxfId="117" headerRowBorderDxfId="118" tableBorderDxfId="116" totalsRowBorderDxfId="115">
  <autoFilter ref="A3:AA76" xr:uid="{9D4E0E0C-E5FD-4092-8F1D-B3806E2F2A68}"/>
  <sortState xmlns:xlrd2="http://schemas.microsoft.com/office/spreadsheetml/2017/richdata2" ref="A4:AA76">
    <sortCondition ref="A3:A76"/>
  </sortState>
  <tableColumns count="27">
    <tableColumn id="1" xr3:uid="{58E2B3FB-E9E2-48F6-943B-D9C3900731AF}" name="Hospital Code" dataDxfId="114"/>
    <tableColumn id="2" xr3:uid="{7EEC00D8-9C20-4281-B43E-99D2D6BD9C81}" name="Hospital Name" dataDxfId="113"/>
    <tableColumn id="3" xr3:uid="{12522156-1A63-4C8D-884E-A291DC8E7EE1}" name="Health System (if any) or Single Site" dataDxfId="112"/>
    <tableColumn id="43" xr3:uid="{795408C7-8829-4E8B-A41C-EAF90B911F51}" name="County" dataDxfId="111"/>
    <tableColumn id="44" xr3:uid="{B6443BF5-6EC5-4FAC-B45D-E99D91192C3C}" name="Hospital Region" dataDxfId="110"/>
    <tableColumn id="45" xr3:uid="{505FCD69-713D-4470-B921-2F955B667EB7}" name="Rural/Urban" dataDxfId="109"/>
    <tableColumn id="6" xr3:uid="{14CF7BB4-F952-42E0-B517-316EACD54760}" name="2021 Medicare " dataDxfId="108"/>
    <tableColumn id="7" xr3:uid="{B27CD3AA-EB17-4DFB-8F95-EE82BECA8869}" name="2021 Medicaid " dataDxfId="107"/>
    <tableColumn id="8" xr3:uid="{C12D1C65-DC04-4FE9-95C3-ECAF69909186}" name="2021 Champus/ Tricare " dataDxfId="106"/>
    <tableColumn id="12" xr3:uid="{B79E937F-88CE-4EFC-A590-785A9B24D20D}" name="2021 Commercial Insurance " dataDxfId="105"/>
    <tableColumn id="13" xr3:uid="{13967A65-50AD-468F-BBC8-A44A87AE0C2E}" name="2021 Uninsured" dataDxfId="104"/>
    <tableColumn id="15" xr3:uid="{400FD408-EAE9-47DA-BB57-CC55E0171D9F}" name="2021 Others " dataDxfId="103"/>
    <tableColumn id="16" xr3:uid="{59ED79E2-8E5F-478E-ACCA-3F15EF617A16}" name="2021 Total" dataDxfId="102"/>
    <tableColumn id="19" xr3:uid="{8D655150-1017-447F-9242-7A0ADB70B612}" name="2022 Medicare" dataDxfId="101"/>
    <tableColumn id="20" xr3:uid="{FC20480F-93BB-4A6B-9C28-9A9437250137}" name="2022 Medicaid" dataDxfId="100"/>
    <tableColumn id="21" xr3:uid="{EAB12842-CFE6-4D95-8EBB-64355CE667DC}" name="2022 Champus/ Tricare" dataDxfId="99"/>
    <tableColumn id="25" xr3:uid="{093A7151-E919-4CAF-AAEB-749E820D2E26}" name="2022 Commercial Insurance" dataDxfId="98"/>
    <tableColumn id="27" xr3:uid="{46F982E7-4D9C-4116-AF71-890A82161F6E}" name="2022 Uninsured" dataDxfId="97"/>
    <tableColumn id="28" xr3:uid="{46BC2FB3-FE56-48D4-96B2-A03A83145F52}" name="2022 Others" dataDxfId="96"/>
    <tableColumn id="29" xr3:uid="{FB09ED66-59D5-46DB-A952-8231CDC20046}" name="2022 Total " dataDxfId="95"/>
    <tableColumn id="32" xr3:uid="{F213F1B2-6E96-40DF-855E-E6EA8D081B82}" name="2023 Medicare" dataDxfId="94"/>
    <tableColumn id="33" xr3:uid="{660FEEED-61A2-47E6-AF39-3E7FBA2416DF}" name="2023 Medicaid" dataDxfId="93"/>
    <tableColumn id="34" xr3:uid="{6FC41502-30DF-40DA-ADF6-FB3E2B8F13E5}" name="2023 Champus/ Tricare" dataDxfId="92"/>
    <tableColumn id="38" xr3:uid="{DA26E378-B9B9-43E1-BE03-8CBEA46E626F}" name="2023 Commercial Insurance" dataDxfId="91"/>
    <tableColumn id="40" xr3:uid="{5CAEED8D-B785-4CFA-A172-2D6DD01C5089}" name="2023 Uninsured" dataDxfId="90"/>
    <tableColumn id="41" xr3:uid="{742A065F-59BE-4E4F-A35E-59595219156A}" name="2023 Others" dataDxfId="89"/>
    <tableColumn id="42" xr3:uid="{8C8B42E0-1AFB-4A3B-91A0-A00812B23534}" name="2023 Total" dataDxfId="88"/>
  </tableColumns>
  <tableStyleInfo name="TableStyleMedium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6E8E4F1-F7BA-4DBA-A3DA-2D1315BDBCD4}" name="Table26" displayName="Table26" ref="A3:AA76" totalsRowShown="0" headerRowDxfId="87" dataDxfId="85" headerRowBorderDxfId="86" tableBorderDxfId="84" totalsRowBorderDxfId="83">
  <autoFilter ref="A3:AA76" xr:uid="{06E8E4F1-F7BA-4DBA-A3DA-2D1315BDBCD4}"/>
  <sortState xmlns:xlrd2="http://schemas.microsoft.com/office/spreadsheetml/2017/richdata2" ref="A4:AA76">
    <sortCondition ref="A3:A76"/>
  </sortState>
  <tableColumns count="27">
    <tableColumn id="1" xr3:uid="{6FF8001B-508F-4B73-8848-BF766A0A694E}" name="Hospital Code" dataDxfId="82"/>
    <tableColumn id="2" xr3:uid="{A81C83D1-6D4D-4A3E-98BB-8BD1E9417F2D}" name="Hospital Name" dataDxfId="81"/>
    <tableColumn id="3" xr3:uid="{42914D1E-A227-4C7F-87BF-A721360F7CB3}" name="Health System (if any) or Single Site" dataDxfId="80"/>
    <tableColumn id="43" xr3:uid="{9396D097-DA9C-4E5D-B6D2-026277EE1150}" name="County" dataDxfId="79"/>
    <tableColumn id="44" xr3:uid="{856B30C1-D13B-4283-A3DB-3A77E0E85ECF}" name="Hospital Region" dataDxfId="78"/>
    <tableColumn id="45" xr3:uid="{A1433E78-B0BA-453C-BB8B-03C077E2AB07}" name="Rural/Urban" dataDxfId="77"/>
    <tableColumn id="6" xr3:uid="{3499BB98-A429-4E95-AB65-4C8789975713}" name="2021 Medicare " dataDxfId="76"/>
    <tableColumn id="7" xr3:uid="{67DB4565-EFDF-4AD9-BB2A-57DBCD63F9B4}" name="2021 Medicaid " dataDxfId="75"/>
    <tableColumn id="8" xr3:uid="{3E167691-A912-4326-8FDE-DF29B43136DA}" name="2021 Champus/ Tricare " dataDxfId="74"/>
    <tableColumn id="12" xr3:uid="{FC7A3294-4760-4780-AE16-D48FB5E440BE}" name="2021 Commercial Insurance " dataDxfId="73"/>
    <tableColumn id="14" xr3:uid="{1DF56737-1AD1-4512-A0A8-5C1CF5F29859}" name="2021 Uninsured" dataDxfId="72"/>
    <tableColumn id="15" xr3:uid="{880D5C2F-6045-410B-9288-494D5C918A7A}" name="2021 Others " dataDxfId="71"/>
    <tableColumn id="16" xr3:uid="{3E0721DE-3B14-4A56-8115-7227E2FE4B1C}" name="2021 Total" dataDxfId="70"/>
    <tableColumn id="19" xr3:uid="{FF425DAF-558E-4219-8AEA-6B206F43AEE1}" name="2022 Medicare" dataDxfId="69"/>
    <tableColumn id="20" xr3:uid="{32667003-E1EE-4B2F-BB51-DF24FB6B873C}" name="2022 Medicaid" dataDxfId="68"/>
    <tableColumn id="21" xr3:uid="{26C08434-91ED-4431-8A3C-7A0E5238AF90}" name="2022 Champus/ Tricare" dataDxfId="67"/>
    <tableColumn id="25" xr3:uid="{A600DB3A-EE5C-4EB2-9CB2-0428789E2E64}" name="2022 Commercial Insurance" dataDxfId="66"/>
    <tableColumn id="27" xr3:uid="{25CC490F-FB74-459E-BC57-84320C4EB92A}" name="2022 Uninsured" dataDxfId="65"/>
    <tableColumn id="28" xr3:uid="{F29024C2-21A2-4F40-8044-24CBBD97CB86}" name="2022 Others" dataDxfId="64"/>
    <tableColumn id="29" xr3:uid="{8EC02F23-1C5B-4D61-AEF3-35D2075CC550}" name="2022 Total " dataDxfId="63"/>
    <tableColumn id="32" xr3:uid="{9E44B943-9CC1-4712-899C-521A1CFA00DA}" name="2023 Medicare " dataDxfId="62"/>
    <tableColumn id="33" xr3:uid="{BEB3EA51-7E3B-4B8A-B8BB-BE5B4D88FCA4}" name="2023 Medicaid " dataDxfId="61"/>
    <tableColumn id="34" xr3:uid="{DC4C8F7F-73FA-474B-B50B-5179D0A7C4AA}" name="2023 Champus/ Tricare " dataDxfId="60"/>
    <tableColumn id="38" xr3:uid="{39E72C05-8434-41E1-A8CA-D0072E195E14}" name="2023 Commercial Insurance " dataDxfId="59"/>
    <tableColumn id="40" xr3:uid="{93069CF5-21B8-4955-84DB-8C56030912F6}" name="2023 Uninsured" dataDxfId="58"/>
    <tableColumn id="41" xr3:uid="{3484F40E-4DF0-42B7-94CD-572E9C75FA2D}" name="2023 Others " dataDxfId="57"/>
    <tableColumn id="42" xr3:uid="{91826FD1-5225-4A66-BF23-6DE5D3F16586}" name="2023 Total" dataDxfId="56"/>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D15D22A-DA0E-4B88-B5EC-DEFB4BAE25EF}" name="Table267" displayName="Table267" ref="A3:X76" totalsRowShown="0" headerRowDxfId="55" dataDxfId="53" headerRowBorderDxfId="54" tableBorderDxfId="52" totalsRowBorderDxfId="51">
  <autoFilter ref="A3:X76" xr:uid="{06E8E4F1-F7BA-4DBA-A3DA-2D1315BDBCD4}"/>
  <sortState xmlns:xlrd2="http://schemas.microsoft.com/office/spreadsheetml/2017/richdata2" ref="A4:X76">
    <sortCondition ref="A3:A76"/>
  </sortState>
  <tableColumns count="24">
    <tableColumn id="1" xr3:uid="{FC602572-898E-414B-BA1D-BBAF335C3F82}" name="Hospital Code" dataDxfId="50"/>
    <tableColumn id="2" xr3:uid="{237737E9-AEE0-48B3-8BD7-AEC2BB1938FB}" name="Hospital Name" dataDxfId="49"/>
    <tableColumn id="3" xr3:uid="{A4FE84BC-352E-49F6-83F3-AF71E0D9BE3B}" name="Health System (if any) or Single Site" dataDxfId="48"/>
    <tableColumn id="16" xr3:uid="{63708DC7-79B8-43E4-BF63-CE8321278372}" name="County" dataDxfId="47"/>
    <tableColumn id="29" xr3:uid="{3A8158B0-0A5F-436E-8960-7C7EF3065E33}" name="Hospital Region" dataDxfId="46"/>
    <tableColumn id="42" xr3:uid="{02B9AF5E-358B-4C91-9792-0FFCB1762836}" name="Rural/Urban" dataDxfId="45"/>
    <tableColumn id="4" xr3:uid="{7F0F6AB3-88D2-486F-AF7B-CD2AD6ED8638}" name="2021 Medicare " dataDxfId="44"/>
    <tableColumn id="5" xr3:uid="{70553C16-9D16-4674-898E-FAB71F81EBB0}" name="2021 Medicaid " dataDxfId="43"/>
    <tableColumn id="6" xr3:uid="{5281B910-AEE4-4ABA-AB68-25377EF3480E}" name="2021 Champus/ Tricare " dataDxfId="42"/>
    <tableColumn id="7" xr3:uid="{73952765-B48F-4F9F-B311-66D17DF497D2}" name="2021 Commercial Insurance " dataDxfId="41"/>
    <tableColumn id="8" xr3:uid="{CFB40F3C-8E8D-4750-A5E0-4EBC757FA1E2}" name="2021 Self Pay " dataDxfId="40"/>
    <tableColumn id="9" xr3:uid="{670CCDEC-9368-42DA-AA9E-41F2F78EC1A2}" name="2021 Others " dataDxfId="39"/>
    <tableColumn id="10" xr3:uid="{D2B8D971-7F1F-47D5-8FBC-E4E159FD6A03}" name="2022 Medicare" dataDxfId="38"/>
    <tableColumn id="11" xr3:uid="{5DE54510-82AD-4C7C-A323-372E549146F0}" name="2022 Medicaid" dataDxfId="37"/>
    <tableColumn id="12" xr3:uid="{F28E0C2B-B6AD-41A4-8AFA-738757C28073}" name="2022 Champus/ Tricare" dataDxfId="36"/>
    <tableColumn id="13" xr3:uid="{9C481AA3-FB1B-4064-84B8-398736F8D49A}" name="2022 Commercial Insurance" dataDxfId="35"/>
    <tableColumn id="14" xr3:uid="{0C086925-E705-408F-BDF6-998D794AFE89}" name="2022 Self Pay" dataDxfId="34"/>
    <tableColumn id="15" xr3:uid="{32AD3D2C-95A0-4B75-A323-66DDFFF9C077}" name="2022 Others" dataDxfId="33"/>
    <tableColumn id="17" xr3:uid="{18200187-0DF7-4F5E-BD0F-E56FC62EAFFA}" name="2023 Medicare" dataDxfId="32"/>
    <tableColumn id="18" xr3:uid="{50E4342C-E3AA-4D9E-BCD2-AB23166C7669}" name="2023 Medicaid" dataDxfId="31"/>
    <tableColumn id="19" xr3:uid="{CDD36DA6-A41D-4031-BC6B-91DA72E77846}" name="2023 Champus/ Tricare" dataDxfId="30"/>
    <tableColumn id="20" xr3:uid="{1DDE770B-E310-4083-9B32-78C53AD616A6}" name="2023 Commercial Insurance" dataDxfId="29"/>
    <tableColumn id="21" xr3:uid="{1843A36B-B348-4AD6-B75B-ABC9B6CA3257}" name="2023 Self Pay" dataDxfId="28"/>
    <tableColumn id="22" xr3:uid="{871F6836-33BC-4D6D-8A8E-51860673BDA7}" name="2023 Others" dataDxfId="27"/>
  </tableColumns>
  <tableStyleInfo name="TableStyleMedium4"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C3CBBE2-188C-4E96-8ED1-7DED4643C405}" name="Table1" displayName="Table1" ref="A3:O76" totalsRowShown="0" headerRowDxfId="26" dataDxfId="24" headerRowBorderDxfId="25" tableBorderDxfId="23" headerRowCellStyle="Output">
  <autoFilter ref="A3:O76" xr:uid="{EC3CBBE2-188C-4E96-8ED1-7DED4643C405}"/>
  <sortState xmlns:xlrd2="http://schemas.microsoft.com/office/spreadsheetml/2017/richdata2" ref="A4:O76">
    <sortCondition ref="A3:A76"/>
  </sortState>
  <tableColumns count="15">
    <tableColumn id="1" xr3:uid="{E739D1C0-2387-41DF-996F-4D2EE7064288}" name="Hospital Code" dataDxfId="22"/>
    <tableColumn id="2" xr3:uid="{68971E0E-A227-40C6-A82F-3340EC87B77C}" name="Hospital Name" dataDxfId="21"/>
    <tableColumn id="3" xr3:uid="{40260778-34EE-403C-8293-0FB823EF1A68}" name="Health System (if any) or Single Site" dataDxfId="20"/>
    <tableColumn id="13" xr3:uid="{034E6359-3816-4082-8F0F-038957B5CA2E}" name="County" dataDxfId="19"/>
    <tableColumn id="14" xr3:uid="{CAC93DFE-FBFE-4599-8F58-1114A5938AC7}" name="Hospital Region" dataDxfId="18"/>
    <tableColumn id="15" xr3:uid="{5FC0F181-0952-4C81-96D5-82317B90B726}" name="Rural/Urban" dataDxfId="17"/>
    <tableColumn id="4" xr3:uid="{D85B0F54-981C-4F65-9A6A-341A8909D17B}" name="2021 Income" dataDxfId="16"/>
    <tableColumn id="5" xr3:uid="{0C2F5101-0D16-42F8-AE9C-41DBEDF5BD2C}" name="2021 Total Revenue" dataDxfId="15"/>
    <tableColumn id="6" xr3:uid="{6411D65F-5901-43B2-8212-AA32996599E8}" name="2021 Net Profit Margin " dataDxfId="14"/>
    <tableColumn id="7" xr3:uid="{7F4222BB-4C52-4418-A690-E31221851DCB}" name="2022 Income" dataDxfId="13"/>
    <tableColumn id="8" xr3:uid="{E58F7EB2-29F8-47F4-9EF9-8CF31D3AECF1}" name="2022 Total Revenue" dataDxfId="12"/>
    <tableColumn id="9" xr3:uid="{8AA0E860-BFEE-4521-B11B-D8448368B7FF}" name="2022  Net Profit Margin" dataDxfId="11"/>
    <tableColumn id="10" xr3:uid="{75B8A409-498A-454B-B676-8FED978A6754}" name="2023 Income" dataDxfId="10"/>
    <tableColumn id="11" xr3:uid="{F875F15C-ED4E-4C50-AF4A-46C1BAE8F2B2}" name="2023 Total Revenue" dataDxfId="9"/>
    <tableColumn id="12" xr3:uid="{14AF3A08-02B0-468D-9336-D6335F967829}" name="2023  Net Profit Margin" dataDxfId="8"/>
  </tableColumns>
  <tableStyleInfo name="TableStyleMedium1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D9746F9-75A3-4E7D-8E2C-14408D5AE46E}" name="Table7" displayName="Table7" ref="A3:B18" totalsRowShown="0" headerRowDxfId="7" dataDxfId="5" headerRowBorderDxfId="6" tableBorderDxfId="4" totalsRowBorderDxfId="3">
  <autoFilter ref="A3:B18" xr:uid="{BD9746F9-75A3-4E7D-8E2C-14408D5AE46E}"/>
  <tableColumns count="2">
    <tableColumn id="1" xr3:uid="{F1162E51-AEE4-4213-A56B-CB8ECCFB1E00}" name="Term" dataDxfId="2"/>
    <tableColumn id="2" xr3:uid="{9F862A20-9A12-4CB6-859B-1EBD8E0D704F}" name="Definition &amp; Additional Information" dataDxfId="1"/>
  </tableColumns>
  <tableStyleInfo name="TableStyleMedium4"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93D12-1628-4CD0-BF4D-936C86388201}">
  <dimension ref="A1:U107"/>
  <sheetViews>
    <sheetView zoomScale="80" zoomScaleNormal="80" workbookViewId="0">
      <selection activeCell="F33" sqref="F33"/>
    </sheetView>
  </sheetViews>
  <sheetFormatPr defaultColWidth="9.140625" defaultRowHeight="14.25" x14ac:dyDescent="0.2"/>
  <cols>
    <col min="1" max="1" width="27.42578125" style="2" customWidth="1"/>
    <col min="2" max="2" width="79.140625" style="2" customWidth="1"/>
    <col min="3" max="3" width="42.85546875" style="2" bestFit="1" customWidth="1"/>
    <col min="4" max="4" width="13.85546875" style="2" bestFit="1" customWidth="1"/>
    <col min="5" max="5" width="14.85546875" style="2" bestFit="1" customWidth="1"/>
    <col min="6" max="6" width="15.5703125" style="2" customWidth="1"/>
    <col min="7" max="7" width="20.140625" style="2" bestFit="1" customWidth="1"/>
    <col min="8" max="8" width="15.5703125" style="2" bestFit="1" customWidth="1"/>
    <col min="9" max="9" width="19.140625" style="2" bestFit="1" customWidth="1"/>
    <col min="10" max="10" width="19.140625" style="45" customWidth="1"/>
    <col min="11" max="12" width="25.5703125" style="2" bestFit="1" customWidth="1"/>
    <col min="13" max="13" width="23.5703125" style="2" bestFit="1" customWidth="1"/>
    <col min="14" max="14" width="24.85546875" style="45" bestFit="1" customWidth="1"/>
    <col min="15" max="15" width="24.85546875" style="2" customWidth="1"/>
    <col min="16" max="16" width="25" style="2" bestFit="1" customWidth="1"/>
    <col min="17" max="17" width="28.140625" style="2" bestFit="1" customWidth="1"/>
    <col min="18" max="18" width="23.5703125" style="2" bestFit="1" customWidth="1"/>
    <col min="19" max="19" width="24.85546875" style="2" bestFit="1" customWidth="1"/>
    <col min="20" max="20" width="24.85546875" style="45" customWidth="1"/>
    <col min="21" max="21" width="25" style="2" bestFit="1" customWidth="1"/>
    <col min="22" max="16384" width="9.140625" style="2"/>
  </cols>
  <sheetData>
    <row r="1" spans="1:21" ht="24" thickBot="1" x14ac:dyDescent="0.4">
      <c r="A1" s="99" t="s">
        <v>276</v>
      </c>
      <c r="B1" s="100"/>
      <c r="C1" s="100"/>
      <c r="D1" s="100"/>
      <c r="E1" s="100"/>
      <c r="F1" s="100"/>
      <c r="G1" s="100"/>
      <c r="H1" s="100"/>
      <c r="I1" s="100"/>
      <c r="J1" s="100"/>
      <c r="K1" s="100"/>
      <c r="L1" s="100"/>
      <c r="M1" s="100"/>
      <c r="N1" s="100"/>
      <c r="O1" s="100"/>
      <c r="P1" s="100"/>
      <c r="Q1" s="100"/>
      <c r="R1" s="100"/>
      <c r="S1" s="100"/>
      <c r="T1" s="100"/>
      <c r="U1" s="100"/>
    </row>
    <row r="3" spans="1:21" s="3" customFormat="1" ht="46.5" customHeight="1" x14ac:dyDescent="0.2">
      <c r="A3" s="1" t="s">
        <v>83</v>
      </c>
      <c r="B3" s="1" t="s">
        <v>84</v>
      </c>
      <c r="C3" s="1" t="s">
        <v>92</v>
      </c>
      <c r="D3" s="1" t="s">
        <v>163</v>
      </c>
      <c r="E3" s="1" t="s">
        <v>164</v>
      </c>
      <c r="F3" s="1" t="s">
        <v>165</v>
      </c>
      <c r="G3" s="1" t="s">
        <v>196</v>
      </c>
      <c r="H3" s="1" t="s">
        <v>197</v>
      </c>
      <c r="I3" s="1" t="s">
        <v>198</v>
      </c>
      <c r="J3" s="90" t="s">
        <v>199</v>
      </c>
      <c r="K3" s="33" t="s">
        <v>192</v>
      </c>
      <c r="L3" s="1" t="s">
        <v>234</v>
      </c>
      <c r="M3" s="33" t="s">
        <v>235</v>
      </c>
      <c r="N3" s="90" t="s">
        <v>236</v>
      </c>
      <c r="O3" s="1" t="s">
        <v>237</v>
      </c>
      <c r="P3" s="33" t="s">
        <v>238</v>
      </c>
      <c r="Q3" s="1" t="s">
        <v>277</v>
      </c>
      <c r="R3" s="33" t="s">
        <v>278</v>
      </c>
      <c r="S3" s="1" t="s">
        <v>279</v>
      </c>
      <c r="T3" s="90" t="s">
        <v>280</v>
      </c>
      <c r="U3" s="33" t="s">
        <v>281</v>
      </c>
    </row>
    <row r="4" spans="1:21" x14ac:dyDescent="0.2">
      <c r="A4" s="50">
        <v>1</v>
      </c>
      <c r="B4" s="11" t="s">
        <v>18</v>
      </c>
      <c r="C4" s="11" t="s">
        <v>72</v>
      </c>
      <c r="D4" s="11" t="s">
        <v>169</v>
      </c>
      <c r="E4" s="11" t="s">
        <v>170</v>
      </c>
      <c r="F4" s="11" t="s">
        <v>171</v>
      </c>
      <c r="G4" s="35">
        <v>676468000</v>
      </c>
      <c r="H4" s="35">
        <v>23536000</v>
      </c>
      <c r="I4" s="46">
        <v>0.32449441953524827</v>
      </c>
      <c r="J4" s="46">
        <v>1.1289965908485846E-2</v>
      </c>
      <c r="K4" s="81">
        <v>2084683000</v>
      </c>
      <c r="L4" s="35">
        <v>612375000</v>
      </c>
      <c r="M4" s="35">
        <v>126566000</v>
      </c>
      <c r="N4" s="46">
        <v>0.29926987679781841</v>
      </c>
      <c r="O4" s="46">
        <v>6.1853261852284444E-2</v>
      </c>
      <c r="P4" s="81">
        <v>2046230000</v>
      </c>
      <c r="Q4" s="81">
        <v>670975000</v>
      </c>
      <c r="R4" s="81">
        <v>114259000</v>
      </c>
      <c r="S4" s="46">
        <f>Table49[[#This Row],[CY 2023 Total Staffing Cost/Salaries]]/Table49[[#This Row],[CY 2023 Operating Expenses]]</f>
        <v>0.25657179019981607</v>
      </c>
      <c r="T4" s="46">
        <f>Table49[[#This Row],[CY 2023 Contract Services]]/Table49[[#This Row],[CY 2023 Operating Expenses]]</f>
        <v>4.3691100527502191E-2</v>
      </c>
      <c r="U4" s="81">
        <v>2615155000</v>
      </c>
    </row>
    <row r="5" spans="1:21" x14ac:dyDescent="0.2">
      <c r="A5" s="50">
        <v>2</v>
      </c>
      <c r="B5" s="11" t="s">
        <v>36</v>
      </c>
      <c r="C5" s="11" t="s">
        <v>69</v>
      </c>
      <c r="D5" s="11" t="s">
        <v>176</v>
      </c>
      <c r="E5" s="11" t="s">
        <v>170</v>
      </c>
      <c r="F5" s="11" t="s">
        <v>171</v>
      </c>
      <c r="G5" s="35">
        <v>297159000</v>
      </c>
      <c r="H5" s="35">
        <v>47663000</v>
      </c>
      <c r="I5" s="46">
        <v>0.41299386816840022</v>
      </c>
      <c r="J5" s="46">
        <v>6.624240470088559E-2</v>
      </c>
      <c r="K5" s="81">
        <v>719524000</v>
      </c>
      <c r="L5" s="35">
        <v>323787000</v>
      </c>
      <c r="M5" s="35">
        <v>55014000</v>
      </c>
      <c r="N5" s="46">
        <v>0.44296312915807634</v>
      </c>
      <c r="O5" s="46">
        <v>7.5262977165551456E-2</v>
      </c>
      <c r="P5" s="81">
        <v>730957000</v>
      </c>
      <c r="Q5" s="81">
        <v>352687000</v>
      </c>
      <c r="R5" s="81">
        <v>77097000</v>
      </c>
      <c r="S5" s="46">
        <f>Table49[[#This Row],[CY 2023 Total Staffing Cost/Salaries]]/Table49[[#This Row],[CY 2023 Operating Expenses]]</f>
        <v>0.41930640098915734</v>
      </c>
      <c r="T5" s="46">
        <f>Table49[[#This Row],[CY 2023 Contract Services]]/Table49[[#This Row],[CY 2023 Operating Expenses]]</f>
        <v>9.1659929617652652E-2</v>
      </c>
      <c r="U5" s="81">
        <v>841120000</v>
      </c>
    </row>
    <row r="6" spans="1:21" x14ac:dyDescent="0.2">
      <c r="A6" s="50">
        <v>3</v>
      </c>
      <c r="B6" s="11" t="s">
        <v>15</v>
      </c>
      <c r="C6" s="11" t="s">
        <v>72</v>
      </c>
      <c r="D6" s="11" t="s">
        <v>178</v>
      </c>
      <c r="E6" s="11" t="s">
        <v>170</v>
      </c>
      <c r="F6" s="11" t="s">
        <v>171</v>
      </c>
      <c r="G6" s="35">
        <v>90474000</v>
      </c>
      <c r="H6" s="35">
        <v>17550000</v>
      </c>
      <c r="I6" s="46">
        <v>0.45291803081728893</v>
      </c>
      <c r="J6" s="46">
        <v>8.7856306130417811E-2</v>
      </c>
      <c r="K6" s="81">
        <v>199758000</v>
      </c>
      <c r="L6" s="35">
        <v>92178000</v>
      </c>
      <c r="M6" s="35">
        <v>22000</v>
      </c>
      <c r="N6" s="46">
        <v>0.42302308825486568</v>
      </c>
      <c r="O6" s="46">
        <v>1.0096235480924999E-4</v>
      </c>
      <c r="P6" s="81">
        <v>217903000</v>
      </c>
      <c r="Q6" s="81">
        <v>161805000</v>
      </c>
      <c r="R6" s="81">
        <v>0</v>
      </c>
      <c r="S6" s="46">
        <f>Table49[[#This Row],[CY 2023 Total Staffing Cost/Salaries]]/Table49[[#This Row],[CY 2023 Operating Expenses]]</f>
        <v>0.71547961742037325</v>
      </c>
      <c r="T6" s="46">
        <f>Table49[[#This Row],[CY 2023 Contract Services]]/Table49[[#This Row],[CY 2023 Operating Expenses]]</f>
        <v>0</v>
      </c>
      <c r="U6" s="81">
        <v>226149000</v>
      </c>
    </row>
    <row r="7" spans="1:21" x14ac:dyDescent="0.2">
      <c r="A7" s="50">
        <v>5</v>
      </c>
      <c r="B7" s="11" t="s">
        <v>23</v>
      </c>
      <c r="C7" s="11" t="s">
        <v>73</v>
      </c>
      <c r="D7" s="11" t="s">
        <v>179</v>
      </c>
      <c r="E7" s="11" t="s">
        <v>170</v>
      </c>
      <c r="F7" s="11" t="s">
        <v>168</v>
      </c>
      <c r="G7" s="35">
        <v>189255000</v>
      </c>
      <c r="H7" s="35">
        <v>8534000</v>
      </c>
      <c r="I7" s="46">
        <v>0.4899095535663438</v>
      </c>
      <c r="J7" s="46">
        <v>2.2091295501493635E-2</v>
      </c>
      <c r="K7" s="81">
        <v>386306000</v>
      </c>
      <c r="L7" s="35">
        <v>197749000</v>
      </c>
      <c r="M7" s="35">
        <v>11493000</v>
      </c>
      <c r="N7" s="46">
        <v>0.49747550345278674</v>
      </c>
      <c r="O7" s="46">
        <v>2.89128438635992E-2</v>
      </c>
      <c r="P7" s="81">
        <v>397505000</v>
      </c>
      <c r="Q7" s="81">
        <v>220911000</v>
      </c>
      <c r="R7" s="81">
        <v>11968000</v>
      </c>
      <c r="S7" s="46">
        <f>Table49[[#This Row],[CY 2023 Total Staffing Cost/Salaries]]/Table49[[#This Row],[CY 2023 Operating Expenses]]</f>
        <v>0.52002184500872151</v>
      </c>
      <c r="T7" s="46">
        <f>Table49[[#This Row],[CY 2023 Contract Services]]/Table49[[#This Row],[CY 2023 Operating Expenses]]</f>
        <v>2.8172528489139877E-2</v>
      </c>
      <c r="U7" s="81">
        <v>424811000</v>
      </c>
    </row>
    <row r="8" spans="1:21" x14ac:dyDescent="0.2">
      <c r="A8" s="50">
        <v>6</v>
      </c>
      <c r="B8" s="11" t="s">
        <v>59</v>
      </c>
      <c r="C8" s="11" t="s">
        <v>76</v>
      </c>
      <c r="D8" s="11" t="s">
        <v>186</v>
      </c>
      <c r="E8" s="11" t="s">
        <v>170</v>
      </c>
      <c r="F8" s="11" t="s">
        <v>171</v>
      </c>
      <c r="G8" s="35">
        <v>62142000</v>
      </c>
      <c r="H8" s="35">
        <v>21401000</v>
      </c>
      <c r="I8" s="46">
        <v>0.39060172352020517</v>
      </c>
      <c r="J8" s="46">
        <v>0.13451880346715442</v>
      </c>
      <c r="K8" s="81">
        <v>159093000</v>
      </c>
      <c r="L8" s="35">
        <v>67263000</v>
      </c>
      <c r="M8" s="35">
        <v>27910000</v>
      </c>
      <c r="N8" s="46">
        <v>0.39091622352018135</v>
      </c>
      <c r="O8" s="46">
        <v>0.16220614302734432</v>
      </c>
      <c r="P8" s="81">
        <v>172065000</v>
      </c>
      <c r="Q8" s="81">
        <v>77114000</v>
      </c>
      <c r="R8" s="81">
        <v>25347000</v>
      </c>
      <c r="S8" s="46">
        <f>Table49[[#This Row],[CY 2023 Total Staffing Cost/Salaries]]/Table49[[#This Row],[CY 2023 Operating Expenses]]</f>
        <v>0.4135530683713472</v>
      </c>
      <c r="T8" s="46">
        <f>Table49[[#This Row],[CY 2023 Contract Services]]/Table49[[#This Row],[CY 2023 Operating Expenses]]</f>
        <v>0.13593289965516686</v>
      </c>
      <c r="U8" s="81">
        <v>186467000</v>
      </c>
    </row>
    <row r="9" spans="1:21" x14ac:dyDescent="0.2">
      <c r="A9" s="50">
        <v>8</v>
      </c>
      <c r="B9" s="11" t="s">
        <v>21</v>
      </c>
      <c r="C9" s="11" t="s">
        <v>73</v>
      </c>
      <c r="D9" s="11" t="s">
        <v>169</v>
      </c>
      <c r="E9" s="11" t="s">
        <v>170</v>
      </c>
      <c r="F9" s="11" t="s">
        <v>171</v>
      </c>
      <c r="G9" s="35">
        <v>188264000</v>
      </c>
      <c r="H9" s="35">
        <v>40916000</v>
      </c>
      <c r="I9" s="46">
        <v>0.40682507714515392</v>
      </c>
      <c r="J9" s="46">
        <v>8.8416557899923073E-2</v>
      </c>
      <c r="K9" s="81">
        <v>462764000</v>
      </c>
      <c r="L9" s="35">
        <v>190430000</v>
      </c>
      <c r="M9" s="35">
        <v>49530000</v>
      </c>
      <c r="N9" s="46">
        <v>0.39485361200962099</v>
      </c>
      <c r="O9" s="46">
        <v>0.10269967653645186</v>
      </c>
      <c r="P9" s="81">
        <v>482280000</v>
      </c>
      <c r="Q9" s="81">
        <v>202427000</v>
      </c>
      <c r="R9" s="81">
        <v>44130000</v>
      </c>
      <c r="S9" s="46">
        <f>Table49[[#This Row],[CY 2023 Total Staffing Cost/Salaries]]/Table49[[#This Row],[CY 2023 Operating Expenses]]</f>
        <v>0.41831711812989247</v>
      </c>
      <c r="T9" s="46">
        <f>Table49[[#This Row],[CY 2023 Contract Services]]/Table49[[#This Row],[CY 2023 Operating Expenses]]</f>
        <v>9.1195020541094587E-2</v>
      </c>
      <c r="U9" s="81">
        <v>483908000</v>
      </c>
    </row>
    <row r="10" spans="1:21" x14ac:dyDescent="0.2">
      <c r="A10" s="50">
        <v>9</v>
      </c>
      <c r="B10" s="11" t="s">
        <v>10</v>
      </c>
      <c r="C10" s="11" t="s">
        <v>69</v>
      </c>
      <c r="D10" s="11" t="s">
        <v>176</v>
      </c>
      <c r="E10" s="11" t="s">
        <v>170</v>
      </c>
      <c r="F10" s="11" t="s">
        <v>171</v>
      </c>
      <c r="G10" s="35">
        <v>135068000</v>
      </c>
      <c r="H10" s="35">
        <v>39274000</v>
      </c>
      <c r="I10" s="46">
        <v>0.37440990827417403</v>
      </c>
      <c r="J10" s="46">
        <v>0.10886793864986459</v>
      </c>
      <c r="K10" s="81">
        <v>360749000</v>
      </c>
      <c r="L10" s="35">
        <v>146896000</v>
      </c>
      <c r="M10" s="35">
        <v>43100000</v>
      </c>
      <c r="N10" s="46">
        <v>0.39544938163923482</v>
      </c>
      <c r="O10" s="46">
        <v>0.11602676961013929</v>
      </c>
      <c r="P10" s="81">
        <v>371466000</v>
      </c>
      <c r="Q10" s="81">
        <v>151668000</v>
      </c>
      <c r="R10" s="81">
        <v>45989000</v>
      </c>
      <c r="S10" s="46">
        <f>Table49[[#This Row],[CY 2023 Total Staffing Cost/Salaries]]/Table49[[#This Row],[CY 2023 Operating Expenses]]</f>
        <v>0.38374228937793814</v>
      </c>
      <c r="T10" s="46">
        <f>Table49[[#This Row],[CY 2023 Contract Services]]/Table49[[#This Row],[CY 2023 Operating Expenses]]</f>
        <v>0.11635891648997809</v>
      </c>
      <c r="U10" s="81">
        <v>395234000</v>
      </c>
    </row>
    <row r="11" spans="1:21" x14ac:dyDescent="0.2">
      <c r="A11" s="50">
        <v>10</v>
      </c>
      <c r="B11" s="11" t="s">
        <v>40</v>
      </c>
      <c r="C11" s="11" t="s">
        <v>78</v>
      </c>
      <c r="D11" s="11" t="s">
        <v>182</v>
      </c>
      <c r="E11" s="11" t="s">
        <v>181</v>
      </c>
      <c r="F11" s="11" t="s">
        <v>171</v>
      </c>
      <c r="G11" s="35">
        <v>167086000</v>
      </c>
      <c r="H11" s="35">
        <v>11303000</v>
      </c>
      <c r="I11" s="46">
        <v>0.38983042938601814</v>
      </c>
      <c r="J11" s="46">
        <v>2.6371170195888121E-2</v>
      </c>
      <c r="K11" s="81">
        <v>428612000</v>
      </c>
      <c r="L11" s="35">
        <v>174128000</v>
      </c>
      <c r="M11" s="35">
        <v>21785000</v>
      </c>
      <c r="N11" s="46">
        <v>0.35463228854809475</v>
      </c>
      <c r="O11" s="46">
        <v>4.4367731818089243E-2</v>
      </c>
      <c r="P11" s="81">
        <v>491010000</v>
      </c>
      <c r="Q11" s="81">
        <v>190449000</v>
      </c>
      <c r="R11" s="81">
        <v>31146000</v>
      </c>
      <c r="S11" s="46">
        <f>Table49[[#This Row],[CY 2023 Total Staffing Cost/Salaries]]/Table49[[#This Row],[CY 2023 Operating Expenses]]</f>
        <v>0.35572810238747204</v>
      </c>
      <c r="T11" s="46">
        <f>Table49[[#This Row],[CY 2023 Contract Services]]/Table49[[#This Row],[CY 2023 Operating Expenses]]</f>
        <v>5.8175718837905184E-2</v>
      </c>
      <c r="U11" s="81">
        <v>535378000</v>
      </c>
    </row>
    <row r="12" spans="1:21" x14ac:dyDescent="0.2">
      <c r="A12" s="50">
        <v>11</v>
      </c>
      <c r="B12" s="11" t="s">
        <v>4</v>
      </c>
      <c r="C12" s="11" t="s">
        <v>73</v>
      </c>
      <c r="D12" s="11" t="s">
        <v>174</v>
      </c>
      <c r="E12" s="11" t="s">
        <v>167</v>
      </c>
      <c r="F12" s="11" t="s">
        <v>168</v>
      </c>
      <c r="G12" s="35">
        <v>62177000</v>
      </c>
      <c r="H12" s="35">
        <v>20543000</v>
      </c>
      <c r="I12" s="46">
        <v>0.41328175370728565</v>
      </c>
      <c r="J12" s="46">
        <v>0.13654642498687244</v>
      </c>
      <c r="K12" s="81">
        <v>150447000</v>
      </c>
      <c r="L12" s="35">
        <v>66142000</v>
      </c>
      <c r="M12" s="35">
        <v>21720000</v>
      </c>
      <c r="N12" s="46">
        <v>0.46898576209654547</v>
      </c>
      <c r="O12" s="46">
        <v>0.15400760111180442</v>
      </c>
      <c r="P12" s="81">
        <v>141032000</v>
      </c>
      <c r="Q12" s="81">
        <v>63571000</v>
      </c>
      <c r="R12" s="81">
        <v>19381000</v>
      </c>
      <c r="S12" s="46">
        <f>Table49[[#This Row],[CY 2023 Total Staffing Cost/Salaries]]/Table49[[#This Row],[CY 2023 Operating Expenses]]</f>
        <v>0.43223819301848049</v>
      </c>
      <c r="T12" s="46">
        <f>Table49[[#This Row],[CY 2023 Contract Services]]/Table49[[#This Row],[CY 2023 Operating Expenses]]</f>
        <v>0.13177720059289882</v>
      </c>
      <c r="U12" s="81">
        <v>147074000</v>
      </c>
    </row>
    <row r="13" spans="1:21" x14ac:dyDescent="0.2">
      <c r="A13" s="50">
        <v>12</v>
      </c>
      <c r="B13" s="11" t="s">
        <v>62</v>
      </c>
      <c r="C13" s="11" t="s">
        <v>73</v>
      </c>
      <c r="D13" s="11" t="s">
        <v>169</v>
      </c>
      <c r="E13" s="11" t="s">
        <v>170</v>
      </c>
      <c r="F13" s="11" t="s">
        <v>171</v>
      </c>
      <c r="G13" s="35">
        <v>295635000</v>
      </c>
      <c r="H13" s="35">
        <v>88455000</v>
      </c>
      <c r="I13" s="46">
        <v>0.37497241311081175</v>
      </c>
      <c r="J13" s="46">
        <v>0.11219302451237795</v>
      </c>
      <c r="K13" s="81">
        <v>788418000</v>
      </c>
      <c r="L13" s="35">
        <v>322815000</v>
      </c>
      <c r="M13" s="35">
        <v>108913000</v>
      </c>
      <c r="N13" s="46">
        <v>0.41087129176615533</v>
      </c>
      <c r="O13" s="46">
        <v>0.13862188869825529</v>
      </c>
      <c r="P13" s="81">
        <v>785684000</v>
      </c>
      <c r="Q13" s="81">
        <v>338272000</v>
      </c>
      <c r="R13" s="81">
        <v>133660000</v>
      </c>
      <c r="S13" s="46">
        <f>Table49[[#This Row],[CY 2023 Total Staffing Cost/Salaries]]/Table49[[#This Row],[CY 2023 Operating Expenses]]</f>
        <v>0.40272921332128497</v>
      </c>
      <c r="T13" s="46">
        <f>Table49[[#This Row],[CY 2023 Contract Services]]/Table49[[#This Row],[CY 2023 Operating Expenses]]</f>
        <v>0.15912870900495149</v>
      </c>
      <c r="U13" s="81">
        <v>839949000</v>
      </c>
    </row>
    <row r="14" spans="1:21" x14ac:dyDescent="0.2">
      <c r="A14" s="50">
        <v>14</v>
      </c>
      <c r="B14" s="11" t="s">
        <v>12</v>
      </c>
      <c r="C14" s="11" t="s">
        <v>73</v>
      </c>
      <c r="D14" s="11" t="s">
        <v>173</v>
      </c>
      <c r="E14" s="11" t="s">
        <v>167</v>
      </c>
      <c r="F14" s="11" t="s">
        <v>171</v>
      </c>
      <c r="G14" s="35">
        <v>530355000</v>
      </c>
      <c r="H14" s="35">
        <v>42410000</v>
      </c>
      <c r="I14" s="46">
        <v>0.41947646413978673</v>
      </c>
      <c r="J14" s="46">
        <v>3.3543563922595915E-2</v>
      </c>
      <c r="K14" s="81">
        <v>1264326000</v>
      </c>
      <c r="L14" s="35">
        <v>582704000</v>
      </c>
      <c r="M14" s="35">
        <v>60620000</v>
      </c>
      <c r="N14" s="46">
        <v>0.41340862185538108</v>
      </c>
      <c r="O14" s="46">
        <v>4.3007823280556162E-2</v>
      </c>
      <c r="P14" s="81">
        <v>1409511000</v>
      </c>
      <c r="Q14" s="81">
        <v>650192000</v>
      </c>
      <c r="R14" s="81">
        <v>70100000</v>
      </c>
      <c r="S14" s="46">
        <f>Table49[[#This Row],[CY 2023 Total Staffing Cost/Salaries]]/Table49[[#This Row],[CY 2023 Operating Expenses]]</f>
        <v>0.42123048497169518</v>
      </c>
      <c r="T14" s="46">
        <f>Table49[[#This Row],[CY 2023 Contract Services]]/Table49[[#This Row],[CY 2023 Operating Expenses]]</f>
        <v>4.5414672891262629E-2</v>
      </c>
      <c r="U14" s="81">
        <v>1543554000</v>
      </c>
    </row>
    <row r="15" spans="1:21" x14ac:dyDescent="0.2">
      <c r="A15" s="50">
        <v>15</v>
      </c>
      <c r="B15" s="11" t="s">
        <v>34</v>
      </c>
      <c r="C15" s="11" t="s">
        <v>67</v>
      </c>
      <c r="D15" s="11" t="s">
        <v>184</v>
      </c>
      <c r="E15" s="11" t="s">
        <v>170</v>
      </c>
      <c r="F15" s="11" t="s">
        <v>171</v>
      </c>
      <c r="G15" s="35">
        <v>446186000</v>
      </c>
      <c r="H15" s="35">
        <v>22255000</v>
      </c>
      <c r="I15" s="46">
        <v>0.31360462648109388</v>
      </c>
      <c r="J15" s="46">
        <v>1.5642066228740356E-2</v>
      </c>
      <c r="K15" s="81">
        <v>1422766000</v>
      </c>
      <c r="L15" s="35">
        <v>587650000</v>
      </c>
      <c r="M15" s="35">
        <v>59726000</v>
      </c>
      <c r="N15" s="46">
        <v>0.38544106487071833</v>
      </c>
      <c r="O15" s="46">
        <v>3.9174428725378241E-2</v>
      </c>
      <c r="P15" s="81">
        <v>1524617000</v>
      </c>
      <c r="Q15" s="81">
        <v>657243000</v>
      </c>
      <c r="R15" s="81">
        <v>51572000</v>
      </c>
      <c r="S15" s="46">
        <f>Table49[[#This Row],[CY 2023 Total Staffing Cost/Salaries]]/Table49[[#This Row],[CY 2023 Operating Expenses]]</f>
        <v>0.39713383839909699</v>
      </c>
      <c r="T15" s="46">
        <f>Table49[[#This Row],[CY 2023 Contract Services]]/Table49[[#This Row],[CY 2023 Operating Expenses]]</f>
        <v>3.1161969490611893E-2</v>
      </c>
      <c r="U15" s="81">
        <v>1654966000</v>
      </c>
    </row>
    <row r="16" spans="1:21" x14ac:dyDescent="0.2">
      <c r="A16" s="50">
        <v>16</v>
      </c>
      <c r="B16" s="11" t="s">
        <v>9</v>
      </c>
      <c r="C16" s="11" t="s">
        <v>71</v>
      </c>
      <c r="D16" s="11" t="s">
        <v>178</v>
      </c>
      <c r="E16" s="11" t="s">
        <v>170</v>
      </c>
      <c r="F16" s="11" t="s">
        <v>171</v>
      </c>
      <c r="G16" s="35">
        <v>59297000</v>
      </c>
      <c r="H16" s="35">
        <v>51080000</v>
      </c>
      <c r="I16" s="46">
        <v>0.321333737956149</v>
      </c>
      <c r="J16" s="46">
        <v>0.27680535836214465</v>
      </c>
      <c r="K16" s="81">
        <v>184534000</v>
      </c>
      <c r="L16" s="35">
        <v>59272000</v>
      </c>
      <c r="M16" s="35">
        <v>46481000</v>
      </c>
      <c r="N16" s="46">
        <v>0.33142288401429204</v>
      </c>
      <c r="O16" s="46">
        <v>0.25990125306836798</v>
      </c>
      <c r="P16" s="81">
        <v>178841000</v>
      </c>
      <c r="Q16" s="81">
        <v>66167000</v>
      </c>
      <c r="R16" s="81">
        <v>41516000</v>
      </c>
      <c r="S16" s="46">
        <f>Table49[[#This Row],[CY 2023 Total Staffing Cost/Salaries]]/Table49[[#This Row],[CY 2023 Operating Expenses]]</f>
        <v>0.3610632121185664</v>
      </c>
      <c r="T16" s="46">
        <f>Table49[[#This Row],[CY 2023 Contract Services]]/Table49[[#This Row],[CY 2023 Operating Expenses]]</f>
        <v>0.22654647051119745</v>
      </c>
      <c r="U16" s="81">
        <v>183256000</v>
      </c>
    </row>
    <row r="17" spans="1:21" x14ac:dyDescent="0.2">
      <c r="A17" s="50">
        <v>17</v>
      </c>
      <c r="B17" s="11" t="s">
        <v>8</v>
      </c>
      <c r="C17" s="11" t="s">
        <v>67</v>
      </c>
      <c r="D17" s="11" t="s">
        <v>184</v>
      </c>
      <c r="E17" s="11" t="s">
        <v>170</v>
      </c>
      <c r="F17" s="11" t="s">
        <v>171</v>
      </c>
      <c r="G17" s="35">
        <v>86978000</v>
      </c>
      <c r="H17" s="35">
        <v>3788000</v>
      </c>
      <c r="I17" s="46">
        <v>0.39088952106169078</v>
      </c>
      <c r="J17" s="46">
        <v>1.7023724456548605E-2</v>
      </c>
      <c r="K17" s="81">
        <v>222513000</v>
      </c>
      <c r="L17" s="35">
        <v>108056000</v>
      </c>
      <c r="M17" s="35">
        <v>11814000</v>
      </c>
      <c r="N17" s="46">
        <v>0.44817174331408854</v>
      </c>
      <c r="O17" s="46">
        <v>4.8999601831574757E-2</v>
      </c>
      <c r="P17" s="81">
        <v>241104000</v>
      </c>
      <c r="Q17" s="81">
        <v>122485000</v>
      </c>
      <c r="R17" s="81">
        <v>9176000</v>
      </c>
      <c r="S17" s="46">
        <f>Table49[[#This Row],[CY 2023 Total Staffing Cost/Salaries]]/Table49[[#This Row],[CY 2023 Operating Expenses]]</f>
        <v>0.47121939584198946</v>
      </c>
      <c r="T17" s="46">
        <f>Table49[[#This Row],[CY 2023 Contract Services]]/Table49[[#This Row],[CY 2023 Operating Expenses]]</f>
        <v>3.5301540402874601E-2</v>
      </c>
      <c r="U17" s="81">
        <v>259932000</v>
      </c>
    </row>
    <row r="18" spans="1:21" x14ac:dyDescent="0.2">
      <c r="A18" s="50">
        <v>19</v>
      </c>
      <c r="B18" s="11" t="s">
        <v>56</v>
      </c>
      <c r="C18" s="11" t="s">
        <v>77</v>
      </c>
      <c r="D18" s="11" t="s">
        <v>186</v>
      </c>
      <c r="E18" s="11" t="s">
        <v>170</v>
      </c>
      <c r="F18" s="11" t="s">
        <v>171</v>
      </c>
      <c r="G18" s="35">
        <v>402271000</v>
      </c>
      <c r="H18" s="35">
        <v>73428000</v>
      </c>
      <c r="I18" s="46">
        <v>0.43968464588789258</v>
      </c>
      <c r="J18" s="46">
        <v>8.0257249909280501E-2</v>
      </c>
      <c r="K18" s="81">
        <v>914908000</v>
      </c>
      <c r="L18" s="35">
        <v>415109000</v>
      </c>
      <c r="M18" s="35">
        <v>74766000</v>
      </c>
      <c r="N18" s="46">
        <v>0.4472366952392034</v>
      </c>
      <c r="O18" s="46">
        <v>8.0552574760494919E-2</v>
      </c>
      <c r="P18" s="81">
        <v>928164000</v>
      </c>
      <c r="Q18" s="81">
        <v>430641000</v>
      </c>
      <c r="R18" s="81">
        <v>85160000</v>
      </c>
      <c r="S18" s="46">
        <f>Table49[[#This Row],[CY 2023 Total Staffing Cost/Salaries]]/Table49[[#This Row],[CY 2023 Operating Expenses]]</f>
        <v>0.43131557756330902</v>
      </c>
      <c r="T18" s="46">
        <f>Table49[[#This Row],[CY 2023 Contract Services]]/Table49[[#This Row],[CY 2023 Operating Expenses]]</f>
        <v>8.5293398875841822E-2</v>
      </c>
      <c r="U18" s="81">
        <v>998436000</v>
      </c>
    </row>
    <row r="19" spans="1:21" x14ac:dyDescent="0.2">
      <c r="A19" s="50">
        <v>21</v>
      </c>
      <c r="B19" s="11" t="s">
        <v>55</v>
      </c>
      <c r="C19" s="11" t="s">
        <v>73</v>
      </c>
      <c r="D19" s="11" t="s">
        <v>180</v>
      </c>
      <c r="E19" s="11" t="s">
        <v>181</v>
      </c>
      <c r="F19" s="11" t="s">
        <v>171</v>
      </c>
      <c r="G19" s="35">
        <v>63076000</v>
      </c>
      <c r="H19" s="35">
        <v>31232000</v>
      </c>
      <c r="I19" s="46">
        <v>0.41601097473305149</v>
      </c>
      <c r="J19" s="46">
        <v>0.20598729727412429</v>
      </c>
      <c r="K19" s="81">
        <v>151621000</v>
      </c>
      <c r="L19" s="35">
        <v>72279000</v>
      </c>
      <c r="M19" s="35">
        <v>34911000</v>
      </c>
      <c r="N19" s="46">
        <v>0.47336468184318758</v>
      </c>
      <c r="O19" s="46">
        <v>0.2286367327692348</v>
      </c>
      <c r="P19" s="81">
        <v>152692000</v>
      </c>
      <c r="Q19" s="81">
        <v>0</v>
      </c>
      <c r="R19" s="81">
        <v>0</v>
      </c>
      <c r="S19" s="81">
        <v>0</v>
      </c>
      <c r="T19" s="46">
        <v>0</v>
      </c>
      <c r="U19" s="81">
        <v>0</v>
      </c>
    </row>
    <row r="20" spans="1:21" x14ac:dyDescent="0.2">
      <c r="A20" s="50">
        <v>24</v>
      </c>
      <c r="B20" s="11" t="s">
        <v>45</v>
      </c>
      <c r="C20" s="11" t="s">
        <v>69</v>
      </c>
      <c r="D20" s="11" t="s">
        <v>190</v>
      </c>
      <c r="E20" s="11" t="s">
        <v>170</v>
      </c>
      <c r="F20" s="11" t="s">
        <v>171</v>
      </c>
      <c r="G20" s="35">
        <v>57659000</v>
      </c>
      <c r="H20" s="35">
        <v>17911000</v>
      </c>
      <c r="I20" s="46">
        <v>0.40065735072371117</v>
      </c>
      <c r="J20" s="46">
        <v>0.124458866938594</v>
      </c>
      <c r="K20" s="81">
        <v>143911000</v>
      </c>
      <c r="L20" s="35">
        <v>61521000</v>
      </c>
      <c r="M20" s="35">
        <v>18292000</v>
      </c>
      <c r="N20" s="46">
        <v>0.41546347195397021</v>
      </c>
      <c r="O20" s="46">
        <v>0.12352949121408988</v>
      </c>
      <c r="P20" s="81">
        <v>148078000</v>
      </c>
      <c r="Q20" s="81">
        <v>62288000</v>
      </c>
      <c r="R20" s="81">
        <v>19340000</v>
      </c>
      <c r="S20" s="46">
        <f>Table49[[#This Row],[CY 2023 Total Staffing Cost/Salaries]]/Table49[[#This Row],[CY 2023 Operating Expenses]]</f>
        <v>0.45209943748865905</v>
      </c>
      <c r="T20" s="46">
        <f>Table49[[#This Row],[CY 2023 Contract Services]]/Table49[[#This Row],[CY 2023 Operating Expenses]]</f>
        <v>0.14037379785882781</v>
      </c>
      <c r="U20" s="81">
        <v>137775000</v>
      </c>
    </row>
    <row r="21" spans="1:21" x14ac:dyDescent="0.2">
      <c r="A21" s="50">
        <v>25</v>
      </c>
      <c r="B21" s="11" t="s">
        <v>2</v>
      </c>
      <c r="C21" s="11" t="s">
        <v>71</v>
      </c>
      <c r="D21" s="11" t="s">
        <v>178</v>
      </c>
      <c r="E21" s="11" t="s">
        <v>170</v>
      </c>
      <c r="F21" s="11" t="s">
        <v>171</v>
      </c>
      <c r="G21" s="35">
        <v>54687000</v>
      </c>
      <c r="H21" s="35">
        <v>51668000</v>
      </c>
      <c r="I21" s="46">
        <v>0.34630655732514326</v>
      </c>
      <c r="J21" s="46">
        <v>0.32718867745306018</v>
      </c>
      <c r="K21" s="81">
        <v>157915000</v>
      </c>
      <c r="L21" s="35">
        <v>55931000</v>
      </c>
      <c r="M21" s="35">
        <v>55700000</v>
      </c>
      <c r="N21" s="46">
        <v>0.31424734807623156</v>
      </c>
      <c r="O21" s="46">
        <v>0.31294947860481842</v>
      </c>
      <c r="P21" s="81">
        <v>177984000</v>
      </c>
      <c r="Q21" s="81">
        <v>60776000</v>
      </c>
      <c r="R21" s="81">
        <v>44813000</v>
      </c>
      <c r="S21" s="46">
        <f>Table49[[#This Row],[CY 2023 Total Staffing Cost/Salaries]]/Table49[[#This Row],[CY 2023 Operating Expenses]]</f>
        <v>0.37289321103169004</v>
      </c>
      <c r="T21" s="46">
        <f>Table49[[#This Row],[CY 2023 Contract Services]]/Table49[[#This Row],[CY 2023 Operating Expenses]]</f>
        <v>0.27495168267018438</v>
      </c>
      <c r="U21" s="81">
        <v>162985000</v>
      </c>
    </row>
    <row r="22" spans="1:21" x14ac:dyDescent="0.2">
      <c r="A22" s="50">
        <v>27</v>
      </c>
      <c r="B22" s="11" t="s">
        <v>60</v>
      </c>
      <c r="C22" s="11" t="s">
        <v>73</v>
      </c>
      <c r="D22" s="11" t="s">
        <v>190</v>
      </c>
      <c r="E22" s="11" t="s">
        <v>170</v>
      </c>
      <c r="F22" s="11" t="s">
        <v>171</v>
      </c>
      <c r="G22" s="35">
        <v>157800000</v>
      </c>
      <c r="H22" s="35">
        <v>8347000</v>
      </c>
      <c r="I22" s="46">
        <v>0.47435249981963784</v>
      </c>
      <c r="J22" s="46">
        <v>2.5091383498064113E-2</v>
      </c>
      <c r="K22" s="81">
        <v>332664000</v>
      </c>
      <c r="L22" s="35">
        <v>171286000</v>
      </c>
      <c r="M22" s="35">
        <v>48234000</v>
      </c>
      <c r="N22" s="46">
        <v>0.52358783269497067</v>
      </c>
      <c r="O22" s="46">
        <v>0.14744191307059079</v>
      </c>
      <c r="P22" s="81">
        <v>327139000</v>
      </c>
      <c r="Q22" s="81">
        <v>180688000</v>
      </c>
      <c r="R22" s="81">
        <v>40961000</v>
      </c>
      <c r="S22" s="46">
        <f>Table49[[#This Row],[CY 2023 Total Staffing Cost/Salaries]]/Table49[[#This Row],[CY 2023 Operating Expenses]]</f>
        <v>0.47786899119837506</v>
      </c>
      <c r="T22" s="46">
        <f>Table49[[#This Row],[CY 2023 Contract Services]]/Table49[[#This Row],[CY 2023 Operating Expenses]]</f>
        <v>0.10833033598510494</v>
      </c>
      <c r="U22" s="81">
        <v>378112000</v>
      </c>
    </row>
    <row r="23" spans="1:21" x14ac:dyDescent="0.2">
      <c r="A23" s="50">
        <v>28</v>
      </c>
      <c r="B23" s="11" t="s">
        <v>37</v>
      </c>
      <c r="C23" s="11" t="s">
        <v>67</v>
      </c>
      <c r="D23" s="11" t="s">
        <v>189</v>
      </c>
      <c r="E23" s="11" t="s">
        <v>170</v>
      </c>
      <c r="F23" s="11" t="s">
        <v>168</v>
      </c>
      <c r="G23" s="35">
        <v>79627000</v>
      </c>
      <c r="H23" s="35">
        <v>2015000</v>
      </c>
      <c r="I23" s="46">
        <v>0.41534264581616365</v>
      </c>
      <c r="J23" s="46">
        <v>1.0510447854616772E-2</v>
      </c>
      <c r="K23" s="81">
        <v>191714000</v>
      </c>
      <c r="L23" s="35">
        <v>98656000</v>
      </c>
      <c r="M23" s="35">
        <v>5402000</v>
      </c>
      <c r="N23" s="46">
        <v>0.48818336566248366</v>
      </c>
      <c r="O23" s="46">
        <v>2.6730929100193975E-2</v>
      </c>
      <c r="P23" s="81">
        <v>202088000</v>
      </c>
      <c r="Q23" s="81">
        <v>107053000</v>
      </c>
      <c r="R23" s="81">
        <v>3969000</v>
      </c>
      <c r="S23" s="46">
        <f>Table49[[#This Row],[CY 2023 Total Staffing Cost/Salaries]]/Table49[[#This Row],[CY 2023 Operating Expenses]]</f>
        <v>0.50568018101000944</v>
      </c>
      <c r="T23" s="46">
        <f>Table49[[#This Row],[CY 2023 Contract Services]]/Table49[[#This Row],[CY 2023 Operating Expenses]]</f>
        <v>1.8748140065469696E-2</v>
      </c>
      <c r="U23" s="81">
        <v>211701000</v>
      </c>
    </row>
    <row r="24" spans="1:21" x14ac:dyDescent="0.2">
      <c r="A24" s="50">
        <v>29</v>
      </c>
      <c r="B24" s="11" t="s">
        <v>115</v>
      </c>
      <c r="C24" s="11" t="s">
        <v>74</v>
      </c>
      <c r="D24" s="11" t="s">
        <v>173</v>
      </c>
      <c r="E24" s="11" t="s">
        <v>167</v>
      </c>
      <c r="F24" s="11" t="s">
        <v>171</v>
      </c>
      <c r="G24" s="35">
        <v>135020000</v>
      </c>
      <c r="H24" s="35">
        <v>27302000</v>
      </c>
      <c r="I24" s="46">
        <v>0.35638588498623497</v>
      </c>
      <c r="J24" s="46">
        <v>7.206374931042947E-2</v>
      </c>
      <c r="K24" s="81">
        <v>378859000</v>
      </c>
      <c r="L24" s="35">
        <v>160009000</v>
      </c>
      <c r="M24" s="35">
        <v>40669000</v>
      </c>
      <c r="N24" s="46">
        <v>0.36810842023654239</v>
      </c>
      <c r="O24" s="46">
        <v>9.3560995585247969E-2</v>
      </c>
      <c r="P24" s="81">
        <v>434679000</v>
      </c>
      <c r="Q24" s="81">
        <v>175219000</v>
      </c>
      <c r="R24" s="81">
        <v>31207000</v>
      </c>
      <c r="S24" s="46">
        <f>Table49[[#This Row],[CY 2023 Total Staffing Cost/Salaries]]/Table49[[#This Row],[CY 2023 Operating Expenses]]</f>
        <v>0.36775947108825691</v>
      </c>
      <c r="T24" s="46">
        <f>Table49[[#This Row],[CY 2023 Contract Services]]/Table49[[#This Row],[CY 2023 Operating Expenses]]</f>
        <v>6.5499003043341372E-2</v>
      </c>
      <c r="U24" s="81">
        <v>476450000</v>
      </c>
    </row>
    <row r="25" spans="1:21" x14ac:dyDescent="0.2">
      <c r="A25" s="50">
        <v>31</v>
      </c>
      <c r="B25" s="11" t="s">
        <v>13</v>
      </c>
      <c r="C25" s="11" t="s">
        <v>73</v>
      </c>
      <c r="D25" s="11" t="s">
        <v>172</v>
      </c>
      <c r="E25" s="11" t="s">
        <v>167</v>
      </c>
      <c r="F25" s="11" t="s">
        <v>171</v>
      </c>
      <c r="G25" s="35">
        <v>92052000</v>
      </c>
      <c r="H25" s="35">
        <v>1600000</v>
      </c>
      <c r="I25" s="46">
        <v>0.41893232603649933</v>
      </c>
      <c r="J25" s="46">
        <v>7.2816638601920537E-3</v>
      </c>
      <c r="K25" s="81">
        <v>219730000</v>
      </c>
      <c r="L25" s="35">
        <v>97030000</v>
      </c>
      <c r="M25" s="35">
        <v>4328000</v>
      </c>
      <c r="N25" s="46">
        <v>0.4340338352254936</v>
      </c>
      <c r="O25" s="46">
        <v>1.9359975665834653E-2</v>
      </c>
      <c r="P25" s="81">
        <v>223554000</v>
      </c>
      <c r="Q25" s="81">
        <v>102787000</v>
      </c>
      <c r="R25" s="81">
        <v>6199000</v>
      </c>
      <c r="S25" s="46">
        <f>Table49[[#This Row],[CY 2023 Total Staffing Cost/Salaries]]/Table49[[#This Row],[CY 2023 Operating Expenses]]</f>
        <v>0.41496400902701241</v>
      </c>
      <c r="T25" s="46">
        <f>Table49[[#This Row],[CY 2023 Contract Services]]/Table49[[#This Row],[CY 2023 Operating Expenses]]</f>
        <v>2.5026140386998841E-2</v>
      </c>
      <c r="U25" s="81">
        <v>247701000</v>
      </c>
    </row>
    <row r="26" spans="1:21" x14ac:dyDescent="0.2">
      <c r="A26" s="50">
        <v>34</v>
      </c>
      <c r="B26" s="11" t="s">
        <v>43</v>
      </c>
      <c r="C26" s="11" t="s">
        <v>72</v>
      </c>
      <c r="D26" s="11" t="s">
        <v>183</v>
      </c>
      <c r="E26" s="11" t="s">
        <v>181</v>
      </c>
      <c r="F26" s="11" t="s">
        <v>171</v>
      </c>
      <c r="G26" s="35">
        <v>149311000</v>
      </c>
      <c r="H26" s="35">
        <v>21862000</v>
      </c>
      <c r="I26" s="46">
        <v>0.42162288851112856</v>
      </c>
      <c r="J26" s="46">
        <v>6.1733694025425404E-2</v>
      </c>
      <c r="K26" s="81">
        <v>354134000</v>
      </c>
      <c r="L26" s="35">
        <v>145802000</v>
      </c>
      <c r="M26" s="35">
        <v>40312000</v>
      </c>
      <c r="N26" s="46">
        <v>0.40834262220703638</v>
      </c>
      <c r="O26" s="46">
        <v>0.11290042514101351</v>
      </c>
      <c r="P26" s="81">
        <v>357058000</v>
      </c>
      <c r="Q26" s="81">
        <v>167479000</v>
      </c>
      <c r="R26" s="81">
        <v>33586000</v>
      </c>
      <c r="S26" s="46">
        <f>Table49[[#This Row],[CY 2023 Total Staffing Cost/Salaries]]/Table49[[#This Row],[CY 2023 Operating Expenses]]</f>
        <v>0.43290321913594609</v>
      </c>
      <c r="T26" s="46">
        <f>Table49[[#This Row],[CY 2023 Contract Services]]/Table49[[#This Row],[CY 2023 Operating Expenses]]</f>
        <v>8.6813794672167169E-2</v>
      </c>
      <c r="U26" s="81">
        <v>386874000</v>
      </c>
    </row>
    <row r="27" spans="1:21" x14ac:dyDescent="0.2">
      <c r="A27" s="50">
        <v>37</v>
      </c>
      <c r="B27" s="11" t="s">
        <v>16</v>
      </c>
      <c r="C27" s="11" t="s">
        <v>72</v>
      </c>
      <c r="D27" s="11" t="s">
        <v>169</v>
      </c>
      <c r="E27" s="11" t="s">
        <v>170</v>
      </c>
      <c r="F27" s="11" t="s">
        <v>171</v>
      </c>
      <c r="G27" s="35">
        <v>40395000</v>
      </c>
      <c r="H27" s="35">
        <v>21080000</v>
      </c>
      <c r="I27" s="46">
        <v>0.3456936980111594</v>
      </c>
      <c r="J27" s="46">
        <v>0.18039913737034882</v>
      </c>
      <c r="K27" s="81">
        <v>116852000</v>
      </c>
      <c r="L27" s="35">
        <v>42170000</v>
      </c>
      <c r="M27" s="35">
        <v>19491000</v>
      </c>
      <c r="N27" s="46">
        <v>0.33476756001524199</v>
      </c>
      <c r="O27" s="46">
        <v>0.15472977264067064</v>
      </c>
      <c r="P27" s="81">
        <v>125968000</v>
      </c>
      <c r="Q27" s="81">
        <v>45006000</v>
      </c>
      <c r="R27" s="81">
        <v>17881000</v>
      </c>
      <c r="S27" s="46">
        <f>Table49[[#This Row],[CY 2023 Total Staffing Cost/Salaries]]/Table49[[#This Row],[CY 2023 Operating Expenses]]</f>
        <v>0.3418480118491512</v>
      </c>
      <c r="T27" s="46">
        <f>Table49[[#This Row],[CY 2023 Contract Services]]/Table49[[#This Row],[CY 2023 Operating Expenses]]</f>
        <v>0.13581709771751926</v>
      </c>
      <c r="U27" s="81">
        <v>131655000</v>
      </c>
    </row>
    <row r="28" spans="1:21" x14ac:dyDescent="0.2">
      <c r="A28" s="50">
        <v>38</v>
      </c>
      <c r="B28" s="11" t="s">
        <v>46</v>
      </c>
      <c r="C28" s="11" t="s">
        <v>69</v>
      </c>
      <c r="D28" s="11" t="s">
        <v>182</v>
      </c>
      <c r="E28" s="11" t="s">
        <v>181</v>
      </c>
      <c r="F28" s="11" t="s">
        <v>171</v>
      </c>
      <c r="G28" s="35">
        <v>571492000</v>
      </c>
      <c r="H28" s="35">
        <v>58311000</v>
      </c>
      <c r="I28" s="46">
        <v>0.41573848628334775</v>
      </c>
      <c r="J28" s="46">
        <v>4.2419013518418966E-2</v>
      </c>
      <c r="K28" s="81">
        <v>1374643000</v>
      </c>
      <c r="L28" s="35">
        <v>638474000</v>
      </c>
      <c r="M28" s="35">
        <v>97309000</v>
      </c>
      <c r="N28" s="46">
        <v>0.43508902481573553</v>
      </c>
      <c r="O28" s="46">
        <v>6.6311357887391509E-2</v>
      </c>
      <c r="P28" s="81">
        <v>1467456000</v>
      </c>
      <c r="Q28" s="81">
        <v>598298000</v>
      </c>
      <c r="R28" s="81">
        <v>406028000</v>
      </c>
      <c r="S28" s="46">
        <f>Table49[[#This Row],[CY 2023 Total Staffing Cost/Salaries]]/Table49[[#This Row],[CY 2023 Operating Expenses]]</f>
        <v>0.32778261415041671</v>
      </c>
      <c r="T28" s="46">
        <f>Table49[[#This Row],[CY 2023 Contract Services]]/Table49[[#This Row],[CY 2023 Operating Expenses]]</f>
        <v>0.22244587021562065</v>
      </c>
      <c r="U28" s="81">
        <v>1825289000</v>
      </c>
    </row>
    <row r="29" spans="1:21" x14ac:dyDescent="0.2">
      <c r="A29" s="50">
        <v>40</v>
      </c>
      <c r="B29" s="11" t="s">
        <v>20</v>
      </c>
      <c r="C29" s="11" t="s">
        <v>71</v>
      </c>
      <c r="D29" s="11" t="s">
        <v>178</v>
      </c>
      <c r="E29" s="11" t="s">
        <v>170</v>
      </c>
      <c r="F29" s="11" t="s">
        <v>171</v>
      </c>
      <c r="G29" s="35">
        <v>64110000</v>
      </c>
      <c r="H29" s="35">
        <v>40745000</v>
      </c>
      <c r="I29" s="46">
        <v>0.34242953514830066</v>
      </c>
      <c r="J29" s="46">
        <v>0.21763050085193433</v>
      </c>
      <c r="K29" s="81">
        <v>187221000</v>
      </c>
      <c r="L29" s="35">
        <v>65435000</v>
      </c>
      <c r="M29" s="35">
        <v>46807000</v>
      </c>
      <c r="N29" s="46">
        <v>0.32876292492739934</v>
      </c>
      <c r="O29" s="46">
        <v>0.23517087532783343</v>
      </c>
      <c r="P29" s="81">
        <v>199034000</v>
      </c>
      <c r="Q29" s="81">
        <v>68578000</v>
      </c>
      <c r="R29" s="81">
        <v>42050000</v>
      </c>
      <c r="S29" s="46">
        <f>Table49[[#This Row],[CY 2023 Total Staffing Cost/Salaries]]/Table49[[#This Row],[CY 2023 Operating Expenses]]</f>
        <v>0.36723983742014255</v>
      </c>
      <c r="T29" s="46">
        <f>Table49[[#This Row],[CY 2023 Contract Services]]/Table49[[#This Row],[CY 2023 Operating Expenses]]</f>
        <v>0.2251805996604887</v>
      </c>
      <c r="U29" s="81">
        <v>186739000</v>
      </c>
    </row>
    <row r="30" spans="1:21" x14ac:dyDescent="0.2">
      <c r="A30" s="50">
        <v>41</v>
      </c>
      <c r="B30" s="11" t="s">
        <v>11</v>
      </c>
      <c r="C30" s="11" t="s">
        <v>69</v>
      </c>
      <c r="D30" s="11" t="s">
        <v>185</v>
      </c>
      <c r="E30" s="11" t="s">
        <v>181</v>
      </c>
      <c r="F30" s="11" t="s">
        <v>171</v>
      </c>
      <c r="G30" s="35">
        <v>186525000</v>
      </c>
      <c r="H30" s="35">
        <v>45148000</v>
      </c>
      <c r="I30" s="46">
        <v>0.39014702283466052</v>
      </c>
      <c r="J30" s="46">
        <v>9.443429988976948E-2</v>
      </c>
      <c r="K30" s="81">
        <v>478089000</v>
      </c>
      <c r="L30" s="35">
        <v>214225000</v>
      </c>
      <c r="M30" s="35">
        <v>43485000</v>
      </c>
      <c r="N30" s="46">
        <v>0.42979870834679224</v>
      </c>
      <c r="O30" s="46">
        <v>8.7243770953251309E-2</v>
      </c>
      <c r="P30" s="81">
        <v>498431000</v>
      </c>
      <c r="Q30" s="81">
        <v>225282000</v>
      </c>
      <c r="R30" s="81">
        <v>43840000</v>
      </c>
      <c r="S30" s="46">
        <f>Table49[[#This Row],[CY 2023 Total Staffing Cost/Salaries]]/Table49[[#This Row],[CY 2023 Operating Expenses]]</f>
        <v>0.41697885509521132</v>
      </c>
      <c r="T30" s="46">
        <f>Table49[[#This Row],[CY 2023 Contract Services]]/Table49[[#This Row],[CY 2023 Operating Expenses]]</f>
        <v>8.1144312494447243E-2</v>
      </c>
      <c r="U30" s="81">
        <v>540272000</v>
      </c>
    </row>
    <row r="31" spans="1:21" x14ac:dyDescent="0.2">
      <c r="A31" s="50">
        <v>44</v>
      </c>
      <c r="B31" s="11" t="s">
        <v>6</v>
      </c>
      <c r="C31" s="11" t="s">
        <v>70</v>
      </c>
      <c r="D31" s="11" t="s">
        <v>180</v>
      </c>
      <c r="E31" s="11" t="s">
        <v>181</v>
      </c>
      <c r="F31" s="11" t="s">
        <v>171</v>
      </c>
      <c r="G31" s="35">
        <v>288012000</v>
      </c>
      <c r="H31" s="35">
        <v>39820000</v>
      </c>
      <c r="I31" s="46">
        <v>0.45681965257775126</v>
      </c>
      <c r="J31" s="46">
        <v>6.3159030060018523E-2</v>
      </c>
      <c r="K31" s="81">
        <v>630472000</v>
      </c>
      <c r="L31" s="35">
        <v>333482000</v>
      </c>
      <c r="M31" s="35">
        <v>60526000</v>
      </c>
      <c r="N31" s="46">
        <v>0.45021330597256726</v>
      </c>
      <c r="O31" s="46">
        <v>8.1712387946862516E-2</v>
      </c>
      <c r="P31" s="81">
        <v>740720000</v>
      </c>
      <c r="Q31" s="81">
        <v>362971000</v>
      </c>
      <c r="R31" s="81">
        <v>50230000</v>
      </c>
      <c r="S31" s="46">
        <f>Table49[[#This Row],[CY 2023 Total Staffing Cost/Salaries]]/Table49[[#This Row],[CY 2023 Operating Expenses]]</f>
        <v>0.45924477931082475</v>
      </c>
      <c r="T31" s="46">
        <f>Table49[[#This Row],[CY 2023 Contract Services]]/Table49[[#This Row],[CY 2023 Operating Expenses]]</f>
        <v>6.3552915425151665E-2</v>
      </c>
      <c r="U31" s="81">
        <v>790365000</v>
      </c>
    </row>
    <row r="32" spans="1:21" s="6" customFormat="1" x14ac:dyDescent="0.2">
      <c r="A32" s="50">
        <v>45</v>
      </c>
      <c r="B32" s="11" t="s">
        <v>14</v>
      </c>
      <c r="C32" s="11" t="s">
        <v>73</v>
      </c>
      <c r="D32" s="11" t="s">
        <v>169</v>
      </c>
      <c r="E32" s="11" t="s">
        <v>170</v>
      </c>
      <c r="F32" s="11" t="s">
        <v>171</v>
      </c>
      <c r="G32" s="35">
        <v>230658000</v>
      </c>
      <c r="H32" s="35">
        <v>80212000</v>
      </c>
      <c r="I32" s="46">
        <v>0.26136498839110583</v>
      </c>
      <c r="J32" s="46">
        <v>9.0890445806464035E-2</v>
      </c>
      <c r="K32" s="81">
        <v>882513000</v>
      </c>
      <c r="L32" s="35">
        <v>243136000</v>
      </c>
      <c r="M32" s="35">
        <v>95515000</v>
      </c>
      <c r="N32" s="46">
        <v>0.25154099066197938</v>
      </c>
      <c r="O32" s="46">
        <v>9.8816866786814631E-2</v>
      </c>
      <c r="P32" s="81">
        <v>966586000</v>
      </c>
      <c r="Q32" s="81">
        <v>268705000</v>
      </c>
      <c r="R32" s="81">
        <v>92834000</v>
      </c>
      <c r="S32" s="46">
        <f>Table49[[#This Row],[CY 2023 Total Staffing Cost/Salaries]]/Table49[[#This Row],[CY 2023 Operating Expenses]]</f>
        <v>0.24794025184798324</v>
      </c>
      <c r="T32" s="46">
        <f>Table49[[#This Row],[CY 2023 Contract Services]]/Table49[[#This Row],[CY 2023 Operating Expenses]]</f>
        <v>8.5660055972369989E-2</v>
      </c>
      <c r="U32" s="81">
        <v>1083749000</v>
      </c>
    </row>
    <row r="33" spans="1:21" x14ac:dyDescent="0.2">
      <c r="A33" s="50">
        <v>47</v>
      </c>
      <c r="B33" s="11" t="s">
        <v>53</v>
      </c>
      <c r="C33" s="11" t="s">
        <v>73</v>
      </c>
      <c r="D33" s="11" t="s">
        <v>166</v>
      </c>
      <c r="E33" s="11" t="s">
        <v>167</v>
      </c>
      <c r="F33" s="11" t="s">
        <v>168</v>
      </c>
      <c r="G33" s="35">
        <v>79299000</v>
      </c>
      <c r="H33" s="35">
        <v>37024000</v>
      </c>
      <c r="I33" s="46">
        <v>0.38827901602099574</v>
      </c>
      <c r="J33" s="46">
        <v>0.18128402992674997</v>
      </c>
      <c r="K33" s="81">
        <v>204232000</v>
      </c>
      <c r="L33" s="35">
        <v>81698000</v>
      </c>
      <c r="M33" s="35">
        <v>38448000</v>
      </c>
      <c r="N33" s="46">
        <v>0.38851637325115795</v>
      </c>
      <c r="O33" s="46">
        <v>0.18284018603589466</v>
      </c>
      <c r="P33" s="81">
        <v>210282000</v>
      </c>
      <c r="Q33" s="81">
        <v>90339000</v>
      </c>
      <c r="R33" s="81">
        <v>37941000</v>
      </c>
      <c r="S33" s="46">
        <f>Table49[[#This Row],[CY 2023 Total Staffing Cost/Salaries]]/Table49[[#This Row],[CY 2023 Operating Expenses]]</f>
        <v>0.42028108993296082</v>
      </c>
      <c r="T33" s="46">
        <f>Table49[[#This Row],[CY 2023 Contract Services]]/Table49[[#This Row],[CY 2023 Operating Expenses]]</f>
        <v>0.17651163764427841</v>
      </c>
      <c r="U33" s="81">
        <v>214949000</v>
      </c>
    </row>
    <row r="34" spans="1:21" x14ac:dyDescent="0.2">
      <c r="A34" s="50">
        <v>48</v>
      </c>
      <c r="B34" s="11" t="s">
        <v>47</v>
      </c>
      <c r="C34" s="11" t="s">
        <v>69</v>
      </c>
      <c r="D34" s="11" t="s">
        <v>188</v>
      </c>
      <c r="E34" s="11" t="s">
        <v>181</v>
      </c>
      <c r="F34" s="11" t="s">
        <v>171</v>
      </c>
      <c r="G34" s="35">
        <v>165032000</v>
      </c>
      <c r="H34" s="35">
        <v>29846000</v>
      </c>
      <c r="I34" s="46">
        <v>0.44474507574022221</v>
      </c>
      <c r="J34" s="46">
        <v>8.0432046697262782E-2</v>
      </c>
      <c r="K34" s="81">
        <v>371071000</v>
      </c>
      <c r="L34" s="35">
        <v>177156000</v>
      </c>
      <c r="M34" s="35">
        <v>35516000</v>
      </c>
      <c r="N34" s="46">
        <v>0.46310935441370221</v>
      </c>
      <c r="O34" s="46">
        <v>9.2843549365288491E-2</v>
      </c>
      <c r="P34" s="81">
        <v>382536000</v>
      </c>
      <c r="Q34" s="81">
        <v>175913000</v>
      </c>
      <c r="R34" s="81">
        <v>38891000</v>
      </c>
      <c r="S34" s="46">
        <f>Table49[[#This Row],[CY 2023 Total Staffing Cost/Salaries]]/Table49[[#This Row],[CY 2023 Operating Expenses]]</f>
        <v>0.42571990716652186</v>
      </c>
      <c r="T34" s="46">
        <f>Table49[[#This Row],[CY 2023 Contract Services]]/Table49[[#This Row],[CY 2023 Operating Expenses]]</f>
        <v>9.4118529668718073E-2</v>
      </c>
      <c r="U34" s="81">
        <v>413213000</v>
      </c>
    </row>
    <row r="35" spans="1:21" x14ac:dyDescent="0.2">
      <c r="A35" s="50">
        <v>50</v>
      </c>
      <c r="B35" s="11" t="s">
        <v>48</v>
      </c>
      <c r="C35" s="11" t="s">
        <v>76</v>
      </c>
      <c r="D35" s="11" t="s">
        <v>184</v>
      </c>
      <c r="E35" s="11" t="s">
        <v>170</v>
      </c>
      <c r="F35" s="11" t="s">
        <v>171</v>
      </c>
      <c r="G35" s="35">
        <v>78004000</v>
      </c>
      <c r="H35" s="35">
        <v>4399000</v>
      </c>
      <c r="I35" s="46">
        <v>0.45910091462337999</v>
      </c>
      <c r="J35" s="46">
        <v>2.5890786670276507E-2</v>
      </c>
      <c r="K35" s="81">
        <v>169906000</v>
      </c>
      <c r="L35" s="35">
        <v>94936000</v>
      </c>
      <c r="M35" s="35">
        <v>10901000</v>
      </c>
      <c r="N35" s="46">
        <v>0.45756258374220415</v>
      </c>
      <c r="O35" s="46">
        <v>5.2539497402184283E-2</v>
      </c>
      <c r="P35" s="81">
        <v>207482000</v>
      </c>
      <c r="Q35" s="81">
        <v>98346000</v>
      </c>
      <c r="R35" s="81">
        <v>2769000</v>
      </c>
      <c r="S35" s="46">
        <f>Table49[[#This Row],[CY 2023 Total Staffing Cost/Salaries]]/Table49[[#This Row],[CY 2023 Operating Expenses]]</f>
        <v>0.45171069130392844</v>
      </c>
      <c r="T35" s="46">
        <f>Table49[[#This Row],[CY 2023 Contract Services]]/Table49[[#This Row],[CY 2023 Operating Expenses]]</f>
        <v>1.2718228542295344E-2</v>
      </c>
      <c r="U35" s="81">
        <v>217719000</v>
      </c>
    </row>
    <row r="36" spans="1:21" x14ac:dyDescent="0.2">
      <c r="A36" s="50">
        <v>51</v>
      </c>
      <c r="B36" s="11" t="s">
        <v>39</v>
      </c>
      <c r="C36" s="11" t="s">
        <v>67</v>
      </c>
      <c r="D36" s="11" t="s">
        <v>190</v>
      </c>
      <c r="E36" s="11" t="s">
        <v>170</v>
      </c>
      <c r="F36" s="11" t="s">
        <v>171</v>
      </c>
      <c r="G36" s="35">
        <v>269000000</v>
      </c>
      <c r="H36" s="35">
        <v>17259000</v>
      </c>
      <c r="I36" s="46">
        <v>0.36768273763718051</v>
      </c>
      <c r="J36" s="46">
        <v>2.3590469772788471E-2</v>
      </c>
      <c r="K36" s="81">
        <v>731609000</v>
      </c>
      <c r="L36" s="35">
        <v>340445000</v>
      </c>
      <c r="M36" s="35">
        <v>36440000</v>
      </c>
      <c r="N36" s="46">
        <v>0.42456118472330473</v>
      </c>
      <c r="O36" s="46">
        <v>4.5443491816056121E-2</v>
      </c>
      <c r="P36" s="81">
        <v>801875000</v>
      </c>
      <c r="Q36" s="81">
        <v>382187000</v>
      </c>
      <c r="R36" s="81">
        <v>26759000</v>
      </c>
      <c r="S36" s="46">
        <f>Table49[[#This Row],[CY 2023 Total Staffing Cost/Salaries]]/Table49[[#This Row],[CY 2023 Operating Expenses]]</f>
        <v>0.44059134857586857</v>
      </c>
      <c r="T36" s="46">
        <f>Table49[[#This Row],[CY 2023 Contract Services]]/Table49[[#This Row],[CY 2023 Operating Expenses]]</f>
        <v>3.0848207543798366E-2</v>
      </c>
      <c r="U36" s="81">
        <v>867441000</v>
      </c>
    </row>
    <row r="37" spans="1:21" x14ac:dyDescent="0.2">
      <c r="A37" s="50">
        <v>52</v>
      </c>
      <c r="B37" s="11" t="s">
        <v>38</v>
      </c>
      <c r="C37" s="11" t="s">
        <v>72</v>
      </c>
      <c r="D37" s="11" t="s">
        <v>185</v>
      </c>
      <c r="E37" s="11" t="s">
        <v>181</v>
      </c>
      <c r="F37" s="11" t="s">
        <v>171</v>
      </c>
      <c r="G37" s="35">
        <v>184439000</v>
      </c>
      <c r="H37" s="35">
        <v>45235000</v>
      </c>
      <c r="I37" s="46">
        <v>0.40998106127965289</v>
      </c>
      <c r="J37" s="46">
        <v>0.10055082334530711</v>
      </c>
      <c r="K37" s="81">
        <v>449872000</v>
      </c>
      <c r="L37" s="35">
        <v>210808000</v>
      </c>
      <c r="M37" s="35">
        <v>53802000</v>
      </c>
      <c r="N37" s="46">
        <v>0.42185899077868855</v>
      </c>
      <c r="O37" s="46">
        <v>0.107666015625</v>
      </c>
      <c r="P37" s="81">
        <v>499712000</v>
      </c>
      <c r="Q37" s="81">
        <v>226599000</v>
      </c>
      <c r="R37" s="81">
        <v>44716000</v>
      </c>
      <c r="S37" s="46">
        <f>Table49[[#This Row],[CY 2023 Total Staffing Cost/Salaries]]/Table49[[#This Row],[CY 2023 Operating Expenses]]</f>
        <v>0.41188060862626485</v>
      </c>
      <c r="T37" s="46">
        <f>Table49[[#This Row],[CY 2023 Contract Services]]/Table49[[#This Row],[CY 2023 Operating Expenses]]</f>
        <v>8.1278616831195458E-2</v>
      </c>
      <c r="U37" s="81">
        <v>550157000</v>
      </c>
    </row>
    <row r="38" spans="1:21" x14ac:dyDescent="0.2">
      <c r="A38" s="50">
        <v>54</v>
      </c>
      <c r="B38" s="11" t="s">
        <v>17</v>
      </c>
      <c r="C38" s="11" t="s">
        <v>72</v>
      </c>
      <c r="D38" s="11" t="s">
        <v>176</v>
      </c>
      <c r="E38" s="11" t="s">
        <v>170</v>
      </c>
      <c r="F38" s="11" t="s">
        <v>171</v>
      </c>
      <c r="G38" s="35">
        <v>94624000</v>
      </c>
      <c r="H38" s="35">
        <v>32190000</v>
      </c>
      <c r="I38" s="46">
        <v>0.39752805306871791</v>
      </c>
      <c r="J38" s="46">
        <v>0.13523448626439413</v>
      </c>
      <c r="K38" s="81">
        <v>238031000</v>
      </c>
      <c r="L38" s="35">
        <v>100212000</v>
      </c>
      <c r="M38" s="35">
        <v>40198000</v>
      </c>
      <c r="N38" s="46">
        <v>0.36873148744365741</v>
      </c>
      <c r="O38" s="46">
        <v>0.14790911599668843</v>
      </c>
      <c r="P38" s="81">
        <v>271775000</v>
      </c>
      <c r="Q38" s="81">
        <v>106898000</v>
      </c>
      <c r="R38" s="81">
        <v>37554000</v>
      </c>
      <c r="S38" s="46">
        <f>Table49[[#This Row],[CY 2023 Total Staffing Cost/Salaries]]/Table49[[#This Row],[CY 2023 Operating Expenses]]</f>
        <v>0.33981721370102519</v>
      </c>
      <c r="T38" s="46">
        <f>Table49[[#This Row],[CY 2023 Contract Services]]/Table49[[#This Row],[CY 2023 Operating Expenses]]</f>
        <v>0.11938011602956369</v>
      </c>
      <c r="U38" s="81">
        <v>314575000</v>
      </c>
    </row>
    <row r="39" spans="1:21" x14ac:dyDescent="0.2">
      <c r="A39" s="50">
        <v>57</v>
      </c>
      <c r="B39" s="11" t="s">
        <v>66</v>
      </c>
      <c r="C39" s="11" t="s">
        <v>74</v>
      </c>
      <c r="D39" s="11" t="s">
        <v>172</v>
      </c>
      <c r="E39" s="11" t="s">
        <v>167</v>
      </c>
      <c r="F39" s="11" t="s">
        <v>171</v>
      </c>
      <c r="G39" s="35">
        <v>125509000</v>
      </c>
      <c r="H39" s="35">
        <v>22012000</v>
      </c>
      <c r="I39" s="46">
        <v>0.36926249885992862</v>
      </c>
      <c r="J39" s="46">
        <v>6.4761938386129675E-2</v>
      </c>
      <c r="K39" s="81">
        <v>339891000</v>
      </c>
      <c r="L39" s="35">
        <v>146205000</v>
      </c>
      <c r="M39" s="35">
        <v>31144000</v>
      </c>
      <c r="N39" s="46">
        <v>0.40547511349864246</v>
      </c>
      <c r="O39" s="46">
        <v>8.6372674907162689E-2</v>
      </c>
      <c r="P39" s="81">
        <v>360577000</v>
      </c>
      <c r="Q39" s="81">
        <v>148462000</v>
      </c>
      <c r="R39" s="81">
        <v>27692000</v>
      </c>
      <c r="S39" s="46">
        <f>Table49[[#This Row],[CY 2023 Total Staffing Cost/Salaries]]/Table49[[#This Row],[CY 2023 Operating Expenses]]</f>
        <v>0.38637528855437836</v>
      </c>
      <c r="T39" s="46">
        <f>Table49[[#This Row],[CY 2023 Contract Services]]/Table49[[#This Row],[CY 2023 Operating Expenses]]</f>
        <v>7.2068977183709262E-2</v>
      </c>
      <c r="U39" s="81">
        <v>384243000</v>
      </c>
    </row>
    <row r="40" spans="1:21" x14ac:dyDescent="0.2">
      <c r="A40" s="50">
        <v>58</v>
      </c>
      <c r="B40" s="11" t="s">
        <v>35</v>
      </c>
      <c r="C40" s="11" t="s">
        <v>73</v>
      </c>
      <c r="D40" s="11" t="s">
        <v>169</v>
      </c>
      <c r="E40" s="11" t="s">
        <v>170</v>
      </c>
      <c r="F40" s="11" t="s">
        <v>171</v>
      </c>
      <c r="G40" s="35">
        <v>135772000</v>
      </c>
      <c r="H40" s="35">
        <v>16246000</v>
      </c>
      <c r="I40" s="46">
        <v>0.49025781757781467</v>
      </c>
      <c r="J40" s="46">
        <v>5.8662526178955732E-2</v>
      </c>
      <c r="K40" s="81">
        <v>276940000</v>
      </c>
      <c r="L40" s="35">
        <v>141346000</v>
      </c>
      <c r="M40" s="35">
        <v>22297000</v>
      </c>
      <c r="N40" s="46">
        <v>0.54226195043351488</v>
      </c>
      <c r="O40" s="46">
        <v>8.554055090923042E-2</v>
      </c>
      <c r="P40" s="81">
        <v>260660000</v>
      </c>
      <c r="Q40" s="81">
        <v>154682000</v>
      </c>
      <c r="R40" s="81">
        <v>29692000</v>
      </c>
      <c r="S40" s="46">
        <f>Table49[[#This Row],[CY 2023 Total Staffing Cost/Salaries]]/Table49[[#This Row],[CY 2023 Operating Expenses]]</f>
        <v>0.50022637311463536</v>
      </c>
      <c r="T40" s="46">
        <f>Table49[[#This Row],[CY 2023 Contract Services]]/Table49[[#This Row],[CY 2023 Operating Expenses]]</f>
        <v>9.6021007425038163E-2</v>
      </c>
      <c r="U40" s="81">
        <v>309224000</v>
      </c>
    </row>
    <row r="41" spans="1:21" x14ac:dyDescent="0.2">
      <c r="A41" s="50">
        <v>60</v>
      </c>
      <c r="B41" s="11" t="s">
        <v>58</v>
      </c>
      <c r="C41" s="11" t="s">
        <v>75</v>
      </c>
      <c r="D41" s="11" t="s">
        <v>191</v>
      </c>
      <c r="E41" s="11" t="s">
        <v>170</v>
      </c>
      <c r="F41" s="11" t="s">
        <v>168</v>
      </c>
      <c r="G41" s="35">
        <v>54047000</v>
      </c>
      <c r="H41" s="35">
        <v>4447000</v>
      </c>
      <c r="I41" s="46">
        <v>0.42973570383563386</v>
      </c>
      <c r="J41" s="46">
        <v>3.5358755804338143E-2</v>
      </c>
      <c r="K41" s="81">
        <v>125768000</v>
      </c>
      <c r="L41" s="35">
        <v>60497000</v>
      </c>
      <c r="M41" s="35">
        <v>8615000</v>
      </c>
      <c r="N41" s="46">
        <v>0.41573836733852404</v>
      </c>
      <c r="O41" s="46">
        <v>5.9202704838609919E-2</v>
      </c>
      <c r="P41" s="81">
        <v>145517000</v>
      </c>
      <c r="Q41" s="81">
        <v>62284000</v>
      </c>
      <c r="R41" s="81">
        <v>7209000</v>
      </c>
      <c r="S41" s="46">
        <f>Table49[[#This Row],[CY 2023 Total Staffing Cost/Salaries]]/Table49[[#This Row],[CY 2023 Operating Expenses]]</f>
        <v>0.42212989759195374</v>
      </c>
      <c r="T41" s="46">
        <f>Table49[[#This Row],[CY 2023 Contract Services]]/Table49[[#This Row],[CY 2023 Operating Expenses]]</f>
        <v>4.8859007638244085E-2</v>
      </c>
      <c r="U41" s="81">
        <v>147547000</v>
      </c>
    </row>
    <row r="42" spans="1:21" x14ac:dyDescent="0.2">
      <c r="A42" s="50">
        <v>61</v>
      </c>
      <c r="B42" s="11" t="s">
        <v>116</v>
      </c>
      <c r="C42" s="11" t="s">
        <v>74</v>
      </c>
      <c r="D42" s="11" t="s">
        <v>172</v>
      </c>
      <c r="E42" s="11" t="s">
        <v>167</v>
      </c>
      <c r="F42" s="11" t="s">
        <v>171</v>
      </c>
      <c r="G42" s="35">
        <v>42726000</v>
      </c>
      <c r="H42" s="35">
        <v>9655000</v>
      </c>
      <c r="I42" s="46">
        <v>0.40677094738044689</v>
      </c>
      <c r="J42" s="46">
        <v>9.1919990098727117E-2</v>
      </c>
      <c r="K42" s="81">
        <v>105037000</v>
      </c>
      <c r="L42" s="35">
        <v>51179000</v>
      </c>
      <c r="M42" s="35">
        <v>13483000</v>
      </c>
      <c r="N42" s="46">
        <v>0.44994505252978151</v>
      </c>
      <c r="O42" s="46">
        <v>0.11853707855290342</v>
      </c>
      <c r="P42" s="81">
        <v>113745000</v>
      </c>
      <c r="Q42" s="81">
        <v>53218000</v>
      </c>
      <c r="R42" s="81">
        <v>12717000</v>
      </c>
      <c r="S42" s="46">
        <f>Table49[[#This Row],[CY 2023 Total Staffing Cost/Salaries]]/Table49[[#This Row],[CY 2023 Operating Expenses]]</f>
        <v>0.42522012880131677</v>
      </c>
      <c r="T42" s="46">
        <f>Table49[[#This Row],[CY 2023 Contract Services]]/Table49[[#This Row],[CY 2023 Operating Expenses]]</f>
        <v>0.10161081547533439</v>
      </c>
      <c r="U42" s="81">
        <v>125154000</v>
      </c>
    </row>
    <row r="43" spans="1:21" x14ac:dyDescent="0.2">
      <c r="A43" s="50">
        <v>69</v>
      </c>
      <c r="B43" s="11" t="s">
        <v>24</v>
      </c>
      <c r="C43" s="11" t="s">
        <v>80</v>
      </c>
      <c r="D43" s="11" t="s">
        <v>187</v>
      </c>
      <c r="E43" s="11" t="s">
        <v>167</v>
      </c>
      <c r="F43" s="11" t="s">
        <v>168</v>
      </c>
      <c r="G43" s="35">
        <v>28952000</v>
      </c>
      <c r="H43" s="35">
        <v>6101000</v>
      </c>
      <c r="I43" s="46">
        <v>0.49935321409475847</v>
      </c>
      <c r="J43" s="46">
        <v>0.10522775487676572</v>
      </c>
      <c r="K43" s="81">
        <v>57979000</v>
      </c>
      <c r="L43" s="35">
        <v>31961000</v>
      </c>
      <c r="M43" s="35">
        <v>6203000</v>
      </c>
      <c r="N43" s="46">
        <v>0.54167514066842926</v>
      </c>
      <c r="O43" s="46">
        <v>0.10512846586672089</v>
      </c>
      <c r="P43" s="81">
        <v>59004000</v>
      </c>
      <c r="Q43" s="81">
        <v>31912000</v>
      </c>
      <c r="R43" s="81">
        <v>7777000</v>
      </c>
      <c r="S43" s="46">
        <f>Table49[[#This Row],[CY 2023 Total Staffing Cost/Salaries]]/Table49[[#This Row],[CY 2023 Operating Expenses]]</f>
        <v>0.51288150302952384</v>
      </c>
      <c r="T43" s="46">
        <f>Table49[[#This Row],[CY 2023 Contract Services]]/Table49[[#This Row],[CY 2023 Operating Expenses]]</f>
        <v>0.12498995515983349</v>
      </c>
      <c r="U43" s="81">
        <v>62221000</v>
      </c>
    </row>
    <row r="44" spans="1:21" x14ac:dyDescent="0.2">
      <c r="A44" s="50">
        <v>70</v>
      </c>
      <c r="B44" s="11" t="s">
        <v>51</v>
      </c>
      <c r="C44" s="11" t="s">
        <v>73</v>
      </c>
      <c r="D44" s="11" t="s">
        <v>182</v>
      </c>
      <c r="E44" s="11" t="s">
        <v>181</v>
      </c>
      <c r="F44" s="11" t="s">
        <v>171</v>
      </c>
      <c r="G44" s="35">
        <v>249635000</v>
      </c>
      <c r="H44" s="35">
        <v>31402000</v>
      </c>
      <c r="I44" s="46">
        <v>0.47751626885599624</v>
      </c>
      <c r="J44" s="46">
        <v>6.0067562139187188E-2</v>
      </c>
      <c r="K44" s="81">
        <v>522778000</v>
      </c>
      <c r="L44" s="35">
        <v>257621000</v>
      </c>
      <c r="M44" s="35">
        <v>36331000</v>
      </c>
      <c r="N44" s="46">
        <v>0.45825358426126861</v>
      </c>
      <c r="O44" s="46">
        <v>6.4625209007791104E-2</v>
      </c>
      <c r="P44" s="81">
        <v>562180000</v>
      </c>
      <c r="Q44" s="81">
        <v>293738000</v>
      </c>
      <c r="R44" s="81">
        <v>22545000</v>
      </c>
      <c r="S44" s="46">
        <f>Table49[[#This Row],[CY 2023 Total Staffing Cost/Salaries]]/Table49[[#This Row],[CY 2023 Operating Expenses]]</f>
        <v>0.49655146765479513</v>
      </c>
      <c r="T44" s="46">
        <f>Table49[[#This Row],[CY 2023 Contract Services]]/Table49[[#This Row],[CY 2023 Operating Expenses]]</f>
        <v>3.8111353785609481E-2</v>
      </c>
      <c r="U44" s="81">
        <v>591556000</v>
      </c>
    </row>
    <row r="45" spans="1:21" x14ac:dyDescent="0.2">
      <c r="A45" s="50">
        <v>73</v>
      </c>
      <c r="B45" s="11" t="s">
        <v>30</v>
      </c>
      <c r="C45" s="11" t="s">
        <v>72</v>
      </c>
      <c r="D45" s="11" t="s">
        <v>183</v>
      </c>
      <c r="E45" s="11" t="s">
        <v>181</v>
      </c>
      <c r="F45" s="11" t="s">
        <v>171</v>
      </c>
      <c r="G45" s="35">
        <v>461609000</v>
      </c>
      <c r="H45" s="35">
        <v>75217000</v>
      </c>
      <c r="I45" s="46">
        <v>0.41699511015917956</v>
      </c>
      <c r="J45" s="46">
        <v>6.794737797755894E-2</v>
      </c>
      <c r="K45" s="81">
        <v>1106989000</v>
      </c>
      <c r="L45" s="35">
        <v>442113000</v>
      </c>
      <c r="M45" s="35">
        <v>103774000</v>
      </c>
      <c r="N45" s="46">
        <v>0.39595033794948353</v>
      </c>
      <c r="O45" s="46">
        <v>9.2938570841322704E-2</v>
      </c>
      <c r="P45" s="81">
        <v>1116587000</v>
      </c>
      <c r="Q45" s="81">
        <v>569282000</v>
      </c>
      <c r="R45" s="81">
        <v>112067000</v>
      </c>
      <c r="S45" s="46">
        <f>Table49[[#This Row],[CY 2023 Total Staffing Cost/Salaries]]/Table49[[#This Row],[CY 2023 Operating Expenses]]</f>
        <v>0.42397228341577708</v>
      </c>
      <c r="T45" s="46">
        <f>Table49[[#This Row],[CY 2023 Contract Services]]/Table49[[#This Row],[CY 2023 Operating Expenses]]</f>
        <v>8.3461802561043366E-2</v>
      </c>
      <c r="U45" s="81">
        <v>1342734000</v>
      </c>
    </row>
    <row r="46" spans="1:21" x14ac:dyDescent="0.2">
      <c r="A46" s="50">
        <v>74</v>
      </c>
      <c r="B46" s="11" t="s">
        <v>29</v>
      </c>
      <c r="C46" s="11" t="s">
        <v>69</v>
      </c>
      <c r="D46" s="11" t="s">
        <v>178</v>
      </c>
      <c r="E46" s="11" t="s">
        <v>170</v>
      </c>
      <c r="F46" s="11" t="s">
        <v>171</v>
      </c>
      <c r="G46" s="35">
        <v>200740000</v>
      </c>
      <c r="H46" s="35">
        <v>38956000</v>
      </c>
      <c r="I46" s="46">
        <v>0.41271153162154883</v>
      </c>
      <c r="J46" s="46">
        <v>8.0091613160551245E-2</v>
      </c>
      <c r="K46" s="81">
        <v>486393000</v>
      </c>
      <c r="L46" s="35">
        <v>220844000</v>
      </c>
      <c r="M46" s="35">
        <v>54928000</v>
      </c>
      <c r="N46" s="46">
        <v>0.42510057554233799</v>
      </c>
      <c r="O46" s="46">
        <v>0.10573039979981136</v>
      </c>
      <c r="P46" s="81">
        <v>519510000</v>
      </c>
      <c r="Q46" s="81">
        <v>221750000</v>
      </c>
      <c r="R46" s="81">
        <v>57681000</v>
      </c>
      <c r="S46" s="46">
        <f>Table49[[#This Row],[CY 2023 Total Staffing Cost/Salaries]]/Table49[[#This Row],[CY 2023 Operating Expenses]]</f>
        <v>0.39043173739041942</v>
      </c>
      <c r="T46" s="46">
        <f>Table49[[#This Row],[CY 2023 Contract Services]]/Table49[[#This Row],[CY 2023 Operating Expenses]]</f>
        <v>0.10155802951258977</v>
      </c>
      <c r="U46" s="81">
        <v>567961000</v>
      </c>
    </row>
    <row r="47" spans="1:21" x14ac:dyDescent="0.2">
      <c r="A47" s="50">
        <v>75</v>
      </c>
      <c r="B47" s="11" t="s">
        <v>32</v>
      </c>
      <c r="C47" s="11" t="s">
        <v>69</v>
      </c>
      <c r="D47" s="11" t="s">
        <v>183</v>
      </c>
      <c r="E47" s="11" t="s">
        <v>181</v>
      </c>
      <c r="F47" s="11" t="s">
        <v>171</v>
      </c>
      <c r="G47" s="35">
        <v>197115000</v>
      </c>
      <c r="H47" s="35">
        <v>30446000</v>
      </c>
      <c r="I47" s="46">
        <v>0.43025809155439915</v>
      </c>
      <c r="J47" s="46">
        <v>6.6456829036172976E-2</v>
      </c>
      <c r="K47" s="81">
        <v>458132000</v>
      </c>
      <c r="L47" s="35">
        <v>216697000</v>
      </c>
      <c r="M47" s="35">
        <v>39126000</v>
      </c>
      <c r="N47" s="46">
        <v>0.43589078240159634</v>
      </c>
      <c r="O47" s="46">
        <v>7.8702809693926817E-2</v>
      </c>
      <c r="P47" s="81">
        <v>497136000</v>
      </c>
      <c r="Q47" s="81">
        <v>215013000</v>
      </c>
      <c r="R47" s="81">
        <v>41848000</v>
      </c>
      <c r="S47" s="46">
        <f>Table49[[#This Row],[CY 2023 Total Staffing Cost/Salaries]]/Table49[[#This Row],[CY 2023 Operating Expenses]]</f>
        <v>0.41490599570453535</v>
      </c>
      <c r="T47" s="46">
        <f>Table49[[#This Row],[CY 2023 Contract Services]]/Table49[[#This Row],[CY 2023 Operating Expenses]]</f>
        <v>8.0753192170907775E-2</v>
      </c>
      <c r="U47" s="81">
        <v>518221000</v>
      </c>
    </row>
    <row r="48" spans="1:21" x14ac:dyDescent="0.2">
      <c r="A48" s="50">
        <v>76</v>
      </c>
      <c r="B48" s="11" t="s">
        <v>222</v>
      </c>
      <c r="C48" s="11" t="s">
        <v>69</v>
      </c>
      <c r="D48" s="11" t="s">
        <v>176</v>
      </c>
      <c r="E48" s="11" t="s">
        <v>170</v>
      </c>
      <c r="F48" s="11" t="s">
        <v>171</v>
      </c>
      <c r="G48" s="35">
        <v>365968000</v>
      </c>
      <c r="H48" s="35">
        <v>110915000</v>
      </c>
      <c r="I48" s="46">
        <v>0.35991105682469715</v>
      </c>
      <c r="J48" s="46">
        <v>0.10907930438647993</v>
      </c>
      <c r="K48" s="81">
        <v>1016829000</v>
      </c>
      <c r="L48" s="35">
        <v>381918000</v>
      </c>
      <c r="M48" s="35">
        <v>125368000</v>
      </c>
      <c r="N48" s="46">
        <v>0.34164978924090944</v>
      </c>
      <c r="O48" s="46">
        <v>0.11214959959351048</v>
      </c>
      <c r="P48" s="81">
        <v>1117864000</v>
      </c>
      <c r="Q48" s="81">
        <v>382187000</v>
      </c>
      <c r="R48" s="81">
        <v>134947000</v>
      </c>
      <c r="S48" s="46">
        <f>Table49[[#This Row],[CY 2023 Total Staffing Cost/Salaries]]/Table49[[#This Row],[CY 2023 Operating Expenses]]</f>
        <v>0.31714368458481557</v>
      </c>
      <c r="T48" s="46">
        <f>Table49[[#This Row],[CY 2023 Contract Services]]/Table49[[#This Row],[CY 2023 Operating Expenses]]</f>
        <v>0.11198075498032929</v>
      </c>
      <c r="U48" s="81">
        <v>1205091000</v>
      </c>
    </row>
    <row r="49" spans="1:21" x14ac:dyDescent="0.2">
      <c r="A49" s="51">
        <v>81</v>
      </c>
      <c r="B49" s="15" t="s">
        <v>107</v>
      </c>
      <c r="C49" s="15" t="s">
        <v>80</v>
      </c>
      <c r="D49" s="15" t="s">
        <v>177</v>
      </c>
      <c r="E49" s="15" t="s">
        <v>167</v>
      </c>
      <c r="F49" s="15" t="s">
        <v>171</v>
      </c>
      <c r="G49" s="35">
        <v>0</v>
      </c>
      <c r="H49" s="35">
        <v>0</v>
      </c>
      <c r="I49" s="35">
        <v>0</v>
      </c>
      <c r="J49" s="46">
        <v>0</v>
      </c>
      <c r="K49" s="35">
        <v>0</v>
      </c>
      <c r="L49" s="35">
        <v>0</v>
      </c>
      <c r="M49" s="35">
        <v>0</v>
      </c>
      <c r="N49" s="46">
        <v>0</v>
      </c>
      <c r="O49" s="35">
        <v>0</v>
      </c>
      <c r="P49" s="35">
        <v>0</v>
      </c>
      <c r="Q49" s="35">
        <v>0</v>
      </c>
      <c r="R49" s="35">
        <v>0</v>
      </c>
      <c r="S49" s="35">
        <v>0</v>
      </c>
      <c r="T49" s="46">
        <v>0</v>
      </c>
      <c r="U49" s="35">
        <v>0</v>
      </c>
    </row>
    <row r="50" spans="1:21" x14ac:dyDescent="0.2">
      <c r="A50" s="50">
        <v>83</v>
      </c>
      <c r="B50" s="11" t="s">
        <v>221</v>
      </c>
      <c r="C50" s="11" t="s">
        <v>73</v>
      </c>
      <c r="D50" s="11" t="s">
        <v>176</v>
      </c>
      <c r="E50" s="11" t="s">
        <v>170</v>
      </c>
      <c r="F50" s="11" t="s">
        <v>171</v>
      </c>
      <c r="G50" s="35">
        <v>55774000</v>
      </c>
      <c r="H50" s="35">
        <v>11508000</v>
      </c>
      <c r="I50" s="46">
        <v>0.49419624661078526</v>
      </c>
      <c r="J50" s="46">
        <v>0.10196884580623439</v>
      </c>
      <c r="K50" s="81">
        <v>112858000</v>
      </c>
      <c r="L50" s="35">
        <v>62533000</v>
      </c>
      <c r="M50" s="35">
        <v>16764000</v>
      </c>
      <c r="N50" s="46">
        <v>0.53239964241624449</v>
      </c>
      <c r="O50" s="46">
        <v>0.14272700183048828</v>
      </c>
      <c r="P50" s="81">
        <v>117455000</v>
      </c>
      <c r="Q50" s="81">
        <v>57980000</v>
      </c>
      <c r="R50" s="81">
        <v>11933000</v>
      </c>
      <c r="S50" s="46">
        <f>Table49[[#This Row],[CY 2023 Total Staffing Cost/Salaries]]/Table49[[#This Row],[CY 2023 Operating Expenses]]</f>
        <v>0.53391040103135501</v>
      </c>
      <c r="T50" s="46">
        <f>Table49[[#This Row],[CY 2023 Contract Services]]/Table49[[#This Row],[CY 2023 Operating Expenses]]</f>
        <v>0.10988535383765367</v>
      </c>
      <c r="U50" s="81">
        <v>108595000</v>
      </c>
    </row>
    <row r="51" spans="1:21" x14ac:dyDescent="0.2">
      <c r="A51" s="50">
        <v>84</v>
      </c>
      <c r="B51" s="11" t="s">
        <v>33</v>
      </c>
      <c r="C51" s="11" t="s">
        <v>69</v>
      </c>
      <c r="D51" s="11" t="s">
        <v>185</v>
      </c>
      <c r="E51" s="11" t="s">
        <v>181</v>
      </c>
      <c r="F51" s="11" t="s">
        <v>171</v>
      </c>
      <c r="G51" s="35">
        <v>62635000</v>
      </c>
      <c r="H51" s="35">
        <v>11105000</v>
      </c>
      <c r="I51" s="46">
        <v>0.427805477767912</v>
      </c>
      <c r="J51" s="46">
        <v>7.58486442182911E-2</v>
      </c>
      <c r="K51" s="81">
        <v>146410000</v>
      </c>
      <c r="L51" s="35">
        <v>65122000</v>
      </c>
      <c r="M51" s="35">
        <v>13165000</v>
      </c>
      <c r="N51" s="46">
        <v>0.42797245077679347</v>
      </c>
      <c r="O51" s="46">
        <v>8.6518493204700189E-2</v>
      </c>
      <c r="P51" s="81">
        <v>152164000</v>
      </c>
      <c r="Q51" s="81">
        <v>67436000</v>
      </c>
      <c r="R51" s="81">
        <v>12203000</v>
      </c>
      <c r="S51" s="46">
        <f>Table49[[#This Row],[CY 2023 Total Staffing Cost/Salaries]]/Table49[[#This Row],[CY 2023 Operating Expenses]]</f>
        <v>0.4175500297206261</v>
      </c>
      <c r="T51" s="46">
        <f>Table49[[#This Row],[CY 2023 Contract Services]]/Table49[[#This Row],[CY 2023 Operating Expenses]]</f>
        <v>7.5558500099068754E-2</v>
      </c>
      <c r="U51" s="81">
        <v>161504000</v>
      </c>
    </row>
    <row r="52" spans="1:21" x14ac:dyDescent="0.2">
      <c r="A52" s="50">
        <v>91</v>
      </c>
      <c r="B52" s="11" t="s">
        <v>52</v>
      </c>
      <c r="C52" s="11" t="s">
        <v>73</v>
      </c>
      <c r="D52" s="11" t="s">
        <v>187</v>
      </c>
      <c r="E52" s="11" t="s">
        <v>167</v>
      </c>
      <c r="F52" s="11" t="s">
        <v>168</v>
      </c>
      <c r="G52" s="35">
        <v>21056000</v>
      </c>
      <c r="H52" s="35">
        <v>17414000</v>
      </c>
      <c r="I52" s="46">
        <v>0.3178839940819469</v>
      </c>
      <c r="J52" s="46">
        <v>0.26290044989281075</v>
      </c>
      <c r="K52" s="81">
        <v>66238000</v>
      </c>
      <c r="L52" s="35">
        <v>18805000</v>
      </c>
      <c r="M52" s="35">
        <v>17690000</v>
      </c>
      <c r="N52" s="46">
        <v>0.3655431148433248</v>
      </c>
      <c r="O52" s="46">
        <v>0.34386906150377111</v>
      </c>
      <c r="P52" s="81">
        <v>51444000</v>
      </c>
      <c r="Q52" s="81">
        <v>14379000</v>
      </c>
      <c r="R52" s="81">
        <v>13166000</v>
      </c>
      <c r="S52" s="46">
        <f>Table49[[#This Row],[CY 2023 Total Staffing Cost/Salaries]]/Table49[[#This Row],[CY 2023 Operating Expenses]]</f>
        <v>0.31618180618774328</v>
      </c>
      <c r="T52" s="46">
        <f>Table49[[#This Row],[CY 2023 Contract Services]]/Table49[[#This Row],[CY 2023 Operating Expenses]]</f>
        <v>0.28950898256261409</v>
      </c>
      <c r="U52" s="81">
        <v>45477000</v>
      </c>
    </row>
    <row r="53" spans="1:21" x14ac:dyDescent="0.2">
      <c r="A53" s="50">
        <v>92</v>
      </c>
      <c r="B53" s="11" t="s">
        <v>5</v>
      </c>
      <c r="C53" s="11" t="s">
        <v>70</v>
      </c>
      <c r="D53" s="11" t="s">
        <v>180</v>
      </c>
      <c r="E53" s="11" t="s">
        <v>181</v>
      </c>
      <c r="F53" s="11" t="s">
        <v>171</v>
      </c>
      <c r="G53" s="35">
        <v>171017000</v>
      </c>
      <c r="H53" s="35">
        <v>26669000</v>
      </c>
      <c r="I53" s="46">
        <v>0.44599207725588275</v>
      </c>
      <c r="J53" s="46">
        <v>6.9549592779297592E-2</v>
      </c>
      <c r="K53" s="81">
        <v>383453000</v>
      </c>
      <c r="L53" s="35">
        <v>180695000</v>
      </c>
      <c r="M53" s="35">
        <v>48352000</v>
      </c>
      <c r="N53" s="46">
        <v>0.40715412347904462</v>
      </c>
      <c r="O53" s="46">
        <v>0.10894997746732762</v>
      </c>
      <c r="P53" s="81">
        <v>443800000</v>
      </c>
      <c r="Q53" s="81">
        <v>218791000</v>
      </c>
      <c r="R53" s="81">
        <v>43575000</v>
      </c>
      <c r="S53" s="46">
        <f>Table49[[#This Row],[CY 2023 Total Staffing Cost/Salaries]]/Table49[[#This Row],[CY 2023 Operating Expenses]]</f>
        <v>0.3777892891985461</v>
      </c>
      <c r="T53" s="46">
        <f>Table49[[#This Row],[CY 2023 Contract Services]]/Table49[[#This Row],[CY 2023 Operating Expenses]]</f>
        <v>7.5241523996995519E-2</v>
      </c>
      <c r="U53" s="81">
        <v>579135000</v>
      </c>
    </row>
    <row r="54" spans="1:21" x14ac:dyDescent="0.2">
      <c r="A54" s="50">
        <v>96</v>
      </c>
      <c r="B54" s="11" t="s">
        <v>50</v>
      </c>
      <c r="C54" s="11" t="s">
        <v>76</v>
      </c>
      <c r="D54" s="11" t="s">
        <v>176</v>
      </c>
      <c r="E54" s="11" t="s">
        <v>170</v>
      </c>
      <c r="F54" s="11" t="s">
        <v>171</v>
      </c>
      <c r="G54" s="35">
        <v>84526000</v>
      </c>
      <c r="H54" s="35">
        <v>20104000</v>
      </c>
      <c r="I54" s="46">
        <v>0.42498868721403793</v>
      </c>
      <c r="J54" s="46">
        <v>0.10108099954748856</v>
      </c>
      <c r="K54" s="81">
        <v>198890000</v>
      </c>
      <c r="L54" s="35">
        <v>73675000</v>
      </c>
      <c r="M54" s="35">
        <v>37743000</v>
      </c>
      <c r="N54" s="46">
        <v>0.33709433150773932</v>
      </c>
      <c r="O54" s="46">
        <v>0.17269021179635705</v>
      </c>
      <c r="P54" s="81">
        <v>218559000</v>
      </c>
      <c r="Q54" s="81">
        <v>82558000</v>
      </c>
      <c r="R54" s="81">
        <v>30112000</v>
      </c>
      <c r="S54" s="46">
        <f>Table49[[#This Row],[CY 2023 Total Staffing Cost/Salaries]]/Table49[[#This Row],[CY 2023 Operating Expenses]]</f>
        <v>0.38908132920489946</v>
      </c>
      <c r="T54" s="46">
        <f>Table49[[#This Row],[CY 2023 Contract Services]]/Table49[[#This Row],[CY 2023 Operating Expenses]]</f>
        <v>0.14191255826228752</v>
      </c>
      <c r="U54" s="81">
        <v>212187000</v>
      </c>
    </row>
    <row r="55" spans="1:21" x14ac:dyDescent="0.2">
      <c r="A55" s="50">
        <v>108</v>
      </c>
      <c r="B55" s="11" t="s">
        <v>31</v>
      </c>
      <c r="C55" s="11" t="s">
        <v>72</v>
      </c>
      <c r="D55" s="11" t="s">
        <v>182</v>
      </c>
      <c r="E55" s="11" t="s">
        <v>181</v>
      </c>
      <c r="F55" s="11" t="s">
        <v>171</v>
      </c>
      <c r="G55" s="35">
        <v>354018000</v>
      </c>
      <c r="H55" s="35">
        <v>70730000</v>
      </c>
      <c r="I55" s="46">
        <v>0.47686063850278759</v>
      </c>
      <c r="J55" s="46">
        <v>9.5272988834754643E-2</v>
      </c>
      <c r="K55" s="81">
        <v>742393000</v>
      </c>
      <c r="L55" s="35">
        <v>343281000</v>
      </c>
      <c r="M55" s="35">
        <v>96314000</v>
      </c>
      <c r="N55" s="46">
        <v>0.43838627122453566</v>
      </c>
      <c r="O55" s="46">
        <v>0.12299758893361394</v>
      </c>
      <c r="P55" s="81">
        <v>783056000</v>
      </c>
      <c r="Q55" s="81">
        <v>414785000</v>
      </c>
      <c r="R55" s="81">
        <v>105669000</v>
      </c>
      <c r="S55" s="46">
        <f>Table49[[#This Row],[CY 2023 Total Staffing Cost/Salaries]]/Table49[[#This Row],[CY 2023 Operating Expenses]]</f>
        <v>0.4428809228656756</v>
      </c>
      <c r="T55" s="46">
        <f>Table49[[#This Row],[CY 2023 Contract Services]]/Table49[[#This Row],[CY 2023 Operating Expenses]]</f>
        <v>0.11282660712970111</v>
      </c>
      <c r="U55" s="81">
        <v>936561000</v>
      </c>
    </row>
    <row r="56" spans="1:21" x14ac:dyDescent="0.2">
      <c r="A56" s="50">
        <v>110</v>
      </c>
      <c r="B56" s="11" t="s">
        <v>44</v>
      </c>
      <c r="C56" s="11" t="s">
        <v>69</v>
      </c>
      <c r="D56" s="11" t="s">
        <v>180</v>
      </c>
      <c r="E56" s="11" t="s">
        <v>181</v>
      </c>
      <c r="F56" s="11" t="s">
        <v>171</v>
      </c>
      <c r="G56" s="35">
        <v>86149000</v>
      </c>
      <c r="H56" s="35">
        <v>18984000</v>
      </c>
      <c r="I56" s="46">
        <v>0.38722828529818948</v>
      </c>
      <c r="J56" s="46">
        <v>8.5330552509034679E-2</v>
      </c>
      <c r="K56" s="81">
        <v>222476000</v>
      </c>
      <c r="L56" s="35">
        <v>83745000</v>
      </c>
      <c r="M56" s="35">
        <v>23983000</v>
      </c>
      <c r="N56" s="46">
        <v>0.37391836260861022</v>
      </c>
      <c r="O56" s="46">
        <v>0.10708321798844467</v>
      </c>
      <c r="P56" s="81">
        <v>223966000</v>
      </c>
      <c r="Q56" s="81">
        <v>86905000</v>
      </c>
      <c r="R56" s="81">
        <v>24760000</v>
      </c>
      <c r="S56" s="46">
        <f>Table49[[#This Row],[CY 2023 Total Staffing Cost/Salaries]]/Table49[[#This Row],[CY 2023 Operating Expenses]]</f>
        <v>0.38161754373638729</v>
      </c>
      <c r="T56" s="46">
        <f>Table49[[#This Row],[CY 2023 Contract Services]]/Table49[[#This Row],[CY 2023 Operating Expenses]]</f>
        <v>0.10872619967680743</v>
      </c>
      <c r="U56" s="81">
        <v>227728000</v>
      </c>
    </row>
    <row r="57" spans="1:21" x14ac:dyDescent="0.2">
      <c r="A57" s="50">
        <v>111</v>
      </c>
      <c r="B57" s="11" t="s">
        <v>7</v>
      </c>
      <c r="C57" s="11" t="s">
        <v>73</v>
      </c>
      <c r="D57" s="11" t="s">
        <v>183</v>
      </c>
      <c r="E57" s="11" t="s">
        <v>181</v>
      </c>
      <c r="F57" s="11" t="s">
        <v>171</v>
      </c>
      <c r="G57" s="35">
        <v>141535000</v>
      </c>
      <c r="H57" s="35">
        <v>29351000</v>
      </c>
      <c r="I57" s="46">
        <v>0.4109109806585724</v>
      </c>
      <c r="J57" s="46">
        <v>8.5213185383896273E-2</v>
      </c>
      <c r="K57" s="81">
        <v>344442000</v>
      </c>
      <c r="L57" s="35">
        <v>142042000</v>
      </c>
      <c r="M57" s="35">
        <v>51312000</v>
      </c>
      <c r="N57" s="46">
        <v>0.37467127041948134</v>
      </c>
      <c r="O57" s="46">
        <v>0.13534822255223405</v>
      </c>
      <c r="P57" s="81">
        <v>379111000</v>
      </c>
      <c r="Q57" s="81">
        <v>152983000</v>
      </c>
      <c r="R57" s="81">
        <v>38491000</v>
      </c>
      <c r="S57" s="46">
        <f>Table49[[#This Row],[CY 2023 Total Staffing Cost/Salaries]]/Table49[[#This Row],[CY 2023 Operating Expenses]]</f>
        <v>0.39515481199647678</v>
      </c>
      <c r="T57" s="46">
        <f>Table49[[#This Row],[CY 2023 Contract Services]]/Table49[[#This Row],[CY 2023 Operating Expenses]]</f>
        <v>9.9422183305049497E-2</v>
      </c>
      <c r="U57" s="81">
        <v>387147000</v>
      </c>
    </row>
    <row r="58" spans="1:21" x14ac:dyDescent="0.2">
      <c r="A58" s="50">
        <v>112</v>
      </c>
      <c r="B58" s="11" t="s">
        <v>3</v>
      </c>
      <c r="C58" s="11" t="s">
        <v>72</v>
      </c>
      <c r="D58" s="11" t="s">
        <v>183</v>
      </c>
      <c r="E58" s="11" t="s">
        <v>181</v>
      </c>
      <c r="F58" s="11" t="s">
        <v>171</v>
      </c>
      <c r="G58" s="35">
        <v>76799000</v>
      </c>
      <c r="H58" s="35">
        <v>23455000</v>
      </c>
      <c r="I58" s="46">
        <v>0.42676306006434872</v>
      </c>
      <c r="J58" s="46">
        <v>0.13033669154297972</v>
      </c>
      <c r="K58" s="81">
        <v>179957000</v>
      </c>
      <c r="L58" s="35">
        <v>75414000</v>
      </c>
      <c r="M58" s="35">
        <v>29555000</v>
      </c>
      <c r="N58" s="46">
        <v>0.39462695314544066</v>
      </c>
      <c r="O58" s="46">
        <v>0.1546556289311467</v>
      </c>
      <c r="P58" s="81">
        <v>191102000</v>
      </c>
      <c r="Q58" s="81">
        <v>83933000</v>
      </c>
      <c r="R58" s="81">
        <v>23736000</v>
      </c>
      <c r="S58" s="46">
        <f>Table49[[#This Row],[CY 2023 Total Staffing Cost/Salaries]]/Table49[[#This Row],[CY 2023 Operating Expenses]]</f>
        <v>0.41783904338042754</v>
      </c>
      <c r="T58" s="46">
        <f>Table49[[#This Row],[CY 2023 Contract Services]]/Table49[[#This Row],[CY 2023 Operating Expenses]]</f>
        <v>0.11816362495892947</v>
      </c>
      <c r="U58" s="81">
        <v>200874000</v>
      </c>
    </row>
    <row r="59" spans="1:21" x14ac:dyDescent="0.2">
      <c r="A59" s="50">
        <v>113</v>
      </c>
      <c r="B59" s="11" t="s">
        <v>54</v>
      </c>
      <c r="C59" s="11" t="s">
        <v>72</v>
      </c>
      <c r="D59" s="11" t="s">
        <v>185</v>
      </c>
      <c r="E59" s="11" t="s">
        <v>181</v>
      </c>
      <c r="F59" s="11" t="s">
        <v>171</v>
      </c>
      <c r="G59" s="35">
        <v>81465000</v>
      </c>
      <c r="H59" s="35">
        <v>16712000</v>
      </c>
      <c r="I59" s="46">
        <v>0.38637754158307364</v>
      </c>
      <c r="J59" s="46">
        <v>7.9262768979762199E-2</v>
      </c>
      <c r="K59" s="81">
        <v>210843000</v>
      </c>
      <c r="L59" s="35">
        <v>81861000</v>
      </c>
      <c r="M59" s="35">
        <v>16803000</v>
      </c>
      <c r="N59" s="46">
        <v>0.37951673172676614</v>
      </c>
      <c r="O59" s="46">
        <v>7.790058322283934E-2</v>
      </c>
      <c r="P59" s="81">
        <v>215698000</v>
      </c>
      <c r="Q59" s="81">
        <v>86979000</v>
      </c>
      <c r="R59" s="81">
        <v>18718000</v>
      </c>
      <c r="S59" s="46">
        <f>Table49[[#This Row],[CY 2023 Total Staffing Cost/Salaries]]/Table49[[#This Row],[CY 2023 Operating Expenses]]</f>
        <v>0.36757540284580503</v>
      </c>
      <c r="T59" s="46">
        <f>Table49[[#This Row],[CY 2023 Contract Services]]/Table49[[#This Row],[CY 2023 Operating Expenses]]</f>
        <v>7.9102730434562118E-2</v>
      </c>
      <c r="U59" s="81">
        <v>236629000</v>
      </c>
    </row>
    <row r="60" spans="1:21" x14ac:dyDescent="0.2">
      <c r="A60" s="50">
        <v>115</v>
      </c>
      <c r="B60" s="11" t="s">
        <v>19</v>
      </c>
      <c r="C60" s="11" t="s">
        <v>67</v>
      </c>
      <c r="D60" s="11" t="s">
        <v>191</v>
      </c>
      <c r="E60" s="11" t="s">
        <v>170</v>
      </c>
      <c r="F60" s="11" t="s">
        <v>168</v>
      </c>
      <c r="G60" s="35">
        <v>39449000</v>
      </c>
      <c r="H60" s="35">
        <v>1978000</v>
      </c>
      <c r="I60" s="46">
        <v>0.38245787524479863</v>
      </c>
      <c r="J60" s="46">
        <v>1.9176700986950537E-2</v>
      </c>
      <c r="K60" s="81">
        <v>103146000</v>
      </c>
      <c r="L60" s="35">
        <v>50705000</v>
      </c>
      <c r="M60" s="35">
        <v>4614000</v>
      </c>
      <c r="N60" s="46">
        <v>0.43612327223622305</v>
      </c>
      <c r="O60" s="46">
        <v>3.9685884589250237E-2</v>
      </c>
      <c r="P60" s="81">
        <v>116263000</v>
      </c>
      <c r="Q60" s="81">
        <v>56887000</v>
      </c>
      <c r="R60" s="81">
        <v>3581000</v>
      </c>
      <c r="S60" s="46">
        <f>Table49[[#This Row],[CY 2023 Total Staffing Cost/Salaries]]/Table49[[#This Row],[CY 2023 Operating Expenses]]</f>
        <v>0.43736689552307656</v>
      </c>
      <c r="T60" s="46">
        <f>Table49[[#This Row],[CY 2023 Contract Services]]/Table49[[#This Row],[CY 2023 Operating Expenses]]</f>
        <v>2.7531964295324719E-2</v>
      </c>
      <c r="U60" s="81">
        <v>130067000</v>
      </c>
    </row>
    <row r="61" spans="1:21" x14ac:dyDescent="0.2">
      <c r="A61" s="50">
        <v>116</v>
      </c>
      <c r="B61" s="11" t="s">
        <v>57</v>
      </c>
      <c r="C61" s="11" t="s">
        <v>77</v>
      </c>
      <c r="D61" s="11" t="s">
        <v>186</v>
      </c>
      <c r="E61" s="11" t="s">
        <v>170</v>
      </c>
      <c r="F61" s="11" t="s">
        <v>171</v>
      </c>
      <c r="G61" s="35">
        <v>59520000</v>
      </c>
      <c r="H61" s="35">
        <v>11656000</v>
      </c>
      <c r="I61" s="46">
        <v>6.5055721449588377E-2</v>
      </c>
      <c r="J61" s="46">
        <v>1.2740078783877723E-2</v>
      </c>
      <c r="K61" s="81">
        <v>914908000</v>
      </c>
      <c r="L61" s="35">
        <v>60816000</v>
      </c>
      <c r="M61" s="35">
        <v>12209000</v>
      </c>
      <c r="N61" s="46">
        <v>6.5522903280023789E-2</v>
      </c>
      <c r="O61" s="46">
        <v>1.3153925383876126E-2</v>
      </c>
      <c r="P61" s="81">
        <v>928164000</v>
      </c>
      <c r="Q61" s="81">
        <v>62048000</v>
      </c>
      <c r="R61" s="81">
        <v>18228000</v>
      </c>
      <c r="S61" s="46">
        <f>Table49[[#This Row],[CY 2023 Total Staffing Cost/Salaries]]/Table49[[#This Row],[CY 2023 Operating Expenses]]</f>
        <v>6.2145195085113118E-2</v>
      </c>
      <c r="T61" s="46">
        <f>Table49[[#This Row],[CY 2023 Contract Services]]/Table49[[#This Row],[CY 2023 Operating Expenses]]</f>
        <v>1.8256553249281878E-2</v>
      </c>
      <c r="U61" s="81">
        <v>998436000</v>
      </c>
    </row>
    <row r="62" spans="1:21" x14ac:dyDescent="0.2">
      <c r="A62" s="50">
        <v>118</v>
      </c>
      <c r="B62" s="11" t="s">
        <v>22</v>
      </c>
      <c r="C62" s="11" t="s">
        <v>73</v>
      </c>
      <c r="D62" s="11" t="s">
        <v>178</v>
      </c>
      <c r="E62" s="11" t="s">
        <v>170</v>
      </c>
      <c r="F62" s="11" t="s">
        <v>171</v>
      </c>
      <c r="G62" s="35">
        <v>40364000</v>
      </c>
      <c r="H62" s="35">
        <v>14197000</v>
      </c>
      <c r="I62" s="46">
        <v>0.30273756843921096</v>
      </c>
      <c r="J62" s="46">
        <v>0.1064801620040501</v>
      </c>
      <c r="K62" s="81">
        <v>133330000</v>
      </c>
      <c r="L62" s="35">
        <v>41936000</v>
      </c>
      <c r="M62" s="35">
        <v>19862000</v>
      </c>
      <c r="N62" s="46">
        <v>0.28155548394027285</v>
      </c>
      <c r="O62" s="46">
        <v>0.13335213234504242</v>
      </c>
      <c r="P62" s="81">
        <v>148944000</v>
      </c>
      <c r="Q62" s="81">
        <v>45305000</v>
      </c>
      <c r="R62" s="81">
        <v>23300000</v>
      </c>
      <c r="S62" s="46">
        <f>Table49[[#This Row],[CY 2023 Total Staffing Cost/Salaries]]/Table49[[#This Row],[CY 2023 Operating Expenses]]</f>
        <v>0.27005036807438976</v>
      </c>
      <c r="T62" s="46">
        <f>Table49[[#This Row],[CY 2023 Contract Services]]/Table49[[#This Row],[CY 2023 Operating Expenses]]</f>
        <v>0.1388847495007898</v>
      </c>
      <c r="U62" s="81">
        <v>167765000</v>
      </c>
    </row>
    <row r="63" spans="1:21" x14ac:dyDescent="0.2">
      <c r="A63" s="50">
        <v>119</v>
      </c>
      <c r="B63" s="11" t="s">
        <v>61</v>
      </c>
      <c r="C63" s="11" t="s">
        <v>73</v>
      </c>
      <c r="D63" s="11" t="s">
        <v>176</v>
      </c>
      <c r="E63" s="11" t="s">
        <v>170</v>
      </c>
      <c r="F63" s="11" t="s">
        <v>171</v>
      </c>
      <c r="G63" s="35">
        <v>375404000</v>
      </c>
      <c r="H63" s="35">
        <v>47361000</v>
      </c>
      <c r="I63" s="46">
        <v>0.35907094014559721</v>
      </c>
      <c r="J63" s="46">
        <v>4.5300419804359116E-2</v>
      </c>
      <c r="K63" s="81">
        <v>1045487000</v>
      </c>
      <c r="L63" s="35">
        <v>390556000</v>
      </c>
      <c r="M63" s="35">
        <v>51865000</v>
      </c>
      <c r="N63" s="46">
        <v>0.37597385406989897</v>
      </c>
      <c r="O63" s="46">
        <v>4.9928522263991103E-2</v>
      </c>
      <c r="P63" s="81">
        <v>1038785000</v>
      </c>
      <c r="Q63" s="81">
        <v>406365000</v>
      </c>
      <c r="R63" s="81">
        <v>66163000</v>
      </c>
      <c r="S63" s="46">
        <f>Table49[[#This Row],[CY 2023 Total Staffing Cost/Salaries]]/Table49[[#This Row],[CY 2023 Operating Expenses]]</f>
        <v>0.38523413711117765</v>
      </c>
      <c r="T63" s="46">
        <f>Table49[[#This Row],[CY 2023 Contract Services]]/Table49[[#This Row],[CY 2023 Operating Expenses]]</f>
        <v>6.2722543067653097E-2</v>
      </c>
      <c r="U63" s="81">
        <v>1054852000</v>
      </c>
    </row>
    <row r="64" spans="1:21" x14ac:dyDescent="0.2">
      <c r="A64" s="50">
        <v>221</v>
      </c>
      <c r="B64" s="11" t="s">
        <v>64</v>
      </c>
      <c r="C64" s="11" t="s">
        <v>74</v>
      </c>
      <c r="D64" s="11" t="s">
        <v>173</v>
      </c>
      <c r="E64" s="11" t="s">
        <v>167</v>
      </c>
      <c r="F64" s="11" t="s">
        <v>171</v>
      </c>
      <c r="G64" s="35">
        <v>236859000</v>
      </c>
      <c r="H64" s="35">
        <v>40864000</v>
      </c>
      <c r="I64" s="46">
        <v>0.32959706776208131</v>
      </c>
      <c r="J64" s="46">
        <v>5.6863596388694072E-2</v>
      </c>
      <c r="K64" s="81">
        <v>718632000</v>
      </c>
      <c r="L64" s="35">
        <v>268131000</v>
      </c>
      <c r="M64" s="35">
        <v>52200000</v>
      </c>
      <c r="N64" s="46">
        <v>0.36822279229197336</v>
      </c>
      <c r="O64" s="46">
        <v>7.1685966030190507E-2</v>
      </c>
      <c r="P64" s="81">
        <v>728176000</v>
      </c>
      <c r="Q64" s="81">
        <v>274426000</v>
      </c>
      <c r="R64" s="81">
        <v>52785000</v>
      </c>
      <c r="S64" s="46">
        <f>Table49[[#This Row],[CY 2023 Total Staffing Cost/Salaries]]/Table49[[#This Row],[CY 2023 Operating Expenses]]</f>
        <v>0.35838995767376808</v>
      </c>
      <c r="T64" s="46">
        <f>Table49[[#This Row],[CY 2023 Contract Services]]/Table49[[#This Row],[CY 2023 Operating Expenses]]</f>
        <v>6.8935209913819559E-2</v>
      </c>
      <c r="U64" s="81">
        <v>765719000</v>
      </c>
    </row>
    <row r="65" spans="1:21" x14ac:dyDescent="0.2">
      <c r="A65" s="50">
        <v>224</v>
      </c>
      <c r="B65" s="11" t="s">
        <v>63</v>
      </c>
      <c r="C65" s="11" t="s">
        <v>74</v>
      </c>
      <c r="D65" s="11" t="s">
        <v>172</v>
      </c>
      <c r="E65" s="11" t="s">
        <v>167</v>
      </c>
      <c r="F65" s="11" t="s">
        <v>171</v>
      </c>
      <c r="G65" s="35">
        <v>56630000</v>
      </c>
      <c r="H65" s="35">
        <v>10545000</v>
      </c>
      <c r="I65" s="46">
        <v>0.37335425470895772</v>
      </c>
      <c r="J65" s="46">
        <v>6.9521819104820054E-2</v>
      </c>
      <c r="K65" s="81">
        <v>151679000</v>
      </c>
      <c r="L65" s="35">
        <v>66166000</v>
      </c>
      <c r="M65" s="35">
        <v>15652000</v>
      </c>
      <c r="N65" s="46">
        <v>0.40844722644048542</v>
      </c>
      <c r="O65" s="46">
        <v>9.662086250108029E-2</v>
      </c>
      <c r="P65" s="81">
        <v>161994000</v>
      </c>
      <c r="Q65" s="81">
        <v>67483000</v>
      </c>
      <c r="R65" s="81">
        <v>13345000</v>
      </c>
      <c r="S65" s="46">
        <f>Table49[[#This Row],[CY 2023 Total Staffing Cost/Salaries]]/Table49[[#This Row],[CY 2023 Operating Expenses]]</f>
        <v>0.41439001774650136</v>
      </c>
      <c r="T65" s="46">
        <f>Table49[[#This Row],[CY 2023 Contract Services]]/Table49[[#This Row],[CY 2023 Operating Expenses]]</f>
        <v>8.1947079810130857E-2</v>
      </c>
      <c r="U65" s="81">
        <v>162849000</v>
      </c>
    </row>
    <row r="66" spans="1:21" x14ac:dyDescent="0.2">
      <c r="A66" s="50">
        <v>324</v>
      </c>
      <c r="B66" s="11" t="s">
        <v>25</v>
      </c>
      <c r="C66" s="11" t="s">
        <v>80</v>
      </c>
      <c r="D66" s="11" t="s">
        <v>175</v>
      </c>
      <c r="E66" s="11" t="s">
        <v>167</v>
      </c>
      <c r="F66" s="11" t="s">
        <v>168</v>
      </c>
      <c r="G66" s="35">
        <v>241038000</v>
      </c>
      <c r="H66" s="35">
        <v>41280000</v>
      </c>
      <c r="I66" s="46">
        <v>0.47620910384068277</v>
      </c>
      <c r="J66" s="46">
        <v>8.1555239449976294E-2</v>
      </c>
      <c r="K66" s="81">
        <v>506160000</v>
      </c>
      <c r="L66" s="35">
        <v>286226000</v>
      </c>
      <c r="M66" s="35">
        <v>50379000</v>
      </c>
      <c r="N66" s="46">
        <v>0.51191864416480071</v>
      </c>
      <c r="O66" s="46">
        <v>9.0103447535788125E-2</v>
      </c>
      <c r="P66" s="81">
        <v>559124000</v>
      </c>
      <c r="Q66" s="81">
        <v>297574000</v>
      </c>
      <c r="R66" s="81">
        <v>60332000</v>
      </c>
      <c r="S66" s="46">
        <f>Table49[[#This Row],[CY 2023 Total Staffing Cost/Salaries]]/Table49[[#This Row],[CY 2023 Operating Expenses]]</f>
        <v>0.48397427035642548</v>
      </c>
      <c r="T66" s="46">
        <f>Table49[[#This Row],[CY 2023 Contract Services]]/Table49[[#This Row],[CY 2023 Operating Expenses]]</f>
        <v>9.8123947922680962E-2</v>
      </c>
      <c r="U66" s="81">
        <v>614855000</v>
      </c>
    </row>
    <row r="67" spans="1:21" x14ac:dyDescent="0.2">
      <c r="A67" s="50">
        <v>391</v>
      </c>
      <c r="B67" s="11" t="s">
        <v>42</v>
      </c>
      <c r="C67" s="11" t="s">
        <v>72</v>
      </c>
      <c r="D67" s="11" t="s">
        <v>182</v>
      </c>
      <c r="E67" s="11" t="s">
        <v>181</v>
      </c>
      <c r="F67" s="11" t="s">
        <v>171</v>
      </c>
      <c r="G67" s="35">
        <v>76380000</v>
      </c>
      <c r="H67" s="35">
        <v>16098000</v>
      </c>
      <c r="I67" s="46">
        <v>0.45890962400413365</v>
      </c>
      <c r="J67" s="46">
        <v>9.6720700801499651E-2</v>
      </c>
      <c r="K67" s="81">
        <v>166438000</v>
      </c>
      <c r="L67" s="35">
        <v>77791000</v>
      </c>
      <c r="M67" s="35">
        <v>16635000</v>
      </c>
      <c r="N67" s="46">
        <v>0.45395182185289795</v>
      </c>
      <c r="O67" s="46">
        <v>9.7074064564319232E-2</v>
      </c>
      <c r="P67" s="81">
        <v>171364000</v>
      </c>
      <c r="Q67" s="81">
        <v>81175000</v>
      </c>
      <c r="R67" s="81">
        <v>15402000</v>
      </c>
      <c r="S67" s="46">
        <f>Table49[[#This Row],[CY 2023 Total Staffing Cost/Salaries]]/Table49[[#This Row],[CY 2023 Operating Expenses]]</f>
        <v>0.41729854774450587</v>
      </c>
      <c r="T67" s="46">
        <f>Table49[[#This Row],[CY 2023 Contract Services]]/Table49[[#This Row],[CY 2023 Operating Expenses]]</f>
        <v>7.9177483613931371E-2</v>
      </c>
      <c r="U67" s="81">
        <v>194525000</v>
      </c>
    </row>
    <row r="68" spans="1:21" x14ac:dyDescent="0.2">
      <c r="A68" s="50">
        <v>392</v>
      </c>
      <c r="B68" s="11" t="s">
        <v>41</v>
      </c>
      <c r="C68" s="11" t="s">
        <v>72</v>
      </c>
      <c r="D68" s="11" t="s">
        <v>182</v>
      </c>
      <c r="E68" s="11" t="s">
        <v>181</v>
      </c>
      <c r="F68" s="11" t="s">
        <v>171</v>
      </c>
      <c r="G68" s="35">
        <v>47365000</v>
      </c>
      <c r="H68" s="35">
        <v>8887000</v>
      </c>
      <c r="I68" s="46">
        <v>0.42637752392269124</v>
      </c>
      <c r="J68" s="46">
        <v>8.0000360078136962E-2</v>
      </c>
      <c r="K68" s="81">
        <v>111087000</v>
      </c>
      <c r="L68" s="35">
        <v>50732000</v>
      </c>
      <c r="M68" s="35">
        <v>9153000</v>
      </c>
      <c r="N68" s="46">
        <v>0.41467700934273871</v>
      </c>
      <c r="O68" s="46">
        <v>7.4815474779509727E-2</v>
      </c>
      <c r="P68" s="81">
        <v>122341000</v>
      </c>
      <c r="Q68" s="81">
        <v>57376000</v>
      </c>
      <c r="R68" s="81">
        <v>8069000</v>
      </c>
      <c r="S68" s="46">
        <f>Table49[[#This Row],[CY 2023 Total Staffing Cost/Salaries]]/Table49[[#This Row],[CY 2023 Operating Expenses]]</f>
        <v>0.40862895357201356</v>
      </c>
      <c r="T68" s="46">
        <f>Table49[[#This Row],[CY 2023 Contract Services]]/Table49[[#This Row],[CY 2023 Operating Expenses]]</f>
        <v>5.7467007570631931E-2</v>
      </c>
      <c r="U68" s="81">
        <v>140411000</v>
      </c>
    </row>
    <row r="69" spans="1:21" x14ac:dyDescent="0.2">
      <c r="A69" s="50">
        <v>502</v>
      </c>
      <c r="B69" s="11" t="s">
        <v>49</v>
      </c>
      <c r="C69" s="11" t="s">
        <v>76</v>
      </c>
      <c r="D69" s="11" t="s">
        <v>184</v>
      </c>
      <c r="E69" s="11" t="s">
        <v>170</v>
      </c>
      <c r="F69" s="11" t="s">
        <v>171</v>
      </c>
      <c r="G69" s="35">
        <v>39837000</v>
      </c>
      <c r="H69" s="35">
        <v>1225000</v>
      </c>
      <c r="I69" s="46">
        <v>0.48652312502289907</v>
      </c>
      <c r="J69" s="46">
        <v>1.4960735701811166E-2</v>
      </c>
      <c r="K69" s="81">
        <v>81881000</v>
      </c>
      <c r="L69" s="35">
        <v>38729000</v>
      </c>
      <c r="M69" s="35">
        <v>4996000</v>
      </c>
      <c r="N69" s="46">
        <v>0.4595277645942098</v>
      </c>
      <c r="O69" s="46">
        <v>5.9278595158993828E-2</v>
      </c>
      <c r="P69" s="81">
        <v>84280000</v>
      </c>
      <c r="Q69" s="81">
        <v>40141000</v>
      </c>
      <c r="R69" s="81">
        <v>708000</v>
      </c>
      <c r="S69" s="46">
        <f>Table49[[#This Row],[CY 2023 Total Staffing Cost/Salaries]]/Table49[[#This Row],[CY 2023 Operating Expenses]]</f>
        <v>0.44953244862534297</v>
      </c>
      <c r="T69" s="46">
        <f>Table49[[#This Row],[CY 2023 Contract Services]]/Table49[[#This Row],[CY 2023 Operating Expenses]]</f>
        <v>7.9287754073576345E-3</v>
      </c>
      <c r="U69" s="81">
        <v>89295000</v>
      </c>
    </row>
    <row r="70" spans="1:21" x14ac:dyDescent="0.2">
      <c r="A70" s="50">
        <v>641</v>
      </c>
      <c r="B70" s="11" t="s">
        <v>1</v>
      </c>
      <c r="C70" s="11" t="s">
        <v>68</v>
      </c>
      <c r="D70" s="11" t="s">
        <v>166</v>
      </c>
      <c r="E70" s="11" t="s">
        <v>167</v>
      </c>
      <c r="F70" s="11" t="s">
        <v>168</v>
      </c>
      <c r="G70" s="35">
        <v>164735000</v>
      </c>
      <c r="H70" s="35">
        <v>29819000</v>
      </c>
      <c r="I70" s="46">
        <v>0.34561796244117665</v>
      </c>
      <c r="J70" s="46">
        <v>6.2560973818760107E-2</v>
      </c>
      <c r="K70" s="81">
        <v>476639000</v>
      </c>
      <c r="L70" s="35">
        <v>174718000</v>
      </c>
      <c r="M70" s="35">
        <v>30088000</v>
      </c>
      <c r="N70" s="46">
        <v>0.35435515830762648</v>
      </c>
      <c r="O70" s="46">
        <v>6.1023122993394296E-2</v>
      </c>
      <c r="P70" s="81">
        <v>493059000</v>
      </c>
      <c r="Q70" s="81">
        <v>187605000</v>
      </c>
      <c r="R70" s="81">
        <v>33902000</v>
      </c>
      <c r="S70" s="46">
        <f>Table49[[#This Row],[CY 2023 Total Staffing Cost/Salaries]]/Table49[[#This Row],[CY 2023 Operating Expenses]]</f>
        <v>0.34813291791073858</v>
      </c>
      <c r="T70" s="46">
        <f>Table49[[#This Row],[CY 2023 Contract Services]]/Table49[[#This Row],[CY 2023 Operating Expenses]]</f>
        <v>6.2910914863728892E-2</v>
      </c>
      <c r="U70" s="81">
        <v>538889000</v>
      </c>
    </row>
    <row r="71" spans="1:21" x14ac:dyDescent="0.2">
      <c r="A71" s="34">
        <v>642</v>
      </c>
      <c r="B71" s="11" t="s">
        <v>0</v>
      </c>
      <c r="C71" s="11" t="s">
        <v>68</v>
      </c>
      <c r="D71" s="11" t="s">
        <v>166</v>
      </c>
      <c r="E71" s="11" t="s">
        <v>167</v>
      </c>
      <c r="F71" s="11" t="s">
        <v>168</v>
      </c>
      <c r="G71" s="35">
        <v>105288000</v>
      </c>
      <c r="H71" s="35">
        <v>19064000</v>
      </c>
      <c r="I71" s="46">
        <v>0.34550788556577211</v>
      </c>
      <c r="J71" s="46">
        <v>6.2559478102213739E-2</v>
      </c>
      <c r="K71" s="81">
        <v>304734000</v>
      </c>
      <c r="L71" s="35">
        <v>111704000</v>
      </c>
      <c r="M71" s="35">
        <v>19236000</v>
      </c>
      <c r="N71" s="46">
        <v>0.35435151553602867</v>
      </c>
      <c r="O71" s="46">
        <v>6.1021142956841724E-2</v>
      </c>
      <c r="P71" s="81">
        <v>315235000</v>
      </c>
      <c r="Q71" s="81">
        <v>119944000</v>
      </c>
      <c r="R71" s="81">
        <v>21675000</v>
      </c>
      <c r="S71" s="46">
        <f>Table49[[#This Row],[CY 2023 Total Staffing Cost/Salaries]]/Table49[[#This Row],[CY 2023 Operating Expenses]]</f>
        <v>0.34813198040262844</v>
      </c>
      <c r="T71" s="46">
        <f>Table49[[#This Row],[CY 2023 Contract Services]]/Table49[[#This Row],[CY 2023 Operating Expenses]]</f>
        <v>6.291069728562472E-2</v>
      </c>
      <c r="U71" s="81">
        <v>344536000</v>
      </c>
    </row>
    <row r="72" spans="1:21" x14ac:dyDescent="0.2">
      <c r="A72" s="50">
        <v>861</v>
      </c>
      <c r="B72" s="11" t="s">
        <v>28</v>
      </c>
      <c r="C72" s="11" t="s">
        <v>79</v>
      </c>
      <c r="D72" s="11" t="s">
        <v>177</v>
      </c>
      <c r="E72" s="11" t="s">
        <v>167</v>
      </c>
      <c r="F72" s="11" t="s">
        <v>171</v>
      </c>
      <c r="G72" s="35">
        <v>133138000</v>
      </c>
      <c r="H72" s="35">
        <v>48999000</v>
      </c>
      <c r="I72" s="46">
        <v>0.40194059860281733</v>
      </c>
      <c r="J72" s="46">
        <v>0.14792686829409668</v>
      </c>
      <c r="K72" s="81">
        <v>331238000</v>
      </c>
      <c r="L72" s="35">
        <v>137307000</v>
      </c>
      <c r="M72" s="35">
        <v>50874000</v>
      </c>
      <c r="N72" s="46">
        <v>0.38815467726569852</v>
      </c>
      <c r="O72" s="46">
        <v>0.14381627339622269</v>
      </c>
      <c r="P72" s="81">
        <v>353743000</v>
      </c>
      <c r="Q72" s="81">
        <v>131479000</v>
      </c>
      <c r="R72" s="81">
        <v>34890000</v>
      </c>
      <c r="S72" s="46">
        <f>Table49[[#This Row],[CY 2023 Total Staffing Cost/Salaries]]/Table49[[#This Row],[CY 2023 Operating Expenses]]</f>
        <v>0.35284440699253405</v>
      </c>
      <c r="T72" s="46">
        <f>Table49[[#This Row],[CY 2023 Contract Services]]/Table49[[#This Row],[CY 2023 Operating Expenses]]</f>
        <v>9.3632757778576908E-2</v>
      </c>
      <c r="U72" s="81">
        <v>372626000</v>
      </c>
    </row>
    <row r="73" spans="1:21" x14ac:dyDescent="0.2">
      <c r="A73" s="50">
        <v>862</v>
      </c>
      <c r="B73" s="11" t="s">
        <v>26</v>
      </c>
      <c r="C73" s="11" t="s">
        <v>79</v>
      </c>
      <c r="D73" s="11" t="s">
        <v>173</v>
      </c>
      <c r="E73" s="11" t="s">
        <v>167</v>
      </c>
      <c r="F73" s="11" t="s">
        <v>171</v>
      </c>
      <c r="G73" s="35">
        <v>80841000</v>
      </c>
      <c r="H73" s="35">
        <v>32072000</v>
      </c>
      <c r="I73" s="46">
        <v>0.39030996523754347</v>
      </c>
      <c r="J73" s="46">
        <v>0.1548474314407107</v>
      </c>
      <c r="K73" s="81">
        <v>207120000</v>
      </c>
      <c r="L73" s="35">
        <v>81006000</v>
      </c>
      <c r="M73" s="35">
        <v>29825000</v>
      </c>
      <c r="N73" s="46">
        <v>0.37500520801988768</v>
      </c>
      <c r="O73" s="46">
        <v>0.13807039391147755</v>
      </c>
      <c r="P73" s="81">
        <v>216013000</v>
      </c>
      <c r="Q73" s="81">
        <v>79241000</v>
      </c>
      <c r="R73" s="81">
        <v>19213000</v>
      </c>
      <c r="S73" s="46">
        <f>Table49[[#This Row],[CY 2023 Total Staffing Cost/Salaries]]/Table49[[#This Row],[CY 2023 Operating Expenses]]</f>
        <v>0.32292256721016188</v>
      </c>
      <c r="T73" s="46">
        <f>Table49[[#This Row],[CY 2023 Contract Services]]/Table49[[#This Row],[CY 2023 Operating Expenses]]</f>
        <v>7.829673128568343E-2</v>
      </c>
      <c r="U73" s="81">
        <v>245387000</v>
      </c>
    </row>
    <row r="74" spans="1:21" x14ac:dyDescent="0.2">
      <c r="A74" s="50">
        <v>863</v>
      </c>
      <c r="B74" s="11" t="s">
        <v>27</v>
      </c>
      <c r="C74" s="11" t="s">
        <v>79</v>
      </c>
      <c r="D74" s="11" t="s">
        <v>173</v>
      </c>
      <c r="E74" s="11" t="s">
        <v>167</v>
      </c>
      <c r="F74" s="11" t="s">
        <v>171</v>
      </c>
      <c r="G74" s="35">
        <v>52164000</v>
      </c>
      <c r="H74" s="35">
        <v>15526000</v>
      </c>
      <c r="I74" s="46">
        <v>0.34769277939598342</v>
      </c>
      <c r="J74" s="46">
        <v>0.10348665924587913</v>
      </c>
      <c r="K74" s="81">
        <v>150029000</v>
      </c>
      <c r="L74" s="35">
        <v>48289000</v>
      </c>
      <c r="M74" s="35">
        <v>13526000</v>
      </c>
      <c r="N74" s="46">
        <v>0.32645790235130273</v>
      </c>
      <c r="O74" s="46">
        <v>9.1442556010762718E-2</v>
      </c>
      <c r="P74" s="81">
        <v>147918000</v>
      </c>
      <c r="Q74" s="81">
        <v>44992000</v>
      </c>
      <c r="R74" s="81">
        <v>10140000</v>
      </c>
      <c r="S74" s="46">
        <f>Table49[[#This Row],[CY 2023 Total Staffing Cost/Salaries]]/Table49[[#This Row],[CY 2023 Operating Expenses]]</f>
        <v>0.24403102457015782</v>
      </c>
      <c r="T74" s="46">
        <f>Table49[[#This Row],[CY 2023 Contract Services]]/Table49[[#This Row],[CY 2023 Operating Expenses]]</f>
        <v>5.4998101643434397E-2</v>
      </c>
      <c r="U74" s="81">
        <v>184370000</v>
      </c>
    </row>
    <row r="75" spans="1:21" x14ac:dyDescent="0.2">
      <c r="A75" s="50">
        <v>1069</v>
      </c>
      <c r="B75" s="11" t="s">
        <v>121</v>
      </c>
      <c r="C75" s="11" t="s">
        <v>80</v>
      </c>
      <c r="D75" s="11" t="s">
        <v>177</v>
      </c>
      <c r="E75" s="11" t="s">
        <v>167</v>
      </c>
      <c r="F75" s="11" t="s">
        <v>171</v>
      </c>
      <c r="G75" s="35">
        <v>129379000</v>
      </c>
      <c r="H75" s="35">
        <v>25058000</v>
      </c>
      <c r="I75" s="46">
        <v>0.4258339504649058</v>
      </c>
      <c r="J75" s="46">
        <v>8.24751090265778E-2</v>
      </c>
      <c r="K75" s="81">
        <v>303825000</v>
      </c>
      <c r="L75" s="35">
        <v>163898000</v>
      </c>
      <c r="M75" s="35">
        <v>33191000</v>
      </c>
      <c r="N75" s="46">
        <v>0.44729301188247428</v>
      </c>
      <c r="O75" s="46">
        <v>9.0581351556402179E-2</v>
      </c>
      <c r="P75" s="81">
        <v>366422000</v>
      </c>
      <c r="Q75" s="81">
        <v>171623000</v>
      </c>
      <c r="R75" s="81">
        <v>36410000</v>
      </c>
      <c r="S75" s="46">
        <f>Table49[[#This Row],[CY 2023 Total Staffing Cost/Salaries]]/Table49[[#This Row],[CY 2023 Operating Expenses]]</f>
        <v>0.4446986637507741</v>
      </c>
      <c r="T75" s="46">
        <f>Table49[[#This Row],[CY 2023 Contract Services]]/Table49[[#This Row],[CY 2023 Operating Expenses]]</f>
        <v>9.4343289344468312E-2</v>
      </c>
      <c r="U75" s="81">
        <v>385931000</v>
      </c>
    </row>
    <row r="76" spans="1:21" x14ac:dyDescent="0.2">
      <c r="A76" s="50">
        <v>1169</v>
      </c>
      <c r="B76" s="11" t="s">
        <v>252</v>
      </c>
      <c r="C76" s="11" t="s">
        <v>80</v>
      </c>
      <c r="D76" s="11" t="s">
        <v>187</v>
      </c>
      <c r="E76" s="11" t="s">
        <v>167</v>
      </c>
      <c r="F76" s="11" t="s">
        <v>168</v>
      </c>
      <c r="G76" s="35"/>
      <c r="H76" s="35"/>
      <c r="I76" s="46"/>
      <c r="J76" s="46"/>
      <c r="K76" s="81"/>
      <c r="L76" s="35"/>
      <c r="M76" s="35"/>
      <c r="N76" s="46"/>
      <c r="O76" s="46"/>
      <c r="P76" s="81"/>
      <c r="Q76" s="81">
        <v>8132000</v>
      </c>
      <c r="R76" s="81">
        <v>4096000</v>
      </c>
      <c r="S76" s="46">
        <f>Table49[[#This Row],[CY 2023 Total Staffing Cost/Salaries]]/Table49[[#This Row],[CY 2023 Operating Expenses]]</f>
        <v>0.40708850620744896</v>
      </c>
      <c r="T76" s="46">
        <f>Table49[[#This Row],[CY 2023 Contract Services]]/Table49[[#This Row],[CY 2023 Operating Expenses]]</f>
        <v>0.20504605526631958</v>
      </c>
      <c r="U76" s="81">
        <v>19976000</v>
      </c>
    </row>
    <row r="77" spans="1:21" ht="15" thickBot="1" x14ac:dyDescent="0.25"/>
    <row r="78" spans="1:21" ht="15.75" thickBot="1" x14ac:dyDescent="0.3">
      <c r="C78" s="79" t="s">
        <v>108</v>
      </c>
      <c r="K78" s="31">
        <f>SUM(K4:K76)</f>
        <v>30325489000</v>
      </c>
      <c r="L78" s="82"/>
      <c r="M78" s="82"/>
      <c r="N78" s="91"/>
      <c r="O78" s="82"/>
      <c r="P78" s="31">
        <f>SUM(P4:P76)</f>
        <v>31994458000</v>
      </c>
      <c r="Q78" s="82"/>
      <c r="R78" s="82"/>
      <c r="S78" s="82"/>
      <c r="T78" s="91"/>
      <c r="U78" s="31">
        <f t="shared" ref="U78" si="0">SUM(U4:U76)</f>
        <v>35233388000</v>
      </c>
    </row>
    <row r="80" spans="1:21" x14ac:dyDescent="0.2">
      <c r="A80" s="67" t="s">
        <v>200</v>
      </c>
      <c r="B80" s="67"/>
      <c r="C80" s="67"/>
      <c r="D80" s="67"/>
      <c r="E80" s="67"/>
      <c r="F80" s="67"/>
      <c r="G80" s="67"/>
      <c r="H80" s="67"/>
      <c r="I80" s="67"/>
      <c r="J80" s="92"/>
      <c r="K80" s="67"/>
      <c r="L80" s="67"/>
      <c r="M80" s="67"/>
      <c r="N80" s="92"/>
      <c r="O80" s="67"/>
      <c r="P80" s="67"/>
      <c r="Q80" s="67"/>
      <c r="R80" s="67"/>
      <c r="S80" s="67"/>
      <c r="T80" s="92"/>
      <c r="U80" s="67"/>
    </row>
    <row r="81" spans="1:21" ht="30" customHeight="1" x14ac:dyDescent="0.2">
      <c r="A81" s="101" t="s">
        <v>125</v>
      </c>
      <c r="B81" s="101"/>
      <c r="C81" s="101"/>
      <c r="D81" s="101"/>
      <c r="E81" s="101"/>
      <c r="F81" s="101"/>
      <c r="G81" s="101"/>
      <c r="H81" s="101"/>
      <c r="I81" s="101"/>
      <c r="J81" s="101"/>
      <c r="K81" s="101"/>
      <c r="L81" s="101"/>
      <c r="M81" s="101"/>
      <c r="N81" s="101"/>
      <c r="O81" s="101"/>
      <c r="P81" s="101"/>
      <c r="Q81" s="101"/>
      <c r="R81" s="101"/>
      <c r="S81" s="101"/>
      <c r="T81" s="101"/>
      <c r="U81" s="101"/>
    </row>
    <row r="82" spans="1:21" x14ac:dyDescent="0.2">
      <c r="A82" s="101" t="s">
        <v>282</v>
      </c>
      <c r="B82" s="101"/>
      <c r="C82" s="101"/>
      <c r="D82" s="101"/>
      <c r="E82" s="101"/>
      <c r="F82" s="101"/>
      <c r="G82" s="101"/>
      <c r="H82" s="101"/>
      <c r="I82" s="101"/>
      <c r="J82" s="101"/>
      <c r="K82" s="101"/>
      <c r="L82" s="101"/>
      <c r="M82" s="101"/>
      <c r="N82" s="101"/>
      <c r="O82" s="101"/>
      <c r="P82" s="101"/>
      <c r="Q82" s="101"/>
      <c r="R82" s="101"/>
      <c r="S82" s="101"/>
      <c r="T82" s="101"/>
      <c r="U82" s="101"/>
    </row>
    <row r="83" spans="1:21" x14ac:dyDescent="0.2">
      <c r="A83" s="87" t="s">
        <v>219</v>
      </c>
      <c r="B83" s="86"/>
      <c r="C83" s="86"/>
      <c r="D83" s="86"/>
      <c r="E83" s="86"/>
      <c r="F83" s="86"/>
      <c r="G83" s="86"/>
      <c r="H83" s="86"/>
      <c r="I83" s="86"/>
      <c r="J83" s="93"/>
      <c r="K83" s="86"/>
      <c r="L83" s="86"/>
      <c r="M83" s="86"/>
      <c r="N83" s="93"/>
      <c r="O83" s="86"/>
      <c r="P83" s="86"/>
      <c r="Q83" s="86"/>
      <c r="R83" s="86"/>
      <c r="S83" s="86"/>
      <c r="T83" s="93"/>
      <c r="U83" s="86"/>
    </row>
    <row r="84" spans="1:21" x14ac:dyDescent="0.2">
      <c r="A84" s="101" t="s">
        <v>220</v>
      </c>
      <c r="B84" s="101"/>
      <c r="C84" s="101"/>
      <c r="D84" s="101"/>
      <c r="E84" s="101"/>
      <c r="F84" s="101"/>
      <c r="G84" s="101"/>
      <c r="H84" s="101"/>
      <c r="I84" s="101"/>
      <c r="J84" s="101"/>
      <c r="K84" s="101"/>
      <c r="L84" s="101"/>
      <c r="M84" s="101"/>
      <c r="N84" s="101"/>
      <c r="O84" s="101"/>
      <c r="P84" s="86"/>
      <c r="Q84" s="86"/>
      <c r="R84" s="86"/>
      <c r="S84" s="86"/>
      <c r="T84" s="93"/>
      <c r="U84" s="86"/>
    </row>
    <row r="86" spans="1:21" ht="18" x14ac:dyDescent="0.25">
      <c r="A86" s="102" t="s">
        <v>85</v>
      </c>
      <c r="B86" s="102"/>
      <c r="C86" s="102"/>
      <c r="D86" s="80"/>
      <c r="E86" s="80"/>
      <c r="F86" s="80"/>
      <c r="G86" s="80"/>
      <c r="H86" s="80"/>
      <c r="I86" s="80"/>
      <c r="J86" s="94"/>
    </row>
    <row r="87" spans="1:21" ht="15" x14ac:dyDescent="0.2">
      <c r="A87" s="28" t="s">
        <v>86</v>
      </c>
      <c r="B87" s="103" t="s">
        <v>91</v>
      </c>
      <c r="C87" s="103"/>
      <c r="D87" s="71"/>
      <c r="E87" s="71"/>
      <c r="F87" s="71"/>
      <c r="G87" s="71"/>
      <c r="H87" s="71"/>
      <c r="I87" s="71"/>
      <c r="J87" s="95"/>
    </row>
    <row r="88" spans="1:21" ht="15" x14ac:dyDescent="0.2">
      <c r="A88" s="28" t="s">
        <v>87</v>
      </c>
      <c r="B88" s="103" t="s">
        <v>84</v>
      </c>
      <c r="C88" s="103"/>
      <c r="D88" s="71"/>
      <c r="E88" s="71"/>
      <c r="F88" s="71"/>
      <c r="G88" s="71"/>
      <c r="H88" s="71"/>
      <c r="I88" s="71"/>
      <c r="J88" s="95"/>
    </row>
    <row r="89" spans="1:21" ht="15" x14ac:dyDescent="0.2">
      <c r="A89" s="28" t="s">
        <v>88</v>
      </c>
      <c r="B89" s="103" t="s">
        <v>92</v>
      </c>
      <c r="C89" s="103"/>
      <c r="D89" s="71"/>
      <c r="E89" s="71"/>
      <c r="F89" s="71"/>
      <c r="G89" s="71"/>
      <c r="H89" s="71"/>
      <c r="I89" s="71"/>
      <c r="J89" s="95"/>
    </row>
    <row r="90" spans="1:21" ht="15" x14ac:dyDescent="0.2">
      <c r="A90" s="44" t="s">
        <v>89</v>
      </c>
      <c r="B90" s="98" t="s">
        <v>193</v>
      </c>
      <c r="C90" s="98"/>
      <c r="D90" s="72"/>
      <c r="E90" s="72"/>
      <c r="F90" s="72"/>
      <c r="G90" s="72"/>
      <c r="H90" s="72"/>
      <c r="I90" s="72"/>
      <c r="J90" s="96"/>
    </row>
    <row r="91" spans="1:21" ht="15" x14ac:dyDescent="0.2">
      <c r="A91" s="44" t="s">
        <v>90</v>
      </c>
      <c r="B91" s="98" t="s">
        <v>194</v>
      </c>
      <c r="C91" s="98"/>
      <c r="D91" s="72"/>
      <c r="E91" s="72"/>
      <c r="F91" s="72"/>
      <c r="G91" s="72"/>
      <c r="H91" s="72"/>
      <c r="I91" s="72"/>
      <c r="J91" s="96"/>
    </row>
    <row r="92" spans="1:21" ht="15" x14ac:dyDescent="0.2">
      <c r="A92" s="44" t="s">
        <v>93</v>
      </c>
      <c r="B92" s="104" t="s">
        <v>195</v>
      </c>
      <c r="C92" s="104"/>
      <c r="D92" s="73"/>
      <c r="E92" s="73"/>
      <c r="F92" s="73"/>
      <c r="G92" s="73"/>
      <c r="H92" s="73"/>
      <c r="I92" s="73"/>
      <c r="J92" s="97"/>
    </row>
    <row r="93" spans="1:21" ht="15" x14ac:dyDescent="0.2">
      <c r="A93" s="44" t="s">
        <v>94</v>
      </c>
      <c r="B93" s="98" t="s">
        <v>196</v>
      </c>
      <c r="C93" s="98"/>
      <c r="D93" s="72"/>
      <c r="E93" s="72"/>
      <c r="F93" s="72"/>
      <c r="G93" s="72"/>
      <c r="H93" s="72"/>
      <c r="I93" s="72"/>
      <c r="J93" s="96"/>
    </row>
    <row r="94" spans="1:21" ht="15" x14ac:dyDescent="0.2">
      <c r="A94" s="44" t="s">
        <v>95</v>
      </c>
      <c r="B94" s="98" t="s">
        <v>197</v>
      </c>
      <c r="C94" s="98"/>
      <c r="D94" s="72"/>
      <c r="E94" s="72"/>
      <c r="F94" s="72"/>
      <c r="G94" s="72"/>
      <c r="H94" s="72"/>
      <c r="I94" s="72"/>
      <c r="J94" s="96"/>
    </row>
    <row r="95" spans="1:21" ht="15" x14ac:dyDescent="0.2">
      <c r="A95" s="44" t="s">
        <v>96</v>
      </c>
      <c r="B95" s="98" t="s">
        <v>198</v>
      </c>
      <c r="C95" s="98"/>
      <c r="D95" s="72"/>
      <c r="E95" s="72"/>
      <c r="F95" s="72"/>
      <c r="G95" s="72"/>
      <c r="H95" s="72"/>
      <c r="I95" s="72"/>
      <c r="J95" s="96"/>
    </row>
    <row r="96" spans="1:21" ht="15" x14ac:dyDescent="0.2">
      <c r="A96" s="44" t="s">
        <v>97</v>
      </c>
      <c r="B96" s="98" t="s">
        <v>199</v>
      </c>
      <c r="C96" s="98"/>
      <c r="D96" s="72"/>
      <c r="E96" s="72"/>
      <c r="F96" s="72"/>
      <c r="G96" s="72"/>
      <c r="H96" s="72"/>
      <c r="I96" s="72"/>
      <c r="J96" s="96"/>
    </row>
    <row r="97" spans="1:10" ht="15" x14ac:dyDescent="0.2">
      <c r="A97" s="44" t="s">
        <v>98</v>
      </c>
      <c r="B97" s="98" t="s">
        <v>192</v>
      </c>
      <c r="C97" s="98"/>
      <c r="D97" s="72"/>
      <c r="E97" s="72"/>
      <c r="F97" s="72"/>
      <c r="G97" s="72"/>
      <c r="H97" s="72"/>
      <c r="I97" s="72"/>
      <c r="J97" s="96"/>
    </row>
    <row r="98" spans="1:10" ht="15" x14ac:dyDescent="0.2">
      <c r="A98" s="44" t="s">
        <v>99</v>
      </c>
      <c r="B98" s="98" t="s">
        <v>234</v>
      </c>
      <c r="C98" s="98"/>
    </row>
    <row r="99" spans="1:10" ht="15" x14ac:dyDescent="0.2">
      <c r="A99" s="44" t="s">
        <v>205</v>
      </c>
      <c r="B99" s="98" t="s">
        <v>235</v>
      </c>
      <c r="C99" s="98"/>
    </row>
    <row r="100" spans="1:10" ht="15" x14ac:dyDescent="0.2">
      <c r="A100" s="44" t="s">
        <v>206</v>
      </c>
      <c r="B100" s="98" t="s">
        <v>236</v>
      </c>
      <c r="C100" s="98"/>
    </row>
    <row r="101" spans="1:10" ht="15" x14ac:dyDescent="0.2">
      <c r="A101" s="44" t="s">
        <v>207</v>
      </c>
      <c r="B101" s="98" t="s">
        <v>237</v>
      </c>
      <c r="C101" s="98"/>
    </row>
    <row r="102" spans="1:10" ht="15" x14ac:dyDescent="0.2">
      <c r="A102" s="44" t="s">
        <v>114</v>
      </c>
      <c r="B102" s="98" t="s">
        <v>238</v>
      </c>
      <c r="C102" s="98"/>
    </row>
    <row r="103" spans="1:10" ht="15" x14ac:dyDescent="0.2">
      <c r="A103" s="44" t="s">
        <v>208</v>
      </c>
      <c r="B103" s="98" t="s">
        <v>277</v>
      </c>
      <c r="C103" s="98"/>
    </row>
    <row r="104" spans="1:10" ht="15" x14ac:dyDescent="0.2">
      <c r="A104" s="44" t="s">
        <v>209</v>
      </c>
      <c r="B104" s="98" t="s">
        <v>278</v>
      </c>
      <c r="C104" s="98"/>
    </row>
    <row r="105" spans="1:10" ht="15" x14ac:dyDescent="0.2">
      <c r="A105" s="44" t="s">
        <v>210</v>
      </c>
      <c r="B105" s="98" t="s">
        <v>279</v>
      </c>
      <c r="C105" s="98"/>
    </row>
    <row r="106" spans="1:10" ht="15" x14ac:dyDescent="0.2">
      <c r="A106" s="44" t="s">
        <v>211</v>
      </c>
      <c r="B106" s="98" t="s">
        <v>280</v>
      </c>
      <c r="C106" s="98"/>
    </row>
    <row r="107" spans="1:10" ht="15" x14ac:dyDescent="0.2">
      <c r="A107" s="44" t="s">
        <v>212</v>
      </c>
      <c r="B107" s="98" t="s">
        <v>281</v>
      </c>
      <c r="C107" s="98"/>
    </row>
  </sheetData>
  <sheetProtection algorithmName="SHA-512" hashValue="vUi5gDQxDFdF9nb0fWPmx5shcfR8YkzSAYi37127UlWkZWFbemq0bswwxshD8xO4I7OEiRp2SxBY570NQauwcw==" saltValue="zKrpD1dQ2xv7r1VX87sbpg==" spinCount="100000" sheet="1" objects="1" scenarios="1" selectLockedCells="1" selectUnlockedCells="1"/>
  <mergeCells count="26">
    <mergeCell ref="B93:C93"/>
    <mergeCell ref="B94:C94"/>
    <mergeCell ref="B95:C95"/>
    <mergeCell ref="A1:U1"/>
    <mergeCell ref="A81:U81"/>
    <mergeCell ref="A86:C86"/>
    <mergeCell ref="B87:C87"/>
    <mergeCell ref="B88:C88"/>
    <mergeCell ref="B89:C89"/>
    <mergeCell ref="B90:C90"/>
    <mergeCell ref="B91:C91"/>
    <mergeCell ref="B92:C92"/>
    <mergeCell ref="A82:U82"/>
    <mergeCell ref="A84:O84"/>
    <mergeCell ref="B107:C107"/>
    <mergeCell ref="B103:C103"/>
    <mergeCell ref="B104:C104"/>
    <mergeCell ref="B105:C105"/>
    <mergeCell ref="B96:C96"/>
    <mergeCell ref="B106:C106"/>
    <mergeCell ref="B98:C98"/>
    <mergeCell ref="B99:C99"/>
    <mergeCell ref="B100:C100"/>
    <mergeCell ref="B101:C101"/>
    <mergeCell ref="B102:C102"/>
    <mergeCell ref="B97:C97"/>
  </mergeCells>
  <phoneticPr fontId="11" type="noConversion"/>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06399-711E-4461-85BF-C2F6570B8050}">
  <dimension ref="A1:S102"/>
  <sheetViews>
    <sheetView tabSelected="1" topLeftCell="B1" zoomScale="80" zoomScaleNormal="80" workbookViewId="0">
      <selection activeCell="S11" sqref="S11"/>
    </sheetView>
  </sheetViews>
  <sheetFormatPr defaultColWidth="9.140625" defaultRowHeight="14.25" x14ac:dyDescent="0.2"/>
  <cols>
    <col min="1" max="1" width="16.85546875" style="2" customWidth="1"/>
    <col min="2" max="2" width="80.28515625" style="2" customWidth="1"/>
    <col min="3" max="3" width="38" style="2" customWidth="1"/>
    <col min="4" max="4" width="15.5703125" style="2" customWidth="1"/>
    <col min="5" max="5" width="14.140625" style="2" customWidth="1"/>
    <col min="6" max="6" width="13.7109375" style="2" customWidth="1"/>
    <col min="7" max="7" width="21.28515625" style="2" customWidth="1"/>
    <col min="8" max="8" width="23.28515625" style="2" customWidth="1"/>
    <col min="9" max="9" width="15.140625" style="2" customWidth="1"/>
    <col min="10" max="10" width="22.42578125" style="2" customWidth="1"/>
    <col min="11" max="11" width="22.140625" style="2" customWidth="1"/>
    <col min="12" max="12" width="15" style="2" customWidth="1"/>
    <col min="13" max="13" width="20.28515625" style="2" customWidth="1"/>
    <col min="14" max="14" width="20" style="2" customWidth="1"/>
    <col min="15" max="15" width="15.7109375" style="2" customWidth="1"/>
    <col min="16" max="16384" width="9.140625" style="2"/>
  </cols>
  <sheetData>
    <row r="1" spans="1:15" ht="24" thickBot="1" x14ac:dyDescent="0.4">
      <c r="A1" s="99" t="s">
        <v>269</v>
      </c>
      <c r="B1" s="100"/>
      <c r="C1" s="100"/>
      <c r="D1" s="100"/>
      <c r="E1" s="100"/>
      <c r="F1" s="100"/>
      <c r="G1" s="100"/>
      <c r="H1" s="100"/>
      <c r="I1" s="100"/>
      <c r="J1" s="100"/>
      <c r="K1" s="100"/>
      <c r="L1" s="100"/>
      <c r="M1" s="100"/>
      <c r="N1" s="100"/>
      <c r="O1" s="109"/>
    </row>
    <row r="3" spans="1:15" s="3" customFormat="1" ht="46.5" customHeight="1" x14ac:dyDescent="0.2">
      <c r="A3" s="1" t="s">
        <v>83</v>
      </c>
      <c r="B3" s="1" t="s">
        <v>84</v>
      </c>
      <c r="C3" s="1" t="s">
        <v>92</v>
      </c>
      <c r="D3" s="1" t="s">
        <v>163</v>
      </c>
      <c r="E3" s="1" t="s">
        <v>164</v>
      </c>
      <c r="F3" s="1" t="s">
        <v>165</v>
      </c>
      <c r="G3" s="33" t="s">
        <v>112</v>
      </c>
      <c r="H3" s="33" t="s">
        <v>111</v>
      </c>
      <c r="I3" s="33" t="s">
        <v>113</v>
      </c>
      <c r="J3" s="33" t="s">
        <v>241</v>
      </c>
      <c r="K3" s="33" t="s">
        <v>242</v>
      </c>
      <c r="L3" s="33" t="s">
        <v>243</v>
      </c>
      <c r="M3" s="33" t="s">
        <v>283</v>
      </c>
      <c r="N3" s="33" t="s">
        <v>284</v>
      </c>
      <c r="O3" s="33" t="s">
        <v>285</v>
      </c>
    </row>
    <row r="4" spans="1:15" x14ac:dyDescent="0.2">
      <c r="A4" s="50">
        <v>1</v>
      </c>
      <c r="B4" s="11" t="s">
        <v>18</v>
      </c>
      <c r="C4" s="11" t="s">
        <v>72</v>
      </c>
      <c r="D4" s="11" t="s">
        <v>169</v>
      </c>
      <c r="E4" s="11" t="s">
        <v>170</v>
      </c>
      <c r="F4" s="11" t="s">
        <v>171</v>
      </c>
      <c r="G4" s="35">
        <v>32813000</v>
      </c>
      <c r="H4" s="35">
        <v>2117496000</v>
      </c>
      <c r="I4" s="36">
        <v>1.5496133168610472E-2</v>
      </c>
      <c r="J4" s="35">
        <v>104758000</v>
      </c>
      <c r="K4" s="35">
        <v>2150988000</v>
      </c>
      <c r="L4" s="36">
        <v>4.8702270770455254E-2</v>
      </c>
      <c r="M4" s="35">
        <v>61726000</v>
      </c>
      <c r="N4" s="35">
        <v>2553370000</v>
      </c>
      <c r="O4" s="36">
        <v>2.4199999999999999E-2</v>
      </c>
    </row>
    <row r="5" spans="1:15" x14ac:dyDescent="0.2">
      <c r="A5" s="50">
        <v>2</v>
      </c>
      <c r="B5" s="11" t="s">
        <v>36</v>
      </c>
      <c r="C5" s="11" t="s">
        <v>69</v>
      </c>
      <c r="D5" s="11" t="s">
        <v>176</v>
      </c>
      <c r="E5" s="11" t="s">
        <v>170</v>
      </c>
      <c r="F5" s="11" t="s">
        <v>171</v>
      </c>
      <c r="G5" s="35">
        <v>3709000</v>
      </c>
      <c r="H5" s="35">
        <v>692822000</v>
      </c>
      <c r="I5" s="36">
        <v>5.3534674129863081E-3</v>
      </c>
      <c r="J5" s="35">
        <v>18990000</v>
      </c>
      <c r="K5" s="35">
        <v>724536000</v>
      </c>
      <c r="L5" s="36">
        <v>2.6209877770048694E-2</v>
      </c>
      <c r="M5" s="35">
        <v>3774000</v>
      </c>
      <c r="N5" s="35">
        <v>814742000</v>
      </c>
      <c r="O5" s="36">
        <v>4.5999999999999999E-3</v>
      </c>
    </row>
    <row r="6" spans="1:15" x14ac:dyDescent="0.2">
      <c r="A6" s="50">
        <v>3</v>
      </c>
      <c r="B6" s="11" t="s">
        <v>15</v>
      </c>
      <c r="C6" s="11" t="s">
        <v>72</v>
      </c>
      <c r="D6" s="11" t="s">
        <v>178</v>
      </c>
      <c r="E6" s="11" t="s">
        <v>170</v>
      </c>
      <c r="F6" s="11" t="s">
        <v>171</v>
      </c>
      <c r="G6" s="35">
        <v>-5411000</v>
      </c>
      <c r="H6" s="35">
        <v>194347000</v>
      </c>
      <c r="I6" s="36">
        <v>-2.784195279577251E-2</v>
      </c>
      <c r="J6" s="35">
        <v>-362000</v>
      </c>
      <c r="K6" s="35">
        <v>195367000</v>
      </c>
      <c r="L6" s="36">
        <v>-1.8529229603771364E-3</v>
      </c>
      <c r="M6" s="35">
        <v>-5755000</v>
      </c>
      <c r="N6" s="35">
        <v>202036000</v>
      </c>
      <c r="O6" s="36">
        <v>-2.8500000000000001E-2</v>
      </c>
    </row>
    <row r="7" spans="1:15" x14ac:dyDescent="0.2">
      <c r="A7" s="50">
        <v>5</v>
      </c>
      <c r="B7" s="11" t="s">
        <v>23</v>
      </c>
      <c r="C7" s="11" t="s">
        <v>73</v>
      </c>
      <c r="D7" s="11" t="s">
        <v>179</v>
      </c>
      <c r="E7" s="11" t="s">
        <v>170</v>
      </c>
      <c r="F7" s="11" t="s">
        <v>168</v>
      </c>
      <c r="G7" s="35">
        <v>10306000</v>
      </c>
      <c r="H7" s="35">
        <v>396609000</v>
      </c>
      <c r="I7" s="36">
        <v>2.5985290298505583E-2</v>
      </c>
      <c r="J7" s="35">
        <v>-7965000</v>
      </c>
      <c r="K7" s="35">
        <v>384973000</v>
      </c>
      <c r="L7" s="36">
        <v>-2.0689762658679958E-2</v>
      </c>
      <c r="M7" s="35">
        <v>4500000</v>
      </c>
      <c r="N7" s="35">
        <v>429312000</v>
      </c>
      <c r="O7" s="36">
        <v>1.0500000000000001E-2</v>
      </c>
    </row>
    <row r="8" spans="1:15" x14ac:dyDescent="0.2">
      <c r="A8" s="50">
        <v>6</v>
      </c>
      <c r="B8" s="11" t="s">
        <v>59</v>
      </c>
      <c r="C8" s="11" t="s">
        <v>76</v>
      </c>
      <c r="D8" s="11" t="s">
        <v>186</v>
      </c>
      <c r="E8" s="11" t="s">
        <v>170</v>
      </c>
      <c r="F8" s="11" t="s">
        <v>171</v>
      </c>
      <c r="G8" s="35">
        <v>11248000</v>
      </c>
      <c r="H8" s="35">
        <v>157357000</v>
      </c>
      <c r="I8" s="36">
        <v>7.1480773019312771E-2</v>
      </c>
      <c r="J8" s="35">
        <v>6866000</v>
      </c>
      <c r="K8" s="35">
        <v>160310000</v>
      </c>
      <c r="L8" s="36">
        <v>4.2829517809244586E-2</v>
      </c>
      <c r="M8" s="35">
        <v>8903000</v>
      </c>
      <c r="N8" s="35">
        <v>171036000</v>
      </c>
      <c r="O8" s="36">
        <v>5.21E-2</v>
      </c>
    </row>
    <row r="9" spans="1:15" x14ac:dyDescent="0.2">
      <c r="A9" s="50">
        <v>8</v>
      </c>
      <c r="B9" s="11" t="s">
        <v>21</v>
      </c>
      <c r="C9" s="11" t="s">
        <v>73</v>
      </c>
      <c r="D9" s="11" t="s">
        <v>169</v>
      </c>
      <c r="E9" s="11" t="s">
        <v>170</v>
      </c>
      <c r="F9" s="11" t="s">
        <v>171</v>
      </c>
      <c r="G9" s="35">
        <v>62407000</v>
      </c>
      <c r="H9" s="35">
        <v>502287000</v>
      </c>
      <c r="I9" s="36">
        <v>0.12424570016743415</v>
      </c>
      <c r="J9" s="35">
        <v>63497000</v>
      </c>
      <c r="K9" s="35">
        <v>516959000</v>
      </c>
      <c r="L9" s="36">
        <v>0.12282792252383651</v>
      </c>
      <c r="M9" s="35">
        <v>77851000</v>
      </c>
      <c r="N9" s="35">
        <v>545923000</v>
      </c>
      <c r="O9" s="36">
        <v>0.1426</v>
      </c>
    </row>
    <row r="10" spans="1:15" x14ac:dyDescent="0.2">
      <c r="A10" s="50">
        <v>9</v>
      </c>
      <c r="B10" s="11" t="s">
        <v>10</v>
      </c>
      <c r="C10" s="11" t="s">
        <v>69</v>
      </c>
      <c r="D10" s="11" t="s">
        <v>176</v>
      </c>
      <c r="E10" s="11" t="s">
        <v>170</v>
      </c>
      <c r="F10" s="11" t="s">
        <v>171</v>
      </c>
      <c r="G10" s="35">
        <v>3141000</v>
      </c>
      <c r="H10" s="35">
        <v>347115000</v>
      </c>
      <c r="I10" s="36">
        <v>9.0488742923814872E-3</v>
      </c>
      <c r="J10" s="35">
        <v>-330000</v>
      </c>
      <c r="K10" s="35">
        <v>371136000</v>
      </c>
      <c r="L10" s="36">
        <v>-8.8916192446973619E-4</v>
      </c>
      <c r="M10" s="35">
        <v>-11402000</v>
      </c>
      <c r="N10" s="35">
        <v>363194000</v>
      </c>
      <c r="O10" s="36">
        <v>-3.1399999999999997E-2</v>
      </c>
    </row>
    <row r="11" spans="1:15" x14ac:dyDescent="0.2">
      <c r="A11" s="50">
        <v>10</v>
      </c>
      <c r="B11" s="11" t="s">
        <v>40</v>
      </c>
      <c r="C11" s="11" t="s">
        <v>78</v>
      </c>
      <c r="D11" s="11" t="s">
        <v>182</v>
      </c>
      <c r="E11" s="11" t="s">
        <v>181</v>
      </c>
      <c r="F11" s="11" t="s">
        <v>171</v>
      </c>
      <c r="G11" s="35">
        <v>-15031000</v>
      </c>
      <c r="H11" s="35">
        <v>413581000</v>
      </c>
      <c r="I11" s="36">
        <v>-3.6343545762498763E-2</v>
      </c>
      <c r="J11" s="35">
        <v>-13478000</v>
      </c>
      <c r="K11" s="35">
        <v>460297000</v>
      </c>
      <c r="L11" s="36">
        <v>-2.9281094597618493E-2</v>
      </c>
      <c r="M11" s="35">
        <v>-4806000</v>
      </c>
      <c r="N11" s="35">
        <v>511732000</v>
      </c>
      <c r="O11" s="36">
        <v>-9.4000000000000004E-3</v>
      </c>
    </row>
    <row r="12" spans="1:15" x14ac:dyDescent="0.2">
      <c r="A12" s="50">
        <v>11</v>
      </c>
      <c r="B12" s="11" t="s">
        <v>4</v>
      </c>
      <c r="C12" s="11" t="s">
        <v>73</v>
      </c>
      <c r="D12" s="11" t="s">
        <v>174</v>
      </c>
      <c r="E12" s="11" t="s">
        <v>167</v>
      </c>
      <c r="F12" s="11" t="s">
        <v>168</v>
      </c>
      <c r="G12" s="35">
        <v>1141000</v>
      </c>
      <c r="H12" s="35">
        <v>139659000</v>
      </c>
      <c r="I12" s="36">
        <v>8.1698995410249258E-3</v>
      </c>
      <c r="J12" s="35">
        <v>-6789000</v>
      </c>
      <c r="K12" s="35">
        <v>134243000</v>
      </c>
      <c r="L12" s="36">
        <v>-5.0572469328009656E-2</v>
      </c>
      <c r="M12" s="35">
        <v>-8562000</v>
      </c>
      <c r="N12" s="35">
        <v>138512000</v>
      </c>
      <c r="O12" s="36">
        <v>-6.1800000000000001E-2</v>
      </c>
    </row>
    <row r="13" spans="1:15" x14ac:dyDescent="0.2">
      <c r="A13" s="50">
        <v>12</v>
      </c>
      <c r="B13" s="11" t="s">
        <v>62</v>
      </c>
      <c r="C13" s="11" t="s">
        <v>73</v>
      </c>
      <c r="D13" s="11" t="s">
        <v>169</v>
      </c>
      <c r="E13" s="11" t="s">
        <v>170</v>
      </c>
      <c r="F13" s="11" t="s">
        <v>171</v>
      </c>
      <c r="G13" s="35">
        <v>159798000</v>
      </c>
      <c r="H13" s="35">
        <v>892723000</v>
      </c>
      <c r="I13" s="36">
        <v>0.17900065305811544</v>
      </c>
      <c r="J13" s="35">
        <v>187570000</v>
      </c>
      <c r="K13" s="35">
        <v>973254000</v>
      </c>
      <c r="L13" s="36">
        <v>0.19272461248553821</v>
      </c>
      <c r="M13" s="35">
        <v>221180000</v>
      </c>
      <c r="N13" s="35">
        <v>1061129000</v>
      </c>
      <c r="O13" s="36">
        <v>0.2084</v>
      </c>
    </row>
    <row r="14" spans="1:15" x14ac:dyDescent="0.2">
      <c r="A14" s="50">
        <v>14</v>
      </c>
      <c r="B14" s="11" t="s">
        <v>12</v>
      </c>
      <c r="C14" s="11" t="s">
        <v>73</v>
      </c>
      <c r="D14" s="11" t="s">
        <v>173</v>
      </c>
      <c r="E14" s="11" t="s">
        <v>167</v>
      </c>
      <c r="F14" s="11" t="s">
        <v>171</v>
      </c>
      <c r="G14" s="35">
        <v>160435000</v>
      </c>
      <c r="H14" s="35">
        <v>1396698000</v>
      </c>
      <c r="I14" s="36">
        <v>0.11486735142457424</v>
      </c>
      <c r="J14" s="35">
        <v>129183000</v>
      </c>
      <c r="K14" s="35">
        <v>1531699000</v>
      </c>
      <c r="L14" s="36">
        <v>8.4339677704300911E-2</v>
      </c>
      <c r="M14" s="35">
        <v>162173000</v>
      </c>
      <c r="N14" s="35">
        <v>1705727000</v>
      </c>
      <c r="O14" s="36">
        <v>9.5100000000000004E-2</v>
      </c>
    </row>
    <row r="15" spans="1:15" x14ac:dyDescent="0.2">
      <c r="A15" s="50">
        <v>15</v>
      </c>
      <c r="B15" s="11" t="s">
        <v>34</v>
      </c>
      <c r="C15" s="11" t="s">
        <v>67</v>
      </c>
      <c r="D15" s="11" t="s">
        <v>184</v>
      </c>
      <c r="E15" s="11" t="s">
        <v>170</v>
      </c>
      <c r="F15" s="11" t="s">
        <v>171</v>
      </c>
      <c r="G15" s="35">
        <v>297879000</v>
      </c>
      <c r="H15" s="35">
        <v>1679535000</v>
      </c>
      <c r="I15" s="36">
        <v>0.17735801873732909</v>
      </c>
      <c r="J15" s="35">
        <v>250372000</v>
      </c>
      <c r="K15" s="35">
        <v>1774989000</v>
      </c>
      <c r="L15" s="36">
        <v>0.14105552203422106</v>
      </c>
      <c r="M15" s="35">
        <v>263397000</v>
      </c>
      <c r="N15" s="35">
        <v>1918363000</v>
      </c>
      <c r="O15" s="36">
        <v>0.13730000000000001</v>
      </c>
    </row>
    <row r="16" spans="1:15" x14ac:dyDescent="0.2">
      <c r="A16" s="50">
        <v>16</v>
      </c>
      <c r="B16" s="11" t="s">
        <v>9</v>
      </c>
      <c r="C16" s="11" t="s">
        <v>71</v>
      </c>
      <c r="D16" s="11" t="s">
        <v>178</v>
      </c>
      <c r="E16" s="11" t="s">
        <v>170</v>
      </c>
      <c r="F16" s="11" t="s">
        <v>171</v>
      </c>
      <c r="G16" s="35">
        <v>-3506000</v>
      </c>
      <c r="H16" s="35">
        <v>178960000</v>
      </c>
      <c r="I16" s="36">
        <v>-1.9590970049172998E-2</v>
      </c>
      <c r="J16" s="35">
        <v>-23329000</v>
      </c>
      <c r="K16" s="35">
        <v>155512000</v>
      </c>
      <c r="L16" s="36">
        <v>-0.15001414681825198</v>
      </c>
      <c r="M16" s="35">
        <v>-30166000</v>
      </c>
      <c r="N16" s="35">
        <v>153090000</v>
      </c>
      <c r="O16" s="36">
        <v>-0.19700000000000001</v>
      </c>
    </row>
    <row r="17" spans="1:15" x14ac:dyDescent="0.2">
      <c r="A17" s="50">
        <v>17</v>
      </c>
      <c r="B17" s="11" t="s">
        <v>8</v>
      </c>
      <c r="C17" s="11" t="s">
        <v>67</v>
      </c>
      <c r="D17" s="11" t="s">
        <v>184</v>
      </c>
      <c r="E17" s="11" t="s">
        <v>170</v>
      </c>
      <c r="F17" s="11" t="s">
        <v>171</v>
      </c>
      <c r="G17" s="35">
        <v>24782000</v>
      </c>
      <c r="H17" s="35">
        <v>237974000</v>
      </c>
      <c r="I17" s="36">
        <v>0.10413742677771522</v>
      </c>
      <c r="J17" s="35">
        <v>16898000</v>
      </c>
      <c r="K17" s="35">
        <v>258002000</v>
      </c>
      <c r="L17" s="36">
        <v>6.5495616313051841E-2</v>
      </c>
      <c r="M17" s="35">
        <v>21864000</v>
      </c>
      <c r="N17" s="35">
        <v>281796000</v>
      </c>
      <c r="O17" s="36">
        <v>7.7600000000000002E-2</v>
      </c>
    </row>
    <row r="18" spans="1:15" x14ac:dyDescent="0.2">
      <c r="A18" s="50">
        <v>19</v>
      </c>
      <c r="B18" s="11" t="s">
        <v>56</v>
      </c>
      <c r="C18" s="11" t="s">
        <v>77</v>
      </c>
      <c r="D18" s="11" t="s">
        <v>186</v>
      </c>
      <c r="E18" s="11" t="s">
        <v>170</v>
      </c>
      <c r="F18" s="11" t="s">
        <v>171</v>
      </c>
      <c r="G18" s="35">
        <v>14572000</v>
      </c>
      <c r="H18" s="35">
        <v>785747000</v>
      </c>
      <c r="I18" s="36">
        <v>1.8545409654761646E-2</v>
      </c>
      <c r="J18" s="35">
        <v>1846000</v>
      </c>
      <c r="K18" s="35">
        <v>780309000</v>
      </c>
      <c r="L18" s="36">
        <v>2.3657294738366466E-3</v>
      </c>
      <c r="M18" s="35">
        <v>15722000</v>
      </c>
      <c r="N18" s="35">
        <v>848656000</v>
      </c>
      <c r="O18" s="36">
        <v>1.8499999999999999E-2</v>
      </c>
    </row>
    <row r="19" spans="1:15" x14ac:dyDescent="0.2">
      <c r="A19" s="50">
        <v>21</v>
      </c>
      <c r="B19" s="11" t="s">
        <v>55</v>
      </c>
      <c r="C19" s="11" t="s">
        <v>73</v>
      </c>
      <c r="D19" s="11" t="s">
        <v>180</v>
      </c>
      <c r="E19" s="11" t="s">
        <v>181</v>
      </c>
      <c r="F19" s="11" t="s">
        <v>171</v>
      </c>
      <c r="G19" s="35">
        <v>-3435000</v>
      </c>
      <c r="H19" s="35">
        <v>138191000</v>
      </c>
      <c r="I19" s="36">
        <v>-2.4856900955923324E-2</v>
      </c>
      <c r="J19" s="35">
        <v>-33157000</v>
      </c>
      <c r="K19" s="35">
        <v>119535000</v>
      </c>
      <c r="L19" s="36">
        <v>-0.27738319320701049</v>
      </c>
      <c r="M19" s="35">
        <v>0</v>
      </c>
      <c r="N19" s="35">
        <v>0</v>
      </c>
      <c r="O19" s="36">
        <v>0</v>
      </c>
    </row>
    <row r="20" spans="1:15" x14ac:dyDescent="0.2">
      <c r="A20" s="50">
        <v>24</v>
      </c>
      <c r="B20" s="11" t="s">
        <v>45</v>
      </c>
      <c r="C20" s="11" t="s">
        <v>69</v>
      </c>
      <c r="D20" s="11" t="s">
        <v>190</v>
      </c>
      <c r="E20" s="11" t="s">
        <v>170</v>
      </c>
      <c r="F20" s="11" t="s">
        <v>171</v>
      </c>
      <c r="G20" s="35">
        <v>-409000</v>
      </c>
      <c r="H20" s="35">
        <v>137300000</v>
      </c>
      <c r="I20" s="36">
        <v>-2.9788783685360523E-3</v>
      </c>
      <c r="J20" s="35">
        <v>-19906000</v>
      </c>
      <c r="K20" s="35">
        <v>128172000</v>
      </c>
      <c r="L20" s="36">
        <v>-0.15530693131105078</v>
      </c>
      <c r="M20" s="35">
        <v>-1980000</v>
      </c>
      <c r="N20" s="35">
        <v>135795000</v>
      </c>
      <c r="O20" s="36">
        <v>-1.46E-2</v>
      </c>
    </row>
    <row r="21" spans="1:15" x14ac:dyDescent="0.2">
      <c r="A21" s="50">
        <v>25</v>
      </c>
      <c r="B21" s="11" t="s">
        <v>2</v>
      </c>
      <c r="C21" s="11" t="s">
        <v>71</v>
      </c>
      <c r="D21" s="11" t="s">
        <v>178</v>
      </c>
      <c r="E21" s="11" t="s">
        <v>170</v>
      </c>
      <c r="F21" s="11" t="s">
        <v>171</v>
      </c>
      <c r="G21" s="35">
        <v>-1975000</v>
      </c>
      <c r="H21" s="35">
        <v>156392000</v>
      </c>
      <c r="I21" s="36">
        <v>-1.2628523198117551E-2</v>
      </c>
      <c r="J21" s="35">
        <v>-15214000</v>
      </c>
      <c r="K21" s="35">
        <v>162770000</v>
      </c>
      <c r="L21" s="36">
        <v>-9.3469312526878415E-2</v>
      </c>
      <c r="M21" s="35">
        <v>-30668000</v>
      </c>
      <c r="N21" s="35">
        <v>132317000</v>
      </c>
      <c r="O21" s="36">
        <v>-0.23180000000000001</v>
      </c>
    </row>
    <row r="22" spans="1:15" x14ac:dyDescent="0.2">
      <c r="A22" s="50">
        <v>27</v>
      </c>
      <c r="B22" s="11" t="s">
        <v>60</v>
      </c>
      <c r="C22" s="11" t="s">
        <v>73</v>
      </c>
      <c r="D22" s="11" t="s">
        <v>190</v>
      </c>
      <c r="E22" s="11" t="s">
        <v>170</v>
      </c>
      <c r="F22" s="11" t="s">
        <v>171</v>
      </c>
      <c r="G22" s="35">
        <v>8427000</v>
      </c>
      <c r="H22" s="35">
        <v>324090000</v>
      </c>
      <c r="I22" s="36">
        <v>2.6002036471350552E-2</v>
      </c>
      <c r="J22" s="35">
        <v>-31350000</v>
      </c>
      <c r="K22" s="35">
        <v>295789000</v>
      </c>
      <c r="L22" s="36">
        <v>-0.1059877142152007</v>
      </c>
      <c r="M22" s="35">
        <v>-42785000</v>
      </c>
      <c r="N22" s="35">
        <v>316383000</v>
      </c>
      <c r="O22" s="36">
        <v>-0.13519999999999999</v>
      </c>
    </row>
    <row r="23" spans="1:15" x14ac:dyDescent="0.2">
      <c r="A23" s="50">
        <v>28</v>
      </c>
      <c r="B23" s="11" t="s">
        <v>37</v>
      </c>
      <c r="C23" s="11" t="s">
        <v>67</v>
      </c>
      <c r="D23" s="11" t="s">
        <v>189</v>
      </c>
      <c r="E23" s="11" t="s">
        <v>170</v>
      </c>
      <c r="F23" s="11" t="s">
        <v>168</v>
      </c>
      <c r="G23" s="35">
        <v>5988000</v>
      </c>
      <c r="H23" s="35">
        <v>197702000</v>
      </c>
      <c r="I23" s="36">
        <v>3.0288009226006819E-2</v>
      </c>
      <c r="J23" s="35">
        <v>-4529000</v>
      </c>
      <c r="K23" s="35">
        <v>197559000</v>
      </c>
      <c r="L23" s="36">
        <v>-2.2924797149206061E-2</v>
      </c>
      <c r="M23" s="35">
        <v>-10128000</v>
      </c>
      <c r="N23" s="35">
        <v>201573000</v>
      </c>
      <c r="O23" s="36">
        <v>-5.0200000000000002E-2</v>
      </c>
    </row>
    <row r="24" spans="1:15" x14ac:dyDescent="0.2">
      <c r="A24" s="50">
        <v>29</v>
      </c>
      <c r="B24" s="11" t="s">
        <v>115</v>
      </c>
      <c r="C24" s="11" t="s">
        <v>74</v>
      </c>
      <c r="D24" s="11" t="s">
        <v>173</v>
      </c>
      <c r="E24" s="11" t="s">
        <v>167</v>
      </c>
      <c r="F24" s="11" t="s">
        <v>171</v>
      </c>
      <c r="G24" s="35">
        <v>30279000</v>
      </c>
      <c r="H24" s="35">
        <v>409138000</v>
      </c>
      <c r="I24" s="36">
        <v>7.4006814326706388E-2</v>
      </c>
      <c r="J24" s="35">
        <v>20931000</v>
      </c>
      <c r="K24" s="35">
        <v>455610000</v>
      </c>
      <c r="L24" s="36">
        <v>4.5940607098176073E-2</v>
      </c>
      <c r="M24" s="35">
        <v>7243000</v>
      </c>
      <c r="N24" s="35">
        <v>483693000</v>
      </c>
      <c r="O24" s="36">
        <v>1.4999999999999999E-2</v>
      </c>
    </row>
    <row r="25" spans="1:15" x14ac:dyDescent="0.2">
      <c r="A25" s="50">
        <v>31</v>
      </c>
      <c r="B25" s="11" t="s">
        <v>13</v>
      </c>
      <c r="C25" s="11" t="s">
        <v>73</v>
      </c>
      <c r="D25" s="11" t="s">
        <v>172</v>
      </c>
      <c r="E25" s="11" t="s">
        <v>167</v>
      </c>
      <c r="F25" s="11" t="s">
        <v>171</v>
      </c>
      <c r="G25" s="35">
        <v>789000</v>
      </c>
      <c r="H25" s="35">
        <v>220519000</v>
      </c>
      <c r="I25" s="36">
        <v>3.5779229907627009E-3</v>
      </c>
      <c r="J25" s="35">
        <v>4052000</v>
      </c>
      <c r="K25" s="35">
        <v>227606000</v>
      </c>
      <c r="L25" s="36">
        <v>1.7802694129328753E-2</v>
      </c>
      <c r="M25" s="35">
        <v>7915000</v>
      </c>
      <c r="N25" s="35">
        <v>255616000</v>
      </c>
      <c r="O25" s="36">
        <v>3.1E-2</v>
      </c>
    </row>
    <row r="26" spans="1:15" x14ac:dyDescent="0.2">
      <c r="A26" s="50">
        <v>34</v>
      </c>
      <c r="B26" s="11" t="s">
        <v>43</v>
      </c>
      <c r="C26" s="11" t="s">
        <v>72</v>
      </c>
      <c r="D26" s="11" t="s">
        <v>183</v>
      </c>
      <c r="E26" s="11" t="s">
        <v>181</v>
      </c>
      <c r="F26" s="11" t="s">
        <v>171</v>
      </c>
      <c r="G26" s="35">
        <v>13090000</v>
      </c>
      <c r="H26" s="35">
        <v>354240000</v>
      </c>
      <c r="I26" s="36">
        <v>3.6952348690153569E-2</v>
      </c>
      <c r="J26" s="35">
        <v>26490000</v>
      </c>
      <c r="K26" s="35">
        <v>371644000</v>
      </c>
      <c r="L26" s="36">
        <v>7.1277889593266669E-2</v>
      </c>
      <c r="M26" s="35">
        <v>33627000</v>
      </c>
      <c r="N26" s="35">
        <v>408371000</v>
      </c>
      <c r="O26" s="36">
        <v>8.2299999999999998E-2</v>
      </c>
    </row>
    <row r="27" spans="1:15" x14ac:dyDescent="0.2">
      <c r="A27" s="50">
        <v>37</v>
      </c>
      <c r="B27" s="11" t="s">
        <v>16</v>
      </c>
      <c r="C27" s="11" t="s">
        <v>72</v>
      </c>
      <c r="D27" s="11" t="s">
        <v>169</v>
      </c>
      <c r="E27" s="11" t="s">
        <v>170</v>
      </c>
      <c r="F27" s="11" t="s">
        <v>171</v>
      </c>
      <c r="G27" s="35">
        <v>27340000</v>
      </c>
      <c r="H27" s="35">
        <v>140449000</v>
      </c>
      <c r="I27" s="36">
        <v>0.19466140734359091</v>
      </c>
      <c r="J27" s="35">
        <v>16989000</v>
      </c>
      <c r="K27" s="35">
        <v>143234000</v>
      </c>
      <c r="L27" s="36">
        <v>0.11861010653895025</v>
      </c>
      <c r="M27" s="35">
        <v>26604000</v>
      </c>
      <c r="N27" s="35">
        <v>151097000</v>
      </c>
      <c r="O27" s="36">
        <v>0.17610000000000001</v>
      </c>
    </row>
    <row r="28" spans="1:15" x14ac:dyDescent="0.2">
      <c r="A28" s="50">
        <v>38</v>
      </c>
      <c r="B28" s="11" t="s">
        <v>46</v>
      </c>
      <c r="C28" s="11" t="s">
        <v>69</v>
      </c>
      <c r="D28" s="11" t="s">
        <v>182</v>
      </c>
      <c r="E28" s="11" t="s">
        <v>181</v>
      </c>
      <c r="F28" s="11" t="s">
        <v>171</v>
      </c>
      <c r="G28" s="35">
        <v>25837000</v>
      </c>
      <c r="H28" s="35">
        <v>1354815000</v>
      </c>
      <c r="I28" s="36">
        <v>1.9070500400423674E-2</v>
      </c>
      <c r="J28" s="35">
        <v>-1494000</v>
      </c>
      <c r="K28" s="35">
        <v>1465962000</v>
      </c>
      <c r="L28" s="36">
        <v>-1.0191260073589901E-3</v>
      </c>
      <c r="M28" s="35">
        <v>-196860000</v>
      </c>
      <c r="N28" s="35">
        <v>1589959000</v>
      </c>
      <c r="O28" s="36">
        <v>-0.12379999999999999</v>
      </c>
    </row>
    <row r="29" spans="1:15" x14ac:dyDescent="0.2">
      <c r="A29" s="50">
        <v>40</v>
      </c>
      <c r="B29" s="11" t="s">
        <v>20</v>
      </c>
      <c r="C29" s="11" t="s">
        <v>71</v>
      </c>
      <c r="D29" s="11" t="s">
        <v>178</v>
      </c>
      <c r="E29" s="11" t="s">
        <v>170</v>
      </c>
      <c r="F29" s="11" t="s">
        <v>171</v>
      </c>
      <c r="G29" s="35">
        <v>3492000</v>
      </c>
      <c r="H29" s="35">
        <v>187790000</v>
      </c>
      <c r="I29" s="36">
        <v>1.8595239363118379E-2</v>
      </c>
      <c r="J29" s="35">
        <v>-26815000</v>
      </c>
      <c r="K29" s="35">
        <v>172218000</v>
      </c>
      <c r="L29" s="36">
        <v>-0.15570381725487464</v>
      </c>
      <c r="M29" s="35">
        <v>-14772000</v>
      </c>
      <c r="N29" s="35">
        <v>171967000</v>
      </c>
      <c r="O29" s="36">
        <v>-8.5900000000000004E-2</v>
      </c>
    </row>
    <row r="30" spans="1:15" x14ac:dyDescent="0.2">
      <c r="A30" s="50">
        <v>41</v>
      </c>
      <c r="B30" s="11" t="s">
        <v>11</v>
      </c>
      <c r="C30" s="11" t="s">
        <v>69</v>
      </c>
      <c r="D30" s="11" t="s">
        <v>185</v>
      </c>
      <c r="E30" s="11" t="s">
        <v>181</v>
      </c>
      <c r="F30" s="11" t="s">
        <v>171</v>
      </c>
      <c r="G30" s="35">
        <v>-4240000</v>
      </c>
      <c r="H30" s="35">
        <v>459320000</v>
      </c>
      <c r="I30" s="36">
        <v>-9.2310371854045104E-3</v>
      </c>
      <c r="J30" s="35">
        <v>-28852000</v>
      </c>
      <c r="K30" s="35">
        <v>469579000</v>
      </c>
      <c r="L30" s="36">
        <v>-6.1442270629649111E-2</v>
      </c>
      <c r="M30" s="35">
        <v>-2687000</v>
      </c>
      <c r="N30" s="35">
        <v>521320000</v>
      </c>
      <c r="O30" s="36">
        <v>-5.1999999999999998E-3</v>
      </c>
    </row>
    <row r="31" spans="1:15" x14ac:dyDescent="0.2">
      <c r="A31" s="50">
        <v>44</v>
      </c>
      <c r="B31" s="11" t="s">
        <v>6</v>
      </c>
      <c r="C31" s="11" t="s">
        <v>70</v>
      </c>
      <c r="D31" s="11" t="s">
        <v>180</v>
      </c>
      <c r="E31" s="11" t="s">
        <v>181</v>
      </c>
      <c r="F31" s="11" t="s">
        <v>171</v>
      </c>
      <c r="G31" s="35">
        <v>7318000</v>
      </c>
      <c r="H31" s="35">
        <v>600702000</v>
      </c>
      <c r="I31" s="36">
        <v>1.2182413243172156E-2</v>
      </c>
      <c r="J31" s="35">
        <v>18408000</v>
      </c>
      <c r="K31" s="35">
        <v>710357000</v>
      </c>
      <c r="L31" s="36">
        <v>2.5913730701604968E-2</v>
      </c>
      <c r="M31" s="35">
        <v>45654000</v>
      </c>
      <c r="N31" s="35">
        <v>769070000</v>
      </c>
      <c r="O31" s="36">
        <v>5.9400000000000001E-2</v>
      </c>
    </row>
    <row r="32" spans="1:15" s="6" customFormat="1" x14ac:dyDescent="0.2">
      <c r="A32" s="50">
        <v>45</v>
      </c>
      <c r="B32" s="11" t="s">
        <v>14</v>
      </c>
      <c r="C32" s="11" t="s">
        <v>73</v>
      </c>
      <c r="D32" s="11" t="s">
        <v>169</v>
      </c>
      <c r="E32" s="11" t="s">
        <v>170</v>
      </c>
      <c r="F32" s="11" t="s">
        <v>171</v>
      </c>
      <c r="G32" s="35">
        <v>6545000</v>
      </c>
      <c r="H32" s="35">
        <v>889057000</v>
      </c>
      <c r="I32" s="36">
        <v>7.3617327123007862E-3</v>
      </c>
      <c r="J32" s="35">
        <v>17915000</v>
      </c>
      <c r="K32" s="35">
        <v>984501000</v>
      </c>
      <c r="L32" s="36">
        <v>1.8197035858775155E-2</v>
      </c>
      <c r="M32" s="35">
        <v>27634000</v>
      </c>
      <c r="N32" s="35">
        <v>1086066000</v>
      </c>
      <c r="O32" s="36">
        <v>2.5399999999999999E-2</v>
      </c>
    </row>
    <row r="33" spans="1:15" x14ac:dyDescent="0.2">
      <c r="A33" s="50">
        <v>47</v>
      </c>
      <c r="B33" s="11" t="s">
        <v>53</v>
      </c>
      <c r="C33" s="11" t="s">
        <v>73</v>
      </c>
      <c r="D33" s="11" t="s">
        <v>166</v>
      </c>
      <c r="E33" s="11" t="s">
        <v>167</v>
      </c>
      <c r="F33" s="11" t="s">
        <v>168</v>
      </c>
      <c r="G33" s="35">
        <v>33991000</v>
      </c>
      <c r="H33" s="35">
        <v>225926000</v>
      </c>
      <c r="I33" s="36">
        <v>0.15045191788461709</v>
      </c>
      <c r="J33" s="35">
        <v>48978000</v>
      </c>
      <c r="K33" s="35">
        <v>249118000</v>
      </c>
      <c r="L33" s="36">
        <v>0.19660562464374312</v>
      </c>
      <c r="M33" s="35">
        <v>22050000</v>
      </c>
      <c r="N33" s="35">
        <v>231482000</v>
      </c>
      <c r="O33" s="36">
        <v>9.5299999999999996E-2</v>
      </c>
    </row>
    <row r="34" spans="1:15" x14ac:dyDescent="0.2">
      <c r="A34" s="50">
        <v>48</v>
      </c>
      <c r="B34" s="11" t="s">
        <v>47</v>
      </c>
      <c r="C34" s="11" t="s">
        <v>69</v>
      </c>
      <c r="D34" s="11" t="s">
        <v>188</v>
      </c>
      <c r="E34" s="11" t="s">
        <v>181</v>
      </c>
      <c r="F34" s="11" t="s">
        <v>171</v>
      </c>
      <c r="G34" s="35">
        <v>-6669000</v>
      </c>
      <c r="H34" s="35">
        <v>347927000</v>
      </c>
      <c r="I34" s="36">
        <v>-1.9167813937981244E-2</v>
      </c>
      <c r="J34" s="35">
        <v>-23613000</v>
      </c>
      <c r="K34" s="35">
        <v>358923000</v>
      </c>
      <c r="L34" s="36">
        <v>-6.5788483880943827E-2</v>
      </c>
      <c r="M34" s="35">
        <v>-16285000</v>
      </c>
      <c r="N34" s="35">
        <v>385589000</v>
      </c>
      <c r="O34" s="36">
        <v>-4.2200000000000001E-2</v>
      </c>
    </row>
    <row r="35" spans="1:15" x14ac:dyDescent="0.2">
      <c r="A35" s="50">
        <v>50</v>
      </c>
      <c r="B35" s="11" t="s">
        <v>48</v>
      </c>
      <c r="C35" s="11" t="s">
        <v>76</v>
      </c>
      <c r="D35" s="11" t="s">
        <v>184</v>
      </c>
      <c r="E35" s="11" t="s">
        <v>170</v>
      </c>
      <c r="F35" s="11" t="s">
        <v>171</v>
      </c>
      <c r="G35" s="35">
        <v>57046000</v>
      </c>
      <c r="H35" s="35">
        <v>226952000</v>
      </c>
      <c r="I35" s="36">
        <v>0.25135711516091508</v>
      </c>
      <c r="J35" s="35">
        <v>4062000</v>
      </c>
      <c r="K35" s="35">
        <v>213369000</v>
      </c>
      <c r="L35" s="36">
        <v>1.9037442177635925E-2</v>
      </c>
      <c r="M35" s="35">
        <v>8318000</v>
      </c>
      <c r="N35" s="35">
        <v>224576000</v>
      </c>
      <c r="O35" s="36">
        <v>3.6999999999999998E-2</v>
      </c>
    </row>
    <row r="36" spans="1:15" x14ac:dyDescent="0.2">
      <c r="A36" s="50">
        <v>51</v>
      </c>
      <c r="B36" s="11" t="s">
        <v>39</v>
      </c>
      <c r="C36" s="11" t="s">
        <v>67</v>
      </c>
      <c r="D36" s="11" t="s">
        <v>190</v>
      </c>
      <c r="E36" s="11" t="s">
        <v>170</v>
      </c>
      <c r="F36" s="11" t="s">
        <v>171</v>
      </c>
      <c r="G36" s="35">
        <v>131474000</v>
      </c>
      <c r="H36" s="35">
        <v>863083000</v>
      </c>
      <c r="I36" s="36">
        <v>0.15233065649537761</v>
      </c>
      <c r="J36" s="35">
        <v>102725000</v>
      </c>
      <c r="K36" s="35">
        <v>904600000</v>
      </c>
      <c r="L36" s="36">
        <v>0.11355847888569534</v>
      </c>
      <c r="M36" s="35">
        <v>107512000</v>
      </c>
      <c r="N36" s="35">
        <v>974953000</v>
      </c>
      <c r="O36" s="36">
        <v>0.1103</v>
      </c>
    </row>
    <row r="37" spans="1:15" x14ac:dyDescent="0.2">
      <c r="A37" s="50">
        <v>52</v>
      </c>
      <c r="B37" s="11" t="s">
        <v>38</v>
      </c>
      <c r="C37" s="11" t="s">
        <v>72</v>
      </c>
      <c r="D37" s="11" t="s">
        <v>185</v>
      </c>
      <c r="E37" s="11" t="s">
        <v>181</v>
      </c>
      <c r="F37" s="11" t="s">
        <v>171</v>
      </c>
      <c r="G37" s="35">
        <v>8632000</v>
      </c>
      <c r="H37" s="35">
        <v>458504000</v>
      </c>
      <c r="I37" s="36">
        <v>1.8826444262209273E-2</v>
      </c>
      <c r="J37" s="35">
        <v>-10265000</v>
      </c>
      <c r="K37" s="35">
        <v>473942000</v>
      </c>
      <c r="L37" s="36">
        <v>-2.1658768372501278E-2</v>
      </c>
      <c r="M37" s="35">
        <v>7694000</v>
      </c>
      <c r="N37" s="35">
        <v>539587000</v>
      </c>
      <c r="O37" s="36">
        <v>1.43E-2</v>
      </c>
    </row>
    <row r="38" spans="1:15" x14ac:dyDescent="0.2">
      <c r="A38" s="50">
        <v>54</v>
      </c>
      <c r="B38" s="11" t="s">
        <v>17</v>
      </c>
      <c r="C38" s="11" t="s">
        <v>72</v>
      </c>
      <c r="D38" s="11" t="s">
        <v>176</v>
      </c>
      <c r="E38" s="11" t="s">
        <v>170</v>
      </c>
      <c r="F38" s="11" t="s">
        <v>171</v>
      </c>
      <c r="G38" s="35">
        <v>56931000</v>
      </c>
      <c r="H38" s="35">
        <v>288133000</v>
      </c>
      <c r="I38" s="36">
        <v>0.19758583709606328</v>
      </c>
      <c r="J38" s="35">
        <v>43482000</v>
      </c>
      <c r="K38" s="35">
        <v>315257000</v>
      </c>
      <c r="L38" s="36">
        <v>0.13792556549101209</v>
      </c>
      <c r="M38" s="35">
        <v>58246000</v>
      </c>
      <c r="N38" s="35">
        <v>343677000</v>
      </c>
      <c r="O38" s="36">
        <v>0.16950000000000001</v>
      </c>
    </row>
    <row r="39" spans="1:15" x14ac:dyDescent="0.2">
      <c r="A39" s="50">
        <v>57</v>
      </c>
      <c r="B39" s="11" t="s">
        <v>66</v>
      </c>
      <c r="C39" s="11" t="s">
        <v>74</v>
      </c>
      <c r="D39" s="11" t="s">
        <v>172</v>
      </c>
      <c r="E39" s="11" t="s">
        <v>167</v>
      </c>
      <c r="F39" s="11" t="s">
        <v>171</v>
      </c>
      <c r="G39" s="35">
        <v>40277000</v>
      </c>
      <c r="H39" s="35">
        <v>380168000</v>
      </c>
      <c r="I39" s="36">
        <v>0.10594526630331853</v>
      </c>
      <c r="J39" s="35">
        <v>45424000</v>
      </c>
      <c r="K39" s="35">
        <v>405999000</v>
      </c>
      <c r="L39" s="36">
        <v>0.11188204897056396</v>
      </c>
      <c r="M39" s="35">
        <v>37333000</v>
      </c>
      <c r="N39" s="35">
        <v>421576000</v>
      </c>
      <c r="O39" s="36">
        <v>8.8599999999999998E-2</v>
      </c>
    </row>
    <row r="40" spans="1:15" x14ac:dyDescent="0.2">
      <c r="A40" s="50">
        <v>58</v>
      </c>
      <c r="B40" s="11" t="s">
        <v>35</v>
      </c>
      <c r="C40" s="11" t="s">
        <v>73</v>
      </c>
      <c r="D40" s="11" t="s">
        <v>169</v>
      </c>
      <c r="E40" s="11" t="s">
        <v>170</v>
      </c>
      <c r="F40" s="11" t="s">
        <v>171</v>
      </c>
      <c r="G40" s="35">
        <v>2580000</v>
      </c>
      <c r="H40" s="35">
        <v>267269000</v>
      </c>
      <c r="I40" s="36">
        <v>9.6531958438876193E-3</v>
      </c>
      <c r="J40" s="35">
        <v>4000</v>
      </c>
      <c r="K40" s="35">
        <v>248704000</v>
      </c>
      <c r="L40" s="36">
        <v>1.6083376222336594E-5</v>
      </c>
      <c r="M40" s="35">
        <v>2632000</v>
      </c>
      <c r="N40" s="35">
        <v>301097000</v>
      </c>
      <c r="O40" s="36">
        <v>8.6999999999999994E-3</v>
      </c>
    </row>
    <row r="41" spans="1:15" x14ac:dyDescent="0.2">
      <c r="A41" s="50">
        <v>60</v>
      </c>
      <c r="B41" s="11" t="s">
        <v>58</v>
      </c>
      <c r="C41" s="11" t="s">
        <v>75</v>
      </c>
      <c r="D41" s="11" t="s">
        <v>191</v>
      </c>
      <c r="E41" s="11" t="s">
        <v>170</v>
      </c>
      <c r="F41" s="11" t="s">
        <v>168</v>
      </c>
      <c r="G41" s="35">
        <v>26731000</v>
      </c>
      <c r="H41" s="35">
        <v>146800000</v>
      </c>
      <c r="I41" s="36">
        <v>0.18209128065395094</v>
      </c>
      <c r="J41" s="35">
        <v>34402000</v>
      </c>
      <c r="K41" s="35">
        <v>170376000</v>
      </c>
      <c r="L41" s="36">
        <v>0.20191811053199982</v>
      </c>
      <c r="M41" s="35">
        <v>59408000</v>
      </c>
      <c r="N41" s="35">
        <v>202850000</v>
      </c>
      <c r="O41" s="36">
        <v>0.29289999999999999</v>
      </c>
    </row>
    <row r="42" spans="1:15" x14ac:dyDescent="0.2">
      <c r="A42" s="50">
        <v>61</v>
      </c>
      <c r="B42" s="11" t="s">
        <v>116</v>
      </c>
      <c r="C42" s="11" t="s">
        <v>74</v>
      </c>
      <c r="D42" s="11" t="s">
        <v>172</v>
      </c>
      <c r="E42" s="11" t="s">
        <v>167</v>
      </c>
      <c r="F42" s="11" t="s">
        <v>171</v>
      </c>
      <c r="G42" s="35">
        <v>6468000</v>
      </c>
      <c r="H42" s="35">
        <v>111505000</v>
      </c>
      <c r="I42" s="36">
        <v>5.8006367427469618E-2</v>
      </c>
      <c r="J42" s="35">
        <v>2850000</v>
      </c>
      <c r="K42" s="35">
        <v>116595000</v>
      </c>
      <c r="L42" s="36">
        <v>2.4443586774733052E-2</v>
      </c>
      <c r="M42" s="35">
        <v>-1596000</v>
      </c>
      <c r="N42" s="35">
        <v>123558000</v>
      </c>
      <c r="O42" s="36">
        <v>-1.29E-2</v>
      </c>
    </row>
    <row r="43" spans="1:15" x14ac:dyDescent="0.2">
      <c r="A43" s="50">
        <v>69</v>
      </c>
      <c r="B43" s="11" t="s">
        <v>24</v>
      </c>
      <c r="C43" s="11" t="s">
        <v>80</v>
      </c>
      <c r="D43" s="11" t="s">
        <v>187</v>
      </c>
      <c r="E43" s="11" t="s">
        <v>167</v>
      </c>
      <c r="F43" s="11" t="s">
        <v>168</v>
      </c>
      <c r="G43" s="35">
        <v>10239000</v>
      </c>
      <c r="H43" s="35">
        <v>68218000</v>
      </c>
      <c r="I43" s="36">
        <v>0.1500923509924067</v>
      </c>
      <c r="J43" s="35">
        <v>6288000</v>
      </c>
      <c r="K43" s="35">
        <v>65215000</v>
      </c>
      <c r="L43" s="36">
        <v>9.6419535382964036E-2</v>
      </c>
      <c r="M43" s="35">
        <v>3603000</v>
      </c>
      <c r="N43" s="35">
        <v>65824000</v>
      </c>
      <c r="O43" s="36">
        <v>5.4699999999999999E-2</v>
      </c>
    </row>
    <row r="44" spans="1:15" x14ac:dyDescent="0.2">
      <c r="A44" s="50">
        <v>70</v>
      </c>
      <c r="B44" s="11" t="s">
        <v>51</v>
      </c>
      <c r="C44" s="11" t="s">
        <v>73</v>
      </c>
      <c r="D44" s="11" t="s">
        <v>182</v>
      </c>
      <c r="E44" s="11" t="s">
        <v>181</v>
      </c>
      <c r="F44" s="11" t="s">
        <v>171</v>
      </c>
      <c r="G44" s="35">
        <v>65565000</v>
      </c>
      <c r="H44" s="35">
        <v>574738000</v>
      </c>
      <c r="I44" s="36">
        <v>0.11407806687568944</v>
      </c>
      <c r="J44" s="35">
        <v>46078000</v>
      </c>
      <c r="K44" s="35">
        <v>578560000</v>
      </c>
      <c r="L44" s="36">
        <v>7.9642560840707963E-2</v>
      </c>
      <c r="M44" s="35">
        <v>15568000</v>
      </c>
      <c r="N44" s="35">
        <v>580637000</v>
      </c>
      <c r="O44" s="36">
        <v>2.6800000000000001E-2</v>
      </c>
    </row>
    <row r="45" spans="1:15" x14ac:dyDescent="0.2">
      <c r="A45" s="50">
        <v>73</v>
      </c>
      <c r="B45" s="11" t="s">
        <v>30</v>
      </c>
      <c r="C45" s="11" t="s">
        <v>72</v>
      </c>
      <c r="D45" s="11" t="s">
        <v>183</v>
      </c>
      <c r="E45" s="11" t="s">
        <v>181</v>
      </c>
      <c r="F45" s="11" t="s">
        <v>171</v>
      </c>
      <c r="G45" s="35">
        <v>29691000</v>
      </c>
      <c r="H45" s="35">
        <v>1096326000</v>
      </c>
      <c r="I45" s="36">
        <v>2.7082272973549839E-2</v>
      </c>
      <c r="J45" s="35">
        <v>129064000</v>
      </c>
      <c r="K45" s="35">
        <v>1199219000</v>
      </c>
      <c r="L45" s="36">
        <v>0.10762337821532181</v>
      </c>
      <c r="M45" s="35">
        <v>28434000</v>
      </c>
      <c r="N45" s="35">
        <v>1326720000</v>
      </c>
      <c r="O45" s="36">
        <v>2.1399999999999999E-2</v>
      </c>
    </row>
    <row r="46" spans="1:15" x14ac:dyDescent="0.2">
      <c r="A46" s="50">
        <v>74</v>
      </c>
      <c r="B46" s="11" t="s">
        <v>29</v>
      </c>
      <c r="C46" s="11" t="s">
        <v>69</v>
      </c>
      <c r="D46" s="11" t="s">
        <v>178</v>
      </c>
      <c r="E46" s="11" t="s">
        <v>170</v>
      </c>
      <c r="F46" s="11" t="s">
        <v>171</v>
      </c>
      <c r="G46" s="35">
        <v>-15571000</v>
      </c>
      <c r="H46" s="35">
        <v>444940000</v>
      </c>
      <c r="I46" s="36">
        <v>-3.4995729761316131E-2</v>
      </c>
      <c r="J46" s="35">
        <v>-33800000</v>
      </c>
      <c r="K46" s="35">
        <v>485710000</v>
      </c>
      <c r="L46" s="36">
        <v>-6.9588849313376291E-2</v>
      </c>
      <c r="M46" s="35">
        <v>-7119000</v>
      </c>
      <c r="N46" s="35">
        <v>539906000</v>
      </c>
      <c r="O46" s="36">
        <v>-1.32E-2</v>
      </c>
    </row>
    <row r="47" spans="1:15" x14ac:dyDescent="0.2">
      <c r="A47" s="50">
        <v>75</v>
      </c>
      <c r="B47" s="11" t="s">
        <v>32</v>
      </c>
      <c r="C47" s="11" t="s">
        <v>69</v>
      </c>
      <c r="D47" s="11" t="s">
        <v>183</v>
      </c>
      <c r="E47" s="11" t="s">
        <v>181</v>
      </c>
      <c r="F47" s="11" t="s">
        <v>171</v>
      </c>
      <c r="G47" s="35">
        <v>3404000</v>
      </c>
      <c r="H47" s="35">
        <v>461536000</v>
      </c>
      <c r="I47" s="36">
        <v>7.3753726686542325E-3</v>
      </c>
      <c r="J47" s="35">
        <v>-28905000</v>
      </c>
      <c r="K47" s="35">
        <v>468231000</v>
      </c>
      <c r="L47" s="36">
        <v>-6.1732350057984199E-2</v>
      </c>
      <c r="M47" s="35">
        <v>54218000</v>
      </c>
      <c r="N47" s="35">
        <v>554664000</v>
      </c>
      <c r="O47" s="36">
        <v>9.7699999999999995E-2</v>
      </c>
    </row>
    <row r="48" spans="1:15" x14ac:dyDescent="0.2">
      <c r="A48" s="50">
        <v>76</v>
      </c>
      <c r="B48" s="11" t="s">
        <v>222</v>
      </c>
      <c r="C48" s="11" t="s">
        <v>69</v>
      </c>
      <c r="D48" s="11" t="s">
        <v>176</v>
      </c>
      <c r="E48" s="11" t="s">
        <v>170</v>
      </c>
      <c r="F48" s="11" t="s">
        <v>171</v>
      </c>
      <c r="G48" s="35">
        <v>28276000</v>
      </c>
      <c r="H48" s="35">
        <v>1045104000</v>
      </c>
      <c r="I48" s="36">
        <v>2.7055680582985044E-2</v>
      </c>
      <c r="J48" s="35">
        <v>-23806000</v>
      </c>
      <c r="K48" s="35">
        <v>1094058000</v>
      </c>
      <c r="L48" s="36">
        <v>-2.1759358278994348E-2</v>
      </c>
      <c r="M48" s="35">
        <v>43811000</v>
      </c>
      <c r="N48" s="35">
        <v>1212257000</v>
      </c>
      <c r="O48" s="36">
        <v>3.61E-2</v>
      </c>
    </row>
    <row r="49" spans="1:15" x14ac:dyDescent="0.2">
      <c r="A49" s="51">
        <v>81</v>
      </c>
      <c r="B49" s="15" t="s">
        <v>107</v>
      </c>
      <c r="C49" s="15" t="s">
        <v>80</v>
      </c>
      <c r="D49" s="15" t="s">
        <v>177</v>
      </c>
      <c r="E49" s="15" t="s">
        <v>167</v>
      </c>
      <c r="F49" s="15" t="s">
        <v>171</v>
      </c>
      <c r="G49" s="52">
        <v>0</v>
      </c>
      <c r="H49" s="52">
        <v>0</v>
      </c>
      <c r="I49" s="38">
        <v>0</v>
      </c>
      <c r="J49" s="52">
        <v>0</v>
      </c>
      <c r="K49" s="52">
        <v>0</v>
      </c>
      <c r="L49" s="38">
        <v>0</v>
      </c>
      <c r="M49" s="35">
        <v>0</v>
      </c>
      <c r="N49" s="35">
        <v>0</v>
      </c>
      <c r="O49" s="38">
        <v>0</v>
      </c>
    </row>
    <row r="50" spans="1:15" s="49" customFormat="1" x14ac:dyDescent="0.2">
      <c r="A50" s="116">
        <v>83</v>
      </c>
      <c r="B50" s="117" t="s">
        <v>221</v>
      </c>
      <c r="C50" s="117" t="s">
        <v>73</v>
      </c>
      <c r="D50" s="117" t="s">
        <v>176</v>
      </c>
      <c r="E50" s="117" t="s">
        <v>170</v>
      </c>
      <c r="F50" s="117" t="s">
        <v>171</v>
      </c>
      <c r="G50" s="118">
        <v>-9290000</v>
      </c>
      <c r="H50" s="118">
        <v>98610000</v>
      </c>
      <c r="I50" s="119">
        <v>-9.4209512219856004E-2</v>
      </c>
      <c r="J50" s="118">
        <v>-14018000</v>
      </c>
      <c r="K50" s="118">
        <v>103003000</v>
      </c>
      <c r="L50" s="119">
        <v>-0.13609312350125724</v>
      </c>
      <c r="M50" s="118">
        <v>-8964000</v>
      </c>
      <c r="N50" s="35">
        <v>97005000</v>
      </c>
      <c r="O50" s="119">
        <v>-9.2399999999999996E-2</v>
      </c>
    </row>
    <row r="51" spans="1:15" x14ac:dyDescent="0.2">
      <c r="A51" s="50">
        <v>84</v>
      </c>
      <c r="B51" s="11" t="s">
        <v>33</v>
      </c>
      <c r="C51" s="11" t="s">
        <v>69</v>
      </c>
      <c r="D51" s="11" t="s">
        <v>185</v>
      </c>
      <c r="E51" s="11" t="s">
        <v>181</v>
      </c>
      <c r="F51" s="11" t="s">
        <v>171</v>
      </c>
      <c r="G51" s="35">
        <v>-9595000</v>
      </c>
      <c r="H51" s="35">
        <v>125034000</v>
      </c>
      <c r="I51" s="36">
        <v>-7.6739126957467568E-2</v>
      </c>
      <c r="J51" s="35">
        <v>-15537000</v>
      </c>
      <c r="K51" s="35">
        <v>136627000</v>
      </c>
      <c r="L51" s="36">
        <v>-0.11371837191770294</v>
      </c>
      <c r="M51" s="35">
        <v>3662000</v>
      </c>
      <c r="N51" s="35">
        <v>157132000</v>
      </c>
      <c r="O51" s="36">
        <v>2.3300000000000001E-2</v>
      </c>
    </row>
    <row r="52" spans="1:15" x14ac:dyDescent="0.2">
      <c r="A52" s="50">
        <v>91</v>
      </c>
      <c r="B52" s="11" t="s">
        <v>52</v>
      </c>
      <c r="C52" s="11" t="s">
        <v>73</v>
      </c>
      <c r="D52" s="11" t="s">
        <v>187</v>
      </c>
      <c r="E52" s="11" t="s">
        <v>167</v>
      </c>
      <c r="F52" s="11" t="s">
        <v>168</v>
      </c>
      <c r="G52" s="35">
        <v>-10667000</v>
      </c>
      <c r="H52" s="35">
        <v>52858000</v>
      </c>
      <c r="I52" s="36">
        <v>-0.20180483559726059</v>
      </c>
      <c r="J52" s="35">
        <v>34285000</v>
      </c>
      <c r="K52" s="35">
        <v>85729000</v>
      </c>
      <c r="L52" s="36">
        <v>0.39992301321606455</v>
      </c>
      <c r="M52" s="35">
        <v>-17741000</v>
      </c>
      <c r="N52" s="35">
        <v>26793000</v>
      </c>
      <c r="O52" s="36">
        <v>0</v>
      </c>
    </row>
    <row r="53" spans="1:15" x14ac:dyDescent="0.2">
      <c r="A53" s="50">
        <v>92</v>
      </c>
      <c r="B53" s="11" t="s">
        <v>5</v>
      </c>
      <c r="C53" s="11" t="s">
        <v>70</v>
      </c>
      <c r="D53" s="11" t="s">
        <v>180</v>
      </c>
      <c r="E53" s="11" t="s">
        <v>181</v>
      </c>
      <c r="F53" s="11" t="s">
        <v>171</v>
      </c>
      <c r="G53" s="35">
        <v>16080000</v>
      </c>
      <c r="H53" s="35">
        <v>331047000</v>
      </c>
      <c r="I53" s="36">
        <v>4.8573163327261686E-2</v>
      </c>
      <c r="J53" s="35">
        <v>1723000</v>
      </c>
      <c r="K53" s="35">
        <v>352993000</v>
      </c>
      <c r="L53" s="36">
        <v>4.8811166227092318E-3</v>
      </c>
      <c r="M53" s="35">
        <v>-53475000</v>
      </c>
      <c r="N53" s="35">
        <v>358292000</v>
      </c>
      <c r="O53" s="36">
        <v>-0.1492</v>
      </c>
    </row>
    <row r="54" spans="1:15" x14ac:dyDescent="0.2">
      <c r="A54" s="50">
        <v>96</v>
      </c>
      <c r="B54" s="11" t="s">
        <v>50</v>
      </c>
      <c r="C54" s="11" t="s">
        <v>76</v>
      </c>
      <c r="D54" s="11" t="s">
        <v>176</v>
      </c>
      <c r="E54" s="11" t="s">
        <v>170</v>
      </c>
      <c r="F54" s="11" t="s">
        <v>171</v>
      </c>
      <c r="G54" s="35">
        <v>17355000</v>
      </c>
      <c r="H54" s="35">
        <v>190816000</v>
      </c>
      <c r="I54" s="36">
        <v>9.0951492537313439E-2</v>
      </c>
      <c r="J54" s="35">
        <v>-13985000</v>
      </c>
      <c r="K54" s="35">
        <v>168518000</v>
      </c>
      <c r="L54" s="36">
        <v>-8.2988167436119586E-2</v>
      </c>
      <c r="M54" s="35">
        <v>-26947000</v>
      </c>
      <c r="N54" s="35">
        <v>162598000</v>
      </c>
      <c r="O54" s="36">
        <v>-0.16569999999999999</v>
      </c>
    </row>
    <row r="55" spans="1:15" x14ac:dyDescent="0.2">
      <c r="A55" s="50">
        <v>108</v>
      </c>
      <c r="B55" s="11" t="s">
        <v>31</v>
      </c>
      <c r="C55" s="11" t="s">
        <v>72</v>
      </c>
      <c r="D55" s="11" t="s">
        <v>182</v>
      </c>
      <c r="E55" s="11" t="s">
        <v>181</v>
      </c>
      <c r="F55" s="11" t="s">
        <v>171</v>
      </c>
      <c r="G55" s="35">
        <v>-63931000</v>
      </c>
      <c r="H55" s="35">
        <v>677917000</v>
      </c>
      <c r="I55" s="36">
        <v>-9.430505504361153E-2</v>
      </c>
      <c r="J55" s="35">
        <v>-3660000</v>
      </c>
      <c r="K55" s="35">
        <v>732056000</v>
      </c>
      <c r="L55" s="36">
        <v>-4.9996175155998992E-3</v>
      </c>
      <c r="M55" s="35">
        <v>-85143000</v>
      </c>
      <c r="N55" s="35">
        <v>801047000</v>
      </c>
      <c r="O55" s="36">
        <v>-0.10630000000000001</v>
      </c>
    </row>
    <row r="56" spans="1:15" x14ac:dyDescent="0.2">
      <c r="A56" s="50">
        <v>110</v>
      </c>
      <c r="B56" s="11" t="s">
        <v>44</v>
      </c>
      <c r="C56" s="11" t="s">
        <v>69</v>
      </c>
      <c r="D56" s="11" t="s">
        <v>180</v>
      </c>
      <c r="E56" s="11" t="s">
        <v>181</v>
      </c>
      <c r="F56" s="11" t="s">
        <v>171</v>
      </c>
      <c r="G56" s="35">
        <v>-12453000</v>
      </c>
      <c r="H56" s="35">
        <v>203459000</v>
      </c>
      <c r="I56" s="36">
        <v>-6.120643471166181E-2</v>
      </c>
      <c r="J56" s="35">
        <v>-24847000</v>
      </c>
      <c r="K56" s="35">
        <v>199119000</v>
      </c>
      <c r="L56" s="36">
        <v>-0.12478467649998243</v>
      </c>
      <c r="M56" s="35">
        <v>8165000</v>
      </c>
      <c r="N56" s="35">
        <v>228855000</v>
      </c>
      <c r="O56" s="36">
        <v>3.5700000000000003E-2</v>
      </c>
    </row>
    <row r="57" spans="1:15" x14ac:dyDescent="0.2">
      <c r="A57" s="50">
        <v>111</v>
      </c>
      <c r="B57" s="11" t="s">
        <v>7</v>
      </c>
      <c r="C57" s="11" t="s">
        <v>73</v>
      </c>
      <c r="D57" s="11" t="s">
        <v>183</v>
      </c>
      <c r="E57" s="11" t="s">
        <v>181</v>
      </c>
      <c r="F57" s="11" t="s">
        <v>171</v>
      </c>
      <c r="G57" s="35">
        <v>-8681000</v>
      </c>
      <c r="H57" s="35">
        <v>335762000</v>
      </c>
      <c r="I57" s="36">
        <v>-2.5854623215253662E-2</v>
      </c>
      <c r="J57" s="35">
        <v>-38236000</v>
      </c>
      <c r="K57" s="35">
        <v>340874000</v>
      </c>
      <c r="L57" s="36">
        <v>-0.11217047941468108</v>
      </c>
      <c r="M57" s="35">
        <v>-11676000</v>
      </c>
      <c r="N57" s="35">
        <v>375471000</v>
      </c>
      <c r="O57" s="36">
        <v>-3.1099999999999999E-2</v>
      </c>
    </row>
    <row r="58" spans="1:15" x14ac:dyDescent="0.2">
      <c r="A58" s="50">
        <v>112</v>
      </c>
      <c r="B58" s="11" t="s">
        <v>3</v>
      </c>
      <c r="C58" s="11" t="s">
        <v>72</v>
      </c>
      <c r="D58" s="11" t="s">
        <v>183</v>
      </c>
      <c r="E58" s="11" t="s">
        <v>181</v>
      </c>
      <c r="F58" s="11" t="s">
        <v>171</v>
      </c>
      <c r="G58" s="35">
        <v>7116000</v>
      </c>
      <c r="H58" s="35">
        <v>187073000</v>
      </c>
      <c r="I58" s="36">
        <v>3.8038626632384151E-2</v>
      </c>
      <c r="J58" s="35">
        <v>5255000</v>
      </c>
      <c r="K58" s="35">
        <v>187963000</v>
      </c>
      <c r="L58" s="36">
        <v>2.7957629959087692E-2</v>
      </c>
      <c r="M58" s="35">
        <v>16183000</v>
      </c>
      <c r="N58" s="35">
        <v>206317000</v>
      </c>
      <c r="O58" s="36">
        <v>7.8399999999999997E-2</v>
      </c>
    </row>
    <row r="59" spans="1:15" x14ac:dyDescent="0.2">
      <c r="A59" s="50">
        <v>113</v>
      </c>
      <c r="B59" s="11" t="s">
        <v>54</v>
      </c>
      <c r="C59" s="11" t="s">
        <v>72</v>
      </c>
      <c r="D59" s="11" t="s">
        <v>185</v>
      </c>
      <c r="E59" s="11" t="s">
        <v>181</v>
      </c>
      <c r="F59" s="11" t="s">
        <v>171</v>
      </c>
      <c r="G59" s="35">
        <v>20757000</v>
      </c>
      <c r="H59" s="35">
        <v>231600000</v>
      </c>
      <c r="I59" s="36">
        <v>8.9624352331606219E-2</v>
      </c>
      <c r="J59" s="35">
        <v>27918000</v>
      </c>
      <c r="K59" s="35">
        <v>236388000</v>
      </c>
      <c r="L59" s="36">
        <v>0.1181024417483121</v>
      </c>
      <c r="M59" s="35">
        <v>26357000</v>
      </c>
      <c r="N59" s="35">
        <v>253310000</v>
      </c>
      <c r="O59" s="36">
        <v>0.1041</v>
      </c>
    </row>
    <row r="60" spans="1:15" x14ac:dyDescent="0.2">
      <c r="A60" s="50">
        <v>115</v>
      </c>
      <c r="B60" s="11" t="s">
        <v>19</v>
      </c>
      <c r="C60" s="11" t="s">
        <v>67</v>
      </c>
      <c r="D60" s="11" t="s">
        <v>191</v>
      </c>
      <c r="E60" s="11" t="s">
        <v>170</v>
      </c>
      <c r="F60" s="11" t="s">
        <v>168</v>
      </c>
      <c r="G60" s="35">
        <v>5974000</v>
      </c>
      <c r="H60" s="35">
        <v>109120000</v>
      </c>
      <c r="I60" s="36">
        <v>5.4747067448680353E-2</v>
      </c>
      <c r="J60" s="35">
        <v>5134000</v>
      </c>
      <c r="K60" s="35">
        <v>121397000</v>
      </c>
      <c r="L60" s="36">
        <v>4.229099565887131E-2</v>
      </c>
      <c r="M60" s="35">
        <v>4702000</v>
      </c>
      <c r="N60" s="35">
        <v>134769000</v>
      </c>
      <c r="O60" s="36">
        <v>3.49E-2</v>
      </c>
    </row>
    <row r="61" spans="1:15" x14ac:dyDescent="0.2">
      <c r="A61" s="50">
        <v>116</v>
      </c>
      <c r="B61" s="11" t="s">
        <v>57</v>
      </c>
      <c r="C61" s="11" t="s">
        <v>77</v>
      </c>
      <c r="D61" s="11" t="s">
        <v>186</v>
      </c>
      <c r="E61" s="11" t="s">
        <v>170</v>
      </c>
      <c r="F61" s="11" t="s">
        <v>171</v>
      </c>
      <c r="G61" s="35">
        <v>8641000</v>
      </c>
      <c r="H61" s="35">
        <v>130920000</v>
      </c>
      <c r="I61" s="36">
        <v>6.6002138710663003E-2</v>
      </c>
      <c r="J61" s="35">
        <v>12551000</v>
      </c>
      <c r="K61" s="35">
        <v>133684000</v>
      </c>
      <c r="L61" s="36">
        <v>9.388558092217468E-2</v>
      </c>
      <c r="M61" s="35">
        <v>1247000</v>
      </c>
      <c r="N61" s="35">
        <v>135415000</v>
      </c>
      <c r="O61" s="36">
        <v>9.1999999999999998E-3</v>
      </c>
    </row>
    <row r="62" spans="1:15" x14ac:dyDescent="0.2">
      <c r="A62" s="50">
        <v>118</v>
      </c>
      <c r="B62" s="11" t="s">
        <v>22</v>
      </c>
      <c r="C62" s="11" t="s">
        <v>73</v>
      </c>
      <c r="D62" s="11" t="s">
        <v>178</v>
      </c>
      <c r="E62" s="11" t="s">
        <v>170</v>
      </c>
      <c r="F62" s="11" t="s">
        <v>171</v>
      </c>
      <c r="G62" s="35">
        <v>23083000</v>
      </c>
      <c r="H62" s="35">
        <v>156413000</v>
      </c>
      <c r="I62" s="36">
        <v>0.14757724741549616</v>
      </c>
      <c r="J62" s="35">
        <v>13005000</v>
      </c>
      <c r="K62" s="35">
        <v>161949000</v>
      </c>
      <c r="L62" s="36">
        <v>8.0303058370227665E-2</v>
      </c>
      <c r="M62" s="35">
        <v>13386000</v>
      </c>
      <c r="N62" s="35">
        <v>181151000</v>
      </c>
      <c r="O62" s="36">
        <v>7.3899999999999993E-2</v>
      </c>
    </row>
    <row r="63" spans="1:15" x14ac:dyDescent="0.2">
      <c r="A63" s="50">
        <v>119</v>
      </c>
      <c r="B63" s="11" t="s">
        <v>61</v>
      </c>
      <c r="C63" s="11" t="s">
        <v>73</v>
      </c>
      <c r="D63" s="11" t="s">
        <v>176</v>
      </c>
      <c r="E63" s="11" t="s">
        <v>170</v>
      </c>
      <c r="F63" s="11" t="s">
        <v>171</v>
      </c>
      <c r="G63" s="35">
        <v>-259829000</v>
      </c>
      <c r="H63" s="35">
        <v>625404000</v>
      </c>
      <c r="I63" s="36">
        <v>-0.4154578480470224</v>
      </c>
      <c r="J63" s="35">
        <v>-141127000</v>
      </c>
      <c r="K63" s="35">
        <v>732530000</v>
      </c>
      <c r="L63" s="36">
        <v>-0.1926569560291046</v>
      </c>
      <c r="M63" s="35">
        <v>-148298000</v>
      </c>
      <c r="N63" s="35">
        <v>746652000</v>
      </c>
      <c r="O63" s="36">
        <v>-0.1986</v>
      </c>
    </row>
    <row r="64" spans="1:15" x14ac:dyDescent="0.2">
      <c r="A64" s="50">
        <v>221</v>
      </c>
      <c r="B64" s="11" t="s">
        <v>64</v>
      </c>
      <c r="C64" s="11" t="s">
        <v>74</v>
      </c>
      <c r="D64" s="11" t="s">
        <v>173</v>
      </c>
      <c r="E64" s="11" t="s">
        <v>167</v>
      </c>
      <c r="F64" s="11" t="s">
        <v>171</v>
      </c>
      <c r="G64" s="35">
        <v>90165000</v>
      </c>
      <c r="H64" s="35">
        <v>773277000</v>
      </c>
      <c r="I64" s="36">
        <v>0.1166011662056417</v>
      </c>
      <c r="J64" s="35">
        <v>93879000</v>
      </c>
      <c r="K64" s="35">
        <v>822055000</v>
      </c>
      <c r="L64" s="36">
        <v>0.11420038805189434</v>
      </c>
      <c r="M64" s="35">
        <v>102111000</v>
      </c>
      <c r="N64" s="35">
        <v>867830000</v>
      </c>
      <c r="O64" s="36">
        <v>0.1177</v>
      </c>
    </row>
    <row r="65" spans="1:15" x14ac:dyDescent="0.2">
      <c r="A65" s="50">
        <v>224</v>
      </c>
      <c r="B65" s="11" t="s">
        <v>63</v>
      </c>
      <c r="C65" s="11" t="s">
        <v>74</v>
      </c>
      <c r="D65" s="11" t="s">
        <v>172</v>
      </c>
      <c r="E65" s="11" t="s">
        <v>167</v>
      </c>
      <c r="F65" s="11" t="s">
        <v>171</v>
      </c>
      <c r="G65" s="35">
        <v>21064000</v>
      </c>
      <c r="H65" s="35">
        <v>166072000</v>
      </c>
      <c r="I65" s="36">
        <v>0.12683655282046341</v>
      </c>
      <c r="J65" s="35">
        <v>9295000</v>
      </c>
      <c r="K65" s="35">
        <v>171289000</v>
      </c>
      <c r="L65" s="36">
        <v>5.4265014098978916E-2</v>
      </c>
      <c r="M65" s="35">
        <v>22574000</v>
      </c>
      <c r="N65" s="35">
        <v>185423000</v>
      </c>
      <c r="O65" s="36">
        <v>0.1217</v>
      </c>
    </row>
    <row r="66" spans="1:15" x14ac:dyDescent="0.2">
      <c r="A66" s="50">
        <v>324</v>
      </c>
      <c r="B66" s="11" t="s">
        <v>25</v>
      </c>
      <c r="C66" s="11" t="s">
        <v>80</v>
      </c>
      <c r="D66" s="11" t="s">
        <v>175</v>
      </c>
      <c r="E66" s="11" t="s">
        <v>167</v>
      </c>
      <c r="F66" s="11" t="s">
        <v>168</v>
      </c>
      <c r="G66" s="35">
        <v>14708000</v>
      </c>
      <c r="H66" s="35">
        <v>520868000</v>
      </c>
      <c r="I66" s="36">
        <v>2.8237480513297036E-2</v>
      </c>
      <c r="J66" s="35">
        <v>-29827000</v>
      </c>
      <c r="K66" s="35">
        <v>529297000</v>
      </c>
      <c r="L66" s="36">
        <v>-5.6352104772934668E-2</v>
      </c>
      <c r="M66" s="35">
        <v>-30746000</v>
      </c>
      <c r="N66" s="35">
        <v>584109000</v>
      </c>
      <c r="O66" s="36">
        <v>-5.2600000000000001E-2</v>
      </c>
    </row>
    <row r="67" spans="1:15" x14ac:dyDescent="0.2">
      <c r="A67" s="50">
        <v>391</v>
      </c>
      <c r="B67" s="11" t="s">
        <v>42</v>
      </c>
      <c r="C67" s="11" t="s">
        <v>72</v>
      </c>
      <c r="D67" s="11" t="s">
        <v>182</v>
      </c>
      <c r="E67" s="11" t="s">
        <v>181</v>
      </c>
      <c r="F67" s="11" t="s">
        <v>171</v>
      </c>
      <c r="G67" s="35">
        <v>-24859000</v>
      </c>
      <c r="H67" s="35">
        <v>141580000</v>
      </c>
      <c r="I67" s="36">
        <v>-0.17558270942223478</v>
      </c>
      <c r="J67" s="35">
        <v>-4554000</v>
      </c>
      <c r="K67" s="35">
        <v>155217000</v>
      </c>
      <c r="L67" s="36">
        <v>-2.9339569763621252E-2</v>
      </c>
      <c r="M67" s="35">
        <v>-17581000</v>
      </c>
      <c r="N67" s="35">
        <v>161006000</v>
      </c>
      <c r="O67" s="36">
        <v>-0.10920000000000001</v>
      </c>
    </row>
    <row r="68" spans="1:15" x14ac:dyDescent="0.2">
      <c r="A68" s="50">
        <v>392</v>
      </c>
      <c r="B68" s="11" t="s">
        <v>41</v>
      </c>
      <c r="C68" s="11" t="s">
        <v>72</v>
      </c>
      <c r="D68" s="11" t="s">
        <v>182</v>
      </c>
      <c r="E68" s="11" t="s">
        <v>181</v>
      </c>
      <c r="F68" s="11" t="s">
        <v>171</v>
      </c>
      <c r="G68" s="35">
        <v>27833000</v>
      </c>
      <c r="H68" s="35">
        <v>138921000</v>
      </c>
      <c r="I68" s="36">
        <v>0.20035127878434505</v>
      </c>
      <c r="J68" s="35">
        <v>23281000</v>
      </c>
      <c r="K68" s="35">
        <v>138705000</v>
      </c>
      <c r="L68" s="36">
        <v>0.16784542734580585</v>
      </c>
      <c r="M68" s="35">
        <v>25565000</v>
      </c>
      <c r="N68" s="35">
        <v>156990000</v>
      </c>
      <c r="O68" s="36">
        <v>0.1628</v>
      </c>
    </row>
    <row r="69" spans="1:15" x14ac:dyDescent="0.2">
      <c r="A69" s="50">
        <v>502</v>
      </c>
      <c r="B69" s="11" t="s">
        <v>49</v>
      </c>
      <c r="C69" s="11" t="s">
        <v>76</v>
      </c>
      <c r="D69" s="11" t="s">
        <v>184</v>
      </c>
      <c r="E69" s="11" t="s">
        <v>170</v>
      </c>
      <c r="F69" s="11" t="s">
        <v>171</v>
      </c>
      <c r="G69" s="35">
        <v>3080000</v>
      </c>
      <c r="H69" s="35">
        <v>84960000</v>
      </c>
      <c r="I69" s="36">
        <v>3.6252354048964215E-2</v>
      </c>
      <c r="J69" s="35">
        <v>7562000</v>
      </c>
      <c r="K69" s="35">
        <v>90277000</v>
      </c>
      <c r="L69" s="36">
        <v>8.3764413970335738E-2</v>
      </c>
      <c r="M69" s="35">
        <v>7355000</v>
      </c>
      <c r="N69" s="35">
        <v>92676000</v>
      </c>
      <c r="O69" s="36">
        <v>7.9399999999999998E-2</v>
      </c>
    </row>
    <row r="70" spans="1:15" x14ac:dyDescent="0.2">
      <c r="A70" s="50">
        <v>641</v>
      </c>
      <c r="B70" s="11" t="s">
        <v>1</v>
      </c>
      <c r="C70" s="11" t="s">
        <v>68</v>
      </c>
      <c r="D70" s="11" t="s">
        <v>166</v>
      </c>
      <c r="E70" s="11" t="s">
        <v>167</v>
      </c>
      <c r="F70" s="11" t="s">
        <v>168</v>
      </c>
      <c r="G70" s="35">
        <v>22293000</v>
      </c>
      <c r="H70" s="35">
        <v>480258000</v>
      </c>
      <c r="I70" s="36">
        <v>4.6418799895056408E-2</v>
      </c>
      <c r="J70" s="35">
        <v>23513000</v>
      </c>
      <c r="K70" s="35">
        <v>495143000</v>
      </c>
      <c r="L70" s="36">
        <v>4.7487291550117848E-2</v>
      </c>
      <c r="M70" s="35">
        <v>4741000</v>
      </c>
      <c r="N70" s="35">
        <v>525749000</v>
      </c>
      <c r="O70" s="36">
        <v>8.9999999999999993E-3</v>
      </c>
    </row>
    <row r="71" spans="1:15" x14ac:dyDescent="0.2">
      <c r="A71" s="34">
        <v>642</v>
      </c>
      <c r="B71" s="11" t="s">
        <v>0</v>
      </c>
      <c r="C71" s="11" t="s">
        <v>68</v>
      </c>
      <c r="D71" s="11" t="s">
        <v>166</v>
      </c>
      <c r="E71" s="11" t="s">
        <v>167</v>
      </c>
      <c r="F71" s="11" t="s">
        <v>168</v>
      </c>
      <c r="G71" s="35">
        <v>14426000</v>
      </c>
      <c r="H71" s="35">
        <v>307221000</v>
      </c>
      <c r="I71" s="36">
        <v>4.6956425504766926E-2</v>
      </c>
      <c r="J71" s="35">
        <v>15022000</v>
      </c>
      <c r="K71" s="35">
        <v>316555000</v>
      </c>
      <c r="L71" s="36">
        <v>4.7454628737502169E-2</v>
      </c>
      <c r="M71" s="35">
        <v>3027000</v>
      </c>
      <c r="N71" s="35">
        <v>336128000</v>
      </c>
      <c r="O71" s="36">
        <v>8.9999999999999993E-3</v>
      </c>
    </row>
    <row r="72" spans="1:15" x14ac:dyDescent="0.2">
      <c r="A72" s="50">
        <v>861</v>
      </c>
      <c r="B72" s="11" t="s">
        <v>28</v>
      </c>
      <c r="C72" s="11" t="s">
        <v>79</v>
      </c>
      <c r="D72" s="11" t="s">
        <v>177</v>
      </c>
      <c r="E72" s="11" t="s">
        <v>167</v>
      </c>
      <c r="F72" s="11" t="s">
        <v>171</v>
      </c>
      <c r="G72" s="35">
        <v>10449000</v>
      </c>
      <c r="H72" s="35">
        <v>330600000</v>
      </c>
      <c r="I72" s="36">
        <v>3.1606170598911069E-2</v>
      </c>
      <c r="J72" s="35">
        <v>56204000</v>
      </c>
      <c r="K72" s="35">
        <v>403817000</v>
      </c>
      <c r="L72" s="36">
        <v>0.13918185712835268</v>
      </c>
      <c r="M72" s="35">
        <v>52692000</v>
      </c>
      <c r="N72" s="35">
        <v>417499000</v>
      </c>
      <c r="O72" s="36">
        <v>0.12620000000000001</v>
      </c>
    </row>
    <row r="73" spans="1:15" x14ac:dyDescent="0.2">
      <c r="A73" s="50">
        <v>862</v>
      </c>
      <c r="B73" s="11" t="s">
        <v>26</v>
      </c>
      <c r="C73" s="11" t="s">
        <v>79</v>
      </c>
      <c r="D73" s="11" t="s">
        <v>173</v>
      </c>
      <c r="E73" s="11" t="s">
        <v>167</v>
      </c>
      <c r="F73" s="11" t="s">
        <v>171</v>
      </c>
      <c r="G73" s="35">
        <v>20714000</v>
      </c>
      <c r="H73" s="35">
        <v>221032000</v>
      </c>
      <c r="I73" s="36">
        <v>9.3714937203662821E-2</v>
      </c>
      <c r="J73" s="35">
        <v>17627000</v>
      </c>
      <c r="K73" s="35">
        <v>229381000</v>
      </c>
      <c r="L73" s="36">
        <v>7.6845946264075926E-2</v>
      </c>
      <c r="M73" s="35">
        <v>84000</v>
      </c>
      <c r="N73" s="35">
        <v>240288000</v>
      </c>
      <c r="O73" s="36">
        <v>2.9999999999999997E-4</v>
      </c>
    </row>
    <row r="74" spans="1:15" x14ac:dyDescent="0.2">
      <c r="A74" s="50">
        <v>863</v>
      </c>
      <c r="B74" s="11" t="s">
        <v>27</v>
      </c>
      <c r="C74" s="11" t="s">
        <v>79</v>
      </c>
      <c r="D74" s="11" t="s">
        <v>173</v>
      </c>
      <c r="E74" s="11" t="s">
        <v>167</v>
      </c>
      <c r="F74" s="11" t="s">
        <v>171</v>
      </c>
      <c r="G74" s="35">
        <v>-37674000</v>
      </c>
      <c r="H74" s="35">
        <v>104914000</v>
      </c>
      <c r="I74" s="36">
        <v>-0.35909411518005224</v>
      </c>
      <c r="J74" s="35">
        <v>-55605000</v>
      </c>
      <c r="K74" s="35">
        <v>88192000</v>
      </c>
      <c r="L74" s="36">
        <v>-0.63049936502177073</v>
      </c>
      <c r="M74" s="35">
        <v>-69084000</v>
      </c>
      <c r="N74" s="35">
        <v>111633000</v>
      </c>
      <c r="O74" s="36">
        <v>-0.61880000000000002</v>
      </c>
    </row>
    <row r="75" spans="1:15" x14ac:dyDescent="0.2">
      <c r="A75" s="50">
        <v>1069</v>
      </c>
      <c r="B75" s="11" t="s">
        <v>121</v>
      </c>
      <c r="C75" s="11" t="s">
        <v>80</v>
      </c>
      <c r="D75" s="11" t="s">
        <v>177</v>
      </c>
      <c r="E75" s="11" t="s">
        <v>167</v>
      </c>
      <c r="F75" s="11" t="s">
        <v>171</v>
      </c>
      <c r="G75" s="35">
        <v>28620000</v>
      </c>
      <c r="H75" s="35">
        <v>332445000</v>
      </c>
      <c r="I75" s="36">
        <v>8.6089428326490094E-2</v>
      </c>
      <c r="J75" s="35">
        <v>14900000</v>
      </c>
      <c r="K75" s="35">
        <v>381322000</v>
      </c>
      <c r="L75" s="36">
        <v>3.9074587881108354E-2</v>
      </c>
      <c r="M75" s="35">
        <v>49709000</v>
      </c>
      <c r="N75" s="35">
        <v>435639000</v>
      </c>
      <c r="O75" s="36">
        <v>0.11409999999999999</v>
      </c>
    </row>
    <row r="76" spans="1:15" x14ac:dyDescent="0.2">
      <c r="A76" s="50">
        <v>1169</v>
      </c>
      <c r="B76" s="11" t="s">
        <v>252</v>
      </c>
      <c r="C76" s="11" t="s">
        <v>80</v>
      </c>
      <c r="D76" s="11" t="s">
        <v>187</v>
      </c>
      <c r="E76" s="11" t="s">
        <v>167</v>
      </c>
      <c r="F76" s="11" t="s">
        <v>168</v>
      </c>
      <c r="G76" s="35"/>
      <c r="H76" s="35"/>
      <c r="I76" s="36"/>
      <c r="J76" s="35"/>
      <c r="K76" s="35"/>
      <c r="L76" s="36"/>
      <c r="M76" s="35">
        <v>-8539000</v>
      </c>
      <c r="N76" s="35">
        <v>11437000</v>
      </c>
      <c r="O76" s="36">
        <v>-0.74660000000000004</v>
      </c>
    </row>
    <row r="77" spans="1:15" ht="15" thickBot="1" x14ac:dyDescent="0.25"/>
    <row r="78" spans="1:15" ht="15.75" thickBot="1" x14ac:dyDescent="0.3">
      <c r="C78" s="79" t="s">
        <v>108</v>
      </c>
      <c r="G78" s="26">
        <f>SUM(G4:G76)</f>
        <v>1271773000</v>
      </c>
      <c r="H78" s="27">
        <f>SUM(H4:H76)</f>
        <v>29767925000</v>
      </c>
      <c r="I78" s="42"/>
      <c r="J78" s="25">
        <f t="shared" ref="J78:N78" si="0">SUM(J4:J76)</f>
        <v>1033921000</v>
      </c>
      <c r="K78" s="27">
        <f t="shared" si="0"/>
        <v>31339066000</v>
      </c>
      <c r="L78" s="42"/>
      <c r="M78" s="25">
        <f t="shared" si="0"/>
        <v>916389000</v>
      </c>
      <c r="N78" s="27">
        <f t="shared" si="0"/>
        <v>33942012000</v>
      </c>
      <c r="O78" s="5"/>
    </row>
    <row r="80" spans="1:15" x14ac:dyDescent="0.2">
      <c r="A80" s="67" t="s">
        <v>126</v>
      </c>
      <c r="B80" s="67"/>
      <c r="C80" s="67"/>
      <c r="D80" s="67"/>
      <c r="E80" s="67"/>
      <c r="F80" s="67"/>
      <c r="G80" s="67"/>
      <c r="H80" s="67"/>
      <c r="I80" s="67"/>
      <c r="J80" s="67"/>
      <c r="K80" s="69"/>
      <c r="L80" s="69"/>
      <c r="M80" s="67"/>
      <c r="N80" s="67"/>
      <c r="O80" s="67"/>
    </row>
    <row r="81" spans="1:19" ht="44.25" customHeight="1" x14ac:dyDescent="0.2">
      <c r="A81" s="101" t="s">
        <v>134</v>
      </c>
      <c r="B81" s="101"/>
      <c r="C81" s="101"/>
      <c r="D81" s="101"/>
      <c r="E81" s="101"/>
      <c r="F81" s="101"/>
      <c r="G81" s="101"/>
      <c r="H81" s="101"/>
      <c r="I81" s="101"/>
      <c r="J81" s="101"/>
      <c r="K81" s="101"/>
      <c r="L81" s="101"/>
      <c r="M81" s="101"/>
      <c r="N81" s="101"/>
      <c r="O81" s="101"/>
    </row>
    <row r="82" spans="1:19" ht="30" customHeight="1" x14ac:dyDescent="0.2">
      <c r="A82" s="101" t="s">
        <v>125</v>
      </c>
      <c r="B82" s="101"/>
      <c r="C82" s="101"/>
      <c r="D82" s="101"/>
      <c r="E82" s="101"/>
      <c r="F82" s="101"/>
      <c r="G82" s="101"/>
      <c r="H82" s="101"/>
      <c r="I82" s="101"/>
      <c r="J82" s="101"/>
      <c r="K82" s="101"/>
      <c r="L82" s="101"/>
      <c r="M82" s="101"/>
      <c r="N82" s="101"/>
      <c r="O82" s="101"/>
    </row>
    <row r="83" spans="1:19" ht="16.5" customHeight="1" x14ac:dyDescent="0.2">
      <c r="A83" s="101" t="s">
        <v>220</v>
      </c>
      <c r="B83" s="101"/>
      <c r="C83" s="101"/>
      <c r="D83" s="101"/>
      <c r="E83" s="101"/>
      <c r="F83" s="101"/>
      <c r="G83" s="101"/>
      <c r="H83" s="101"/>
      <c r="I83" s="101"/>
      <c r="J83" s="101"/>
      <c r="K83" s="101"/>
      <c r="L83" s="101"/>
      <c r="M83" s="101"/>
      <c r="N83" s="101"/>
      <c r="O83" s="101"/>
    </row>
    <row r="84" spans="1:19" x14ac:dyDescent="0.2">
      <c r="A84" s="101" t="s">
        <v>286</v>
      </c>
      <c r="B84" s="101"/>
      <c r="C84" s="101"/>
      <c r="D84" s="101"/>
      <c r="E84" s="101"/>
      <c r="F84" s="101"/>
      <c r="G84" s="101"/>
      <c r="H84" s="101"/>
      <c r="I84" s="101"/>
      <c r="J84" s="101"/>
      <c r="K84" s="101"/>
      <c r="L84" s="101"/>
      <c r="M84" s="101"/>
      <c r="N84" s="101"/>
      <c r="O84" s="101"/>
      <c r="P84" s="101"/>
      <c r="Q84" s="101"/>
      <c r="R84" s="101"/>
      <c r="S84" s="101"/>
    </row>
    <row r="85" spans="1:19" x14ac:dyDescent="0.2">
      <c r="A85" s="87" t="s">
        <v>219</v>
      </c>
      <c r="B85" s="86"/>
      <c r="C85" s="86"/>
      <c r="D85" s="86"/>
      <c r="E85" s="86"/>
      <c r="F85" s="86"/>
      <c r="G85" s="86"/>
      <c r="H85" s="86"/>
      <c r="I85" s="86"/>
      <c r="J85" s="86"/>
      <c r="K85" s="86"/>
      <c r="L85" s="86"/>
      <c r="M85" s="86"/>
      <c r="N85" s="86"/>
      <c r="O85" s="86"/>
      <c r="P85" s="86"/>
      <c r="Q85" s="86"/>
      <c r="R85" s="86"/>
      <c r="S85" s="86"/>
    </row>
    <row r="86" spans="1:19" s="85" customFormat="1" x14ac:dyDescent="0.25"/>
    <row r="87" spans="1:19" ht="18" x14ac:dyDescent="0.25">
      <c r="A87" s="102" t="s">
        <v>85</v>
      </c>
      <c r="B87" s="102"/>
      <c r="C87" s="102"/>
      <c r="D87" s="80"/>
      <c r="E87" s="80"/>
      <c r="F87" s="80"/>
      <c r="K87" s="53"/>
      <c r="L87" s="53"/>
    </row>
    <row r="88" spans="1:19" ht="15" x14ac:dyDescent="0.25">
      <c r="A88" s="28" t="s">
        <v>86</v>
      </c>
      <c r="B88" s="103" t="s">
        <v>91</v>
      </c>
      <c r="C88" s="103"/>
      <c r="D88" s="71"/>
      <c r="E88" s="71"/>
      <c r="F88" s="71"/>
      <c r="K88" s="53"/>
      <c r="L88" s="53"/>
    </row>
    <row r="89" spans="1:19" ht="15" x14ac:dyDescent="0.25">
      <c r="A89" s="28" t="s">
        <v>87</v>
      </c>
      <c r="B89" s="103" t="s">
        <v>84</v>
      </c>
      <c r="C89" s="103"/>
      <c r="D89" s="71"/>
      <c r="E89" s="71"/>
      <c r="F89" s="71"/>
      <c r="K89" s="53"/>
      <c r="L89" s="53"/>
    </row>
    <row r="90" spans="1:19" ht="13.5" customHeight="1" x14ac:dyDescent="0.25">
      <c r="A90" s="28" t="s">
        <v>88</v>
      </c>
      <c r="B90" s="105" t="s">
        <v>92</v>
      </c>
      <c r="C90" s="106"/>
      <c r="D90" s="71"/>
      <c r="E90" s="71"/>
      <c r="F90" s="71"/>
      <c r="K90" s="53"/>
      <c r="L90" s="53"/>
    </row>
    <row r="91" spans="1:19" ht="15" x14ac:dyDescent="0.25">
      <c r="A91" s="44" t="s">
        <v>89</v>
      </c>
      <c r="B91" s="98" t="s">
        <v>193</v>
      </c>
      <c r="C91" s="98"/>
      <c r="D91" s="72"/>
      <c r="E91" s="72"/>
      <c r="F91" s="72"/>
      <c r="K91" s="53"/>
      <c r="L91" s="53"/>
    </row>
    <row r="92" spans="1:19" ht="15" x14ac:dyDescent="0.2">
      <c r="A92" s="44" t="s">
        <v>90</v>
      </c>
      <c r="B92" s="98" t="s">
        <v>194</v>
      </c>
      <c r="C92" s="98"/>
      <c r="D92" s="72"/>
      <c r="E92" s="72"/>
      <c r="F92" s="72"/>
    </row>
    <row r="93" spans="1:19" ht="15" x14ac:dyDescent="0.2">
      <c r="A93" s="44" t="s">
        <v>93</v>
      </c>
      <c r="B93" s="104" t="s">
        <v>195</v>
      </c>
      <c r="C93" s="104"/>
      <c r="D93" s="73"/>
      <c r="E93" s="73"/>
      <c r="F93" s="73"/>
    </row>
    <row r="94" spans="1:19" ht="15" x14ac:dyDescent="0.2">
      <c r="A94" s="44" t="s">
        <v>94</v>
      </c>
      <c r="B94" s="107" t="s">
        <v>290</v>
      </c>
      <c r="C94" s="108"/>
      <c r="D94" s="72"/>
      <c r="E94" s="72"/>
      <c r="F94" s="72"/>
    </row>
    <row r="95" spans="1:19" ht="15" x14ac:dyDescent="0.2">
      <c r="A95" s="44" t="s">
        <v>95</v>
      </c>
      <c r="B95" s="107" t="s">
        <v>291</v>
      </c>
      <c r="C95" s="108"/>
      <c r="D95" s="72"/>
      <c r="E95" s="72"/>
      <c r="F95" s="72"/>
    </row>
    <row r="96" spans="1:19" ht="15" x14ac:dyDescent="0.2">
      <c r="A96" s="44" t="s">
        <v>96</v>
      </c>
      <c r="B96" s="104" t="s">
        <v>292</v>
      </c>
      <c r="C96" s="104"/>
      <c r="D96" s="73"/>
      <c r="E96" s="73"/>
      <c r="F96" s="73"/>
    </row>
    <row r="97" spans="1:6" ht="15" x14ac:dyDescent="0.2">
      <c r="A97" s="44" t="s">
        <v>97</v>
      </c>
      <c r="B97" s="98" t="s">
        <v>239</v>
      </c>
      <c r="C97" s="98"/>
      <c r="D97" s="72"/>
      <c r="E97" s="72"/>
      <c r="F97" s="72"/>
    </row>
    <row r="98" spans="1:6" ht="15" x14ac:dyDescent="0.2">
      <c r="A98" s="44" t="s">
        <v>98</v>
      </c>
      <c r="B98" s="98" t="s">
        <v>293</v>
      </c>
      <c r="C98" s="98"/>
      <c r="D98" s="72"/>
      <c r="E98" s="72"/>
      <c r="F98" s="72"/>
    </row>
    <row r="99" spans="1:6" ht="15" x14ac:dyDescent="0.2">
      <c r="A99" s="44" t="s">
        <v>99</v>
      </c>
      <c r="B99" s="104" t="s">
        <v>240</v>
      </c>
      <c r="C99" s="104"/>
      <c r="D99" s="73"/>
      <c r="E99" s="73"/>
      <c r="F99" s="73"/>
    </row>
    <row r="100" spans="1:6" ht="15" x14ac:dyDescent="0.2">
      <c r="A100" s="44" t="s">
        <v>205</v>
      </c>
      <c r="B100" s="98" t="s">
        <v>287</v>
      </c>
      <c r="C100" s="98"/>
    </row>
    <row r="101" spans="1:6" ht="15" x14ac:dyDescent="0.2">
      <c r="A101" s="44" t="s">
        <v>206</v>
      </c>
      <c r="B101" s="98" t="s">
        <v>288</v>
      </c>
      <c r="C101" s="98"/>
    </row>
    <row r="102" spans="1:6" ht="15" x14ac:dyDescent="0.2">
      <c r="A102" s="44" t="s">
        <v>207</v>
      </c>
      <c r="B102" s="104" t="s">
        <v>289</v>
      </c>
      <c r="C102" s="104"/>
    </row>
  </sheetData>
  <sheetProtection algorithmName="SHA-512" hashValue="Rbbq2TTDgKZ7zxmeVfjIThv1U3KT0gfEXlTvhIp1HjTeInKbCUjk6feVEIWfCL8DS5npz96/9jkjvHQGcXiFtg==" saltValue="r5atmp2dO9lRfeeVwp3/Nw==" spinCount="100000" sheet="1" objects="1" scenarios="1" selectLockedCells="1" sort="0" autoFilter="0" selectUnlockedCells="1"/>
  <mergeCells count="21">
    <mergeCell ref="A1:O1"/>
    <mergeCell ref="B99:C99"/>
    <mergeCell ref="A87:C87"/>
    <mergeCell ref="B100:C100"/>
    <mergeCell ref="B101:C101"/>
    <mergeCell ref="B91:C91"/>
    <mergeCell ref="B92:C92"/>
    <mergeCell ref="B93:C93"/>
    <mergeCell ref="A81:O81"/>
    <mergeCell ref="A82:O82"/>
    <mergeCell ref="A83:O83"/>
    <mergeCell ref="A84:S84"/>
    <mergeCell ref="B102:C102"/>
    <mergeCell ref="B97:C97"/>
    <mergeCell ref="B98:C98"/>
    <mergeCell ref="B96:C96"/>
    <mergeCell ref="B88:C88"/>
    <mergeCell ref="B89:C89"/>
    <mergeCell ref="B90:C90"/>
    <mergeCell ref="B94:C94"/>
    <mergeCell ref="B95:C95"/>
  </mergeCells>
  <phoneticPr fontId="11" type="noConversion"/>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B65AC-75CF-4AA6-84F2-6D7142FB45B6}">
  <dimension ref="A1:U93"/>
  <sheetViews>
    <sheetView topLeftCell="A26" zoomScale="80" zoomScaleNormal="80" workbookViewId="0">
      <selection activeCell="B79" sqref="B79"/>
    </sheetView>
  </sheetViews>
  <sheetFormatPr defaultColWidth="9.140625" defaultRowHeight="14.25" x14ac:dyDescent="0.2"/>
  <cols>
    <col min="1" max="1" width="11.42578125" style="2" customWidth="1"/>
    <col min="2" max="2" width="75.85546875" style="2" customWidth="1"/>
    <col min="3" max="3" width="34.5703125" style="2" customWidth="1"/>
    <col min="4" max="4" width="13" style="2" customWidth="1"/>
    <col min="5" max="5" width="12.42578125" style="2" customWidth="1"/>
    <col min="6" max="6" width="17.28515625" style="2" customWidth="1"/>
    <col min="7" max="7" width="25" style="2" customWidth="1"/>
    <col min="8" max="8" width="23.85546875" style="2" customWidth="1"/>
    <col min="9" max="9" width="26.5703125" style="2" customWidth="1"/>
    <col min="10" max="16384" width="9.140625" style="2"/>
  </cols>
  <sheetData>
    <row r="1" spans="1:9" ht="24" thickBot="1" x14ac:dyDescent="0.4">
      <c r="A1" s="99" t="s">
        <v>266</v>
      </c>
      <c r="B1" s="100"/>
      <c r="C1" s="100"/>
      <c r="D1" s="100"/>
      <c r="E1" s="100"/>
      <c r="F1" s="100"/>
      <c r="G1" s="100"/>
      <c r="H1" s="100"/>
      <c r="I1" s="109"/>
    </row>
    <row r="3" spans="1:9" s="3" customFormat="1" ht="25.5" x14ac:dyDescent="0.2">
      <c r="A3" s="7" t="s">
        <v>83</v>
      </c>
      <c r="B3" s="8" t="s">
        <v>84</v>
      </c>
      <c r="C3" s="8" t="s">
        <v>92</v>
      </c>
      <c r="D3" s="8" t="s">
        <v>163</v>
      </c>
      <c r="E3" s="8" t="s">
        <v>164</v>
      </c>
      <c r="F3" s="8" t="s">
        <v>165</v>
      </c>
      <c r="G3" s="8" t="s">
        <v>110</v>
      </c>
      <c r="H3" s="9" t="s">
        <v>251</v>
      </c>
      <c r="I3" s="9" t="s">
        <v>250</v>
      </c>
    </row>
    <row r="4" spans="1:9" x14ac:dyDescent="0.2">
      <c r="A4" s="10">
        <v>1</v>
      </c>
      <c r="B4" s="11" t="s">
        <v>18</v>
      </c>
      <c r="C4" s="11" t="s">
        <v>72</v>
      </c>
      <c r="D4" s="11" t="s">
        <v>169</v>
      </c>
      <c r="E4" s="11" t="s">
        <v>170</v>
      </c>
      <c r="F4" s="11" t="s">
        <v>171</v>
      </c>
      <c r="G4" s="12">
        <v>555000</v>
      </c>
      <c r="H4" s="13">
        <v>798000</v>
      </c>
      <c r="I4" s="13">
        <v>1105000</v>
      </c>
    </row>
    <row r="5" spans="1:9" x14ac:dyDescent="0.2">
      <c r="A5" s="10">
        <v>2</v>
      </c>
      <c r="B5" s="11" t="s">
        <v>36</v>
      </c>
      <c r="C5" s="11" t="s">
        <v>69</v>
      </c>
      <c r="D5" s="11" t="s">
        <v>176</v>
      </c>
      <c r="E5" s="11" t="s">
        <v>170</v>
      </c>
      <c r="F5" s="11" t="s">
        <v>171</v>
      </c>
      <c r="G5" s="12">
        <v>138000</v>
      </c>
      <c r="H5" s="13">
        <v>141000</v>
      </c>
      <c r="I5" s="13">
        <v>121000</v>
      </c>
    </row>
    <row r="6" spans="1:9" x14ac:dyDescent="0.2">
      <c r="A6" s="10">
        <v>3</v>
      </c>
      <c r="B6" s="11" t="s">
        <v>15</v>
      </c>
      <c r="C6" s="11" t="s">
        <v>72</v>
      </c>
      <c r="D6" s="11" t="s">
        <v>178</v>
      </c>
      <c r="E6" s="11" t="s">
        <v>170</v>
      </c>
      <c r="F6" s="11" t="s">
        <v>171</v>
      </c>
      <c r="G6" s="12">
        <v>0</v>
      </c>
      <c r="H6" s="13">
        <v>0</v>
      </c>
      <c r="I6" s="13">
        <v>2000</v>
      </c>
    </row>
    <row r="7" spans="1:9" x14ac:dyDescent="0.2">
      <c r="A7" s="10">
        <v>5</v>
      </c>
      <c r="B7" s="11" t="s">
        <v>23</v>
      </c>
      <c r="C7" s="11" t="s">
        <v>73</v>
      </c>
      <c r="D7" s="11" t="s">
        <v>179</v>
      </c>
      <c r="E7" s="11" t="s">
        <v>170</v>
      </c>
      <c r="F7" s="11" t="s">
        <v>168</v>
      </c>
      <c r="G7" s="12">
        <v>39800000</v>
      </c>
      <c r="H7" s="13">
        <v>48892000</v>
      </c>
      <c r="I7" s="13">
        <v>46587000</v>
      </c>
    </row>
    <row r="8" spans="1:9" x14ac:dyDescent="0.2">
      <c r="A8" s="10">
        <v>6</v>
      </c>
      <c r="B8" s="11" t="s">
        <v>59</v>
      </c>
      <c r="C8" s="11" t="s">
        <v>76</v>
      </c>
      <c r="D8" s="11" t="s">
        <v>186</v>
      </c>
      <c r="E8" s="11" t="s">
        <v>170</v>
      </c>
      <c r="F8" s="11" t="s">
        <v>171</v>
      </c>
      <c r="G8" s="12">
        <v>2113000</v>
      </c>
      <c r="H8" s="13">
        <v>2453000</v>
      </c>
      <c r="I8" s="13">
        <v>523000</v>
      </c>
    </row>
    <row r="9" spans="1:9" x14ac:dyDescent="0.2">
      <c r="A9" s="10">
        <v>8</v>
      </c>
      <c r="B9" s="11" t="s">
        <v>21</v>
      </c>
      <c r="C9" s="11" t="s">
        <v>73</v>
      </c>
      <c r="D9" s="11" t="s">
        <v>169</v>
      </c>
      <c r="E9" s="11" t="s">
        <v>170</v>
      </c>
      <c r="F9" s="11" t="s">
        <v>171</v>
      </c>
      <c r="G9" s="12">
        <v>166987000</v>
      </c>
      <c r="H9" s="13">
        <v>96904000</v>
      </c>
      <c r="I9" s="13">
        <v>15504000</v>
      </c>
    </row>
    <row r="10" spans="1:9" x14ac:dyDescent="0.2">
      <c r="A10" s="10">
        <v>9</v>
      </c>
      <c r="B10" s="11" t="s">
        <v>10</v>
      </c>
      <c r="C10" s="11" t="s">
        <v>69</v>
      </c>
      <c r="D10" s="11" t="s">
        <v>176</v>
      </c>
      <c r="E10" s="11" t="s">
        <v>170</v>
      </c>
      <c r="F10" s="11" t="s">
        <v>171</v>
      </c>
      <c r="G10" s="12">
        <v>6000</v>
      </c>
      <c r="H10" s="13">
        <v>5000</v>
      </c>
      <c r="I10" s="13">
        <v>5000</v>
      </c>
    </row>
    <row r="11" spans="1:9" x14ac:dyDescent="0.2">
      <c r="A11" s="10">
        <v>10</v>
      </c>
      <c r="B11" s="11" t="s">
        <v>40</v>
      </c>
      <c r="C11" s="11" t="s">
        <v>78</v>
      </c>
      <c r="D11" s="11" t="s">
        <v>182</v>
      </c>
      <c r="E11" s="11" t="s">
        <v>181</v>
      </c>
      <c r="F11" s="11" t="s">
        <v>171</v>
      </c>
      <c r="G11" s="12">
        <v>319206000</v>
      </c>
      <c r="H11" s="13">
        <v>70286000</v>
      </c>
      <c r="I11" s="13">
        <v>43882000</v>
      </c>
    </row>
    <row r="12" spans="1:9" x14ac:dyDescent="0.2">
      <c r="A12" s="10">
        <v>11</v>
      </c>
      <c r="B12" s="11" t="s">
        <v>4</v>
      </c>
      <c r="C12" s="11" t="s">
        <v>73</v>
      </c>
      <c r="D12" s="11" t="s">
        <v>174</v>
      </c>
      <c r="E12" s="11" t="s">
        <v>167</v>
      </c>
      <c r="F12" s="11" t="s">
        <v>168</v>
      </c>
      <c r="G12" s="12">
        <v>3981000</v>
      </c>
      <c r="H12" s="13">
        <v>289000</v>
      </c>
      <c r="I12" s="13">
        <v>19096000</v>
      </c>
    </row>
    <row r="13" spans="1:9" x14ac:dyDescent="0.2">
      <c r="A13" s="10">
        <v>12</v>
      </c>
      <c r="B13" s="11" t="s">
        <v>62</v>
      </c>
      <c r="C13" s="11" t="s">
        <v>73</v>
      </c>
      <c r="D13" s="11" t="s">
        <v>169</v>
      </c>
      <c r="E13" s="11" t="s">
        <v>170</v>
      </c>
      <c r="F13" s="11" t="s">
        <v>171</v>
      </c>
      <c r="G13" s="12">
        <v>5195000</v>
      </c>
      <c r="H13" s="13">
        <v>4146000</v>
      </c>
      <c r="I13" s="13">
        <v>6218000</v>
      </c>
    </row>
    <row r="14" spans="1:9" x14ac:dyDescent="0.2">
      <c r="A14" s="10">
        <v>14</v>
      </c>
      <c r="B14" s="11" t="s">
        <v>12</v>
      </c>
      <c r="C14" s="11" t="s">
        <v>73</v>
      </c>
      <c r="D14" s="11" t="s">
        <v>173</v>
      </c>
      <c r="E14" s="11" t="s">
        <v>167</v>
      </c>
      <c r="F14" s="11" t="s">
        <v>171</v>
      </c>
      <c r="G14" s="12">
        <v>647175000</v>
      </c>
      <c r="H14" s="13">
        <v>620652000</v>
      </c>
      <c r="I14" s="13">
        <v>801795000</v>
      </c>
    </row>
    <row r="15" spans="1:9" x14ac:dyDescent="0.2">
      <c r="A15" s="10">
        <v>15</v>
      </c>
      <c r="B15" s="11" t="s">
        <v>34</v>
      </c>
      <c r="C15" s="11" t="s">
        <v>67</v>
      </c>
      <c r="D15" s="11" t="s">
        <v>184</v>
      </c>
      <c r="E15" s="11" t="s">
        <v>170</v>
      </c>
      <c r="F15" s="11" t="s">
        <v>171</v>
      </c>
      <c r="G15" s="12">
        <v>854602000</v>
      </c>
      <c r="H15" s="13">
        <v>577466000</v>
      </c>
      <c r="I15" s="13">
        <v>487291000</v>
      </c>
    </row>
    <row r="16" spans="1:9" x14ac:dyDescent="0.2">
      <c r="A16" s="10">
        <v>16</v>
      </c>
      <c r="B16" s="11" t="s">
        <v>9</v>
      </c>
      <c r="C16" s="11" t="s">
        <v>71</v>
      </c>
      <c r="D16" s="11" t="s">
        <v>178</v>
      </c>
      <c r="E16" s="11" t="s">
        <v>170</v>
      </c>
      <c r="F16" s="11" t="s">
        <v>171</v>
      </c>
      <c r="G16" s="12">
        <v>26482000</v>
      </c>
      <c r="H16" s="13">
        <v>3073000</v>
      </c>
      <c r="I16" s="13">
        <v>405000</v>
      </c>
    </row>
    <row r="17" spans="1:9" x14ac:dyDescent="0.2">
      <c r="A17" s="10">
        <v>17</v>
      </c>
      <c r="B17" s="11" t="s">
        <v>8</v>
      </c>
      <c r="C17" s="11" t="s">
        <v>67</v>
      </c>
      <c r="D17" s="11" t="s">
        <v>184</v>
      </c>
      <c r="E17" s="11" t="s">
        <v>170</v>
      </c>
      <c r="F17" s="11" t="s">
        <v>171</v>
      </c>
      <c r="G17" s="12">
        <v>6407000</v>
      </c>
      <c r="H17" s="13">
        <v>5407000</v>
      </c>
      <c r="I17" s="13">
        <v>6436000</v>
      </c>
    </row>
    <row r="18" spans="1:9" x14ac:dyDescent="0.2">
      <c r="A18" s="10">
        <v>19</v>
      </c>
      <c r="B18" s="11" t="s">
        <v>117</v>
      </c>
      <c r="C18" s="11" t="s">
        <v>77</v>
      </c>
      <c r="D18" s="11" t="s">
        <v>186</v>
      </c>
      <c r="E18" s="11" t="s">
        <v>170</v>
      </c>
      <c r="F18" s="11" t="s">
        <v>171</v>
      </c>
      <c r="G18" s="12">
        <v>438641000</v>
      </c>
      <c r="H18" s="13">
        <v>332327000</v>
      </c>
      <c r="I18" s="13">
        <v>335009000</v>
      </c>
    </row>
    <row r="19" spans="1:9" x14ac:dyDescent="0.2">
      <c r="A19" s="10">
        <v>21</v>
      </c>
      <c r="B19" s="11" t="s">
        <v>55</v>
      </c>
      <c r="C19" s="11" t="s">
        <v>73</v>
      </c>
      <c r="D19" s="11" t="s">
        <v>180</v>
      </c>
      <c r="E19" s="11" t="s">
        <v>181</v>
      </c>
      <c r="F19" s="11" t="s">
        <v>171</v>
      </c>
      <c r="G19" s="12">
        <v>2000</v>
      </c>
      <c r="H19" s="13">
        <v>2000</v>
      </c>
      <c r="I19" s="13">
        <v>0</v>
      </c>
    </row>
    <row r="20" spans="1:9" x14ac:dyDescent="0.2">
      <c r="A20" s="10">
        <v>24</v>
      </c>
      <c r="B20" s="11" t="s">
        <v>45</v>
      </c>
      <c r="C20" s="11" t="s">
        <v>69</v>
      </c>
      <c r="D20" s="11" t="s">
        <v>190</v>
      </c>
      <c r="E20" s="11" t="s">
        <v>170</v>
      </c>
      <c r="F20" s="11" t="s">
        <v>171</v>
      </c>
      <c r="G20" s="12">
        <v>5000</v>
      </c>
      <c r="H20" s="13">
        <v>5000</v>
      </c>
      <c r="I20" s="13">
        <v>5000</v>
      </c>
    </row>
    <row r="21" spans="1:9" x14ac:dyDescent="0.2">
      <c r="A21" s="10">
        <v>25</v>
      </c>
      <c r="B21" s="11" t="s">
        <v>2</v>
      </c>
      <c r="C21" s="11" t="s">
        <v>71</v>
      </c>
      <c r="D21" s="11" t="s">
        <v>178</v>
      </c>
      <c r="E21" s="11" t="s">
        <v>170</v>
      </c>
      <c r="F21" s="11" t="s">
        <v>171</v>
      </c>
      <c r="G21" s="12">
        <v>32391000</v>
      </c>
      <c r="H21" s="13">
        <v>8288000</v>
      </c>
      <c r="I21" s="13">
        <v>8554000</v>
      </c>
    </row>
    <row r="22" spans="1:9" x14ac:dyDescent="0.2">
      <c r="A22" s="10">
        <v>27</v>
      </c>
      <c r="B22" s="11" t="s">
        <v>60</v>
      </c>
      <c r="C22" s="11" t="s">
        <v>73</v>
      </c>
      <c r="D22" s="11" t="s">
        <v>190</v>
      </c>
      <c r="E22" s="11" t="s">
        <v>170</v>
      </c>
      <c r="F22" s="11" t="s">
        <v>171</v>
      </c>
      <c r="G22" s="12">
        <v>144162000</v>
      </c>
      <c r="H22" s="13">
        <v>32789000</v>
      </c>
      <c r="I22" s="13">
        <v>3606000</v>
      </c>
    </row>
    <row r="23" spans="1:9" x14ac:dyDescent="0.2">
      <c r="A23" s="10">
        <v>28</v>
      </c>
      <c r="B23" s="11" t="s">
        <v>37</v>
      </c>
      <c r="C23" s="11" t="s">
        <v>67</v>
      </c>
      <c r="D23" s="11" t="s">
        <v>189</v>
      </c>
      <c r="E23" s="11" t="s">
        <v>170</v>
      </c>
      <c r="F23" s="11" t="s">
        <v>168</v>
      </c>
      <c r="G23" s="12">
        <v>3073000</v>
      </c>
      <c r="H23" s="13">
        <v>8576000</v>
      </c>
      <c r="I23" s="13">
        <v>15513000</v>
      </c>
    </row>
    <row r="24" spans="1:9" x14ac:dyDescent="0.2">
      <c r="A24" s="10">
        <v>29</v>
      </c>
      <c r="B24" s="11" t="s">
        <v>115</v>
      </c>
      <c r="C24" s="11" t="s">
        <v>74</v>
      </c>
      <c r="D24" s="11" t="s">
        <v>173</v>
      </c>
      <c r="E24" s="11" t="s">
        <v>167</v>
      </c>
      <c r="F24" s="11" t="s">
        <v>171</v>
      </c>
      <c r="G24" s="12">
        <v>9000</v>
      </c>
      <c r="H24" s="13">
        <v>25000</v>
      </c>
      <c r="I24" s="13">
        <v>10000</v>
      </c>
    </row>
    <row r="25" spans="1:9" x14ac:dyDescent="0.2">
      <c r="A25" s="10">
        <v>31</v>
      </c>
      <c r="B25" s="11" t="s">
        <v>13</v>
      </c>
      <c r="C25" s="11" t="s">
        <v>73</v>
      </c>
      <c r="D25" s="11" t="s">
        <v>172</v>
      </c>
      <c r="E25" s="11" t="s">
        <v>167</v>
      </c>
      <c r="F25" s="11" t="s">
        <v>171</v>
      </c>
      <c r="G25" s="12">
        <v>32168000</v>
      </c>
      <c r="H25" s="13">
        <v>10995000</v>
      </c>
      <c r="I25" s="13">
        <v>16533000</v>
      </c>
    </row>
    <row r="26" spans="1:9" x14ac:dyDescent="0.2">
      <c r="A26" s="10">
        <v>34</v>
      </c>
      <c r="B26" s="11" t="s">
        <v>43</v>
      </c>
      <c r="C26" s="11" t="s">
        <v>72</v>
      </c>
      <c r="D26" s="11" t="s">
        <v>183</v>
      </c>
      <c r="E26" s="11" t="s">
        <v>181</v>
      </c>
      <c r="F26" s="11" t="s">
        <v>171</v>
      </c>
      <c r="G26" s="12">
        <v>6000</v>
      </c>
      <c r="H26" s="13">
        <v>6000</v>
      </c>
      <c r="I26" s="13">
        <v>6000</v>
      </c>
    </row>
    <row r="27" spans="1:9" x14ac:dyDescent="0.2">
      <c r="A27" s="10">
        <v>37</v>
      </c>
      <c r="B27" s="11" t="s">
        <v>16</v>
      </c>
      <c r="C27" s="11" t="s">
        <v>72</v>
      </c>
      <c r="D27" s="11" t="s">
        <v>169</v>
      </c>
      <c r="E27" s="11" t="s">
        <v>170</v>
      </c>
      <c r="F27" s="11" t="s">
        <v>171</v>
      </c>
      <c r="G27" s="12">
        <v>0</v>
      </c>
      <c r="H27" s="13">
        <v>0</v>
      </c>
      <c r="I27" s="13">
        <v>0</v>
      </c>
    </row>
    <row r="28" spans="1:9" x14ac:dyDescent="0.2">
      <c r="A28" s="10">
        <v>38</v>
      </c>
      <c r="B28" s="11" t="s">
        <v>46</v>
      </c>
      <c r="C28" s="11" t="s">
        <v>69</v>
      </c>
      <c r="D28" s="11" t="s">
        <v>182</v>
      </c>
      <c r="E28" s="11" t="s">
        <v>181</v>
      </c>
      <c r="F28" s="11" t="s">
        <v>171</v>
      </c>
      <c r="G28" s="12">
        <v>852000</v>
      </c>
      <c r="H28" s="13">
        <v>844000</v>
      </c>
      <c r="I28" s="13">
        <v>900000</v>
      </c>
    </row>
    <row r="29" spans="1:9" x14ac:dyDescent="0.2">
      <c r="A29" s="10">
        <v>40</v>
      </c>
      <c r="B29" s="11" t="s">
        <v>20</v>
      </c>
      <c r="C29" s="11" t="s">
        <v>71</v>
      </c>
      <c r="D29" s="11" t="s">
        <v>178</v>
      </c>
      <c r="E29" s="11" t="s">
        <v>170</v>
      </c>
      <c r="F29" s="11" t="s">
        <v>171</v>
      </c>
      <c r="G29" s="12">
        <v>53941000</v>
      </c>
      <c r="H29" s="13">
        <v>17304000</v>
      </c>
      <c r="I29" s="13">
        <v>6042000</v>
      </c>
    </row>
    <row r="30" spans="1:9" x14ac:dyDescent="0.2">
      <c r="A30" s="10">
        <v>41</v>
      </c>
      <c r="B30" s="11" t="s">
        <v>11</v>
      </c>
      <c r="C30" s="11" t="s">
        <v>69</v>
      </c>
      <c r="D30" s="11" t="s">
        <v>185</v>
      </c>
      <c r="E30" s="11" t="s">
        <v>181</v>
      </c>
      <c r="F30" s="11" t="s">
        <v>171</v>
      </c>
      <c r="G30" s="12">
        <v>10000</v>
      </c>
      <c r="H30" s="13">
        <v>10000</v>
      </c>
      <c r="I30" s="13">
        <v>10000</v>
      </c>
    </row>
    <row r="31" spans="1:9" x14ac:dyDescent="0.2">
      <c r="A31" s="10">
        <v>44</v>
      </c>
      <c r="B31" s="11" t="s">
        <v>6</v>
      </c>
      <c r="C31" s="11" t="s">
        <v>70</v>
      </c>
      <c r="D31" s="11" t="s">
        <v>180</v>
      </c>
      <c r="E31" s="11" t="s">
        <v>181</v>
      </c>
      <c r="F31" s="11" t="s">
        <v>171</v>
      </c>
      <c r="G31" s="12">
        <v>117675000</v>
      </c>
      <c r="H31" s="13">
        <v>99503000</v>
      </c>
      <c r="I31" s="13">
        <v>58971000</v>
      </c>
    </row>
    <row r="32" spans="1:9" s="6" customFormat="1" x14ac:dyDescent="0.2">
      <c r="A32" s="10">
        <v>45</v>
      </c>
      <c r="B32" s="11" t="s">
        <v>14</v>
      </c>
      <c r="C32" s="11" t="s">
        <v>73</v>
      </c>
      <c r="D32" s="11" t="s">
        <v>169</v>
      </c>
      <c r="E32" s="11" t="s">
        <v>170</v>
      </c>
      <c r="F32" s="11" t="s">
        <v>171</v>
      </c>
      <c r="G32" s="12">
        <v>175962000</v>
      </c>
      <c r="H32" s="13">
        <v>114817000</v>
      </c>
      <c r="I32" s="13">
        <v>91470000</v>
      </c>
    </row>
    <row r="33" spans="1:9" x14ac:dyDescent="0.2">
      <c r="A33" s="10">
        <v>47</v>
      </c>
      <c r="B33" s="11" t="s">
        <v>53</v>
      </c>
      <c r="C33" s="11" t="s">
        <v>73</v>
      </c>
      <c r="D33" s="11" t="s">
        <v>166</v>
      </c>
      <c r="E33" s="11" t="s">
        <v>167</v>
      </c>
      <c r="F33" s="11" t="s">
        <v>168</v>
      </c>
      <c r="G33" s="12">
        <v>2860000</v>
      </c>
      <c r="H33" s="13">
        <v>6106000</v>
      </c>
      <c r="I33" s="13">
        <v>2755000</v>
      </c>
    </row>
    <row r="34" spans="1:9" x14ac:dyDescent="0.2">
      <c r="A34" s="10">
        <v>48</v>
      </c>
      <c r="B34" s="11" t="s">
        <v>47</v>
      </c>
      <c r="C34" s="11" t="s">
        <v>69</v>
      </c>
      <c r="D34" s="11" t="s">
        <v>188</v>
      </c>
      <c r="E34" s="11" t="s">
        <v>181</v>
      </c>
      <c r="F34" s="11" t="s">
        <v>171</v>
      </c>
      <c r="G34" s="12">
        <v>7000</v>
      </c>
      <c r="H34" s="13">
        <v>4000</v>
      </c>
      <c r="I34" s="13">
        <v>4000</v>
      </c>
    </row>
    <row r="35" spans="1:9" x14ac:dyDescent="0.2">
      <c r="A35" s="10">
        <v>50</v>
      </c>
      <c r="B35" s="11" t="s">
        <v>119</v>
      </c>
      <c r="C35" s="11" t="s">
        <v>76</v>
      </c>
      <c r="D35" s="11" t="s">
        <v>184</v>
      </c>
      <c r="E35" s="11" t="s">
        <v>170</v>
      </c>
      <c r="F35" s="11" t="s">
        <v>171</v>
      </c>
      <c r="G35" s="12">
        <v>17240000</v>
      </c>
      <c r="H35" s="13">
        <v>8984000</v>
      </c>
      <c r="I35" s="13">
        <v>1974000</v>
      </c>
    </row>
    <row r="36" spans="1:9" x14ac:dyDescent="0.2">
      <c r="A36" s="10">
        <v>51</v>
      </c>
      <c r="B36" s="11" t="s">
        <v>39</v>
      </c>
      <c r="C36" s="11" t="s">
        <v>67</v>
      </c>
      <c r="D36" s="11" t="s">
        <v>190</v>
      </c>
      <c r="E36" s="11" t="s">
        <v>170</v>
      </c>
      <c r="F36" s="11" t="s">
        <v>171</v>
      </c>
      <c r="G36" s="12">
        <v>4152000</v>
      </c>
      <c r="H36" s="13">
        <v>10000</v>
      </c>
      <c r="I36" s="13">
        <v>7492000</v>
      </c>
    </row>
    <row r="37" spans="1:9" x14ac:dyDescent="0.2">
      <c r="A37" s="10">
        <v>52</v>
      </c>
      <c r="B37" s="11" t="s">
        <v>38</v>
      </c>
      <c r="C37" s="11" t="s">
        <v>72</v>
      </c>
      <c r="D37" s="11" t="s">
        <v>185</v>
      </c>
      <c r="E37" s="11" t="s">
        <v>181</v>
      </c>
      <c r="F37" s="11" t="s">
        <v>171</v>
      </c>
      <c r="G37" s="12">
        <v>3000</v>
      </c>
      <c r="H37" s="13">
        <v>5000</v>
      </c>
      <c r="I37" s="13">
        <v>5000</v>
      </c>
    </row>
    <row r="38" spans="1:9" x14ac:dyDescent="0.2">
      <c r="A38" s="10">
        <v>54</v>
      </c>
      <c r="B38" s="11" t="s">
        <v>17</v>
      </c>
      <c r="C38" s="11" t="s">
        <v>72</v>
      </c>
      <c r="D38" s="11" t="s">
        <v>176</v>
      </c>
      <c r="E38" s="11" t="s">
        <v>170</v>
      </c>
      <c r="F38" s="11" t="s">
        <v>171</v>
      </c>
      <c r="G38" s="12">
        <v>0</v>
      </c>
      <c r="H38" s="13">
        <v>0</v>
      </c>
      <c r="I38" s="13">
        <v>0</v>
      </c>
    </row>
    <row r="39" spans="1:9" x14ac:dyDescent="0.2">
      <c r="A39" s="10">
        <v>57</v>
      </c>
      <c r="B39" s="11" t="s">
        <v>66</v>
      </c>
      <c r="C39" s="11" t="s">
        <v>74</v>
      </c>
      <c r="D39" s="11" t="s">
        <v>172</v>
      </c>
      <c r="E39" s="11" t="s">
        <v>167</v>
      </c>
      <c r="F39" s="11" t="s">
        <v>171</v>
      </c>
      <c r="G39" s="12">
        <v>259000</v>
      </c>
      <c r="H39" s="13">
        <v>235000</v>
      </c>
      <c r="I39" s="13">
        <v>651000</v>
      </c>
    </row>
    <row r="40" spans="1:9" x14ac:dyDescent="0.2">
      <c r="A40" s="10">
        <v>58</v>
      </c>
      <c r="B40" s="11" t="s">
        <v>35</v>
      </c>
      <c r="C40" s="11" t="s">
        <v>73</v>
      </c>
      <c r="D40" s="11" t="s">
        <v>169</v>
      </c>
      <c r="E40" s="11" t="s">
        <v>170</v>
      </c>
      <c r="F40" s="11" t="s">
        <v>171</v>
      </c>
      <c r="G40" s="12">
        <v>37980000</v>
      </c>
      <c r="H40" s="13">
        <v>8330000</v>
      </c>
      <c r="I40" s="13">
        <v>6769000</v>
      </c>
    </row>
    <row r="41" spans="1:9" x14ac:dyDescent="0.2">
      <c r="A41" s="10">
        <v>60</v>
      </c>
      <c r="B41" s="11" t="s">
        <v>58</v>
      </c>
      <c r="C41" s="11" t="s">
        <v>75</v>
      </c>
      <c r="D41" s="11" t="s">
        <v>191</v>
      </c>
      <c r="E41" s="11" t="s">
        <v>170</v>
      </c>
      <c r="F41" s="11" t="s">
        <v>168</v>
      </c>
      <c r="G41" s="12">
        <v>1366000</v>
      </c>
      <c r="H41" s="13">
        <v>947000</v>
      </c>
      <c r="I41" s="13">
        <v>108000</v>
      </c>
    </row>
    <row r="42" spans="1:9" x14ac:dyDescent="0.2">
      <c r="A42" s="10">
        <v>61</v>
      </c>
      <c r="B42" s="11" t="s">
        <v>116</v>
      </c>
      <c r="C42" s="11" t="s">
        <v>74</v>
      </c>
      <c r="D42" s="11" t="s">
        <v>172</v>
      </c>
      <c r="E42" s="11" t="s">
        <v>167</v>
      </c>
      <c r="F42" s="11" t="s">
        <v>171</v>
      </c>
      <c r="G42" s="12">
        <v>3000</v>
      </c>
      <c r="H42" s="13">
        <v>5000</v>
      </c>
      <c r="I42" s="13">
        <v>5000</v>
      </c>
    </row>
    <row r="43" spans="1:9" x14ac:dyDescent="0.2">
      <c r="A43" s="10">
        <v>69</v>
      </c>
      <c r="B43" s="11" t="s">
        <v>24</v>
      </c>
      <c r="C43" s="11" t="s">
        <v>80</v>
      </c>
      <c r="D43" s="11" t="s">
        <v>187</v>
      </c>
      <c r="E43" s="11" t="s">
        <v>167</v>
      </c>
      <c r="F43" s="11" t="s">
        <v>168</v>
      </c>
      <c r="G43" s="12">
        <v>0</v>
      </c>
      <c r="H43" s="13">
        <v>0</v>
      </c>
      <c r="I43" s="13">
        <v>0</v>
      </c>
    </row>
    <row r="44" spans="1:9" x14ac:dyDescent="0.2">
      <c r="A44" s="10">
        <v>70</v>
      </c>
      <c r="B44" s="11" t="s">
        <v>51</v>
      </c>
      <c r="C44" s="11" t="s">
        <v>73</v>
      </c>
      <c r="D44" s="11" t="s">
        <v>182</v>
      </c>
      <c r="E44" s="11" t="s">
        <v>181</v>
      </c>
      <c r="F44" s="11" t="s">
        <v>171</v>
      </c>
      <c r="G44" s="12">
        <v>104913000</v>
      </c>
      <c r="H44" s="13">
        <v>67496000</v>
      </c>
      <c r="I44" s="13">
        <v>79642000</v>
      </c>
    </row>
    <row r="45" spans="1:9" x14ac:dyDescent="0.2">
      <c r="A45" s="10">
        <v>73</v>
      </c>
      <c r="B45" s="11" t="s">
        <v>30</v>
      </c>
      <c r="C45" s="11" t="s">
        <v>72</v>
      </c>
      <c r="D45" s="11" t="s">
        <v>183</v>
      </c>
      <c r="E45" s="11" t="s">
        <v>181</v>
      </c>
      <c r="F45" s="11" t="s">
        <v>171</v>
      </c>
      <c r="G45" s="12">
        <v>11000000</v>
      </c>
      <c r="H45" s="13">
        <v>11000</v>
      </c>
      <c r="I45" s="13">
        <v>11000</v>
      </c>
    </row>
    <row r="46" spans="1:9" x14ac:dyDescent="0.2">
      <c r="A46" s="10">
        <v>74</v>
      </c>
      <c r="B46" s="11" t="s">
        <v>29</v>
      </c>
      <c r="C46" s="11" t="s">
        <v>69</v>
      </c>
      <c r="D46" s="11" t="s">
        <v>178</v>
      </c>
      <c r="E46" s="11" t="s">
        <v>170</v>
      </c>
      <c r="F46" s="11" t="s">
        <v>171</v>
      </c>
      <c r="G46" s="12">
        <v>16000</v>
      </c>
      <c r="H46" s="13">
        <v>16000</v>
      </c>
      <c r="I46" s="13">
        <v>16000</v>
      </c>
    </row>
    <row r="47" spans="1:9" x14ac:dyDescent="0.2">
      <c r="A47" s="10">
        <v>75</v>
      </c>
      <c r="B47" s="11" t="s">
        <v>32</v>
      </c>
      <c r="C47" s="11" t="s">
        <v>69</v>
      </c>
      <c r="D47" s="11" t="s">
        <v>183</v>
      </c>
      <c r="E47" s="11" t="s">
        <v>181</v>
      </c>
      <c r="F47" s="11" t="s">
        <v>171</v>
      </c>
      <c r="G47" s="12">
        <v>9000</v>
      </c>
      <c r="H47" s="13">
        <v>10000</v>
      </c>
      <c r="I47" s="13">
        <v>11000</v>
      </c>
    </row>
    <row r="48" spans="1:9" x14ac:dyDescent="0.2">
      <c r="A48" s="10">
        <v>76</v>
      </c>
      <c r="B48" s="11" t="s">
        <v>222</v>
      </c>
      <c r="C48" s="11" t="s">
        <v>69</v>
      </c>
      <c r="D48" s="11" t="s">
        <v>176</v>
      </c>
      <c r="E48" s="11" t="s">
        <v>170</v>
      </c>
      <c r="F48" s="11" t="s">
        <v>171</v>
      </c>
      <c r="G48" s="12">
        <v>63000</v>
      </c>
      <c r="H48" s="13">
        <v>49000</v>
      </c>
      <c r="I48" s="13">
        <v>31000</v>
      </c>
    </row>
    <row r="49" spans="1:9" x14ac:dyDescent="0.2">
      <c r="A49" s="14">
        <v>81</v>
      </c>
      <c r="B49" s="15" t="s">
        <v>107</v>
      </c>
      <c r="C49" s="15" t="s">
        <v>80</v>
      </c>
      <c r="D49" s="15" t="s">
        <v>177</v>
      </c>
      <c r="E49" s="15" t="s">
        <v>167</v>
      </c>
      <c r="F49" s="15" t="s">
        <v>171</v>
      </c>
      <c r="G49" s="16">
        <v>0</v>
      </c>
      <c r="H49" s="17">
        <v>0</v>
      </c>
      <c r="I49" s="13">
        <v>0</v>
      </c>
    </row>
    <row r="50" spans="1:9" x14ac:dyDescent="0.2">
      <c r="A50" s="10">
        <v>83</v>
      </c>
      <c r="B50" s="11" t="s">
        <v>221</v>
      </c>
      <c r="C50" s="11" t="s">
        <v>73</v>
      </c>
      <c r="D50" s="11" t="s">
        <v>176</v>
      </c>
      <c r="E50" s="11" t="s">
        <v>170</v>
      </c>
      <c r="F50" s="11" t="s">
        <v>171</v>
      </c>
      <c r="G50" s="12">
        <v>100000</v>
      </c>
      <c r="H50" s="13">
        <v>1387000</v>
      </c>
      <c r="I50" s="13">
        <v>2669000</v>
      </c>
    </row>
    <row r="51" spans="1:9" x14ac:dyDescent="0.2">
      <c r="A51" s="10">
        <v>84</v>
      </c>
      <c r="B51" s="11" t="s">
        <v>33</v>
      </c>
      <c r="C51" s="11" t="s">
        <v>69</v>
      </c>
      <c r="D51" s="11" t="s">
        <v>185</v>
      </c>
      <c r="E51" s="11" t="s">
        <v>181</v>
      </c>
      <c r="F51" s="11" t="s">
        <v>171</v>
      </c>
      <c r="G51" s="12">
        <v>2000</v>
      </c>
      <c r="H51" s="13">
        <v>2000</v>
      </c>
      <c r="I51" s="13">
        <v>5000</v>
      </c>
    </row>
    <row r="52" spans="1:9" x14ac:dyDescent="0.2">
      <c r="A52" s="10">
        <v>91</v>
      </c>
      <c r="B52" s="11" t="s">
        <v>52</v>
      </c>
      <c r="C52" s="11" t="s">
        <v>73</v>
      </c>
      <c r="D52" s="11" t="s">
        <v>187</v>
      </c>
      <c r="E52" s="11" t="s">
        <v>167</v>
      </c>
      <c r="F52" s="11" t="s">
        <v>168</v>
      </c>
      <c r="G52" s="12">
        <v>1119000</v>
      </c>
      <c r="H52" s="13">
        <v>2334000</v>
      </c>
      <c r="I52" s="13">
        <v>1358000</v>
      </c>
    </row>
    <row r="53" spans="1:9" x14ac:dyDescent="0.2">
      <c r="A53" s="10">
        <v>92</v>
      </c>
      <c r="B53" s="11" t="s">
        <v>5</v>
      </c>
      <c r="C53" s="11" t="s">
        <v>70</v>
      </c>
      <c r="D53" s="11" t="s">
        <v>180</v>
      </c>
      <c r="E53" s="11" t="s">
        <v>181</v>
      </c>
      <c r="F53" s="11" t="s">
        <v>171</v>
      </c>
      <c r="G53" s="12">
        <v>2000</v>
      </c>
      <c r="H53" s="13">
        <v>2000</v>
      </c>
      <c r="I53" s="13">
        <v>2000</v>
      </c>
    </row>
    <row r="54" spans="1:9" x14ac:dyDescent="0.2">
      <c r="A54" s="10">
        <v>96</v>
      </c>
      <c r="B54" s="11" t="s">
        <v>50</v>
      </c>
      <c r="C54" s="11" t="s">
        <v>76</v>
      </c>
      <c r="D54" s="11" t="s">
        <v>176</v>
      </c>
      <c r="E54" s="11" t="s">
        <v>170</v>
      </c>
      <c r="F54" s="11" t="s">
        <v>171</v>
      </c>
      <c r="G54" s="12">
        <v>6258000</v>
      </c>
      <c r="H54" s="13">
        <v>508000</v>
      </c>
      <c r="I54" s="13">
        <v>2865000</v>
      </c>
    </row>
    <row r="55" spans="1:9" x14ac:dyDescent="0.2">
      <c r="A55" s="10">
        <v>108</v>
      </c>
      <c r="B55" s="11" t="s">
        <v>31</v>
      </c>
      <c r="C55" s="11" t="s">
        <v>72</v>
      </c>
      <c r="D55" s="11" t="s">
        <v>182</v>
      </c>
      <c r="E55" s="11" t="s">
        <v>181</v>
      </c>
      <c r="F55" s="11" t="s">
        <v>171</v>
      </c>
      <c r="G55" s="12">
        <v>198000</v>
      </c>
      <c r="H55" s="13">
        <v>9000</v>
      </c>
      <c r="I55" s="13">
        <v>9000</v>
      </c>
    </row>
    <row r="56" spans="1:9" x14ac:dyDescent="0.2">
      <c r="A56" s="10">
        <v>110</v>
      </c>
      <c r="B56" s="11" t="s">
        <v>44</v>
      </c>
      <c r="C56" s="11" t="s">
        <v>69</v>
      </c>
      <c r="D56" s="11" t="s">
        <v>180</v>
      </c>
      <c r="E56" s="11" t="s">
        <v>181</v>
      </c>
      <c r="F56" s="11" t="s">
        <v>171</v>
      </c>
      <c r="G56" s="12">
        <v>140000</v>
      </c>
      <c r="H56" s="13">
        <v>38000</v>
      </c>
      <c r="I56" s="13">
        <v>69000</v>
      </c>
    </row>
    <row r="57" spans="1:9" x14ac:dyDescent="0.2">
      <c r="A57" s="10">
        <v>111</v>
      </c>
      <c r="B57" s="11" t="s">
        <v>7</v>
      </c>
      <c r="C57" s="11" t="s">
        <v>73</v>
      </c>
      <c r="D57" s="11" t="s">
        <v>183</v>
      </c>
      <c r="E57" s="11" t="s">
        <v>181</v>
      </c>
      <c r="F57" s="11" t="s">
        <v>171</v>
      </c>
      <c r="G57" s="12">
        <v>173420000</v>
      </c>
      <c r="H57" s="13">
        <v>112610000</v>
      </c>
      <c r="I57" s="13">
        <v>113288000</v>
      </c>
    </row>
    <row r="58" spans="1:9" x14ac:dyDescent="0.2">
      <c r="A58" s="10">
        <v>112</v>
      </c>
      <c r="B58" s="11" t="s">
        <v>3</v>
      </c>
      <c r="C58" s="11" t="s">
        <v>72</v>
      </c>
      <c r="D58" s="11" t="s">
        <v>183</v>
      </c>
      <c r="E58" s="11" t="s">
        <v>181</v>
      </c>
      <c r="F58" s="11" t="s">
        <v>171</v>
      </c>
      <c r="G58" s="12">
        <v>12000</v>
      </c>
      <c r="H58" s="13">
        <v>15000</v>
      </c>
      <c r="I58" s="13">
        <v>19000</v>
      </c>
    </row>
    <row r="59" spans="1:9" x14ac:dyDescent="0.2">
      <c r="A59" s="10">
        <v>113</v>
      </c>
      <c r="B59" s="11" t="s">
        <v>54</v>
      </c>
      <c r="C59" s="11" t="s">
        <v>72</v>
      </c>
      <c r="D59" s="11" t="s">
        <v>185</v>
      </c>
      <c r="E59" s="11" t="s">
        <v>181</v>
      </c>
      <c r="F59" s="11" t="s">
        <v>171</v>
      </c>
      <c r="G59" s="12">
        <v>4000</v>
      </c>
      <c r="H59" s="13">
        <v>4000</v>
      </c>
      <c r="I59" s="13">
        <v>4000</v>
      </c>
    </row>
    <row r="60" spans="1:9" x14ac:dyDescent="0.2">
      <c r="A60" s="10">
        <v>115</v>
      </c>
      <c r="B60" s="11" t="s">
        <v>19</v>
      </c>
      <c r="C60" s="11" t="s">
        <v>67</v>
      </c>
      <c r="D60" s="11" t="s">
        <v>191</v>
      </c>
      <c r="E60" s="11" t="s">
        <v>170</v>
      </c>
      <c r="F60" s="11" t="s">
        <v>168</v>
      </c>
      <c r="G60" s="12">
        <v>656000</v>
      </c>
      <c r="H60" s="13">
        <v>668000</v>
      </c>
      <c r="I60" s="13">
        <v>108000</v>
      </c>
    </row>
    <row r="61" spans="1:9" x14ac:dyDescent="0.2">
      <c r="A61" s="10">
        <v>116</v>
      </c>
      <c r="B61" s="11" t="s">
        <v>118</v>
      </c>
      <c r="C61" s="11" t="s">
        <v>77</v>
      </c>
      <c r="D61" s="11" t="s">
        <v>186</v>
      </c>
      <c r="E61" s="11" t="s">
        <v>170</v>
      </c>
      <c r="F61" s="11" t="s">
        <v>171</v>
      </c>
      <c r="G61" s="12">
        <v>438641000</v>
      </c>
      <c r="H61" s="13">
        <v>332327000</v>
      </c>
      <c r="I61" s="13">
        <v>335009000</v>
      </c>
    </row>
    <row r="62" spans="1:9" x14ac:dyDescent="0.2">
      <c r="A62" s="10">
        <v>118</v>
      </c>
      <c r="B62" s="11" t="s">
        <v>22</v>
      </c>
      <c r="C62" s="11" t="s">
        <v>73</v>
      </c>
      <c r="D62" s="11" t="s">
        <v>178</v>
      </c>
      <c r="E62" s="11" t="s">
        <v>170</v>
      </c>
      <c r="F62" s="11" t="s">
        <v>171</v>
      </c>
      <c r="G62" s="12">
        <v>4018000</v>
      </c>
      <c r="H62" s="13">
        <v>649000</v>
      </c>
      <c r="I62" s="13">
        <v>1182000</v>
      </c>
    </row>
    <row r="63" spans="1:9" x14ac:dyDescent="0.2">
      <c r="A63" s="10">
        <v>119</v>
      </c>
      <c r="B63" s="11" t="s">
        <v>61</v>
      </c>
      <c r="C63" s="11" t="s">
        <v>73</v>
      </c>
      <c r="D63" s="11" t="s">
        <v>176</v>
      </c>
      <c r="E63" s="11" t="s">
        <v>170</v>
      </c>
      <c r="F63" s="11" t="s">
        <v>171</v>
      </c>
      <c r="G63" s="12">
        <v>142543000</v>
      </c>
      <c r="H63" s="13">
        <v>186817000</v>
      </c>
      <c r="I63" s="13">
        <v>246321000</v>
      </c>
    </row>
    <row r="64" spans="1:9" x14ac:dyDescent="0.2">
      <c r="A64" s="10">
        <v>221</v>
      </c>
      <c r="B64" s="11" t="s">
        <v>64</v>
      </c>
      <c r="C64" s="11" t="s">
        <v>74</v>
      </c>
      <c r="D64" s="11" t="s">
        <v>173</v>
      </c>
      <c r="E64" s="11" t="s">
        <v>167</v>
      </c>
      <c r="F64" s="11" t="s">
        <v>171</v>
      </c>
      <c r="G64" s="12">
        <v>128134000</v>
      </c>
      <c r="H64" s="13">
        <v>14265000</v>
      </c>
      <c r="I64" s="13">
        <v>2155000</v>
      </c>
    </row>
    <row r="65" spans="1:9" x14ac:dyDescent="0.2">
      <c r="A65" s="10">
        <v>224</v>
      </c>
      <c r="B65" s="11" t="s">
        <v>63</v>
      </c>
      <c r="C65" s="11" t="s">
        <v>74</v>
      </c>
      <c r="D65" s="11" t="s">
        <v>172</v>
      </c>
      <c r="E65" s="11" t="s">
        <v>167</v>
      </c>
      <c r="F65" s="11" t="s">
        <v>171</v>
      </c>
      <c r="G65" s="12">
        <v>21502000</v>
      </c>
      <c r="H65" s="13">
        <v>2508000</v>
      </c>
      <c r="I65" s="13">
        <v>383000</v>
      </c>
    </row>
    <row r="66" spans="1:9" x14ac:dyDescent="0.2">
      <c r="A66" s="10">
        <v>324</v>
      </c>
      <c r="B66" s="11" t="s">
        <v>25</v>
      </c>
      <c r="C66" s="11" t="s">
        <v>80</v>
      </c>
      <c r="D66" s="11" t="s">
        <v>175</v>
      </c>
      <c r="E66" s="11" t="s">
        <v>167</v>
      </c>
      <c r="F66" s="11" t="s">
        <v>168</v>
      </c>
      <c r="G66" s="12">
        <v>112727000</v>
      </c>
      <c r="H66" s="13">
        <v>46383000</v>
      </c>
      <c r="I66" s="13">
        <v>16248000</v>
      </c>
    </row>
    <row r="67" spans="1:9" x14ac:dyDescent="0.2">
      <c r="A67" s="10">
        <v>391</v>
      </c>
      <c r="B67" s="11" t="s">
        <v>42</v>
      </c>
      <c r="C67" s="11" t="s">
        <v>72</v>
      </c>
      <c r="D67" s="11" t="s">
        <v>182</v>
      </c>
      <c r="E67" s="11" t="s">
        <v>181</v>
      </c>
      <c r="F67" s="11" t="s">
        <v>171</v>
      </c>
      <c r="G67" s="12">
        <v>4000</v>
      </c>
      <c r="H67" s="13">
        <v>2000</v>
      </c>
      <c r="I67" s="13">
        <v>2000</v>
      </c>
    </row>
    <row r="68" spans="1:9" x14ac:dyDescent="0.2">
      <c r="A68" s="10">
        <v>392</v>
      </c>
      <c r="B68" s="11" t="s">
        <v>41</v>
      </c>
      <c r="C68" s="11" t="s">
        <v>72</v>
      </c>
      <c r="D68" s="11" t="s">
        <v>182</v>
      </c>
      <c r="E68" s="11" t="s">
        <v>181</v>
      </c>
      <c r="F68" s="11" t="s">
        <v>171</v>
      </c>
      <c r="G68" s="12">
        <v>0</v>
      </c>
      <c r="H68" s="13">
        <v>3000</v>
      </c>
      <c r="I68" s="13">
        <v>3000</v>
      </c>
    </row>
    <row r="69" spans="1:9" x14ac:dyDescent="0.2">
      <c r="A69" s="10">
        <v>502</v>
      </c>
      <c r="B69" s="11" t="s">
        <v>120</v>
      </c>
      <c r="C69" s="11" t="s">
        <v>76</v>
      </c>
      <c r="D69" s="11" t="s">
        <v>184</v>
      </c>
      <c r="E69" s="11" t="s">
        <v>170</v>
      </c>
      <c r="F69" s="11" t="s">
        <v>171</v>
      </c>
      <c r="G69" s="12">
        <v>17240000</v>
      </c>
      <c r="H69" s="13">
        <v>8984000</v>
      </c>
      <c r="I69" s="13">
        <v>2000</v>
      </c>
    </row>
    <row r="70" spans="1:9" x14ac:dyDescent="0.2">
      <c r="A70" s="10">
        <v>641</v>
      </c>
      <c r="B70" s="11" t="s">
        <v>1</v>
      </c>
      <c r="C70" s="11" t="s">
        <v>68</v>
      </c>
      <c r="D70" s="11" t="s">
        <v>166</v>
      </c>
      <c r="E70" s="11" t="s">
        <v>167</v>
      </c>
      <c r="F70" s="11" t="s">
        <v>168</v>
      </c>
      <c r="G70" s="12">
        <v>22003000</v>
      </c>
      <c r="H70" s="13">
        <v>8298000</v>
      </c>
      <c r="I70" s="13">
        <v>19009000</v>
      </c>
    </row>
    <row r="71" spans="1:9" x14ac:dyDescent="0.2">
      <c r="A71" s="10">
        <v>642</v>
      </c>
      <c r="B71" s="11" t="s">
        <v>0</v>
      </c>
      <c r="C71" s="11" t="s">
        <v>68</v>
      </c>
      <c r="D71" s="11" t="s">
        <v>166</v>
      </c>
      <c r="E71" s="11" t="s">
        <v>167</v>
      </c>
      <c r="F71" s="11" t="s">
        <v>168</v>
      </c>
      <c r="G71" s="12">
        <v>14068000</v>
      </c>
      <c r="H71" s="13">
        <v>5305000</v>
      </c>
      <c r="I71" s="13">
        <v>12153000</v>
      </c>
    </row>
    <row r="72" spans="1:9" x14ac:dyDescent="0.2">
      <c r="A72" s="10">
        <v>861</v>
      </c>
      <c r="B72" s="11" t="s">
        <v>28</v>
      </c>
      <c r="C72" s="11" t="s">
        <v>79</v>
      </c>
      <c r="D72" s="11" t="s">
        <v>177</v>
      </c>
      <c r="E72" s="11" t="s">
        <v>167</v>
      </c>
      <c r="F72" s="11" t="s">
        <v>171</v>
      </c>
      <c r="G72" s="12">
        <v>183582000</v>
      </c>
      <c r="H72" s="13">
        <v>77429000</v>
      </c>
      <c r="I72" s="13">
        <v>56292000</v>
      </c>
    </row>
    <row r="73" spans="1:9" x14ac:dyDescent="0.2">
      <c r="A73" s="10">
        <v>862</v>
      </c>
      <c r="B73" s="11" t="s">
        <v>26</v>
      </c>
      <c r="C73" s="11" t="s">
        <v>79</v>
      </c>
      <c r="D73" s="11" t="s">
        <v>173</v>
      </c>
      <c r="E73" s="11" t="s">
        <v>167</v>
      </c>
      <c r="F73" s="11" t="s">
        <v>171</v>
      </c>
      <c r="G73" s="12">
        <v>95022000</v>
      </c>
      <c r="H73" s="13">
        <v>41249000</v>
      </c>
      <c r="I73" s="13">
        <v>23104000</v>
      </c>
    </row>
    <row r="74" spans="1:9" x14ac:dyDescent="0.2">
      <c r="A74" s="10">
        <v>863</v>
      </c>
      <c r="B74" s="11" t="s">
        <v>27</v>
      </c>
      <c r="C74" s="11" t="s">
        <v>79</v>
      </c>
      <c r="D74" s="11" t="s">
        <v>173</v>
      </c>
      <c r="E74" s="11" t="s">
        <v>167</v>
      </c>
      <c r="F74" s="11" t="s">
        <v>171</v>
      </c>
      <c r="G74" s="12">
        <v>71598000</v>
      </c>
      <c r="H74" s="13">
        <v>28352000</v>
      </c>
      <c r="I74" s="13">
        <v>20582000</v>
      </c>
    </row>
    <row r="75" spans="1:9" x14ac:dyDescent="0.2">
      <c r="A75" s="10">
        <v>1069</v>
      </c>
      <c r="B75" s="11" t="s">
        <v>121</v>
      </c>
      <c r="C75" s="11" t="s">
        <v>80</v>
      </c>
      <c r="D75" s="11" t="s">
        <v>177</v>
      </c>
      <c r="E75" s="11" t="s">
        <v>167</v>
      </c>
      <c r="F75" s="11" t="s">
        <v>171</v>
      </c>
      <c r="G75" s="12">
        <v>0</v>
      </c>
      <c r="H75" s="13">
        <v>0</v>
      </c>
      <c r="I75" s="13">
        <v>0</v>
      </c>
    </row>
    <row r="76" spans="1:9" x14ac:dyDescent="0.2">
      <c r="A76" s="18">
        <v>1169</v>
      </c>
      <c r="B76" s="19" t="s">
        <v>252</v>
      </c>
      <c r="C76" s="11" t="s">
        <v>80</v>
      </c>
      <c r="D76" s="11" t="s">
        <v>187</v>
      </c>
      <c r="E76" s="11" t="s">
        <v>167</v>
      </c>
      <c r="F76" s="11" t="s">
        <v>168</v>
      </c>
      <c r="G76" s="20"/>
      <c r="H76" s="21"/>
      <c r="I76" s="13">
        <v>0</v>
      </c>
    </row>
    <row r="77" spans="1:9" ht="15" thickBot="1" x14ac:dyDescent="0.25"/>
    <row r="78" spans="1:9" ht="15.75" thickBot="1" x14ac:dyDescent="0.3">
      <c r="C78" s="43" t="s">
        <v>108</v>
      </c>
      <c r="G78" s="26">
        <f>SUM(Table3[2021 Year-End Total Cash on Hand ])</f>
        <v>4684408000</v>
      </c>
      <c r="H78" s="26">
        <f>SUM(Table3[2022 Year-End Total Cash on Hand ])</f>
        <v>3018359000</v>
      </c>
      <c r="I78" s="27">
        <f>SUM(Table3[2023 Year-End Total Cash on Hand])</f>
        <v>2917914000</v>
      </c>
    </row>
    <row r="79" spans="1:9" ht="29.25" customHeight="1" x14ac:dyDescent="0.2"/>
    <row r="80" spans="1:9" ht="33" customHeight="1" x14ac:dyDescent="0.2">
      <c r="A80" s="111" t="s">
        <v>141</v>
      </c>
      <c r="B80" s="111"/>
      <c r="C80" s="111"/>
      <c r="D80" s="111"/>
      <c r="E80" s="111"/>
      <c r="F80" s="111"/>
      <c r="G80" s="111"/>
      <c r="H80" s="111"/>
      <c r="I80" s="111"/>
    </row>
    <row r="81" spans="1:21" ht="15" customHeight="1" x14ac:dyDescent="0.2">
      <c r="A81" s="101" t="s">
        <v>125</v>
      </c>
      <c r="B81" s="101"/>
      <c r="C81" s="101"/>
      <c r="D81" s="101"/>
      <c r="E81" s="101"/>
      <c r="F81" s="101"/>
      <c r="G81" s="101"/>
      <c r="H81" s="101"/>
      <c r="I81" s="101"/>
      <c r="J81" s="88"/>
      <c r="K81" s="88"/>
      <c r="L81" s="88"/>
      <c r="M81" s="88"/>
      <c r="N81" s="88"/>
      <c r="O81" s="88"/>
      <c r="P81" s="88"/>
      <c r="Q81" s="88"/>
      <c r="R81" s="88"/>
      <c r="S81" s="88"/>
      <c r="T81" s="88"/>
      <c r="U81" s="88"/>
    </row>
    <row r="82" spans="1:21" ht="19.5" customHeight="1" x14ac:dyDescent="0.2">
      <c r="A82" s="87" t="s">
        <v>219</v>
      </c>
      <c r="B82" s="86"/>
      <c r="C82" s="86"/>
      <c r="D82" s="86"/>
      <c r="E82" s="86"/>
      <c r="F82" s="86"/>
      <c r="G82" s="86"/>
      <c r="H82" s="86"/>
      <c r="I82" s="86"/>
    </row>
    <row r="83" spans="1:21" x14ac:dyDescent="0.2">
      <c r="A83" s="84"/>
      <c r="B83" s="84"/>
      <c r="C83" s="84"/>
      <c r="D83" s="84"/>
      <c r="E83" s="84"/>
      <c r="F83" s="84"/>
      <c r="G83" s="84"/>
      <c r="H83" s="84"/>
      <c r="I83" s="84"/>
    </row>
    <row r="84" spans="1:21" ht="18" x14ac:dyDescent="0.25">
      <c r="A84" s="102" t="s">
        <v>85</v>
      </c>
      <c r="B84" s="102"/>
      <c r="C84" s="102"/>
      <c r="D84" s="80"/>
      <c r="E84" s="80"/>
      <c r="F84" s="80"/>
    </row>
    <row r="85" spans="1:21" ht="15" x14ac:dyDescent="0.2">
      <c r="A85" s="28" t="s">
        <v>86</v>
      </c>
      <c r="B85" s="103" t="s">
        <v>109</v>
      </c>
      <c r="C85" s="103"/>
      <c r="D85" s="71"/>
      <c r="E85" s="71"/>
      <c r="F85" s="71"/>
    </row>
    <row r="86" spans="1:21" ht="15" x14ac:dyDescent="0.2">
      <c r="A86" s="28" t="s">
        <v>87</v>
      </c>
      <c r="B86" s="103" t="s">
        <v>84</v>
      </c>
      <c r="C86" s="103"/>
      <c r="D86" s="71"/>
      <c r="E86" s="71"/>
      <c r="F86" s="71"/>
    </row>
    <row r="87" spans="1:21" ht="15" x14ac:dyDescent="0.2">
      <c r="A87" s="28" t="s">
        <v>88</v>
      </c>
      <c r="B87" s="110" t="s">
        <v>92</v>
      </c>
      <c r="C87" s="110"/>
      <c r="D87" s="74"/>
      <c r="E87" s="74"/>
      <c r="F87" s="74"/>
    </row>
    <row r="88" spans="1:21" ht="15" x14ac:dyDescent="0.2">
      <c r="A88" s="44" t="s">
        <v>89</v>
      </c>
      <c r="B88" s="98" t="s">
        <v>193</v>
      </c>
      <c r="C88" s="98"/>
      <c r="D88" s="74"/>
      <c r="E88" s="74"/>
      <c r="F88" s="74"/>
    </row>
    <row r="89" spans="1:21" ht="15" x14ac:dyDescent="0.2">
      <c r="A89" s="44" t="s">
        <v>90</v>
      </c>
      <c r="B89" s="98" t="s">
        <v>194</v>
      </c>
      <c r="C89" s="98"/>
      <c r="D89" s="74"/>
      <c r="E89" s="74"/>
      <c r="F89" s="74"/>
    </row>
    <row r="90" spans="1:21" ht="15" x14ac:dyDescent="0.2">
      <c r="A90" s="44" t="s">
        <v>93</v>
      </c>
      <c r="B90" s="104" t="s">
        <v>195</v>
      </c>
      <c r="C90" s="104"/>
      <c r="D90" s="74"/>
      <c r="E90" s="74"/>
      <c r="F90" s="74"/>
    </row>
    <row r="91" spans="1:21" ht="15" x14ac:dyDescent="0.2">
      <c r="A91" s="28" t="s">
        <v>216</v>
      </c>
      <c r="B91" s="98" t="s">
        <v>123</v>
      </c>
      <c r="C91" s="98"/>
      <c r="D91" s="72"/>
      <c r="E91" s="72"/>
      <c r="F91" s="72"/>
    </row>
    <row r="92" spans="1:21" ht="15" x14ac:dyDescent="0.2">
      <c r="A92" s="29" t="s">
        <v>95</v>
      </c>
      <c r="B92" s="98" t="s">
        <v>223</v>
      </c>
      <c r="C92" s="98"/>
      <c r="D92" s="72"/>
      <c r="E92" s="72"/>
      <c r="F92" s="72"/>
    </row>
    <row r="93" spans="1:21" ht="15" x14ac:dyDescent="0.2">
      <c r="A93" s="28" t="s">
        <v>96</v>
      </c>
      <c r="B93" s="98" t="s">
        <v>294</v>
      </c>
      <c r="C93" s="98"/>
      <c r="D93" s="72"/>
      <c r="E93" s="72"/>
      <c r="F93" s="72"/>
    </row>
  </sheetData>
  <sheetProtection algorithmName="SHA-512" hashValue="XePbJM+q5iO2Q1q1R0EUkJfQJ2OgLirNwbPfNWauFVixzFEQriCJW2cAG9hrLwr5xc/gz2UibGaR7EEVGV6Ygw==" saltValue="lZONxbMSe+OB1dyF95bBhA==" spinCount="100000" sheet="1" objects="1" scenarios="1" selectLockedCells="1" selectUnlockedCells="1"/>
  <mergeCells count="13">
    <mergeCell ref="B92:C92"/>
    <mergeCell ref="B93:C93"/>
    <mergeCell ref="A1:I1"/>
    <mergeCell ref="A84:C84"/>
    <mergeCell ref="B85:C85"/>
    <mergeCell ref="B86:C86"/>
    <mergeCell ref="B87:C87"/>
    <mergeCell ref="B91:C91"/>
    <mergeCell ref="A81:I81"/>
    <mergeCell ref="A80:I80"/>
    <mergeCell ref="B88:C88"/>
    <mergeCell ref="B89:C89"/>
    <mergeCell ref="B90:C90"/>
  </mergeCells>
  <phoneticPr fontId="11" type="noConversion"/>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F2293-3D32-476D-A11D-8CCBD9043C55}">
  <dimension ref="A1:AB98"/>
  <sheetViews>
    <sheetView zoomScale="60" zoomScaleNormal="60" workbookViewId="0">
      <selection activeCell="H93" sqref="H93"/>
    </sheetView>
  </sheetViews>
  <sheetFormatPr defaultColWidth="18.85546875" defaultRowHeight="14.25" x14ac:dyDescent="0.2"/>
  <cols>
    <col min="1" max="1" width="22.140625" style="2" customWidth="1"/>
    <col min="2" max="2" width="81.7109375" style="2" customWidth="1"/>
    <col min="3" max="3" width="43.28515625" style="2" customWidth="1"/>
    <col min="4" max="4" width="15" style="2" customWidth="1"/>
    <col min="5" max="5" width="14.140625" style="2" customWidth="1"/>
    <col min="6" max="6" width="18" style="2" customWidth="1"/>
    <col min="7" max="7" width="20.42578125" style="2" bestFit="1" customWidth="1"/>
    <col min="8" max="8" width="20.7109375" style="2" customWidth="1"/>
    <col min="9" max="9" width="18.28515625" style="2" bestFit="1" customWidth="1"/>
    <col min="10" max="10" width="20.85546875" style="2" bestFit="1" customWidth="1"/>
    <col min="11" max="11" width="19.7109375" style="2" bestFit="1" customWidth="1"/>
    <col min="12" max="12" width="18.7109375" style="2" bestFit="1" customWidth="1"/>
    <col min="13" max="13" width="23" style="2" bestFit="1" customWidth="1"/>
    <col min="14" max="14" width="21.5703125" style="2" bestFit="1" customWidth="1"/>
    <col min="15" max="15" width="17.7109375" style="2" bestFit="1" customWidth="1"/>
    <col min="16" max="16" width="18.28515625" style="2" bestFit="1" customWidth="1"/>
    <col min="17" max="17" width="20.85546875" style="2" bestFit="1" customWidth="1"/>
    <col min="18" max="18" width="19.140625" style="2" bestFit="1" customWidth="1"/>
    <col min="19" max="19" width="18.7109375" style="2" bestFit="1" customWidth="1"/>
    <col min="20" max="20" width="23" style="2" bestFit="1" customWidth="1"/>
    <col min="21" max="21" width="20.85546875" style="2" bestFit="1" customWidth="1"/>
    <col min="22" max="22" width="18.7109375" style="2" bestFit="1" customWidth="1"/>
    <col min="23" max="23" width="18.28515625" style="2" bestFit="1" customWidth="1"/>
    <col min="24" max="24" width="20.85546875" style="2" bestFit="1" customWidth="1"/>
    <col min="25" max="26" width="19.140625" style="2" bestFit="1" customWidth="1"/>
    <col min="27" max="27" width="23" style="2" bestFit="1" customWidth="1"/>
    <col min="28" max="16384" width="18.85546875" style="2"/>
  </cols>
  <sheetData>
    <row r="1" spans="1:27" ht="24" thickBot="1" x14ac:dyDescent="0.4">
      <c r="A1" s="99" t="s">
        <v>267</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9"/>
    </row>
    <row r="3" spans="1:27" s="22" customFormat="1" ht="25.5" x14ac:dyDescent="0.25">
      <c r="A3" s="7" t="s">
        <v>83</v>
      </c>
      <c r="B3" s="8" t="s">
        <v>84</v>
      </c>
      <c r="C3" s="8" t="s">
        <v>92</v>
      </c>
      <c r="D3" s="8" t="s">
        <v>163</v>
      </c>
      <c r="E3" s="8" t="s">
        <v>164</v>
      </c>
      <c r="F3" s="8" t="s">
        <v>165</v>
      </c>
      <c r="G3" s="8" t="s">
        <v>100</v>
      </c>
      <c r="H3" s="8" t="s">
        <v>101</v>
      </c>
      <c r="I3" s="8" t="s">
        <v>105</v>
      </c>
      <c r="J3" s="8" t="s">
        <v>102</v>
      </c>
      <c r="K3" s="8" t="s">
        <v>201</v>
      </c>
      <c r="L3" s="8" t="s">
        <v>104</v>
      </c>
      <c r="M3" s="8" t="s">
        <v>253</v>
      </c>
      <c r="N3" s="8" t="s">
        <v>228</v>
      </c>
      <c r="O3" s="8" t="s">
        <v>229</v>
      </c>
      <c r="P3" s="8" t="s">
        <v>230</v>
      </c>
      <c r="Q3" s="8" t="s">
        <v>231</v>
      </c>
      <c r="R3" s="8" t="s">
        <v>295</v>
      </c>
      <c r="S3" s="8" t="s">
        <v>233</v>
      </c>
      <c r="T3" s="9" t="s">
        <v>226</v>
      </c>
      <c r="U3" s="8" t="s">
        <v>260</v>
      </c>
      <c r="V3" s="8" t="s">
        <v>261</v>
      </c>
      <c r="W3" s="8" t="s">
        <v>262</v>
      </c>
      <c r="X3" s="8" t="s">
        <v>263</v>
      </c>
      <c r="Y3" s="8" t="s">
        <v>258</v>
      </c>
      <c r="Z3" s="8" t="s">
        <v>264</v>
      </c>
      <c r="AA3" s="9" t="s">
        <v>265</v>
      </c>
    </row>
    <row r="4" spans="1:27" x14ac:dyDescent="0.2">
      <c r="A4" s="10">
        <v>1</v>
      </c>
      <c r="B4" s="11" t="s">
        <v>18</v>
      </c>
      <c r="C4" s="11" t="s">
        <v>72</v>
      </c>
      <c r="D4" s="11" t="s">
        <v>169</v>
      </c>
      <c r="E4" s="11" t="s">
        <v>170</v>
      </c>
      <c r="F4" s="11" t="s">
        <v>171</v>
      </c>
      <c r="G4" s="35">
        <v>565388000</v>
      </c>
      <c r="H4" s="35">
        <v>215708000</v>
      </c>
      <c r="I4" s="35">
        <v>0</v>
      </c>
      <c r="J4" s="35">
        <v>1336999000</v>
      </c>
      <c r="K4" s="35">
        <v>-162570000</v>
      </c>
      <c r="L4" s="35">
        <v>0</v>
      </c>
      <c r="M4" s="35">
        <v>1955525000</v>
      </c>
      <c r="N4" s="35">
        <v>640145000</v>
      </c>
      <c r="O4" s="35">
        <v>270978000</v>
      </c>
      <c r="P4" s="35">
        <v>0</v>
      </c>
      <c r="Q4" s="35">
        <v>1287538000</v>
      </c>
      <c r="R4" s="35">
        <v>-183912000</v>
      </c>
      <c r="S4" s="35">
        <v>0</v>
      </c>
      <c r="T4" s="39">
        <v>2014749000</v>
      </c>
      <c r="U4" s="35">
        <v>891273000</v>
      </c>
      <c r="V4" s="35">
        <v>345271000</v>
      </c>
      <c r="W4" s="39">
        <v>0</v>
      </c>
      <c r="X4" s="35">
        <v>1481597000</v>
      </c>
      <c r="Y4" s="35">
        <v>-332813000</v>
      </c>
      <c r="Z4" s="39">
        <v>0</v>
      </c>
      <c r="AA4" s="35">
        <v>2385328000</v>
      </c>
    </row>
    <row r="5" spans="1:27" x14ac:dyDescent="0.2">
      <c r="A5" s="10">
        <v>2</v>
      </c>
      <c r="B5" s="11" t="s">
        <v>36</v>
      </c>
      <c r="C5" s="11" t="s">
        <v>69</v>
      </c>
      <c r="D5" s="11" t="s">
        <v>176</v>
      </c>
      <c r="E5" s="11" t="s">
        <v>170</v>
      </c>
      <c r="F5" s="11" t="s">
        <v>171</v>
      </c>
      <c r="G5" s="35">
        <v>226626000</v>
      </c>
      <c r="H5" s="35">
        <v>257752000</v>
      </c>
      <c r="I5" s="35">
        <v>444000</v>
      </c>
      <c r="J5" s="35">
        <v>155041000</v>
      </c>
      <c r="K5" s="35">
        <v>-51454000</v>
      </c>
      <c r="L5" s="35">
        <v>16935000</v>
      </c>
      <c r="M5" s="35">
        <v>605344000</v>
      </c>
      <c r="N5" s="35">
        <v>234939000</v>
      </c>
      <c r="O5" s="35">
        <v>291521000</v>
      </c>
      <c r="P5" s="35">
        <v>522000</v>
      </c>
      <c r="Q5" s="35">
        <v>165932000</v>
      </c>
      <c r="R5" s="35">
        <v>-78360000</v>
      </c>
      <c r="S5" s="35">
        <v>20283000</v>
      </c>
      <c r="T5" s="39">
        <v>634837000</v>
      </c>
      <c r="U5" s="35">
        <v>262410000</v>
      </c>
      <c r="V5" s="35">
        <v>308087000</v>
      </c>
      <c r="W5" s="39">
        <v>143000</v>
      </c>
      <c r="X5" s="35">
        <v>152700000</v>
      </c>
      <c r="Y5" s="35">
        <v>-76252000</v>
      </c>
      <c r="Z5" s="39">
        <v>17091000</v>
      </c>
      <c r="AA5" s="35">
        <v>664179000</v>
      </c>
    </row>
    <row r="6" spans="1:27" x14ac:dyDescent="0.2">
      <c r="A6" s="10">
        <v>3</v>
      </c>
      <c r="B6" s="11" t="s">
        <v>15</v>
      </c>
      <c r="C6" s="11" t="s">
        <v>72</v>
      </c>
      <c r="D6" s="11" t="s">
        <v>178</v>
      </c>
      <c r="E6" s="11" t="s">
        <v>170</v>
      </c>
      <c r="F6" s="11" t="s">
        <v>171</v>
      </c>
      <c r="G6" s="35">
        <v>55748000</v>
      </c>
      <c r="H6" s="35">
        <v>30927000</v>
      </c>
      <c r="I6" s="35">
        <v>276000</v>
      </c>
      <c r="J6" s="35">
        <v>78335000</v>
      </c>
      <c r="K6" s="35">
        <v>19072000</v>
      </c>
      <c r="L6" s="35">
        <v>161000</v>
      </c>
      <c r="M6" s="35">
        <v>184519000</v>
      </c>
      <c r="N6" s="35">
        <v>67472000</v>
      </c>
      <c r="O6" s="35">
        <v>70118000</v>
      </c>
      <c r="P6" s="35">
        <v>242000</v>
      </c>
      <c r="Q6" s="35">
        <v>102716000</v>
      </c>
      <c r="R6" s="35">
        <v>-51293000</v>
      </c>
      <c r="S6" s="35">
        <v>1334000</v>
      </c>
      <c r="T6" s="39">
        <v>190589000</v>
      </c>
      <c r="U6" s="35">
        <v>137862000</v>
      </c>
      <c r="V6" s="35">
        <v>5830000</v>
      </c>
      <c r="W6" s="39">
        <v>0</v>
      </c>
      <c r="X6" s="35">
        <v>161560000</v>
      </c>
      <c r="Y6" s="35">
        <v>-117912000</v>
      </c>
      <c r="Z6" s="39">
        <v>11883000</v>
      </c>
      <c r="AA6" s="35">
        <v>199223000</v>
      </c>
    </row>
    <row r="7" spans="1:27" x14ac:dyDescent="0.2">
      <c r="A7" s="10">
        <v>5</v>
      </c>
      <c r="B7" s="11" t="s">
        <v>23</v>
      </c>
      <c r="C7" s="11" t="s">
        <v>73</v>
      </c>
      <c r="D7" s="11" t="s">
        <v>179</v>
      </c>
      <c r="E7" s="11" t="s">
        <v>170</v>
      </c>
      <c r="F7" s="11" t="s">
        <v>168</v>
      </c>
      <c r="G7" s="35">
        <v>86008000</v>
      </c>
      <c r="H7" s="35">
        <v>19508000</v>
      </c>
      <c r="I7" s="35">
        <v>652000</v>
      </c>
      <c r="J7" s="35">
        <v>163162000</v>
      </c>
      <c r="K7" s="35">
        <v>-142000</v>
      </c>
      <c r="L7" s="35">
        <v>2496000</v>
      </c>
      <c r="M7" s="35">
        <v>271684000</v>
      </c>
      <c r="N7" s="35">
        <v>86801000</v>
      </c>
      <c r="O7" s="35">
        <v>17765000</v>
      </c>
      <c r="P7" s="35">
        <v>474000</v>
      </c>
      <c r="Q7" s="35">
        <v>155765000</v>
      </c>
      <c r="R7" s="35">
        <v>1138000</v>
      </c>
      <c r="S7" s="35">
        <v>1076000</v>
      </c>
      <c r="T7" s="39">
        <v>263019000</v>
      </c>
      <c r="U7" s="35">
        <v>89874000</v>
      </c>
      <c r="V7" s="35">
        <v>18645000</v>
      </c>
      <c r="W7" s="39">
        <v>854000</v>
      </c>
      <c r="X7" s="35">
        <v>171719000</v>
      </c>
      <c r="Y7" s="35">
        <v>1108000</v>
      </c>
      <c r="Z7" s="39">
        <v>3463000</v>
      </c>
      <c r="AA7" s="35">
        <v>285663000</v>
      </c>
    </row>
    <row r="8" spans="1:27" x14ac:dyDescent="0.2">
      <c r="A8" s="10">
        <v>6</v>
      </c>
      <c r="B8" s="11" t="s">
        <v>59</v>
      </c>
      <c r="C8" s="11" t="s">
        <v>76</v>
      </c>
      <c r="D8" s="11" t="s">
        <v>186</v>
      </c>
      <c r="E8" s="11" t="s">
        <v>170</v>
      </c>
      <c r="F8" s="11" t="s">
        <v>171</v>
      </c>
      <c r="G8" s="35">
        <v>63691000</v>
      </c>
      <c r="H8" s="35">
        <v>34272000</v>
      </c>
      <c r="I8" s="35">
        <v>60000</v>
      </c>
      <c r="J8" s="35">
        <v>46027000</v>
      </c>
      <c r="K8" s="35">
        <v>5247000</v>
      </c>
      <c r="L8" s="35">
        <v>1730000</v>
      </c>
      <c r="M8" s="35">
        <v>151027000</v>
      </c>
      <c r="N8" s="35">
        <v>71550000</v>
      </c>
      <c r="O8" s="35">
        <v>42068000</v>
      </c>
      <c r="P8" s="35">
        <v>129000</v>
      </c>
      <c r="Q8" s="35">
        <v>43450000</v>
      </c>
      <c r="R8" s="35">
        <v>-2047000</v>
      </c>
      <c r="S8" s="35">
        <v>0</v>
      </c>
      <c r="T8" s="39">
        <v>155150000</v>
      </c>
      <c r="U8" s="35">
        <v>71758000</v>
      </c>
      <c r="V8" s="35">
        <v>45306000</v>
      </c>
      <c r="W8" s="39">
        <v>73000</v>
      </c>
      <c r="X8" s="35">
        <v>51703000</v>
      </c>
      <c r="Y8" s="35">
        <v>-8470000</v>
      </c>
      <c r="Z8" s="39">
        <v>0</v>
      </c>
      <c r="AA8" s="35">
        <v>160370000</v>
      </c>
    </row>
    <row r="9" spans="1:27" x14ac:dyDescent="0.2">
      <c r="A9" s="10">
        <v>8</v>
      </c>
      <c r="B9" s="11" t="s">
        <v>21</v>
      </c>
      <c r="C9" s="11" t="s">
        <v>73</v>
      </c>
      <c r="D9" s="11" t="s">
        <v>169</v>
      </c>
      <c r="E9" s="11" t="s">
        <v>170</v>
      </c>
      <c r="F9" s="11" t="s">
        <v>171</v>
      </c>
      <c r="G9" s="35">
        <v>196355000</v>
      </c>
      <c r="H9" s="35">
        <v>51360000</v>
      </c>
      <c r="I9" s="35">
        <v>899000</v>
      </c>
      <c r="J9" s="35">
        <v>216928000</v>
      </c>
      <c r="K9" s="35">
        <v>1837000</v>
      </c>
      <c r="L9" s="35">
        <v>4033000</v>
      </c>
      <c r="M9" s="35">
        <v>471412000</v>
      </c>
      <c r="N9" s="35">
        <v>138441000</v>
      </c>
      <c r="O9" s="35">
        <v>46004000</v>
      </c>
      <c r="P9" s="35">
        <v>318000</v>
      </c>
      <c r="Q9" s="35">
        <v>308825000</v>
      </c>
      <c r="R9" s="35">
        <v>-241000</v>
      </c>
      <c r="S9" s="35">
        <v>33000</v>
      </c>
      <c r="T9" s="39">
        <v>493380000</v>
      </c>
      <c r="U9" s="35">
        <v>171988000</v>
      </c>
      <c r="V9" s="35">
        <v>49361000</v>
      </c>
      <c r="W9" s="39">
        <v>259000</v>
      </c>
      <c r="X9" s="35">
        <v>277587000</v>
      </c>
      <c r="Y9" s="35">
        <v>1777000</v>
      </c>
      <c r="Z9" s="39">
        <v>5808000</v>
      </c>
      <c r="AA9" s="35">
        <v>506780000</v>
      </c>
    </row>
    <row r="10" spans="1:27" x14ac:dyDescent="0.2">
      <c r="A10" s="10">
        <v>9</v>
      </c>
      <c r="B10" s="11" t="s">
        <v>10</v>
      </c>
      <c r="C10" s="11" t="s">
        <v>69</v>
      </c>
      <c r="D10" s="11" t="s">
        <v>176</v>
      </c>
      <c r="E10" s="11" t="s">
        <v>170</v>
      </c>
      <c r="F10" s="11" t="s">
        <v>171</v>
      </c>
      <c r="G10" s="35">
        <v>143841000</v>
      </c>
      <c r="H10" s="35">
        <v>96474000</v>
      </c>
      <c r="I10" s="35">
        <v>130000</v>
      </c>
      <c r="J10" s="35">
        <v>84450000</v>
      </c>
      <c r="K10" s="35">
        <v>-24960000</v>
      </c>
      <c r="L10" s="35">
        <v>9460000</v>
      </c>
      <c r="M10" s="35">
        <v>309395000</v>
      </c>
      <c r="N10" s="35">
        <v>156601000</v>
      </c>
      <c r="O10" s="35">
        <v>113197000</v>
      </c>
      <c r="P10" s="35">
        <v>263000</v>
      </c>
      <c r="Q10" s="35">
        <v>89211000</v>
      </c>
      <c r="R10" s="35">
        <v>-33619000</v>
      </c>
      <c r="S10" s="35">
        <v>10958000</v>
      </c>
      <c r="T10" s="39">
        <v>336611000</v>
      </c>
      <c r="U10" s="35">
        <v>166712000</v>
      </c>
      <c r="V10" s="35">
        <v>109486000</v>
      </c>
      <c r="W10" s="39">
        <v>331000</v>
      </c>
      <c r="X10" s="35">
        <v>94904000</v>
      </c>
      <c r="Y10" s="35">
        <v>-26889000</v>
      </c>
      <c r="Z10" s="39">
        <v>8971000</v>
      </c>
      <c r="AA10" s="35">
        <v>353515000</v>
      </c>
    </row>
    <row r="11" spans="1:27" x14ac:dyDescent="0.2">
      <c r="A11" s="10">
        <v>10</v>
      </c>
      <c r="B11" s="11" t="s">
        <v>40</v>
      </c>
      <c r="C11" s="11" t="s">
        <v>78</v>
      </c>
      <c r="D11" s="11" t="s">
        <v>182</v>
      </c>
      <c r="E11" s="11" t="s">
        <v>181</v>
      </c>
      <c r="F11" s="11" t="s">
        <v>171</v>
      </c>
      <c r="G11" s="35">
        <v>136718000</v>
      </c>
      <c r="H11" s="35">
        <v>31283000</v>
      </c>
      <c r="I11" s="35">
        <v>0</v>
      </c>
      <c r="J11" s="35">
        <v>236699000</v>
      </c>
      <c r="K11" s="35">
        <v>-3635000</v>
      </c>
      <c r="L11" s="35">
        <v>12696000</v>
      </c>
      <c r="M11" s="35">
        <v>413761000</v>
      </c>
      <c r="N11" s="35">
        <v>248117000</v>
      </c>
      <c r="O11" s="35">
        <v>-5257000</v>
      </c>
      <c r="P11" s="35">
        <v>0</v>
      </c>
      <c r="Q11" s="35">
        <v>220713000</v>
      </c>
      <c r="R11" s="35">
        <v>-2279000</v>
      </c>
      <c r="S11" s="35">
        <v>-997000</v>
      </c>
      <c r="T11" s="39">
        <v>460297000</v>
      </c>
      <c r="U11" s="35">
        <v>190650000</v>
      </c>
      <c r="V11" s="35">
        <v>56262000</v>
      </c>
      <c r="W11" s="39">
        <v>0</v>
      </c>
      <c r="X11" s="35">
        <v>280224000</v>
      </c>
      <c r="Y11" s="35">
        <v>-16325000</v>
      </c>
      <c r="Z11" s="39">
        <v>921000</v>
      </c>
      <c r="AA11" s="35">
        <v>511732000</v>
      </c>
    </row>
    <row r="12" spans="1:27" x14ac:dyDescent="0.2">
      <c r="A12" s="10">
        <v>11</v>
      </c>
      <c r="B12" s="11" t="s">
        <v>4</v>
      </c>
      <c r="C12" s="11" t="s">
        <v>73</v>
      </c>
      <c r="D12" s="11" t="s">
        <v>174</v>
      </c>
      <c r="E12" s="11" t="s">
        <v>167</v>
      </c>
      <c r="F12" s="11" t="s">
        <v>168</v>
      </c>
      <c r="G12" s="35">
        <v>65129000</v>
      </c>
      <c r="H12" s="35">
        <v>15602000</v>
      </c>
      <c r="I12" s="35">
        <v>2837000</v>
      </c>
      <c r="J12" s="35">
        <v>57943000</v>
      </c>
      <c r="K12" s="35">
        <v>-7499000</v>
      </c>
      <c r="L12" s="35">
        <v>-1173000</v>
      </c>
      <c r="M12" s="35">
        <v>132839000</v>
      </c>
      <c r="N12" s="35">
        <v>64736000</v>
      </c>
      <c r="O12" s="35">
        <v>13052000</v>
      </c>
      <c r="P12" s="35">
        <v>2602000</v>
      </c>
      <c r="Q12" s="35">
        <v>50961000</v>
      </c>
      <c r="R12" s="35">
        <v>-3070000</v>
      </c>
      <c r="S12" s="35">
        <v>-678000</v>
      </c>
      <c r="T12" s="39">
        <v>127603000</v>
      </c>
      <c r="U12" s="35">
        <v>69722000</v>
      </c>
      <c r="V12" s="35">
        <v>11173000</v>
      </c>
      <c r="W12" s="39">
        <v>2277000</v>
      </c>
      <c r="X12" s="35">
        <v>51651000</v>
      </c>
      <c r="Y12" s="35">
        <v>-4286000</v>
      </c>
      <c r="Z12" s="39">
        <v>-2000</v>
      </c>
      <c r="AA12" s="35">
        <v>130535000</v>
      </c>
    </row>
    <row r="13" spans="1:27" x14ac:dyDescent="0.2">
      <c r="A13" s="10">
        <v>12</v>
      </c>
      <c r="B13" s="11" t="s">
        <v>62</v>
      </c>
      <c r="C13" s="11" t="s">
        <v>73</v>
      </c>
      <c r="D13" s="11" t="s">
        <v>169</v>
      </c>
      <c r="E13" s="11" t="s">
        <v>170</v>
      </c>
      <c r="F13" s="11" t="s">
        <v>171</v>
      </c>
      <c r="G13" s="35">
        <v>259515000</v>
      </c>
      <c r="H13" s="35">
        <v>18417000</v>
      </c>
      <c r="I13" s="35">
        <v>0</v>
      </c>
      <c r="J13" s="35">
        <v>560956000</v>
      </c>
      <c r="K13" s="35">
        <v>3623000</v>
      </c>
      <c r="L13" s="35">
        <v>12106000</v>
      </c>
      <c r="M13" s="35">
        <v>854617000</v>
      </c>
      <c r="N13" s="35">
        <v>291416000</v>
      </c>
      <c r="O13" s="35">
        <v>19079000</v>
      </c>
      <c r="P13" s="35">
        <v>0</v>
      </c>
      <c r="Q13" s="35">
        <v>612259000</v>
      </c>
      <c r="R13" s="35">
        <v>352000</v>
      </c>
      <c r="S13" s="35">
        <v>3635000</v>
      </c>
      <c r="T13" s="39">
        <v>926741000</v>
      </c>
      <c r="U13" s="35">
        <v>323771000</v>
      </c>
      <c r="V13" s="35">
        <v>25509000</v>
      </c>
      <c r="W13" s="39">
        <v>0</v>
      </c>
      <c r="X13" s="35">
        <v>643002000</v>
      </c>
      <c r="Y13" s="35">
        <v>4284000</v>
      </c>
      <c r="Z13" s="39">
        <v>12069000</v>
      </c>
      <c r="AA13" s="35">
        <v>1008635000</v>
      </c>
    </row>
    <row r="14" spans="1:27" x14ac:dyDescent="0.2">
      <c r="A14" s="10">
        <v>14</v>
      </c>
      <c r="B14" s="11" t="s">
        <v>12</v>
      </c>
      <c r="C14" s="11" t="s">
        <v>73</v>
      </c>
      <c r="D14" s="11" t="s">
        <v>173</v>
      </c>
      <c r="E14" s="11" t="s">
        <v>167</v>
      </c>
      <c r="F14" s="11" t="s">
        <v>171</v>
      </c>
      <c r="G14" s="35">
        <v>342138000</v>
      </c>
      <c r="H14" s="35">
        <v>343611000</v>
      </c>
      <c r="I14" s="35">
        <v>21405000</v>
      </c>
      <c r="J14" s="35">
        <v>530031000</v>
      </c>
      <c r="K14" s="35">
        <v>26497000</v>
      </c>
      <c r="L14" s="35">
        <v>41256000</v>
      </c>
      <c r="M14" s="35">
        <v>1304938000</v>
      </c>
      <c r="N14" s="35">
        <v>391487000</v>
      </c>
      <c r="O14" s="35">
        <v>388147000</v>
      </c>
      <c r="P14" s="35">
        <v>31217000</v>
      </c>
      <c r="Q14" s="35">
        <v>558019000</v>
      </c>
      <c r="R14" s="35">
        <v>25570000</v>
      </c>
      <c r="S14" s="35">
        <v>40367000</v>
      </c>
      <c r="T14" s="39">
        <v>1434807000</v>
      </c>
      <c r="U14" s="35">
        <v>415720000</v>
      </c>
      <c r="V14" s="35">
        <v>492278000</v>
      </c>
      <c r="W14" s="39">
        <v>34514000</v>
      </c>
      <c r="X14" s="35">
        <v>612828000</v>
      </c>
      <c r="Y14" s="35">
        <v>13091000</v>
      </c>
      <c r="Z14" s="39">
        <v>40522000</v>
      </c>
      <c r="AA14" s="35">
        <v>1608953000</v>
      </c>
    </row>
    <row r="15" spans="1:27" x14ac:dyDescent="0.2">
      <c r="A15" s="10">
        <v>15</v>
      </c>
      <c r="B15" s="11" t="s">
        <v>34</v>
      </c>
      <c r="C15" s="11" t="s">
        <v>67</v>
      </c>
      <c r="D15" s="11" t="s">
        <v>184</v>
      </c>
      <c r="E15" s="11" t="s">
        <v>170</v>
      </c>
      <c r="F15" s="11" t="s">
        <v>171</v>
      </c>
      <c r="G15" s="35">
        <v>816167000</v>
      </c>
      <c r="H15" s="35">
        <v>165192000</v>
      </c>
      <c r="I15" s="35">
        <v>0</v>
      </c>
      <c r="J15" s="35">
        <v>458424000</v>
      </c>
      <c r="K15" s="35">
        <v>-12958000</v>
      </c>
      <c r="L15" s="35">
        <v>204244000</v>
      </c>
      <c r="M15" s="35">
        <v>1631069000</v>
      </c>
      <c r="N15" s="35">
        <v>546688000</v>
      </c>
      <c r="O15" s="35">
        <v>108674000</v>
      </c>
      <c r="P15" s="35">
        <v>0</v>
      </c>
      <c r="Q15" s="35">
        <v>952014000</v>
      </c>
      <c r="R15" s="35">
        <v>28004000</v>
      </c>
      <c r="S15" s="35">
        <v>63770000</v>
      </c>
      <c r="T15" s="39">
        <v>1699150000</v>
      </c>
      <c r="U15" s="35">
        <v>605205000</v>
      </c>
      <c r="V15" s="35">
        <v>114638000</v>
      </c>
      <c r="W15" s="39">
        <v>0</v>
      </c>
      <c r="X15" s="35">
        <v>1022245000</v>
      </c>
      <c r="Y15" s="35">
        <v>19493000</v>
      </c>
      <c r="Z15" s="39">
        <v>81638000</v>
      </c>
      <c r="AA15" s="35">
        <v>1843219000</v>
      </c>
    </row>
    <row r="16" spans="1:27" x14ac:dyDescent="0.2">
      <c r="A16" s="10">
        <v>16</v>
      </c>
      <c r="B16" s="11" t="s">
        <v>9</v>
      </c>
      <c r="C16" s="11" t="s">
        <v>71</v>
      </c>
      <c r="D16" s="11" t="s">
        <v>178</v>
      </c>
      <c r="E16" s="11" t="s">
        <v>170</v>
      </c>
      <c r="F16" s="11" t="s">
        <v>171</v>
      </c>
      <c r="G16" s="35">
        <v>-3885000</v>
      </c>
      <c r="H16" s="35">
        <v>-20394000</v>
      </c>
      <c r="I16" s="35">
        <v>4008000</v>
      </c>
      <c r="J16" s="35">
        <v>-12785000</v>
      </c>
      <c r="K16" s="35">
        <v>138949000</v>
      </c>
      <c r="L16" s="35">
        <v>22847000</v>
      </c>
      <c r="M16" s="35">
        <v>128740000</v>
      </c>
      <c r="N16" s="35">
        <v>67356000</v>
      </c>
      <c r="O16" s="35">
        <v>46647000</v>
      </c>
      <c r="P16" s="35">
        <v>627000</v>
      </c>
      <c r="Q16" s="35">
        <v>17306000</v>
      </c>
      <c r="R16" s="35">
        <v>-5447000</v>
      </c>
      <c r="S16" s="35">
        <v>848000</v>
      </c>
      <c r="T16" s="39">
        <v>127337000</v>
      </c>
      <c r="U16" s="35">
        <v>27804000</v>
      </c>
      <c r="V16" s="35">
        <v>21575000</v>
      </c>
      <c r="W16" s="39">
        <v>352000</v>
      </c>
      <c r="X16" s="35">
        <v>12426000</v>
      </c>
      <c r="Y16" s="35">
        <v>72408000</v>
      </c>
      <c r="Z16" s="39">
        <v>375000</v>
      </c>
      <c r="AA16" s="35">
        <v>134940000</v>
      </c>
    </row>
    <row r="17" spans="1:28" x14ac:dyDescent="0.2">
      <c r="A17" s="10">
        <v>17</v>
      </c>
      <c r="B17" s="11" t="s">
        <v>8</v>
      </c>
      <c r="C17" s="11" t="s">
        <v>67</v>
      </c>
      <c r="D17" s="11" t="s">
        <v>184</v>
      </c>
      <c r="E17" s="11" t="s">
        <v>170</v>
      </c>
      <c r="F17" s="11" t="s">
        <v>171</v>
      </c>
      <c r="G17" s="35">
        <v>129194000</v>
      </c>
      <c r="H17" s="35">
        <v>31502000</v>
      </c>
      <c r="I17" s="35">
        <v>0</v>
      </c>
      <c r="J17" s="35">
        <v>69564000</v>
      </c>
      <c r="K17" s="35">
        <v>4059000</v>
      </c>
      <c r="L17" s="35">
        <v>2247000</v>
      </c>
      <c r="M17" s="35">
        <v>236566000</v>
      </c>
      <c r="N17" s="35">
        <v>100293000</v>
      </c>
      <c r="O17" s="35">
        <v>17124000</v>
      </c>
      <c r="P17" s="35">
        <v>0</v>
      </c>
      <c r="Q17" s="35">
        <v>130074000</v>
      </c>
      <c r="R17" s="35">
        <v>2399000</v>
      </c>
      <c r="S17" s="35">
        <v>3652000</v>
      </c>
      <c r="T17" s="39">
        <v>253542000</v>
      </c>
      <c r="U17" s="35">
        <v>105413000</v>
      </c>
      <c r="V17" s="35">
        <v>20249000</v>
      </c>
      <c r="W17" s="39">
        <v>0</v>
      </c>
      <c r="X17" s="35">
        <v>144113000</v>
      </c>
      <c r="Y17" s="35">
        <v>2297000</v>
      </c>
      <c r="Z17" s="39">
        <v>5956000</v>
      </c>
      <c r="AA17" s="35">
        <v>278028000</v>
      </c>
      <c r="AB17" s="23"/>
    </row>
    <row r="18" spans="1:28" x14ac:dyDescent="0.2">
      <c r="A18" s="10">
        <v>19</v>
      </c>
      <c r="B18" s="11" t="s">
        <v>56</v>
      </c>
      <c r="C18" s="11" t="s">
        <v>77</v>
      </c>
      <c r="D18" s="11" t="s">
        <v>186</v>
      </c>
      <c r="E18" s="11" t="s">
        <v>170</v>
      </c>
      <c r="F18" s="11" t="s">
        <v>171</v>
      </c>
      <c r="G18" s="35">
        <v>173093000</v>
      </c>
      <c r="H18" s="35">
        <v>154550000</v>
      </c>
      <c r="I18" s="35">
        <v>532000</v>
      </c>
      <c r="J18" s="35">
        <v>231588000</v>
      </c>
      <c r="K18" s="35">
        <v>74571000</v>
      </c>
      <c r="L18" s="35">
        <v>3119000</v>
      </c>
      <c r="M18" s="35">
        <v>637453000</v>
      </c>
      <c r="N18" s="35">
        <v>191559000</v>
      </c>
      <c r="O18" s="35">
        <v>186182000</v>
      </c>
      <c r="P18" s="35">
        <v>2056000</v>
      </c>
      <c r="Q18" s="35">
        <v>239159000</v>
      </c>
      <c r="R18" s="35">
        <v>52205000</v>
      </c>
      <c r="S18" s="35">
        <v>1165000</v>
      </c>
      <c r="T18" s="39">
        <v>672326000</v>
      </c>
      <c r="U18" s="35">
        <v>204160000</v>
      </c>
      <c r="V18" s="35">
        <v>191192000</v>
      </c>
      <c r="W18" s="39">
        <v>1031000</v>
      </c>
      <c r="X18" s="35">
        <v>248009000</v>
      </c>
      <c r="Y18" s="35">
        <v>54993000</v>
      </c>
      <c r="Z18" s="39">
        <v>-872000</v>
      </c>
      <c r="AA18" s="35">
        <v>698513000</v>
      </c>
    </row>
    <row r="19" spans="1:28" x14ac:dyDescent="0.2">
      <c r="A19" s="10">
        <v>21</v>
      </c>
      <c r="B19" s="11" t="s">
        <v>55</v>
      </c>
      <c r="C19" s="11" t="s">
        <v>73</v>
      </c>
      <c r="D19" s="11" t="s">
        <v>180</v>
      </c>
      <c r="E19" s="11" t="s">
        <v>181</v>
      </c>
      <c r="F19" s="11" t="s">
        <v>171</v>
      </c>
      <c r="G19" s="35">
        <v>42941000</v>
      </c>
      <c r="H19" s="35">
        <v>32351000</v>
      </c>
      <c r="I19" s="35">
        <v>523000</v>
      </c>
      <c r="J19" s="35">
        <v>32487000</v>
      </c>
      <c r="K19" s="35">
        <v>1146000</v>
      </c>
      <c r="L19" s="35">
        <v>0</v>
      </c>
      <c r="M19" s="35">
        <v>109448000</v>
      </c>
      <c r="N19" s="35">
        <v>27338000</v>
      </c>
      <c r="O19" s="35">
        <v>41329000</v>
      </c>
      <c r="P19" s="35">
        <v>3874000</v>
      </c>
      <c r="Q19" s="35">
        <v>17768000</v>
      </c>
      <c r="R19" s="35">
        <v>24212000</v>
      </c>
      <c r="S19" s="35">
        <v>11182000</v>
      </c>
      <c r="T19" s="39">
        <v>125703000</v>
      </c>
      <c r="U19" s="35">
        <v>0</v>
      </c>
      <c r="V19" s="35">
        <v>0</v>
      </c>
      <c r="W19" s="39">
        <v>0</v>
      </c>
      <c r="X19" s="35">
        <v>0</v>
      </c>
      <c r="Y19" s="35">
        <v>0</v>
      </c>
      <c r="Z19" s="39">
        <v>0</v>
      </c>
      <c r="AA19" s="35">
        <v>0</v>
      </c>
    </row>
    <row r="20" spans="1:28" x14ac:dyDescent="0.2">
      <c r="A20" s="10">
        <v>24</v>
      </c>
      <c r="B20" s="11" t="s">
        <v>45</v>
      </c>
      <c r="C20" s="11" t="s">
        <v>69</v>
      </c>
      <c r="D20" s="11" t="s">
        <v>190</v>
      </c>
      <c r="E20" s="11" t="s">
        <v>170</v>
      </c>
      <c r="F20" s="11" t="s">
        <v>171</v>
      </c>
      <c r="G20" s="35">
        <v>66025000</v>
      </c>
      <c r="H20" s="35">
        <v>22029000</v>
      </c>
      <c r="I20" s="35">
        <v>0</v>
      </c>
      <c r="J20" s="35">
        <v>33593000</v>
      </c>
      <c r="K20" s="35">
        <v>-6495000</v>
      </c>
      <c r="L20" s="35">
        <v>3889000</v>
      </c>
      <c r="M20" s="35">
        <v>119041000</v>
      </c>
      <c r="N20" s="35">
        <v>71520000</v>
      </c>
      <c r="O20" s="35">
        <v>24997000</v>
      </c>
      <c r="P20" s="35">
        <v>0</v>
      </c>
      <c r="Q20" s="35">
        <v>34297000</v>
      </c>
      <c r="R20" s="35">
        <v>-14382000</v>
      </c>
      <c r="S20" s="35">
        <v>3531000</v>
      </c>
      <c r="T20" s="39">
        <v>119963000</v>
      </c>
      <c r="U20" s="35">
        <v>74850000</v>
      </c>
      <c r="V20" s="35">
        <v>27503000</v>
      </c>
      <c r="W20" s="39">
        <v>79000</v>
      </c>
      <c r="X20" s="35">
        <v>34851000</v>
      </c>
      <c r="Y20" s="35">
        <v>-11131000</v>
      </c>
      <c r="Z20" s="39">
        <v>3688000</v>
      </c>
      <c r="AA20" s="35">
        <v>129840000</v>
      </c>
    </row>
    <row r="21" spans="1:28" x14ac:dyDescent="0.2">
      <c r="A21" s="10">
        <v>25</v>
      </c>
      <c r="B21" s="11" t="s">
        <v>2</v>
      </c>
      <c r="C21" s="11" t="s">
        <v>71</v>
      </c>
      <c r="D21" s="11" t="s">
        <v>178</v>
      </c>
      <c r="E21" s="11" t="s">
        <v>170</v>
      </c>
      <c r="F21" s="11" t="s">
        <v>171</v>
      </c>
      <c r="G21" s="35">
        <v>-12579000</v>
      </c>
      <c r="H21" s="35">
        <v>-10557000</v>
      </c>
      <c r="I21" s="35">
        <v>-57000</v>
      </c>
      <c r="J21" s="35">
        <v>-10570000</v>
      </c>
      <c r="K21" s="35">
        <v>80595000</v>
      </c>
      <c r="L21" s="35">
        <v>66039000</v>
      </c>
      <c r="M21" s="35">
        <v>112871000</v>
      </c>
      <c r="N21" s="35">
        <v>56766000</v>
      </c>
      <c r="O21" s="35">
        <v>23572000</v>
      </c>
      <c r="P21" s="35">
        <v>269000</v>
      </c>
      <c r="Q21" s="35">
        <v>24182000</v>
      </c>
      <c r="R21" s="35">
        <v>28472000</v>
      </c>
      <c r="S21" s="35">
        <v>8120000</v>
      </c>
      <c r="T21" s="39">
        <v>141381000</v>
      </c>
      <c r="U21" s="35">
        <v>50476000</v>
      </c>
      <c r="V21" s="35">
        <v>20370000</v>
      </c>
      <c r="W21" s="39">
        <v>247000</v>
      </c>
      <c r="X21" s="35">
        <v>18832000</v>
      </c>
      <c r="Y21" s="35">
        <v>32773000</v>
      </c>
      <c r="Z21" s="39">
        <v>2499000</v>
      </c>
      <c r="AA21" s="35">
        <v>125197000</v>
      </c>
    </row>
    <row r="22" spans="1:28" x14ac:dyDescent="0.2">
      <c r="A22" s="10">
        <v>27</v>
      </c>
      <c r="B22" s="11" t="s">
        <v>60</v>
      </c>
      <c r="C22" s="11" t="s">
        <v>73</v>
      </c>
      <c r="D22" s="11" t="s">
        <v>190</v>
      </c>
      <c r="E22" s="11" t="s">
        <v>170</v>
      </c>
      <c r="F22" s="11" t="s">
        <v>171</v>
      </c>
      <c r="G22" s="35">
        <v>89091000</v>
      </c>
      <c r="H22" s="35">
        <v>71608000</v>
      </c>
      <c r="I22" s="35">
        <v>88000</v>
      </c>
      <c r="J22" s="35">
        <v>54800000</v>
      </c>
      <c r="K22" s="35">
        <v>33869000</v>
      </c>
      <c r="L22" s="35">
        <v>809000</v>
      </c>
      <c r="M22" s="35">
        <v>250265000</v>
      </c>
      <c r="N22" s="35">
        <v>88384000</v>
      </c>
      <c r="O22" s="35">
        <v>156299000</v>
      </c>
      <c r="P22" s="35">
        <v>168000</v>
      </c>
      <c r="Q22" s="35">
        <v>52753000</v>
      </c>
      <c r="R22" s="35">
        <v>-48369000</v>
      </c>
      <c r="S22" s="35">
        <v>-4451000</v>
      </c>
      <c r="T22" s="39">
        <v>244784000</v>
      </c>
      <c r="U22" s="35">
        <v>86375000</v>
      </c>
      <c r="V22" s="35">
        <v>83673000</v>
      </c>
      <c r="W22" s="39">
        <v>34000</v>
      </c>
      <c r="X22" s="35">
        <v>57615000</v>
      </c>
      <c r="Y22" s="35">
        <v>35715000</v>
      </c>
      <c r="Z22" s="39">
        <v>1751000</v>
      </c>
      <c r="AA22" s="35">
        <v>265163000</v>
      </c>
    </row>
    <row r="23" spans="1:28" x14ac:dyDescent="0.2">
      <c r="A23" s="10">
        <v>28</v>
      </c>
      <c r="B23" s="11" t="s">
        <v>37</v>
      </c>
      <c r="C23" s="11" t="s">
        <v>67</v>
      </c>
      <c r="D23" s="11" t="s">
        <v>189</v>
      </c>
      <c r="E23" s="11" t="s">
        <v>170</v>
      </c>
      <c r="F23" s="11" t="s">
        <v>168</v>
      </c>
      <c r="G23" s="35">
        <v>106589000</v>
      </c>
      <c r="H23" s="35">
        <v>25583000</v>
      </c>
      <c r="I23" s="35">
        <v>0</v>
      </c>
      <c r="J23" s="35">
        <v>54713000</v>
      </c>
      <c r="K23" s="35">
        <v>3605000</v>
      </c>
      <c r="L23" s="35">
        <v>1712000</v>
      </c>
      <c r="M23" s="35">
        <v>192202000</v>
      </c>
      <c r="N23" s="35">
        <v>69419000</v>
      </c>
      <c r="O23" s="35">
        <v>19177000</v>
      </c>
      <c r="P23" s="35">
        <v>0</v>
      </c>
      <c r="Q23" s="35">
        <v>93841000</v>
      </c>
      <c r="R23" s="35">
        <v>2526000</v>
      </c>
      <c r="S23" s="35">
        <v>4368000</v>
      </c>
      <c r="T23" s="39">
        <v>189331000</v>
      </c>
      <c r="U23" s="35">
        <v>72887000</v>
      </c>
      <c r="V23" s="35">
        <v>19001000</v>
      </c>
      <c r="W23" s="39">
        <v>0</v>
      </c>
      <c r="X23" s="35">
        <v>95544000</v>
      </c>
      <c r="Y23" s="35">
        <v>2009000</v>
      </c>
      <c r="Z23" s="39">
        <v>4607000</v>
      </c>
      <c r="AA23" s="35">
        <v>194048000</v>
      </c>
    </row>
    <row r="24" spans="1:28" x14ac:dyDescent="0.2">
      <c r="A24" s="10">
        <v>29</v>
      </c>
      <c r="B24" s="11" t="s">
        <v>115</v>
      </c>
      <c r="C24" s="11" t="s">
        <v>74</v>
      </c>
      <c r="D24" s="11" t="s">
        <v>173</v>
      </c>
      <c r="E24" s="11" t="s">
        <v>167</v>
      </c>
      <c r="F24" s="11" t="s">
        <v>171</v>
      </c>
      <c r="G24" s="35">
        <v>228396000</v>
      </c>
      <c r="H24" s="35">
        <v>90499000</v>
      </c>
      <c r="I24" s="35">
        <v>3225000</v>
      </c>
      <c r="J24" s="35">
        <v>112353000</v>
      </c>
      <c r="K24" s="35">
        <v>-39232000</v>
      </c>
      <c r="L24" s="35">
        <v>2320000</v>
      </c>
      <c r="M24" s="35">
        <v>397561000</v>
      </c>
      <c r="N24" s="35">
        <v>240313000</v>
      </c>
      <c r="O24" s="35">
        <v>99675000</v>
      </c>
      <c r="P24" s="35">
        <v>4103000</v>
      </c>
      <c r="Q24" s="35">
        <v>116743000</v>
      </c>
      <c r="R24" s="35">
        <v>-53837000</v>
      </c>
      <c r="S24" s="35">
        <v>38245000</v>
      </c>
      <c r="T24" s="39">
        <v>445242000</v>
      </c>
      <c r="U24" s="35">
        <v>238220000</v>
      </c>
      <c r="V24" s="35">
        <v>122172000</v>
      </c>
      <c r="W24" s="39">
        <v>3949000</v>
      </c>
      <c r="X24" s="35">
        <v>126999000</v>
      </c>
      <c r="Y24" s="35">
        <v>-62301000</v>
      </c>
      <c r="Z24" s="39">
        <v>45341000</v>
      </c>
      <c r="AA24" s="35">
        <v>474380000</v>
      </c>
    </row>
    <row r="25" spans="1:28" x14ac:dyDescent="0.2">
      <c r="A25" s="10">
        <v>31</v>
      </c>
      <c r="B25" s="11" t="s">
        <v>13</v>
      </c>
      <c r="C25" s="11" t="s">
        <v>73</v>
      </c>
      <c r="D25" s="11" t="s">
        <v>172</v>
      </c>
      <c r="E25" s="11" t="s">
        <v>167</v>
      </c>
      <c r="F25" s="11" t="s">
        <v>171</v>
      </c>
      <c r="G25" s="35">
        <v>88878000</v>
      </c>
      <c r="H25" s="35">
        <v>11212000</v>
      </c>
      <c r="I25" s="35">
        <v>1291000</v>
      </c>
      <c r="J25" s="35">
        <v>82125000</v>
      </c>
      <c r="K25" s="35">
        <v>4071000</v>
      </c>
      <c r="L25" s="35">
        <v>4233000</v>
      </c>
      <c r="M25" s="35">
        <v>191810000</v>
      </c>
      <c r="N25" s="35">
        <v>92846000</v>
      </c>
      <c r="O25" s="35">
        <v>12848000</v>
      </c>
      <c r="P25" s="35">
        <v>1377000</v>
      </c>
      <c r="Q25" s="35">
        <v>88219000</v>
      </c>
      <c r="R25" s="35">
        <v>2070000</v>
      </c>
      <c r="S25" s="35">
        <v>-1210000</v>
      </c>
      <c r="T25" s="39">
        <v>196150000</v>
      </c>
      <c r="U25" s="35">
        <v>115642000</v>
      </c>
      <c r="V25" s="35">
        <v>14823000</v>
      </c>
      <c r="W25" s="39">
        <v>1091000</v>
      </c>
      <c r="X25" s="35">
        <v>77951000</v>
      </c>
      <c r="Y25" s="35">
        <v>506000</v>
      </c>
      <c r="Z25" s="39">
        <v>6081000</v>
      </c>
      <c r="AA25" s="35">
        <v>216094000</v>
      </c>
    </row>
    <row r="26" spans="1:28" x14ac:dyDescent="0.2">
      <c r="A26" s="10">
        <v>34</v>
      </c>
      <c r="B26" s="11" t="s">
        <v>43</v>
      </c>
      <c r="C26" s="11" t="s">
        <v>72</v>
      </c>
      <c r="D26" s="11" t="s">
        <v>183</v>
      </c>
      <c r="E26" s="11" t="s">
        <v>181</v>
      </c>
      <c r="F26" s="11" t="s">
        <v>171</v>
      </c>
      <c r="G26" s="35">
        <v>148318000</v>
      </c>
      <c r="H26" s="35">
        <v>15148000</v>
      </c>
      <c r="I26" s="35">
        <v>262000</v>
      </c>
      <c r="J26" s="35">
        <v>170611000</v>
      </c>
      <c r="K26" s="35">
        <v>-1377000</v>
      </c>
      <c r="L26" s="35">
        <v>211000</v>
      </c>
      <c r="M26" s="35">
        <v>333173000</v>
      </c>
      <c r="N26" s="35">
        <v>165715000</v>
      </c>
      <c r="O26" s="35">
        <v>19922000</v>
      </c>
      <c r="P26" s="35">
        <v>293000</v>
      </c>
      <c r="Q26" s="35">
        <v>174161000</v>
      </c>
      <c r="R26" s="35">
        <v>-14341000</v>
      </c>
      <c r="S26" s="35">
        <v>1071000</v>
      </c>
      <c r="T26" s="39">
        <v>346821000</v>
      </c>
      <c r="U26" s="35">
        <v>184688000</v>
      </c>
      <c r="V26" s="35">
        <v>20138000</v>
      </c>
      <c r="W26" s="39">
        <v>-28000</v>
      </c>
      <c r="X26" s="35">
        <v>194060000</v>
      </c>
      <c r="Y26" s="35">
        <v>-8899000</v>
      </c>
      <c r="Z26" s="39">
        <v>757000</v>
      </c>
      <c r="AA26" s="35">
        <v>390716000</v>
      </c>
    </row>
    <row r="27" spans="1:28" x14ac:dyDescent="0.2">
      <c r="A27" s="10">
        <v>37</v>
      </c>
      <c r="B27" s="11" t="s">
        <v>16</v>
      </c>
      <c r="C27" s="11" t="s">
        <v>72</v>
      </c>
      <c r="D27" s="11" t="s">
        <v>169</v>
      </c>
      <c r="E27" s="11" t="s">
        <v>170</v>
      </c>
      <c r="F27" s="11" t="s">
        <v>171</v>
      </c>
      <c r="G27" s="35">
        <v>52301000</v>
      </c>
      <c r="H27" s="35">
        <v>12193000</v>
      </c>
      <c r="I27" s="35">
        <v>1961000</v>
      </c>
      <c r="J27" s="35">
        <v>52784000</v>
      </c>
      <c r="K27" s="35">
        <v>9183000</v>
      </c>
      <c r="L27" s="35">
        <v>10436000</v>
      </c>
      <c r="M27" s="35">
        <v>138858000</v>
      </c>
      <c r="N27" s="35">
        <v>55954000</v>
      </c>
      <c r="O27" s="35">
        <v>10793000</v>
      </c>
      <c r="P27" s="35">
        <v>1815000</v>
      </c>
      <c r="Q27" s="35">
        <v>52774000</v>
      </c>
      <c r="R27" s="35">
        <v>9339000</v>
      </c>
      <c r="S27" s="35">
        <v>10890000</v>
      </c>
      <c r="T27" s="39">
        <v>141565000</v>
      </c>
      <c r="U27" s="35">
        <v>60273000</v>
      </c>
      <c r="V27" s="35">
        <v>10798000</v>
      </c>
      <c r="W27" s="39">
        <v>1683000</v>
      </c>
      <c r="X27" s="35">
        <v>57299000</v>
      </c>
      <c r="Y27" s="35">
        <v>7084000</v>
      </c>
      <c r="Z27" s="39">
        <v>12099000</v>
      </c>
      <c r="AA27" s="35">
        <v>149236000</v>
      </c>
    </row>
    <row r="28" spans="1:28" x14ac:dyDescent="0.2">
      <c r="A28" s="10">
        <v>38</v>
      </c>
      <c r="B28" s="11" t="s">
        <v>46</v>
      </c>
      <c r="C28" s="11" t="s">
        <v>69</v>
      </c>
      <c r="D28" s="11" t="s">
        <v>182</v>
      </c>
      <c r="E28" s="11" t="s">
        <v>181</v>
      </c>
      <c r="F28" s="11" t="s">
        <v>171</v>
      </c>
      <c r="G28" s="35">
        <v>656429000</v>
      </c>
      <c r="H28" s="35">
        <v>291950000</v>
      </c>
      <c r="I28" s="35">
        <v>2321000</v>
      </c>
      <c r="J28" s="35">
        <v>475644000</v>
      </c>
      <c r="K28" s="35">
        <v>-144855000</v>
      </c>
      <c r="L28" s="35">
        <v>27219000</v>
      </c>
      <c r="M28" s="35">
        <v>1308708000</v>
      </c>
      <c r="N28" s="35">
        <v>663929000</v>
      </c>
      <c r="O28" s="35">
        <v>318431000</v>
      </c>
      <c r="P28" s="35">
        <v>953000</v>
      </c>
      <c r="Q28" s="35">
        <v>466752000</v>
      </c>
      <c r="R28" s="35">
        <v>-91890000</v>
      </c>
      <c r="S28" s="35">
        <v>52550000</v>
      </c>
      <c r="T28" s="39">
        <v>1410725000</v>
      </c>
      <c r="U28" s="35">
        <v>726304000</v>
      </c>
      <c r="V28" s="35">
        <v>380460000</v>
      </c>
      <c r="W28" s="39">
        <v>41000</v>
      </c>
      <c r="X28" s="35">
        <v>481009000</v>
      </c>
      <c r="Y28" s="35">
        <v>-133730000</v>
      </c>
      <c r="Z28" s="39">
        <v>59897000</v>
      </c>
      <c r="AA28" s="35">
        <v>1513981000</v>
      </c>
    </row>
    <row r="29" spans="1:28" x14ac:dyDescent="0.2">
      <c r="A29" s="10">
        <v>40</v>
      </c>
      <c r="B29" s="11" t="s">
        <v>20</v>
      </c>
      <c r="C29" s="11" t="s">
        <v>71</v>
      </c>
      <c r="D29" s="11" t="s">
        <v>178</v>
      </c>
      <c r="E29" s="11" t="s">
        <v>170</v>
      </c>
      <c r="F29" s="11" t="s">
        <v>171</v>
      </c>
      <c r="G29" s="35">
        <v>-14075000</v>
      </c>
      <c r="H29" s="35">
        <v>-27170000</v>
      </c>
      <c r="I29" s="35">
        <v>6115000</v>
      </c>
      <c r="J29" s="35">
        <v>-25837000</v>
      </c>
      <c r="K29" s="35">
        <v>146809000</v>
      </c>
      <c r="L29" s="35">
        <v>22314000</v>
      </c>
      <c r="M29" s="35">
        <v>108156000</v>
      </c>
      <c r="N29" s="35">
        <v>12882000</v>
      </c>
      <c r="O29" s="35">
        <v>20060000</v>
      </c>
      <c r="P29" s="35">
        <v>68000</v>
      </c>
      <c r="Q29" s="35">
        <v>12778000</v>
      </c>
      <c r="R29" s="35">
        <v>43649000</v>
      </c>
      <c r="S29" s="35">
        <v>991000</v>
      </c>
      <c r="T29" s="39">
        <v>90428000</v>
      </c>
      <c r="U29" s="35">
        <v>13411000</v>
      </c>
      <c r="V29" s="35">
        <v>22883000</v>
      </c>
      <c r="W29" s="39">
        <v>81000</v>
      </c>
      <c r="X29" s="35">
        <v>83343000</v>
      </c>
      <c r="Y29" s="35">
        <v>-44827000</v>
      </c>
      <c r="Z29" s="39">
        <v>665000</v>
      </c>
      <c r="AA29" s="35">
        <v>75556000</v>
      </c>
    </row>
    <row r="30" spans="1:28" x14ac:dyDescent="0.2">
      <c r="A30" s="10">
        <v>41</v>
      </c>
      <c r="B30" s="11" t="s">
        <v>11</v>
      </c>
      <c r="C30" s="11" t="s">
        <v>69</v>
      </c>
      <c r="D30" s="11" t="s">
        <v>185</v>
      </c>
      <c r="E30" s="11" t="s">
        <v>181</v>
      </c>
      <c r="F30" s="11" t="s">
        <v>171</v>
      </c>
      <c r="G30" s="35">
        <v>300740000</v>
      </c>
      <c r="H30" s="35">
        <v>58780000</v>
      </c>
      <c r="I30" s="35">
        <v>682000</v>
      </c>
      <c r="J30" s="35">
        <v>98261000</v>
      </c>
      <c r="K30" s="35">
        <v>-18648000</v>
      </c>
      <c r="L30" s="35">
        <v>1729000</v>
      </c>
      <c r="M30" s="35">
        <v>441544000</v>
      </c>
      <c r="N30" s="35">
        <v>320556000</v>
      </c>
      <c r="O30" s="35">
        <v>59809000</v>
      </c>
      <c r="P30" s="35">
        <v>972000</v>
      </c>
      <c r="Q30" s="35">
        <v>97110000</v>
      </c>
      <c r="R30" s="35">
        <v>-24511000</v>
      </c>
      <c r="S30" s="35">
        <v>1546000</v>
      </c>
      <c r="T30" s="39">
        <v>455482000</v>
      </c>
      <c r="U30" s="35">
        <v>296159000</v>
      </c>
      <c r="V30" s="35">
        <v>89315000</v>
      </c>
      <c r="W30" s="39">
        <v>576000</v>
      </c>
      <c r="X30" s="35">
        <v>120838000</v>
      </c>
      <c r="Y30" s="35">
        <v>-20508000</v>
      </c>
      <c r="Z30" s="39">
        <v>8121000</v>
      </c>
      <c r="AA30" s="35">
        <v>494501000</v>
      </c>
    </row>
    <row r="31" spans="1:28" x14ac:dyDescent="0.2">
      <c r="A31" s="10">
        <v>44</v>
      </c>
      <c r="B31" s="11" t="s">
        <v>6</v>
      </c>
      <c r="C31" s="11" t="s">
        <v>70</v>
      </c>
      <c r="D31" s="11" t="s">
        <v>180</v>
      </c>
      <c r="E31" s="11" t="s">
        <v>181</v>
      </c>
      <c r="F31" s="11" t="s">
        <v>171</v>
      </c>
      <c r="G31" s="35">
        <v>164566000</v>
      </c>
      <c r="H31" s="35">
        <v>82194000</v>
      </c>
      <c r="I31" s="35">
        <v>8440000</v>
      </c>
      <c r="J31" s="35">
        <v>336117000</v>
      </c>
      <c r="K31" s="35">
        <v>11584000</v>
      </c>
      <c r="L31" s="35">
        <v>-19018000</v>
      </c>
      <c r="M31" s="35">
        <v>583883000</v>
      </c>
      <c r="N31" s="35">
        <v>226861000</v>
      </c>
      <c r="O31" s="35">
        <v>90608000</v>
      </c>
      <c r="P31" s="35">
        <v>10380000</v>
      </c>
      <c r="Q31" s="35">
        <v>354337000</v>
      </c>
      <c r="R31" s="35">
        <v>66368000</v>
      </c>
      <c r="S31" s="35">
        <v>-50561000</v>
      </c>
      <c r="T31" s="39">
        <v>697993000</v>
      </c>
      <c r="U31" s="35">
        <v>245281000</v>
      </c>
      <c r="V31" s="35">
        <v>101041000</v>
      </c>
      <c r="W31" s="39">
        <v>9810000</v>
      </c>
      <c r="X31" s="35">
        <v>386090000</v>
      </c>
      <c r="Y31" s="35">
        <v>61666000</v>
      </c>
      <c r="Z31" s="39">
        <v>-51506000</v>
      </c>
      <c r="AA31" s="35">
        <v>752382000</v>
      </c>
    </row>
    <row r="32" spans="1:28" x14ac:dyDescent="0.2">
      <c r="A32" s="10">
        <v>45</v>
      </c>
      <c r="B32" s="11" t="s">
        <v>14</v>
      </c>
      <c r="C32" s="11" t="s">
        <v>73</v>
      </c>
      <c r="D32" s="11" t="s">
        <v>169</v>
      </c>
      <c r="E32" s="11" t="s">
        <v>170</v>
      </c>
      <c r="F32" s="11" t="s">
        <v>171</v>
      </c>
      <c r="G32" s="35">
        <v>372857000</v>
      </c>
      <c r="H32" s="35">
        <v>131758000</v>
      </c>
      <c r="I32" s="35">
        <v>0</v>
      </c>
      <c r="J32" s="35">
        <v>335940000</v>
      </c>
      <c r="K32" s="35">
        <v>18038000</v>
      </c>
      <c r="L32" s="35">
        <v>11033000</v>
      </c>
      <c r="M32" s="35">
        <v>869626000</v>
      </c>
      <c r="N32" s="35">
        <v>438381000</v>
      </c>
      <c r="O32" s="35">
        <v>167674000</v>
      </c>
      <c r="P32" s="35">
        <v>0</v>
      </c>
      <c r="Q32" s="35">
        <v>314245000</v>
      </c>
      <c r="R32" s="35">
        <v>23762000</v>
      </c>
      <c r="S32" s="35">
        <v>17087000</v>
      </c>
      <c r="T32" s="39">
        <v>961149000</v>
      </c>
      <c r="U32" s="35">
        <v>466464000</v>
      </c>
      <c r="V32" s="35">
        <v>143497000</v>
      </c>
      <c r="W32" s="39">
        <v>0</v>
      </c>
      <c r="X32" s="35">
        <v>393100000</v>
      </c>
      <c r="Y32" s="35">
        <v>33216000</v>
      </c>
      <c r="Z32" s="39">
        <v>20793000</v>
      </c>
      <c r="AA32" s="35">
        <v>1057070000</v>
      </c>
    </row>
    <row r="33" spans="1:27" x14ac:dyDescent="0.2">
      <c r="A33" s="10">
        <v>47</v>
      </c>
      <c r="B33" s="11" t="s">
        <v>53</v>
      </c>
      <c r="C33" s="11" t="s">
        <v>73</v>
      </c>
      <c r="D33" s="11" t="s">
        <v>166</v>
      </c>
      <c r="E33" s="11" t="s">
        <v>167</v>
      </c>
      <c r="F33" s="11" t="s">
        <v>168</v>
      </c>
      <c r="G33" s="35">
        <v>65026000</v>
      </c>
      <c r="H33" s="35">
        <v>25948000</v>
      </c>
      <c r="I33" s="35">
        <v>849000</v>
      </c>
      <c r="J33" s="35">
        <v>111315000</v>
      </c>
      <c r="K33" s="35">
        <v>12984000</v>
      </c>
      <c r="L33" s="35">
        <v>7409000</v>
      </c>
      <c r="M33" s="35">
        <v>223531000</v>
      </c>
      <c r="N33" s="35">
        <v>75910000</v>
      </c>
      <c r="O33" s="35">
        <v>35990000</v>
      </c>
      <c r="P33" s="35">
        <v>1015000</v>
      </c>
      <c r="Q33" s="35">
        <v>122621000</v>
      </c>
      <c r="R33" s="35">
        <v>10191000</v>
      </c>
      <c r="S33" s="35">
        <v>2519000</v>
      </c>
      <c r="T33" s="39">
        <v>248246000</v>
      </c>
      <c r="U33" s="35">
        <v>71771000</v>
      </c>
      <c r="V33" s="35">
        <v>37950000</v>
      </c>
      <c r="W33" s="39">
        <v>694000</v>
      </c>
      <c r="X33" s="35">
        <v>120856000</v>
      </c>
      <c r="Y33" s="35">
        <v>10590000</v>
      </c>
      <c r="Z33" s="39">
        <v>5667000</v>
      </c>
      <c r="AA33" s="35">
        <v>247528000</v>
      </c>
    </row>
    <row r="34" spans="1:27" x14ac:dyDescent="0.2">
      <c r="A34" s="10">
        <v>48</v>
      </c>
      <c r="B34" s="11" t="s">
        <v>47</v>
      </c>
      <c r="C34" s="11" t="s">
        <v>69</v>
      </c>
      <c r="D34" s="11" t="s">
        <v>188</v>
      </c>
      <c r="E34" s="11" t="s">
        <v>181</v>
      </c>
      <c r="F34" s="11" t="s">
        <v>171</v>
      </c>
      <c r="G34" s="35">
        <v>186563000</v>
      </c>
      <c r="H34" s="35">
        <v>49575000</v>
      </c>
      <c r="I34" s="35">
        <v>167000</v>
      </c>
      <c r="J34" s="35">
        <v>122360000</v>
      </c>
      <c r="K34" s="35">
        <v>-37709000</v>
      </c>
      <c r="L34" s="35">
        <v>10480000</v>
      </c>
      <c r="M34" s="35">
        <v>331436000</v>
      </c>
      <c r="N34" s="35">
        <v>184053000</v>
      </c>
      <c r="O34" s="35">
        <v>47717000</v>
      </c>
      <c r="P34" s="35">
        <v>1000</v>
      </c>
      <c r="Q34" s="35">
        <v>108657000</v>
      </c>
      <c r="R34" s="35">
        <v>767000</v>
      </c>
      <c r="S34" s="35">
        <v>9639000</v>
      </c>
      <c r="T34" s="39">
        <v>350834000</v>
      </c>
      <c r="U34" s="35">
        <v>224177000</v>
      </c>
      <c r="V34" s="35">
        <v>56841000</v>
      </c>
      <c r="W34" s="39">
        <v>215000</v>
      </c>
      <c r="X34" s="35">
        <v>122766000</v>
      </c>
      <c r="Y34" s="35">
        <v>-41300000</v>
      </c>
      <c r="Z34" s="39">
        <v>12029000</v>
      </c>
      <c r="AA34" s="35">
        <v>374728000</v>
      </c>
    </row>
    <row r="35" spans="1:27" x14ac:dyDescent="0.2">
      <c r="A35" s="10">
        <v>50</v>
      </c>
      <c r="B35" s="11" t="s">
        <v>48</v>
      </c>
      <c r="C35" s="11" t="s">
        <v>76</v>
      </c>
      <c r="D35" s="11" t="s">
        <v>184</v>
      </c>
      <c r="E35" s="11" t="s">
        <v>170</v>
      </c>
      <c r="F35" s="11" t="s">
        <v>171</v>
      </c>
      <c r="G35" s="35">
        <v>52766000</v>
      </c>
      <c r="H35" s="35">
        <v>16622000</v>
      </c>
      <c r="I35" s="35">
        <v>728000</v>
      </c>
      <c r="J35" s="35">
        <v>150427000</v>
      </c>
      <c r="K35" s="35">
        <v>-4618000</v>
      </c>
      <c r="L35" s="35">
        <v>1044000</v>
      </c>
      <c r="M35" s="35">
        <v>216969000</v>
      </c>
      <c r="N35" s="35">
        <v>72266000</v>
      </c>
      <c r="O35" s="35">
        <v>50111000</v>
      </c>
      <c r="P35" s="35">
        <v>338000</v>
      </c>
      <c r="Q35" s="35">
        <v>59442000</v>
      </c>
      <c r="R35" s="35">
        <v>10104000</v>
      </c>
      <c r="S35" s="35">
        <v>461000</v>
      </c>
      <c r="T35" s="39">
        <v>192722000</v>
      </c>
      <c r="U35" s="35">
        <v>99012000</v>
      </c>
      <c r="V35" s="35">
        <v>31273000</v>
      </c>
      <c r="W35" s="39">
        <v>132000</v>
      </c>
      <c r="X35" s="35">
        <v>74333000</v>
      </c>
      <c r="Y35" s="35">
        <v>5540000</v>
      </c>
      <c r="Z35" s="39">
        <v>248000</v>
      </c>
      <c r="AA35" s="35">
        <v>210538000</v>
      </c>
    </row>
    <row r="36" spans="1:27" x14ac:dyDescent="0.2">
      <c r="A36" s="10">
        <v>51</v>
      </c>
      <c r="B36" s="11" t="s">
        <v>39</v>
      </c>
      <c r="C36" s="11" t="s">
        <v>67</v>
      </c>
      <c r="D36" s="11" t="s">
        <v>190</v>
      </c>
      <c r="E36" s="11" t="s">
        <v>170</v>
      </c>
      <c r="F36" s="11" t="s">
        <v>171</v>
      </c>
      <c r="G36" s="35">
        <v>274040000</v>
      </c>
      <c r="H36" s="35">
        <v>102683000</v>
      </c>
      <c r="I36" s="35">
        <v>0</v>
      </c>
      <c r="J36" s="35">
        <v>340786000</v>
      </c>
      <c r="K36" s="35">
        <v>80831000</v>
      </c>
      <c r="L36" s="35">
        <v>53151000</v>
      </c>
      <c r="M36" s="35">
        <v>851491000</v>
      </c>
      <c r="N36" s="35">
        <v>269614000</v>
      </c>
      <c r="O36" s="35">
        <v>74888000</v>
      </c>
      <c r="P36" s="35">
        <v>0</v>
      </c>
      <c r="Q36" s="35">
        <v>500496000</v>
      </c>
      <c r="R36" s="35">
        <v>23144000</v>
      </c>
      <c r="S36" s="35">
        <v>12012000</v>
      </c>
      <c r="T36" s="39">
        <v>880154000</v>
      </c>
      <c r="U36" s="35">
        <v>302027000</v>
      </c>
      <c r="V36" s="35">
        <v>78600000</v>
      </c>
      <c r="W36" s="39">
        <v>0</v>
      </c>
      <c r="X36" s="35">
        <v>543830000</v>
      </c>
      <c r="Y36" s="35">
        <v>13161000</v>
      </c>
      <c r="Z36" s="39">
        <v>13145000</v>
      </c>
      <c r="AA36" s="35">
        <v>950763000</v>
      </c>
    </row>
    <row r="37" spans="1:27" x14ac:dyDescent="0.2">
      <c r="A37" s="10">
        <v>52</v>
      </c>
      <c r="B37" s="11" t="s">
        <v>38</v>
      </c>
      <c r="C37" s="11" t="s">
        <v>72</v>
      </c>
      <c r="D37" s="11" t="s">
        <v>185</v>
      </c>
      <c r="E37" s="11" t="s">
        <v>181</v>
      </c>
      <c r="F37" s="11" t="s">
        <v>171</v>
      </c>
      <c r="G37" s="35">
        <v>219124000</v>
      </c>
      <c r="H37" s="35">
        <v>23787000</v>
      </c>
      <c r="I37" s="35">
        <v>3977000</v>
      </c>
      <c r="J37" s="35">
        <v>185466000</v>
      </c>
      <c r="K37" s="35">
        <v>1405000</v>
      </c>
      <c r="L37" s="35">
        <v>8364000</v>
      </c>
      <c r="M37" s="35">
        <v>442123000</v>
      </c>
      <c r="N37" s="35">
        <v>210487000</v>
      </c>
      <c r="O37" s="35">
        <v>28214000</v>
      </c>
      <c r="P37" s="35">
        <v>198000</v>
      </c>
      <c r="Q37" s="35">
        <v>160197000</v>
      </c>
      <c r="R37" s="35">
        <v>-27849000</v>
      </c>
      <c r="S37" s="35">
        <v>-4384000</v>
      </c>
      <c r="T37" s="39">
        <v>366863000</v>
      </c>
      <c r="U37" s="35">
        <v>218188000</v>
      </c>
      <c r="V37" s="35">
        <v>26685000</v>
      </c>
      <c r="W37" s="39">
        <v>169000</v>
      </c>
      <c r="X37" s="35">
        <v>173621000</v>
      </c>
      <c r="Y37" s="35">
        <v>1814000</v>
      </c>
      <c r="Z37" s="39">
        <v>1214000</v>
      </c>
      <c r="AA37" s="35">
        <v>421691000</v>
      </c>
    </row>
    <row r="38" spans="1:27" x14ac:dyDescent="0.2">
      <c r="A38" s="10">
        <v>54</v>
      </c>
      <c r="B38" s="11" t="s">
        <v>17</v>
      </c>
      <c r="C38" s="11" t="s">
        <v>72</v>
      </c>
      <c r="D38" s="11" t="s">
        <v>176</v>
      </c>
      <c r="E38" s="11" t="s">
        <v>170</v>
      </c>
      <c r="F38" s="11" t="s">
        <v>171</v>
      </c>
      <c r="G38" s="35">
        <v>123409000</v>
      </c>
      <c r="H38" s="35">
        <v>43188000</v>
      </c>
      <c r="I38" s="35">
        <v>1761000</v>
      </c>
      <c r="J38" s="35">
        <v>74709000</v>
      </c>
      <c r="K38" s="35">
        <v>26225000</v>
      </c>
      <c r="L38" s="35">
        <v>17487000</v>
      </c>
      <c r="M38" s="35">
        <v>286779000</v>
      </c>
      <c r="N38" s="35">
        <v>131856000</v>
      </c>
      <c r="O38" s="35">
        <v>48869000</v>
      </c>
      <c r="P38" s="35">
        <v>2658000</v>
      </c>
      <c r="Q38" s="35">
        <v>85830000</v>
      </c>
      <c r="R38" s="35">
        <v>26688000</v>
      </c>
      <c r="S38" s="35">
        <v>18059000</v>
      </c>
      <c r="T38" s="39">
        <v>313960000</v>
      </c>
      <c r="U38" s="35">
        <v>158767000</v>
      </c>
      <c r="V38" s="35">
        <v>52775000</v>
      </c>
      <c r="W38" s="39">
        <v>1818000</v>
      </c>
      <c r="X38" s="35">
        <v>98662000</v>
      </c>
      <c r="Y38" s="35">
        <v>14804000</v>
      </c>
      <c r="Z38" s="39">
        <v>16071000</v>
      </c>
      <c r="AA38" s="35">
        <v>342897000</v>
      </c>
    </row>
    <row r="39" spans="1:27" x14ac:dyDescent="0.2">
      <c r="A39" s="10">
        <v>57</v>
      </c>
      <c r="B39" s="11" t="s">
        <v>66</v>
      </c>
      <c r="C39" s="11" t="s">
        <v>74</v>
      </c>
      <c r="D39" s="11" t="s">
        <v>172</v>
      </c>
      <c r="E39" s="11" t="s">
        <v>167</v>
      </c>
      <c r="F39" s="11" t="s">
        <v>171</v>
      </c>
      <c r="G39" s="35">
        <v>174251000</v>
      </c>
      <c r="H39" s="35">
        <v>68883000</v>
      </c>
      <c r="I39" s="35">
        <v>13326000</v>
      </c>
      <c r="J39" s="35">
        <v>122302000</v>
      </c>
      <c r="K39" s="35">
        <v>-30693000</v>
      </c>
      <c r="L39" s="35">
        <v>1755000</v>
      </c>
      <c r="M39" s="35">
        <v>349824000</v>
      </c>
      <c r="N39" s="35">
        <v>176280000</v>
      </c>
      <c r="O39" s="35">
        <v>68495000</v>
      </c>
      <c r="P39" s="35">
        <v>12026000</v>
      </c>
      <c r="Q39" s="35">
        <v>113845000</v>
      </c>
      <c r="R39" s="35">
        <v>-34193000</v>
      </c>
      <c r="S39" s="35">
        <v>35343000</v>
      </c>
      <c r="T39" s="39">
        <v>371796000</v>
      </c>
      <c r="U39" s="35">
        <v>175445000</v>
      </c>
      <c r="V39" s="35">
        <v>92239000</v>
      </c>
      <c r="W39" s="39">
        <v>12625000</v>
      </c>
      <c r="X39" s="35">
        <v>123800000</v>
      </c>
      <c r="Y39" s="35">
        <v>-40609000</v>
      </c>
      <c r="Z39" s="39">
        <v>44399000</v>
      </c>
      <c r="AA39" s="35">
        <v>407899000</v>
      </c>
    </row>
    <row r="40" spans="1:27" x14ac:dyDescent="0.2">
      <c r="A40" s="10">
        <v>58</v>
      </c>
      <c r="B40" s="11" t="s">
        <v>35</v>
      </c>
      <c r="C40" s="11" t="s">
        <v>73</v>
      </c>
      <c r="D40" s="11" t="s">
        <v>169</v>
      </c>
      <c r="E40" s="11" t="s">
        <v>170</v>
      </c>
      <c r="F40" s="11" t="s">
        <v>171</v>
      </c>
      <c r="G40" s="35">
        <v>37993000</v>
      </c>
      <c r="H40" s="35">
        <v>29571000</v>
      </c>
      <c r="I40" s="35">
        <v>0</v>
      </c>
      <c r="J40" s="35">
        <v>43823000</v>
      </c>
      <c r="K40" s="35">
        <v>46379000</v>
      </c>
      <c r="L40" s="35">
        <v>-24358000</v>
      </c>
      <c r="M40" s="35">
        <v>133408000</v>
      </c>
      <c r="N40" s="35">
        <v>45983000</v>
      </c>
      <c r="O40" s="35">
        <v>15488000</v>
      </c>
      <c r="P40" s="35">
        <v>0</v>
      </c>
      <c r="Q40" s="35">
        <v>11785000</v>
      </c>
      <c r="R40" s="35">
        <v>66719000</v>
      </c>
      <c r="S40" s="35">
        <v>-75525000</v>
      </c>
      <c r="T40" s="39">
        <v>64450000</v>
      </c>
      <c r="U40" s="35">
        <v>47251000</v>
      </c>
      <c r="V40" s="35">
        <v>23505000</v>
      </c>
      <c r="W40" s="39">
        <v>0</v>
      </c>
      <c r="X40" s="35">
        <v>4943000</v>
      </c>
      <c r="Y40" s="35">
        <v>6252000</v>
      </c>
      <c r="Z40" s="39">
        <v>2634000</v>
      </c>
      <c r="AA40" s="35">
        <v>84585000</v>
      </c>
    </row>
    <row r="41" spans="1:27" x14ac:dyDescent="0.2">
      <c r="A41" s="10">
        <v>60</v>
      </c>
      <c r="B41" s="11" t="s">
        <v>58</v>
      </c>
      <c r="C41" s="11" t="s">
        <v>75</v>
      </c>
      <c r="D41" s="11" t="s">
        <v>191</v>
      </c>
      <c r="E41" s="11" t="s">
        <v>170</v>
      </c>
      <c r="F41" s="11" t="s">
        <v>168</v>
      </c>
      <c r="G41" s="35">
        <v>52607000</v>
      </c>
      <c r="H41" s="35">
        <v>11444000</v>
      </c>
      <c r="I41" s="35">
        <v>145000</v>
      </c>
      <c r="J41" s="35">
        <v>72474000</v>
      </c>
      <c r="K41" s="35">
        <v>-3613000</v>
      </c>
      <c r="L41" s="35">
        <v>8778000</v>
      </c>
      <c r="M41" s="35">
        <v>141835000</v>
      </c>
      <c r="N41" s="35">
        <v>71355000</v>
      </c>
      <c r="O41" s="35">
        <v>15591000</v>
      </c>
      <c r="P41" s="35">
        <v>205000</v>
      </c>
      <c r="Q41" s="35">
        <v>87024000</v>
      </c>
      <c r="R41" s="35">
        <v>-17587000</v>
      </c>
      <c r="S41" s="35">
        <v>12300000</v>
      </c>
      <c r="T41" s="39">
        <v>168888000</v>
      </c>
      <c r="U41" s="35">
        <v>74140000</v>
      </c>
      <c r="V41" s="35">
        <v>22920000</v>
      </c>
      <c r="W41" s="39">
        <v>428000</v>
      </c>
      <c r="X41" s="35">
        <v>102744000</v>
      </c>
      <c r="Y41" s="35">
        <v>-13404000</v>
      </c>
      <c r="Z41" s="39">
        <v>13947000</v>
      </c>
      <c r="AA41" s="35">
        <v>200775000</v>
      </c>
    </row>
    <row r="42" spans="1:27" x14ac:dyDescent="0.2">
      <c r="A42" s="10">
        <v>61</v>
      </c>
      <c r="B42" s="11" t="s">
        <v>116</v>
      </c>
      <c r="C42" s="11" t="s">
        <v>74</v>
      </c>
      <c r="D42" s="11" t="s">
        <v>172</v>
      </c>
      <c r="E42" s="11" t="s">
        <v>167</v>
      </c>
      <c r="F42" s="11" t="s">
        <v>171</v>
      </c>
      <c r="G42" s="35">
        <v>41488000</v>
      </c>
      <c r="H42" s="35">
        <v>28881000</v>
      </c>
      <c r="I42" s="35">
        <v>3417000</v>
      </c>
      <c r="J42" s="35">
        <v>31854000</v>
      </c>
      <c r="K42" s="35">
        <v>1674000</v>
      </c>
      <c r="L42" s="35">
        <v>1309000</v>
      </c>
      <c r="M42" s="35">
        <v>108623000</v>
      </c>
      <c r="N42" s="35">
        <v>53610000</v>
      </c>
      <c r="O42" s="35">
        <v>32587000</v>
      </c>
      <c r="P42" s="35">
        <v>3189000</v>
      </c>
      <c r="Q42" s="35">
        <v>32537000</v>
      </c>
      <c r="R42" s="35">
        <v>-17840000</v>
      </c>
      <c r="S42" s="35">
        <v>9544000</v>
      </c>
      <c r="T42" s="39">
        <v>113627000</v>
      </c>
      <c r="U42" s="35">
        <v>52021000</v>
      </c>
      <c r="V42" s="35">
        <v>40054000</v>
      </c>
      <c r="W42" s="39">
        <v>2554000</v>
      </c>
      <c r="X42" s="35">
        <v>37980000</v>
      </c>
      <c r="Y42" s="35">
        <v>-22843000</v>
      </c>
      <c r="Z42" s="39">
        <v>11011000</v>
      </c>
      <c r="AA42" s="35">
        <v>120777000</v>
      </c>
    </row>
    <row r="43" spans="1:27" x14ac:dyDescent="0.2">
      <c r="A43" s="10">
        <v>69</v>
      </c>
      <c r="B43" s="11" t="s">
        <v>24</v>
      </c>
      <c r="C43" s="11" t="s">
        <v>80</v>
      </c>
      <c r="D43" s="11" t="s">
        <v>187</v>
      </c>
      <c r="E43" s="11" t="s">
        <v>167</v>
      </c>
      <c r="F43" s="11" t="s">
        <v>168</v>
      </c>
      <c r="G43" s="35">
        <v>24237000</v>
      </c>
      <c r="H43" s="35">
        <v>9933000</v>
      </c>
      <c r="I43" s="35">
        <v>639000</v>
      </c>
      <c r="J43" s="35">
        <v>41054000</v>
      </c>
      <c r="K43" s="35">
        <v>-2985000</v>
      </c>
      <c r="L43" s="35">
        <v>-6760000</v>
      </c>
      <c r="M43" s="35">
        <v>66118000</v>
      </c>
      <c r="N43" s="35">
        <v>23920000</v>
      </c>
      <c r="O43" s="35">
        <v>10737000</v>
      </c>
      <c r="P43" s="35">
        <v>633000</v>
      </c>
      <c r="Q43" s="35">
        <v>35631000</v>
      </c>
      <c r="R43" s="35">
        <v>-1894000</v>
      </c>
      <c r="S43" s="35">
        <v>-5796000</v>
      </c>
      <c r="T43" s="39">
        <v>63231000</v>
      </c>
      <c r="U43" s="35">
        <v>25107000</v>
      </c>
      <c r="V43" s="35">
        <v>10418000</v>
      </c>
      <c r="W43" s="39">
        <v>696000</v>
      </c>
      <c r="X43" s="35">
        <v>38525000</v>
      </c>
      <c r="Y43" s="35">
        <v>-6212000</v>
      </c>
      <c r="Z43" s="39">
        <v>-6395000</v>
      </c>
      <c r="AA43" s="35">
        <v>62139000</v>
      </c>
    </row>
    <row r="44" spans="1:27" x14ac:dyDescent="0.2">
      <c r="A44" s="10">
        <v>70</v>
      </c>
      <c r="B44" s="11" t="s">
        <v>51</v>
      </c>
      <c r="C44" s="11" t="s">
        <v>73</v>
      </c>
      <c r="D44" s="11" t="s">
        <v>182</v>
      </c>
      <c r="E44" s="11" t="s">
        <v>181</v>
      </c>
      <c r="F44" s="11" t="s">
        <v>171</v>
      </c>
      <c r="G44" s="35">
        <v>97163000</v>
      </c>
      <c r="H44" s="35">
        <v>96918000</v>
      </c>
      <c r="I44" s="35">
        <v>5145000</v>
      </c>
      <c r="J44" s="35">
        <v>295393000</v>
      </c>
      <c r="K44" s="35">
        <v>42365000</v>
      </c>
      <c r="L44" s="35">
        <v>-44938000</v>
      </c>
      <c r="M44" s="35">
        <v>492046000</v>
      </c>
      <c r="N44" s="35">
        <v>104183000</v>
      </c>
      <c r="O44" s="35">
        <v>119785000</v>
      </c>
      <c r="P44" s="35">
        <v>6771000</v>
      </c>
      <c r="Q44" s="35">
        <v>305397000</v>
      </c>
      <c r="R44" s="35">
        <v>10087000</v>
      </c>
      <c r="S44" s="35">
        <v>-3217000</v>
      </c>
      <c r="T44" s="39">
        <v>543006000</v>
      </c>
      <c r="U44" s="35">
        <v>77822000</v>
      </c>
      <c r="V44" s="35">
        <v>116810000</v>
      </c>
      <c r="W44" s="39">
        <v>5074000</v>
      </c>
      <c r="X44" s="35">
        <v>337939000</v>
      </c>
      <c r="Y44" s="35">
        <v>17872000</v>
      </c>
      <c r="Z44" s="39">
        <v>-20534000</v>
      </c>
      <c r="AA44" s="35">
        <v>534983000</v>
      </c>
    </row>
    <row r="45" spans="1:27" x14ac:dyDescent="0.2">
      <c r="A45" s="10">
        <v>73</v>
      </c>
      <c r="B45" s="11" t="s">
        <v>30</v>
      </c>
      <c r="C45" s="11" t="s">
        <v>72</v>
      </c>
      <c r="D45" s="11" t="s">
        <v>183</v>
      </c>
      <c r="E45" s="11" t="s">
        <v>181</v>
      </c>
      <c r="F45" s="11" t="s">
        <v>171</v>
      </c>
      <c r="G45" s="35">
        <v>424118000</v>
      </c>
      <c r="H45" s="35">
        <v>129911000</v>
      </c>
      <c r="I45" s="35">
        <v>2350000</v>
      </c>
      <c r="J45" s="35">
        <v>524873000</v>
      </c>
      <c r="K45" s="35">
        <v>9564000</v>
      </c>
      <c r="L45" s="35">
        <v>4366000</v>
      </c>
      <c r="M45" s="35">
        <v>1095182000</v>
      </c>
      <c r="N45" s="35">
        <v>518423000</v>
      </c>
      <c r="O45" s="35">
        <v>108855000</v>
      </c>
      <c r="P45" s="35">
        <v>7171000</v>
      </c>
      <c r="Q45" s="35">
        <v>524433000</v>
      </c>
      <c r="R45" s="35">
        <v>5018000</v>
      </c>
      <c r="S45" s="35">
        <v>3042000</v>
      </c>
      <c r="T45" s="39">
        <v>1166942000</v>
      </c>
      <c r="U45" s="35">
        <v>455902000</v>
      </c>
      <c r="V45" s="35">
        <v>141843000</v>
      </c>
      <c r="W45" s="39">
        <v>1849000</v>
      </c>
      <c r="X45" s="35">
        <v>649491000</v>
      </c>
      <c r="Y45" s="35">
        <v>5708000</v>
      </c>
      <c r="Z45" s="39">
        <v>5799000</v>
      </c>
      <c r="AA45" s="35">
        <v>1260592000</v>
      </c>
    </row>
    <row r="46" spans="1:27" x14ac:dyDescent="0.2">
      <c r="A46" s="10">
        <v>74</v>
      </c>
      <c r="B46" s="11" t="s">
        <v>29</v>
      </c>
      <c r="C46" s="11" t="s">
        <v>69</v>
      </c>
      <c r="D46" s="11" t="s">
        <v>178</v>
      </c>
      <c r="E46" s="11" t="s">
        <v>170</v>
      </c>
      <c r="F46" s="11" t="s">
        <v>171</v>
      </c>
      <c r="G46" s="35">
        <v>164339000</v>
      </c>
      <c r="H46" s="35">
        <v>168046000</v>
      </c>
      <c r="I46" s="35">
        <v>0</v>
      </c>
      <c r="J46" s="35">
        <v>121344000</v>
      </c>
      <c r="K46" s="35">
        <v>-48233000</v>
      </c>
      <c r="L46" s="35">
        <v>7863000</v>
      </c>
      <c r="M46" s="35">
        <v>413359000</v>
      </c>
      <c r="N46" s="35">
        <v>190812000</v>
      </c>
      <c r="O46" s="35">
        <v>187770000</v>
      </c>
      <c r="P46" s="35">
        <v>0</v>
      </c>
      <c r="Q46" s="35">
        <v>120421000</v>
      </c>
      <c r="R46" s="35">
        <v>-50210000</v>
      </c>
      <c r="S46" s="35">
        <v>7230000</v>
      </c>
      <c r="T46" s="39">
        <v>456023000</v>
      </c>
      <c r="U46" s="35">
        <v>201090000</v>
      </c>
      <c r="V46" s="35">
        <v>207716000</v>
      </c>
      <c r="W46" s="39">
        <v>348000</v>
      </c>
      <c r="X46" s="35">
        <v>139364000</v>
      </c>
      <c r="Y46" s="35">
        <v>-48526000</v>
      </c>
      <c r="Z46" s="39">
        <v>11673000</v>
      </c>
      <c r="AA46" s="35">
        <v>511665000</v>
      </c>
    </row>
    <row r="47" spans="1:27" x14ac:dyDescent="0.2">
      <c r="A47" s="10">
        <v>75</v>
      </c>
      <c r="B47" s="11" t="s">
        <v>32</v>
      </c>
      <c r="C47" s="11" t="s">
        <v>69</v>
      </c>
      <c r="D47" s="11" t="s">
        <v>183</v>
      </c>
      <c r="E47" s="11" t="s">
        <v>181</v>
      </c>
      <c r="F47" s="11" t="s">
        <v>171</v>
      </c>
      <c r="G47" s="35">
        <v>173718000</v>
      </c>
      <c r="H47" s="35">
        <v>110510000</v>
      </c>
      <c r="I47" s="35">
        <v>655000</v>
      </c>
      <c r="J47" s="35">
        <v>168339000</v>
      </c>
      <c r="K47" s="35">
        <v>-16415000</v>
      </c>
      <c r="L47" s="35">
        <v>3858000</v>
      </c>
      <c r="M47" s="35">
        <v>440665000</v>
      </c>
      <c r="N47" s="35">
        <v>178542000</v>
      </c>
      <c r="O47" s="35">
        <v>122172000</v>
      </c>
      <c r="P47" s="35">
        <v>613000</v>
      </c>
      <c r="Q47" s="35">
        <v>166911000</v>
      </c>
      <c r="R47" s="35">
        <v>-28702000</v>
      </c>
      <c r="S47" s="35">
        <v>4389000</v>
      </c>
      <c r="T47" s="39">
        <v>443925000</v>
      </c>
      <c r="U47" s="35">
        <v>148785000</v>
      </c>
      <c r="V47" s="35">
        <v>115105000</v>
      </c>
      <c r="W47" s="39">
        <v>211000</v>
      </c>
      <c r="X47" s="35">
        <v>247732000</v>
      </c>
      <c r="Y47" s="35">
        <v>-3136000</v>
      </c>
      <c r="Z47" s="39">
        <v>6581000</v>
      </c>
      <c r="AA47" s="35">
        <v>515278000</v>
      </c>
    </row>
    <row r="48" spans="1:27" x14ac:dyDescent="0.2">
      <c r="A48" s="10">
        <v>76</v>
      </c>
      <c r="B48" s="11" t="s">
        <v>222</v>
      </c>
      <c r="C48" s="11" t="s">
        <v>69</v>
      </c>
      <c r="D48" s="11" t="s">
        <v>176</v>
      </c>
      <c r="E48" s="11" t="s">
        <v>170</v>
      </c>
      <c r="F48" s="11" t="s">
        <v>171</v>
      </c>
      <c r="G48" s="35">
        <v>438823000</v>
      </c>
      <c r="H48" s="35">
        <v>133537000</v>
      </c>
      <c r="I48" s="35">
        <v>3124000</v>
      </c>
      <c r="J48" s="35">
        <v>400728000</v>
      </c>
      <c r="K48" s="35">
        <v>-8602000</v>
      </c>
      <c r="L48" s="35">
        <v>34992000</v>
      </c>
      <c r="M48" s="35">
        <v>1002602000</v>
      </c>
      <c r="N48" s="35">
        <v>486393000</v>
      </c>
      <c r="O48" s="35">
        <v>147063000</v>
      </c>
      <c r="P48" s="35">
        <v>2790000</v>
      </c>
      <c r="Q48" s="35">
        <v>431458000</v>
      </c>
      <c r="R48" s="35">
        <v>-60726000</v>
      </c>
      <c r="S48" s="35">
        <v>39614000</v>
      </c>
      <c r="T48" s="39">
        <v>1046592000</v>
      </c>
      <c r="U48" s="35">
        <v>510658000</v>
      </c>
      <c r="V48" s="35">
        <v>187051000</v>
      </c>
      <c r="W48" s="39">
        <v>864000</v>
      </c>
      <c r="X48" s="35">
        <v>462931000</v>
      </c>
      <c r="Y48" s="35">
        <v>-47803000</v>
      </c>
      <c r="Z48" s="39">
        <v>44986000</v>
      </c>
      <c r="AA48" s="35">
        <v>1158687000</v>
      </c>
    </row>
    <row r="49" spans="1:27" x14ac:dyDescent="0.2">
      <c r="A49" s="10">
        <v>81</v>
      </c>
      <c r="B49" s="11" t="s">
        <v>107</v>
      </c>
      <c r="C49" s="15" t="s">
        <v>80</v>
      </c>
      <c r="D49" s="15" t="s">
        <v>177</v>
      </c>
      <c r="E49" s="15" t="s">
        <v>167</v>
      </c>
      <c r="F49" s="15" t="s">
        <v>171</v>
      </c>
      <c r="G49" s="35">
        <v>0</v>
      </c>
      <c r="H49" s="35">
        <v>0</v>
      </c>
      <c r="I49" s="35">
        <v>0</v>
      </c>
      <c r="J49" s="35">
        <v>0</v>
      </c>
      <c r="K49" s="35">
        <v>0</v>
      </c>
      <c r="L49" s="35">
        <v>0</v>
      </c>
      <c r="M49" s="35">
        <v>0</v>
      </c>
      <c r="N49" s="35">
        <v>0</v>
      </c>
      <c r="O49" s="35">
        <v>0</v>
      </c>
      <c r="P49" s="35">
        <v>0</v>
      </c>
      <c r="Q49" s="35">
        <v>0</v>
      </c>
      <c r="R49" s="35">
        <v>0</v>
      </c>
      <c r="S49" s="35">
        <v>0</v>
      </c>
      <c r="T49" s="39">
        <v>0</v>
      </c>
      <c r="U49" s="35">
        <v>0</v>
      </c>
      <c r="V49" s="35">
        <v>0</v>
      </c>
      <c r="W49" s="39">
        <v>0</v>
      </c>
      <c r="X49" s="35">
        <v>0</v>
      </c>
      <c r="Y49" s="35">
        <v>0</v>
      </c>
      <c r="Z49" s="39">
        <v>0</v>
      </c>
      <c r="AA49" s="35">
        <v>0</v>
      </c>
    </row>
    <row r="50" spans="1:27" x14ac:dyDescent="0.2">
      <c r="A50" s="10">
        <v>83</v>
      </c>
      <c r="B50" s="11" t="s">
        <v>221</v>
      </c>
      <c r="C50" s="11" t="s">
        <v>73</v>
      </c>
      <c r="D50" s="11" t="s">
        <v>176</v>
      </c>
      <c r="E50" s="11" t="s">
        <v>170</v>
      </c>
      <c r="F50" s="11" t="s">
        <v>171</v>
      </c>
      <c r="G50" s="35">
        <v>36542000</v>
      </c>
      <c r="H50" s="35">
        <v>28897000</v>
      </c>
      <c r="I50" s="35">
        <v>63000</v>
      </c>
      <c r="J50" s="35">
        <v>11511000</v>
      </c>
      <c r="K50" s="35">
        <v>5054000</v>
      </c>
      <c r="L50" s="35">
        <v>44000</v>
      </c>
      <c r="M50" s="35">
        <v>82111000</v>
      </c>
      <c r="N50" s="35">
        <v>35398000</v>
      </c>
      <c r="O50" s="35">
        <v>33552000</v>
      </c>
      <c r="P50" s="35">
        <v>12000</v>
      </c>
      <c r="Q50" s="35">
        <v>13408000</v>
      </c>
      <c r="R50" s="35">
        <v>5966000</v>
      </c>
      <c r="S50" s="35">
        <v>102000</v>
      </c>
      <c r="T50" s="39">
        <v>88438000</v>
      </c>
      <c r="U50" s="35">
        <v>33132000</v>
      </c>
      <c r="V50" s="35">
        <v>33556000</v>
      </c>
      <c r="W50" s="39">
        <v>5000</v>
      </c>
      <c r="X50" s="35">
        <v>7828000</v>
      </c>
      <c r="Y50" s="35">
        <v>9124000</v>
      </c>
      <c r="Z50" s="39">
        <v>13861000</v>
      </c>
      <c r="AA50" s="35">
        <v>97506000</v>
      </c>
    </row>
    <row r="51" spans="1:27" x14ac:dyDescent="0.2">
      <c r="A51" s="10">
        <v>84</v>
      </c>
      <c r="B51" s="11" t="s">
        <v>33</v>
      </c>
      <c r="C51" s="11" t="s">
        <v>69</v>
      </c>
      <c r="D51" s="11" t="s">
        <v>185</v>
      </c>
      <c r="E51" s="11" t="s">
        <v>181</v>
      </c>
      <c r="F51" s="11" t="s">
        <v>171</v>
      </c>
      <c r="G51" s="35">
        <v>71463000</v>
      </c>
      <c r="H51" s="35">
        <v>33039000</v>
      </c>
      <c r="I51" s="35">
        <v>177000</v>
      </c>
      <c r="J51" s="35">
        <v>23832000</v>
      </c>
      <c r="K51" s="35">
        <v>-4945000</v>
      </c>
      <c r="L51" s="35">
        <v>900000</v>
      </c>
      <c r="M51" s="35">
        <v>124466000</v>
      </c>
      <c r="N51" s="35">
        <v>75024000</v>
      </c>
      <c r="O51" s="35">
        <v>38834000</v>
      </c>
      <c r="P51" s="35">
        <v>152000</v>
      </c>
      <c r="Q51" s="35">
        <v>26525000</v>
      </c>
      <c r="R51" s="35">
        <v>-12536000</v>
      </c>
      <c r="S51" s="35">
        <v>815000</v>
      </c>
      <c r="T51" s="39">
        <v>128814000</v>
      </c>
      <c r="U51" s="35">
        <v>81037000</v>
      </c>
      <c r="V51" s="35">
        <v>42419000</v>
      </c>
      <c r="W51" s="39">
        <v>53000</v>
      </c>
      <c r="X51" s="35">
        <v>25854000</v>
      </c>
      <c r="Y51" s="35">
        <v>-13958000</v>
      </c>
      <c r="Z51" s="39">
        <v>2156000</v>
      </c>
      <c r="AA51" s="35">
        <v>137561000</v>
      </c>
    </row>
    <row r="52" spans="1:27" x14ac:dyDescent="0.2">
      <c r="A52" s="10">
        <v>91</v>
      </c>
      <c r="B52" s="11" t="s">
        <v>52</v>
      </c>
      <c r="C52" s="11" t="s">
        <v>73</v>
      </c>
      <c r="D52" s="11" t="s">
        <v>187</v>
      </c>
      <c r="E52" s="11" t="s">
        <v>167</v>
      </c>
      <c r="F52" s="11" t="s">
        <v>168</v>
      </c>
      <c r="G52" s="35">
        <v>15380000</v>
      </c>
      <c r="H52" s="35">
        <v>-2332000</v>
      </c>
      <c r="I52" s="35">
        <v>-679000</v>
      </c>
      <c r="J52" s="35">
        <v>27695000</v>
      </c>
      <c r="K52" s="35">
        <v>8618000</v>
      </c>
      <c r="L52" s="35">
        <v>-548000</v>
      </c>
      <c r="M52" s="35">
        <v>48134000</v>
      </c>
      <c r="N52" s="35">
        <v>-15689000</v>
      </c>
      <c r="O52" s="35">
        <v>-1678000</v>
      </c>
      <c r="P52" s="35">
        <v>-675000</v>
      </c>
      <c r="Q52" s="35">
        <v>46791000</v>
      </c>
      <c r="R52" s="35">
        <v>8196000</v>
      </c>
      <c r="S52" s="35">
        <v>-4000</v>
      </c>
      <c r="T52" s="39">
        <v>36943000</v>
      </c>
      <c r="U52" s="35">
        <v>27974000</v>
      </c>
      <c r="V52" s="35">
        <v>-4747000</v>
      </c>
      <c r="W52" s="39">
        <v>1698000</v>
      </c>
      <c r="X52" s="35">
        <v>-1579000</v>
      </c>
      <c r="Y52" s="35">
        <v>1921000</v>
      </c>
      <c r="Z52" s="39">
        <v>0</v>
      </c>
      <c r="AA52" s="35">
        <v>25267000</v>
      </c>
    </row>
    <row r="53" spans="1:27" x14ac:dyDescent="0.2">
      <c r="A53" s="10">
        <v>92</v>
      </c>
      <c r="B53" s="11" t="s">
        <v>5</v>
      </c>
      <c r="C53" s="11" t="s">
        <v>70</v>
      </c>
      <c r="D53" s="11" t="s">
        <v>180</v>
      </c>
      <c r="E53" s="11" t="s">
        <v>181</v>
      </c>
      <c r="F53" s="11" t="s">
        <v>171</v>
      </c>
      <c r="G53" s="35">
        <v>96014000</v>
      </c>
      <c r="H53" s="35">
        <v>53487000</v>
      </c>
      <c r="I53" s="35">
        <v>906000</v>
      </c>
      <c r="J53" s="35">
        <v>54246000</v>
      </c>
      <c r="K53" s="35">
        <v>18069000</v>
      </c>
      <c r="L53" s="35">
        <v>75226000</v>
      </c>
      <c r="M53" s="35">
        <v>297948000</v>
      </c>
      <c r="N53" s="35">
        <v>106138000</v>
      </c>
      <c r="O53" s="35">
        <v>68802000</v>
      </c>
      <c r="P53" s="35">
        <v>1120000</v>
      </c>
      <c r="Q53" s="35">
        <v>57568000</v>
      </c>
      <c r="R53" s="35">
        <v>83105000</v>
      </c>
      <c r="S53" s="35">
        <v>11507000</v>
      </c>
      <c r="T53" s="39">
        <v>328240000</v>
      </c>
      <c r="U53" s="35">
        <v>92876000</v>
      </c>
      <c r="V53" s="35">
        <v>86164000</v>
      </c>
      <c r="W53" s="39">
        <v>1596000</v>
      </c>
      <c r="X53" s="35">
        <v>65517000</v>
      </c>
      <c r="Y53" s="35">
        <v>129685000</v>
      </c>
      <c r="Z53" s="39">
        <v>-46069000</v>
      </c>
      <c r="AA53" s="35">
        <v>329769000</v>
      </c>
    </row>
    <row r="54" spans="1:27" x14ac:dyDescent="0.2">
      <c r="A54" s="10">
        <v>96</v>
      </c>
      <c r="B54" s="11" t="s">
        <v>50</v>
      </c>
      <c r="C54" s="11" t="s">
        <v>76</v>
      </c>
      <c r="D54" s="11" t="s">
        <v>176</v>
      </c>
      <c r="E54" s="11" t="s">
        <v>170</v>
      </c>
      <c r="F54" s="11" t="s">
        <v>171</v>
      </c>
      <c r="G54" s="35">
        <v>85788000</v>
      </c>
      <c r="H54" s="35">
        <v>53345000</v>
      </c>
      <c r="I54" s="35">
        <v>53000</v>
      </c>
      <c r="J54" s="35">
        <v>44206000</v>
      </c>
      <c r="K54" s="35">
        <v>-16918000</v>
      </c>
      <c r="L54" s="35">
        <v>0</v>
      </c>
      <c r="M54" s="35">
        <v>166474000</v>
      </c>
      <c r="N54" s="35">
        <v>74592000</v>
      </c>
      <c r="O54" s="35">
        <v>58270000</v>
      </c>
      <c r="P54" s="35">
        <v>50000</v>
      </c>
      <c r="Q54" s="35">
        <v>42012000</v>
      </c>
      <c r="R54" s="35">
        <v>-12387000</v>
      </c>
      <c r="S54" s="35">
        <v>0</v>
      </c>
      <c r="T54" s="39">
        <v>162537000</v>
      </c>
      <c r="U54" s="35">
        <v>70029000</v>
      </c>
      <c r="V54" s="35">
        <v>51418000</v>
      </c>
      <c r="W54" s="39">
        <v>76000</v>
      </c>
      <c r="X54" s="35">
        <v>37955000</v>
      </c>
      <c r="Y54" s="35">
        <v>-2958000</v>
      </c>
      <c r="Z54" s="39">
        <v>3000</v>
      </c>
      <c r="AA54" s="35">
        <v>156523000</v>
      </c>
    </row>
    <row r="55" spans="1:27" x14ac:dyDescent="0.2">
      <c r="A55" s="10">
        <v>108</v>
      </c>
      <c r="B55" s="11" t="s">
        <v>31</v>
      </c>
      <c r="C55" s="11" t="s">
        <v>72</v>
      </c>
      <c r="D55" s="11" t="s">
        <v>182</v>
      </c>
      <c r="E55" s="11" t="s">
        <v>181</v>
      </c>
      <c r="F55" s="11" t="s">
        <v>171</v>
      </c>
      <c r="G55" s="35">
        <v>224247000</v>
      </c>
      <c r="H55" s="35">
        <v>16709000</v>
      </c>
      <c r="I55" s="35">
        <v>281000</v>
      </c>
      <c r="J55" s="35">
        <v>263263000</v>
      </c>
      <c r="K55" s="35">
        <v>-19628000</v>
      </c>
      <c r="L55" s="35">
        <v>3301000</v>
      </c>
      <c r="M55" s="35">
        <v>488173000</v>
      </c>
      <c r="N55" s="35">
        <v>202785000</v>
      </c>
      <c r="O55" s="35">
        <v>69924000</v>
      </c>
      <c r="P55" s="35">
        <v>210000</v>
      </c>
      <c r="Q55" s="35">
        <v>306674000</v>
      </c>
      <c r="R55" s="35">
        <v>-78873000</v>
      </c>
      <c r="S55" s="35">
        <v>10054000</v>
      </c>
      <c r="T55" s="39">
        <v>510774000</v>
      </c>
      <c r="U55" s="35">
        <v>241101000</v>
      </c>
      <c r="V55" s="35">
        <v>89738000</v>
      </c>
      <c r="W55" s="39">
        <v>173000</v>
      </c>
      <c r="X55" s="35">
        <v>356590000</v>
      </c>
      <c r="Y55" s="35">
        <v>-88388000</v>
      </c>
      <c r="Z55" s="39">
        <v>1881000</v>
      </c>
      <c r="AA55" s="35">
        <v>601095000</v>
      </c>
    </row>
    <row r="56" spans="1:27" x14ac:dyDescent="0.2">
      <c r="A56" s="10">
        <v>110</v>
      </c>
      <c r="B56" s="11" t="s">
        <v>44</v>
      </c>
      <c r="C56" s="11" t="s">
        <v>69</v>
      </c>
      <c r="D56" s="11" t="s">
        <v>180</v>
      </c>
      <c r="E56" s="11" t="s">
        <v>181</v>
      </c>
      <c r="F56" s="11" t="s">
        <v>171</v>
      </c>
      <c r="G56" s="35">
        <v>112110000</v>
      </c>
      <c r="H56" s="35">
        <v>26032000</v>
      </c>
      <c r="I56" s="35">
        <v>826000</v>
      </c>
      <c r="J56" s="35">
        <v>45277000</v>
      </c>
      <c r="K56" s="35">
        <v>-17914000</v>
      </c>
      <c r="L56" s="35">
        <v>20445000</v>
      </c>
      <c r="M56" s="35">
        <v>186776000</v>
      </c>
      <c r="N56" s="35">
        <v>118477000</v>
      </c>
      <c r="O56" s="35">
        <v>25939000</v>
      </c>
      <c r="P56" s="35">
        <v>8000</v>
      </c>
      <c r="Q56" s="35">
        <v>55670000</v>
      </c>
      <c r="R56" s="35">
        <v>-13448000</v>
      </c>
      <c r="S56" s="35">
        <v>6589000</v>
      </c>
      <c r="T56" s="39">
        <v>193235000</v>
      </c>
      <c r="U56" s="35">
        <v>138917000</v>
      </c>
      <c r="V56" s="35">
        <v>33677000</v>
      </c>
      <c r="W56" s="39">
        <v>640000</v>
      </c>
      <c r="X56" s="35">
        <v>61971000</v>
      </c>
      <c r="Y56" s="35">
        <v>-18110000</v>
      </c>
      <c r="Z56" s="39">
        <v>7893000</v>
      </c>
      <c r="AA56" s="35">
        <v>224988000</v>
      </c>
    </row>
    <row r="57" spans="1:27" x14ac:dyDescent="0.2">
      <c r="A57" s="10">
        <v>111</v>
      </c>
      <c r="B57" s="11" t="s">
        <v>7</v>
      </c>
      <c r="C57" s="11" t="s">
        <v>73</v>
      </c>
      <c r="D57" s="11" t="s">
        <v>183</v>
      </c>
      <c r="E57" s="11" t="s">
        <v>181</v>
      </c>
      <c r="F57" s="11" t="s">
        <v>171</v>
      </c>
      <c r="G57" s="35">
        <v>132426000</v>
      </c>
      <c r="H57" s="35">
        <v>22444000</v>
      </c>
      <c r="I57" s="35">
        <v>1176000</v>
      </c>
      <c r="J57" s="35">
        <v>151053000</v>
      </c>
      <c r="K57" s="35">
        <v>-5329000</v>
      </c>
      <c r="L57" s="35">
        <v>4083000</v>
      </c>
      <c r="M57" s="35">
        <v>305853000</v>
      </c>
      <c r="N57" s="35">
        <v>127213000</v>
      </c>
      <c r="O57" s="35">
        <v>22131000</v>
      </c>
      <c r="P57" s="35">
        <v>1049000</v>
      </c>
      <c r="Q57" s="35">
        <v>147786000</v>
      </c>
      <c r="R57" s="35">
        <v>3087000</v>
      </c>
      <c r="S57" s="35">
        <v>6510000</v>
      </c>
      <c r="T57" s="39">
        <v>307776000</v>
      </c>
      <c r="U57" s="35">
        <v>141431000</v>
      </c>
      <c r="V57" s="35">
        <v>27609000</v>
      </c>
      <c r="W57" s="39">
        <v>1206000</v>
      </c>
      <c r="X57" s="35">
        <v>168484000</v>
      </c>
      <c r="Y57" s="35">
        <v>-2464000</v>
      </c>
      <c r="Z57" s="39">
        <v>8528000</v>
      </c>
      <c r="AA57" s="35">
        <v>344794000</v>
      </c>
    </row>
    <row r="58" spans="1:27" x14ac:dyDescent="0.2">
      <c r="A58" s="10">
        <v>112</v>
      </c>
      <c r="B58" s="11" t="s">
        <v>3</v>
      </c>
      <c r="C58" s="11" t="s">
        <v>72</v>
      </c>
      <c r="D58" s="11" t="s">
        <v>183</v>
      </c>
      <c r="E58" s="11" t="s">
        <v>181</v>
      </c>
      <c r="F58" s="11" t="s">
        <v>171</v>
      </c>
      <c r="G58" s="35">
        <v>88118000</v>
      </c>
      <c r="H58" s="35">
        <v>12502000</v>
      </c>
      <c r="I58" s="35">
        <v>79000</v>
      </c>
      <c r="J58" s="35">
        <v>87844000</v>
      </c>
      <c r="K58" s="35">
        <v>-2776000</v>
      </c>
      <c r="L58" s="35">
        <v>818000</v>
      </c>
      <c r="M58" s="35">
        <v>186585000</v>
      </c>
      <c r="N58" s="35">
        <v>92414000</v>
      </c>
      <c r="O58" s="35">
        <v>18749000</v>
      </c>
      <c r="P58" s="35">
        <v>162000</v>
      </c>
      <c r="Q58" s="35">
        <v>86314000</v>
      </c>
      <c r="R58" s="35">
        <v>-11629000</v>
      </c>
      <c r="S58" s="35">
        <v>689000</v>
      </c>
      <c r="T58" s="39">
        <v>186699000</v>
      </c>
      <c r="U58" s="35">
        <v>93429000</v>
      </c>
      <c r="V58" s="35">
        <v>25259000</v>
      </c>
      <c r="W58" s="39">
        <v>68000</v>
      </c>
      <c r="X58" s="35">
        <v>93454000</v>
      </c>
      <c r="Y58" s="35">
        <v>-8292000</v>
      </c>
      <c r="Z58" s="39">
        <v>1109000</v>
      </c>
      <c r="AA58" s="35">
        <v>205027000</v>
      </c>
    </row>
    <row r="59" spans="1:27" x14ac:dyDescent="0.2">
      <c r="A59" s="10">
        <v>113</v>
      </c>
      <c r="B59" s="11" t="s">
        <v>54</v>
      </c>
      <c r="C59" s="11" t="s">
        <v>72</v>
      </c>
      <c r="D59" s="11" t="s">
        <v>185</v>
      </c>
      <c r="E59" s="11" t="s">
        <v>181</v>
      </c>
      <c r="F59" s="11" t="s">
        <v>171</v>
      </c>
      <c r="G59" s="35">
        <v>90517000</v>
      </c>
      <c r="H59" s="35">
        <v>19979000</v>
      </c>
      <c r="I59" s="35">
        <v>239000</v>
      </c>
      <c r="J59" s="35">
        <v>92752000</v>
      </c>
      <c r="K59" s="35">
        <v>-4760000</v>
      </c>
      <c r="L59" s="35">
        <v>-1098000</v>
      </c>
      <c r="M59" s="35">
        <v>197629000</v>
      </c>
      <c r="N59" s="35">
        <v>123091000</v>
      </c>
      <c r="O59" s="35">
        <v>20680000</v>
      </c>
      <c r="P59" s="35">
        <v>538000</v>
      </c>
      <c r="Q59" s="35">
        <v>94547000</v>
      </c>
      <c r="R59" s="35">
        <v>-23626000</v>
      </c>
      <c r="S59" s="35">
        <v>14973000</v>
      </c>
      <c r="T59" s="39">
        <v>230203000</v>
      </c>
      <c r="U59" s="35">
        <v>149954000</v>
      </c>
      <c r="V59" s="35">
        <v>30881000</v>
      </c>
      <c r="W59" s="39">
        <v>595000</v>
      </c>
      <c r="X59" s="35">
        <v>59515000</v>
      </c>
      <c r="Y59" s="35">
        <v>4010000</v>
      </c>
      <c r="Z59" s="39">
        <v>5671000</v>
      </c>
      <c r="AA59" s="35">
        <v>250626000</v>
      </c>
    </row>
    <row r="60" spans="1:27" x14ac:dyDescent="0.2">
      <c r="A60" s="10">
        <v>115</v>
      </c>
      <c r="B60" s="11" t="s">
        <v>19</v>
      </c>
      <c r="C60" s="11" t="s">
        <v>67</v>
      </c>
      <c r="D60" s="11" t="s">
        <v>191</v>
      </c>
      <c r="E60" s="11" t="s">
        <v>170</v>
      </c>
      <c r="F60" s="11" t="s">
        <v>168</v>
      </c>
      <c r="G60" s="35">
        <v>60252000</v>
      </c>
      <c r="H60" s="35">
        <v>13351000</v>
      </c>
      <c r="I60" s="35">
        <v>0</v>
      </c>
      <c r="J60" s="35">
        <v>32579000</v>
      </c>
      <c r="K60" s="35">
        <v>1697000</v>
      </c>
      <c r="L60" s="35">
        <v>1181000</v>
      </c>
      <c r="M60" s="35">
        <v>109060000</v>
      </c>
      <c r="N60" s="35">
        <v>44767000</v>
      </c>
      <c r="O60" s="35">
        <v>9399000</v>
      </c>
      <c r="P60" s="35">
        <v>0</v>
      </c>
      <c r="Q60" s="35">
        <v>62407000</v>
      </c>
      <c r="R60" s="35">
        <v>939000</v>
      </c>
      <c r="S60" s="35">
        <v>2078000</v>
      </c>
      <c r="T60" s="39">
        <v>119590000</v>
      </c>
      <c r="U60" s="35">
        <v>48619000</v>
      </c>
      <c r="V60" s="35">
        <v>9980000</v>
      </c>
      <c r="W60" s="39">
        <v>0</v>
      </c>
      <c r="X60" s="35">
        <v>70520000</v>
      </c>
      <c r="Y60" s="35">
        <v>1151000</v>
      </c>
      <c r="Z60" s="39">
        <v>3328000</v>
      </c>
      <c r="AA60" s="35">
        <v>133598000</v>
      </c>
    </row>
    <row r="61" spans="1:27" x14ac:dyDescent="0.2">
      <c r="A61" s="10">
        <v>116</v>
      </c>
      <c r="B61" s="11" t="s">
        <v>57</v>
      </c>
      <c r="C61" s="11" t="s">
        <v>77</v>
      </c>
      <c r="D61" s="11" t="s">
        <v>186</v>
      </c>
      <c r="E61" s="11" t="s">
        <v>170</v>
      </c>
      <c r="F61" s="11" t="s">
        <v>171</v>
      </c>
      <c r="G61" s="35">
        <v>53744000</v>
      </c>
      <c r="H61" s="35">
        <v>16923000</v>
      </c>
      <c r="I61" s="35">
        <v>83000</v>
      </c>
      <c r="J61" s="35">
        <v>49708000</v>
      </c>
      <c r="K61" s="35">
        <v>1004000</v>
      </c>
      <c r="L61" s="35">
        <v>1329000</v>
      </c>
      <c r="M61" s="35">
        <v>122791000</v>
      </c>
      <c r="N61" s="35">
        <v>57124000</v>
      </c>
      <c r="O61" s="35">
        <v>20031000</v>
      </c>
      <c r="P61" s="35">
        <v>144000</v>
      </c>
      <c r="Q61" s="35">
        <v>49569000</v>
      </c>
      <c r="R61" s="35">
        <v>272000</v>
      </c>
      <c r="S61" s="35">
        <v>377000</v>
      </c>
      <c r="T61" s="39">
        <v>127517000</v>
      </c>
      <c r="U61" s="35">
        <v>55595000</v>
      </c>
      <c r="V61" s="35">
        <v>21144000</v>
      </c>
      <c r="W61" s="39">
        <v>130000</v>
      </c>
      <c r="X61" s="35">
        <v>55956000</v>
      </c>
      <c r="Y61" s="35">
        <v>-1357000</v>
      </c>
      <c r="Z61" s="39">
        <v>105000</v>
      </c>
      <c r="AA61" s="35">
        <v>131573000</v>
      </c>
    </row>
    <row r="62" spans="1:27" x14ac:dyDescent="0.2">
      <c r="A62" s="10">
        <v>118</v>
      </c>
      <c r="B62" s="11" t="s">
        <v>22</v>
      </c>
      <c r="C62" s="11" t="s">
        <v>73</v>
      </c>
      <c r="D62" s="11" t="s">
        <v>178</v>
      </c>
      <c r="E62" s="11" t="s">
        <v>170</v>
      </c>
      <c r="F62" s="11" t="s">
        <v>171</v>
      </c>
      <c r="G62" s="35">
        <v>23175000</v>
      </c>
      <c r="H62" s="35">
        <v>15314000</v>
      </c>
      <c r="I62" s="35">
        <v>45000</v>
      </c>
      <c r="J62" s="35">
        <v>85666000</v>
      </c>
      <c r="K62" s="35">
        <v>1112000</v>
      </c>
      <c r="L62" s="35">
        <v>27144000</v>
      </c>
      <c r="M62" s="35">
        <v>152456000</v>
      </c>
      <c r="N62" s="35">
        <v>22143000</v>
      </c>
      <c r="O62" s="35">
        <v>15945000</v>
      </c>
      <c r="P62" s="35">
        <v>75000</v>
      </c>
      <c r="Q62" s="35">
        <v>87457000</v>
      </c>
      <c r="R62" s="35">
        <v>606000</v>
      </c>
      <c r="S62" s="35">
        <v>26446000</v>
      </c>
      <c r="T62" s="39">
        <v>152672000</v>
      </c>
      <c r="U62" s="35">
        <v>19876000</v>
      </c>
      <c r="V62" s="35">
        <v>12035000</v>
      </c>
      <c r="W62" s="39">
        <v>94000</v>
      </c>
      <c r="X62" s="35">
        <v>104739000</v>
      </c>
      <c r="Y62" s="35">
        <v>1368000</v>
      </c>
      <c r="Z62" s="39">
        <v>37961000</v>
      </c>
      <c r="AA62" s="35">
        <v>176073000</v>
      </c>
    </row>
    <row r="63" spans="1:27" x14ac:dyDescent="0.2">
      <c r="A63" s="10">
        <v>119</v>
      </c>
      <c r="B63" s="11" t="s">
        <v>61</v>
      </c>
      <c r="C63" s="11" t="s">
        <v>73</v>
      </c>
      <c r="D63" s="11" t="s">
        <v>176</v>
      </c>
      <c r="E63" s="11" t="s">
        <v>170</v>
      </c>
      <c r="F63" s="11" t="s">
        <v>171</v>
      </c>
      <c r="G63" s="35">
        <v>304324000</v>
      </c>
      <c r="H63" s="35">
        <v>57610000</v>
      </c>
      <c r="I63" s="35">
        <v>3684000</v>
      </c>
      <c r="J63" s="35">
        <v>-73008000</v>
      </c>
      <c r="K63" s="35">
        <v>213118000</v>
      </c>
      <c r="L63" s="35">
        <v>87032000</v>
      </c>
      <c r="M63" s="35">
        <v>592760000</v>
      </c>
      <c r="N63" s="35">
        <v>167328000</v>
      </c>
      <c r="O63" s="35">
        <v>243479000</v>
      </c>
      <c r="P63" s="35">
        <v>1678000</v>
      </c>
      <c r="Q63" s="35">
        <v>62400000</v>
      </c>
      <c r="R63" s="35">
        <v>185666000</v>
      </c>
      <c r="S63" s="35">
        <v>33143000</v>
      </c>
      <c r="T63" s="39">
        <v>693694000</v>
      </c>
      <c r="U63" s="35">
        <v>192936000</v>
      </c>
      <c r="V63" s="35">
        <v>287022000</v>
      </c>
      <c r="W63" s="39">
        <v>354000</v>
      </c>
      <c r="X63" s="35">
        <v>112764000</v>
      </c>
      <c r="Y63" s="35">
        <v>59641000</v>
      </c>
      <c r="Z63" s="39">
        <v>49104000</v>
      </c>
      <c r="AA63" s="35">
        <v>701821000</v>
      </c>
    </row>
    <row r="64" spans="1:27" x14ac:dyDescent="0.2">
      <c r="A64" s="10">
        <v>221</v>
      </c>
      <c r="B64" s="11" t="s">
        <v>64</v>
      </c>
      <c r="C64" s="11" t="s">
        <v>74</v>
      </c>
      <c r="D64" s="11" t="s">
        <v>173</v>
      </c>
      <c r="E64" s="11" t="s">
        <v>167</v>
      </c>
      <c r="F64" s="11" t="s">
        <v>171</v>
      </c>
      <c r="G64" s="35">
        <v>300164000</v>
      </c>
      <c r="H64" s="35">
        <v>139613000</v>
      </c>
      <c r="I64" s="35">
        <v>9402000</v>
      </c>
      <c r="J64" s="35">
        <v>301079000</v>
      </c>
      <c r="K64" s="35">
        <v>-25013000</v>
      </c>
      <c r="L64" s="35">
        <v>-3668000</v>
      </c>
      <c r="M64" s="35">
        <v>721577000</v>
      </c>
      <c r="N64" s="35">
        <v>315358000</v>
      </c>
      <c r="O64" s="35">
        <v>157107000</v>
      </c>
      <c r="P64" s="35">
        <v>9925000</v>
      </c>
      <c r="Q64" s="35">
        <v>309459000</v>
      </c>
      <c r="R64" s="35">
        <v>-41583000</v>
      </c>
      <c r="S64" s="35">
        <v>70713000</v>
      </c>
      <c r="T64" s="39">
        <v>820979000</v>
      </c>
      <c r="U64" s="35">
        <v>302229000</v>
      </c>
      <c r="V64" s="35">
        <v>162879000</v>
      </c>
      <c r="W64" s="39">
        <v>11989000</v>
      </c>
      <c r="X64" s="35">
        <v>335146000</v>
      </c>
      <c r="Y64" s="35">
        <v>-41862000</v>
      </c>
      <c r="Z64" s="39">
        <v>96158000</v>
      </c>
      <c r="AA64" s="35">
        <v>866539000</v>
      </c>
    </row>
    <row r="65" spans="1:27" x14ac:dyDescent="0.2">
      <c r="A65" s="10">
        <v>224</v>
      </c>
      <c r="B65" s="11" t="s">
        <v>63</v>
      </c>
      <c r="C65" s="11" t="s">
        <v>74</v>
      </c>
      <c r="D65" s="11" t="s">
        <v>172</v>
      </c>
      <c r="E65" s="11" t="s">
        <v>167</v>
      </c>
      <c r="F65" s="11" t="s">
        <v>171</v>
      </c>
      <c r="G65" s="35">
        <v>93587000</v>
      </c>
      <c r="H65" s="35">
        <v>17042000</v>
      </c>
      <c r="I65" s="35">
        <v>1456000</v>
      </c>
      <c r="J65" s="35">
        <v>45285000</v>
      </c>
      <c r="K65" s="35">
        <v>-6089000</v>
      </c>
      <c r="L65" s="35">
        <v>5719000</v>
      </c>
      <c r="M65" s="35">
        <v>157000000</v>
      </c>
      <c r="N65" s="35">
        <v>94424000</v>
      </c>
      <c r="O65" s="35">
        <v>17236000</v>
      </c>
      <c r="P65" s="35">
        <v>1873000</v>
      </c>
      <c r="Q65" s="35">
        <v>48378000</v>
      </c>
      <c r="R65" s="35">
        <v>-9835000</v>
      </c>
      <c r="S65" s="35">
        <v>17250000</v>
      </c>
      <c r="T65" s="39">
        <v>169326000</v>
      </c>
      <c r="U65" s="35">
        <v>98822000</v>
      </c>
      <c r="V65" s="35">
        <v>18527000</v>
      </c>
      <c r="W65" s="39">
        <v>2108000</v>
      </c>
      <c r="X65" s="35">
        <v>50008000</v>
      </c>
      <c r="Y65" s="35">
        <v>-6495000</v>
      </c>
      <c r="Z65" s="39">
        <v>19854000</v>
      </c>
      <c r="AA65" s="35">
        <v>182824000</v>
      </c>
    </row>
    <row r="66" spans="1:27" x14ac:dyDescent="0.2">
      <c r="A66" s="10">
        <v>324</v>
      </c>
      <c r="B66" s="11" t="s">
        <v>25</v>
      </c>
      <c r="C66" s="11" t="s">
        <v>80</v>
      </c>
      <c r="D66" s="11" t="s">
        <v>175</v>
      </c>
      <c r="E66" s="11" t="s">
        <v>167</v>
      </c>
      <c r="F66" s="11" t="s">
        <v>168</v>
      </c>
      <c r="G66" s="35">
        <v>138921000</v>
      </c>
      <c r="H66" s="35">
        <v>137839000</v>
      </c>
      <c r="I66" s="35">
        <v>7954000</v>
      </c>
      <c r="J66" s="35">
        <v>257148000</v>
      </c>
      <c r="K66" s="35">
        <v>-21216000</v>
      </c>
      <c r="L66" s="35">
        <v>-42540000</v>
      </c>
      <c r="M66" s="35">
        <v>478106000</v>
      </c>
      <c r="N66" s="35">
        <v>186237000</v>
      </c>
      <c r="O66" s="35">
        <v>121213000</v>
      </c>
      <c r="P66" s="35">
        <v>7076000</v>
      </c>
      <c r="Q66" s="35">
        <v>233477000</v>
      </c>
      <c r="R66" s="35">
        <v>-26256000</v>
      </c>
      <c r="S66" s="35">
        <v>-41335000</v>
      </c>
      <c r="T66" s="39">
        <v>480412000</v>
      </c>
      <c r="U66" s="35">
        <v>244746000</v>
      </c>
      <c r="V66" s="35">
        <v>146246000</v>
      </c>
      <c r="W66" s="39">
        <v>9273000</v>
      </c>
      <c r="X66" s="35">
        <v>179821000</v>
      </c>
      <c r="Y66" s="35">
        <v>-27497000</v>
      </c>
      <c r="Z66" s="39">
        <v>-44904000</v>
      </c>
      <c r="AA66" s="35">
        <v>507685000</v>
      </c>
    </row>
    <row r="67" spans="1:27" x14ac:dyDescent="0.2">
      <c r="A67" s="10">
        <v>391</v>
      </c>
      <c r="B67" s="11" t="s">
        <v>42</v>
      </c>
      <c r="C67" s="11" t="s">
        <v>72</v>
      </c>
      <c r="D67" s="11" t="s">
        <v>182</v>
      </c>
      <c r="E67" s="11" t="s">
        <v>181</v>
      </c>
      <c r="F67" s="11" t="s">
        <v>171</v>
      </c>
      <c r="G67" s="35">
        <v>28945000</v>
      </c>
      <c r="H67" s="35">
        <v>33684000</v>
      </c>
      <c r="I67" s="35">
        <v>161000</v>
      </c>
      <c r="J67" s="35">
        <v>60946000</v>
      </c>
      <c r="K67" s="35">
        <v>7598000</v>
      </c>
      <c r="L67" s="35">
        <v>69000</v>
      </c>
      <c r="M67" s="35">
        <v>131403000</v>
      </c>
      <c r="N67" s="35">
        <v>33002000</v>
      </c>
      <c r="O67" s="35">
        <v>40569000</v>
      </c>
      <c r="P67" s="35">
        <v>381000</v>
      </c>
      <c r="Q67" s="35">
        <v>63030000</v>
      </c>
      <c r="R67" s="35">
        <v>7896000</v>
      </c>
      <c r="S67" s="35">
        <v>384000</v>
      </c>
      <c r="T67" s="39">
        <v>145262000</v>
      </c>
      <c r="U67" s="35">
        <v>41141000</v>
      </c>
      <c r="V67" s="35">
        <v>34005000</v>
      </c>
      <c r="W67" s="39">
        <v>705000</v>
      </c>
      <c r="X67" s="35">
        <v>80077000</v>
      </c>
      <c r="Y67" s="35">
        <v>190000</v>
      </c>
      <c r="Z67" s="39">
        <v>679000</v>
      </c>
      <c r="AA67" s="35">
        <v>156797000</v>
      </c>
    </row>
    <row r="68" spans="1:27" x14ac:dyDescent="0.2">
      <c r="A68" s="10">
        <v>392</v>
      </c>
      <c r="B68" s="11" t="s">
        <v>41</v>
      </c>
      <c r="C68" s="11" t="s">
        <v>72</v>
      </c>
      <c r="D68" s="11" t="s">
        <v>182</v>
      </c>
      <c r="E68" s="11" t="s">
        <v>181</v>
      </c>
      <c r="F68" s="11" t="s">
        <v>171</v>
      </c>
      <c r="G68" s="35">
        <v>52565000</v>
      </c>
      <c r="H68" s="35">
        <v>8315000</v>
      </c>
      <c r="I68" s="35">
        <v>228000</v>
      </c>
      <c r="J68" s="35">
        <v>62772000</v>
      </c>
      <c r="K68" s="35">
        <v>2879000</v>
      </c>
      <c r="L68" s="35">
        <v>5000</v>
      </c>
      <c r="M68" s="35">
        <v>126764000</v>
      </c>
      <c r="N68" s="35">
        <v>52256000</v>
      </c>
      <c r="O68" s="35">
        <v>9187000</v>
      </c>
      <c r="P68" s="35">
        <v>792000</v>
      </c>
      <c r="Q68" s="35">
        <v>69033000</v>
      </c>
      <c r="R68" s="35">
        <v>3126000</v>
      </c>
      <c r="S68" s="35">
        <v>104000</v>
      </c>
      <c r="T68" s="39">
        <v>134498000</v>
      </c>
      <c r="U68" s="35">
        <v>65422000</v>
      </c>
      <c r="V68" s="35">
        <v>6729000</v>
      </c>
      <c r="W68" s="39">
        <v>729000</v>
      </c>
      <c r="X68" s="35">
        <v>81789000</v>
      </c>
      <c r="Y68" s="35">
        <v>891000</v>
      </c>
      <c r="Z68" s="39">
        <v>150000</v>
      </c>
      <c r="AA68" s="35">
        <v>155710000</v>
      </c>
    </row>
    <row r="69" spans="1:27" x14ac:dyDescent="0.2">
      <c r="A69" s="10">
        <v>502</v>
      </c>
      <c r="B69" s="11" t="s">
        <v>49</v>
      </c>
      <c r="C69" s="11" t="s">
        <v>76</v>
      </c>
      <c r="D69" s="11" t="s">
        <v>184</v>
      </c>
      <c r="E69" s="11" t="s">
        <v>170</v>
      </c>
      <c r="F69" s="11" t="s">
        <v>171</v>
      </c>
      <c r="G69" s="35">
        <v>32885000</v>
      </c>
      <c r="H69" s="35">
        <v>3191000</v>
      </c>
      <c r="I69" s="35">
        <v>2905000</v>
      </c>
      <c r="J69" s="35">
        <v>26224000</v>
      </c>
      <c r="K69" s="35">
        <v>-4714000</v>
      </c>
      <c r="L69" s="35">
        <v>1354000</v>
      </c>
      <c r="M69" s="35">
        <v>61845000</v>
      </c>
      <c r="N69" s="35">
        <v>34628000</v>
      </c>
      <c r="O69" s="35">
        <v>14613000</v>
      </c>
      <c r="P69" s="35">
        <v>84000</v>
      </c>
      <c r="Q69" s="35">
        <v>10386000</v>
      </c>
      <c r="R69" s="35">
        <v>5700000</v>
      </c>
      <c r="S69" s="35">
        <v>504000</v>
      </c>
      <c r="T69" s="39">
        <v>65915000</v>
      </c>
      <c r="U69" s="35">
        <v>33204000</v>
      </c>
      <c r="V69" s="35">
        <v>11603000</v>
      </c>
      <c r="W69" s="39">
        <v>57000</v>
      </c>
      <c r="X69" s="35">
        <v>14939000</v>
      </c>
      <c r="Y69" s="35">
        <v>3977000</v>
      </c>
      <c r="Z69" s="39">
        <v>265000</v>
      </c>
      <c r="AA69" s="35">
        <v>64045000</v>
      </c>
    </row>
    <row r="70" spans="1:27" x14ac:dyDescent="0.2">
      <c r="A70" s="10">
        <v>641</v>
      </c>
      <c r="B70" s="11" t="s">
        <v>1</v>
      </c>
      <c r="C70" s="11" t="s">
        <v>68</v>
      </c>
      <c r="D70" s="11" t="s">
        <v>166</v>
      </c>
      <c r="E70" s="11" t="s">
        <v>167</v>
      </c>
      <c r="F70" s="11" t="s">
        <v>168</v>
      </c>
      <c r="G70" s="35">
        <v>220918000</v>
      </c>
      <c r="H70" s="35">
        <v>91676000</v>
      </c>
      <c r="I70" s="35">
        <v>12094000</v>
      </c>
      <c r="J70" s="35">
        <v>102015000</v>
      </c>
      <c r="K70" s="35">
        <v>16568000</v>
      </c>
      <c r="L70" s="35">
        <v>19291000</v>
      </c>
      <c r="M70" s="35">
        <v>462562000</v>
      </c>
      <c r="N70" s="35">
        <v>247806000</v>
      </c>
      <c r="O70" s="35">
        <v>82811000</v>
      </c>
      <c r="P70" s="35">
        <v>9054000</v>
      </c>
      <c r="Q70" s="35">
        <v>117483000</v>
      </c>
      <c r="R70" s="35">
        <v>14129000</v>
      </c>
      <c r="S70" s="35">
        <v>11448000</v>
      </c>
      <c r="T70" s="39">
        <v>482731000</v>
      </c>
      <c r="U70" s="35">
        <v>261870000</v>
      </c>
      <c r="V70" s="35">
        <v>87510000</v>
      </c>
      <c r="W70" s="39">
        <v>9570000</v>
      </c>
      <c r="X70" s="35">
        <v>124155000</v>
      </c>
      <c r="Y70" s="35">
        <v>14928000</v>
      </c>
      <c r="Z70" s="39">
        <v>12101000</v>
      </c>
      <c r="AA70" s="35">
        <v>510134000</v>
      </c>
    </row>
    <row r="71" spans="1:27" x14ac:dyDescent="0.2">
      <c r="A71" s="10">
        <v>642</v>
      </c>
      <c r="B71" s="11" t="s">
        <v>0</v>
      </c>
      <c r="C71" s="11" t="s">
        <v>68</v>
      </c>
      <c r="D71" s="11" t="s">
        <v>166</v>
      </c>
      <c r="E71" s="11" t="s">
        <v>167</v>
      </c>
      <c r="F71" s="11" t="s">
        <v>168</v>
      </c>
      <c r="G71" s="35">
        <v>112692000</v>
      </c>
      <c r="H71" s="35">
        <v>80428000</v>
      </c>
      <c r="I71" s="35">
        <v>4269000</v>
      </c>
      <c r="J71" s="35">
        <v>62175000</v>
      </c>
      <c r="K71" s="35">
        <v>18030000</v>
      </c>
      <c r="L71" s="35">
        <v>18313000</v>
      </c>
      <c r="M71" s="35">
        <v>295907000</v>
      </c>
      <c r="N71" s="35">
        <v>126429000</v>
      </c>
      <c r="O71" s="35">
        <v>78757000</v>
      </c>
      <c r="P71" s="35">
        <v>4691000</v>
      </c>
      <c r="Q71" s="35">
        <v>52344000</v>
      </c>
      <c r="R71" s="35">
        <v>17890000</v>
      </c>
      <c r="S71" s="35">
        <v>19300000</v>
      </c>
      <c r="T71" s="39">
        <v>299411000</v>
      </c>
      <c r="U71" s="35">
        <v>132544000</v>
      </c>
      <c r="V71" s="35">
        <v>83827000</v>
      </c>
      <c r="W71" s="39">
        <v>4917000</v>
      </c>
      <c r="X71" s="35">
        <v>55518000</v>
      </c>
      <c r="Y71" s="35">
        <v>19159000</v>
      </c>
      <c r="Z71" s="39">
        <v>20540000</v>
      </c>
      <c r="AA71" s="35">
        <v>316505000</v>
      </c>
    </row>
    <row r="72" spans="1:27" x14ac:dyDescent="0.2">
      <c r="A72" s="10">
        <v>861</v>
      </c>
      <c r="B72" s="11" t="s">
        <v>28</v>
      </c>
      <c r="C72" s="11" t="s">
        <v>79</v>
      </c>
      <c r="D72" s="11" t="s">
        <v>177</v>
      </c>
      <c r="E72" s="11" t="s">
        <v>167</v>
      </c>
      <c r="F72" s="11" t="s">
        <v>171</v>
      </c>
      <c r="G72" s="35">
        <v>146113000</v>
      </c>
      <c r="H72" s="35">
        <v>35248000</v>
      </c>
      <c r="I72" s="35">
        <v>677000</v>
      </c>
      <c r="J72" s="35">
        <v>141676000</v>
      </c>
      <c r="K72" s="35">
        <v>2006000</v>
      </c>
      <c r="L72" s="35">
        <v>-6652000</v>
      </c>
      <c r="M72" s="35">
        <v>319068000</v>
      </c>
      <c r="N72" s="35">
        <v>198057000</v>
      </c>
      <c r="O72" s="35">
        <v>47092000</v>
      </c>
      <c r="P72" s="35">
        <v>730000</v>
      </c>
      <c r="Q72" s="35">
        <v>152708000</v>
      </c>
      <c r="R72" s="35">
        <v>1477000</v>
      </c>
      <c r="S72" s="35">
        <v>-1664000</v>
      </c>
      <c r="T72" s="39">
        <v>398400000</v>
      </c>
      <c r="U72" s="35">
        <v>207352000</v>
      </c>
      <c r="V72" s="35">
        <v>48326000</v>
      </c>
      <c r="W72" s="39">
        <v>898000</v>
      </c>
      <c r="X72" s="35">
        <v>152901000</v>
      </c>
      <c r="Y72" s="35">
        <v>2737000</v>
      </c>
      <c r="Z72" s="39">
        <v>-2223000</v>
      </c>
      <c r="AA72" s="35">
        <v>409991000</v>
      </c>
    </row>
    <row r="73" spans="1:27" x14ac:dyDescent="0.2">
      <c r="A73" s="10">
        <v>862</v>
      </c>
      <c r="B73" s="11" t="s">
        <v>26</v>
      </c>
      <c r="C73" s="11" t="s">
        <v>79</v>
      </c>
      <c r="D73" s="11" t="s">
        <v>173</v>
      </c>
      <c r="E73" s="11" t="s">
        <v>167</v>
      </c>
      <c r="F73" s="11" t="s">
        <v>171</v>
      </c>
      <c r="G73" s="35">
        <v>91561000</v>
      </c>
      <c r="H73" s="35">
        <v>25068000</v>
      </c>
      <c r="I73" s="35">
        <v>573000</v>
      </c>
      <c r="J73" s="35">
        <v>75295000</v>
      </c>
      <c r="K73" s="35">
        <v>9376000</v>
      </c>
      <c r="L73" s="35">
        <v>7307000</v>
      </c>
      <c r="M73" s="35">
        <v>209180000</v>
      </c>
      <c r="N73" s="35">
        <v>100855000</v>
      </c>
      <c r="O73" s="35">
        <v>34913000</v>
      </c>
      <c r="P73" s="35">
        <v>764000</v>
      </c>
      <c r="Q73" s="35">
        <v>81805000</v>
      </c>
      <c r="R73" s="35">
        <v>2298000</v>
      </c>
      <c r="S73" s="35">
        <v>1541000</v>
      </c>
      <c r="T73" s="39">
        <v>222176000</v>
      </c>
      <c r="U73" s="35">
        <v>104617000</v>
      </c>
      <c r="V73" s="35">
        <v>34622000</v>
      </c>
      <c r="W73" s="39">
        <v>535000</v>
      </c>
      <c r="X73" s="35">
        <v>87760000</v>
      </c>
      <c r="Y73" s="35">
        <v>2951000</v>
      </c>
      <c r="Z73" s="39">
        <v>1651000</v>
      </c>
      <c r="AA73" s="35">
        <v>232136000</v>
      </c>
    </row>
    <row r="74" spans="1:27" x14ac:dyDescent="0.2">
      <c r="A74" s="10">
        <v>863</v>
      </c>
      <c r="B74" s="11" t="s">
        <v>27</v>
      </c>
      <c r="C74" s="11" t="s">
        <v>79</v>
      </c>
      <c r="D74" s="11" t="s">
        <v>173</v>
      </c>
      <c r="E74" s="11" t="s">
        <v>167</v>
      </c>
      <c r="F74" s="11" t="s">
        <v>171</v>
      </c>
      <c r="G74" s="35">
        <v>40871000</v>
      </c>
      <c r="H74" s="35">
        <v>16023000</v>
      </c>
      <c r="I74" s="35">
        <v>144000</v>
      </c>
      <c r="J74" s="35">
        <v>37445000</v>
      </c>
      <c r="K74" s="35">
        <v>2100000</v>
      </c>
      <c r="L74" s="35">
        <v>-6300000</v>
      </c>
      <c r="M74" s="35">
        <v>90283000</v>
      </c>
      <c r="N74" s="35">
        <v>28281000</v>
      </c>
      <c r="O74" s="35">
        <v>15648000</v>
      </c>
      <c r="P74" s="35">
        <v>150000</v>
      </c>
      <c r="Q74" s="35">
        <v>32534000</v>
      </c>
      <c r="R74" s="35">
        <v>1410000</v>
      </c>
      <c r="S74" s="35">
        <v>-2828000</v>
      </c>
      <c r="T74" s="39">
        <v>75195000</v>
      </c>
      <c r="U74" s="35">
        <v>31505000</v>
      </c>
      <c r="V74" s="35">
        <v>16037000</v>
      </c>
      <c r="W74" s="39">
        <v>139000</v>
      </c>
      <c r="X74" s="35">
        <v>35304000</v>
      </c>
      <c r="Y74" s="35">
        <v>1800000</v>
      </c>
      <c r="Z74" s="39">
        <v>-2451000</v>
      </c>
      <c r="AA74" s="35">
        <v>82334000</v>
      </c>
    </row>
    <row r="75" spans="1:27" x14ac:dyDescent="0.2">
      <c r="A75" s="18">
        <v>1069</v>
      </c>
      <c r="B75" s="19" t="s">
        <v>121</v>
      </c>
      <c r="C75" s="19" t="s">
        <v>80</v>
      </c>
      <c r="D75" s="11" t="s">
        <v>177</v>
      </c>
      <c r="E75" s="11" t="s">
        <v>167</v>
      </c>
      <c r="F75" s="11" t="s">
        <v>171</v>
      </c>
      <c r="G75" s="40">
        <v>116133000</v>
      </c>
      <c r="H75" s="40">
        <v>39737000</v>
      </c>
      <c r="I75" s="40">
        <v>2473000</v>
      </c>
      <c r="J75" s="40">
        <v>197098000</v>
      </c>
      <c r="K75" s="40">
        <v>-8177000</v>
      </c>
      <c r="L75" s="40">
        <v>-27132000</v>
      </c>
      <c r="M75" s="40">
        <v>320132000</v>
      </c>
      <c r="N75" s="40">
        <v>139184000</v>
      </c>
      <c r="O75" s="40">
        <v>53380000</v>
      </c>
      <c r="P75" s="40">
        <v>2769000</v>
      </c>
      <c r="Q75" s="40">
        <v>206270000</v>
      </c>
      <c r="R75" s="40">
        <v>-7558000</v>
      </c>
      <c r="S75" s="40">
        <v>-27476000</v>
      </c>
      <c r="T75" s="41">
        <v>366569000</v>
      </c>
      <c r="U75" s="35">
        <v>167642000</v>
      </c>
      <c r="V75" s="35">
        <v>52762000</v>
      </c>
      <c r="W75" s="39">
        <v>4894000</v>
      </c>
      <c r="X75" s="35">
        <v>232775000</v>
      </c>
      <c r="Y75" s="35">
        <v>-17142000</v>
      </c>
      <c r="Z75" s="39">
        <v>-30686000</v>
      </c>
      <c r="AA75" s="35">
        <v>410245000</v>
      </c>
    </row>
    <row r="76" spans="1:27" ht="15" thickBot="1" x14ac:dyDescent="0.25">
      <c r="A76" s="10">
        <v>1169</v>
      </c>
      <c r="B76" s="11" t="s">
        <v>252</v>
      </c>
      <c r="C76" s="11" t="s">
        <v>80</v>
      </c>
      <c r="D76" s="11" t="s">
        <v>187</v>
      </c>
      <c r="E76" s="11" t="s">
        <v>167</v>
      </c>
      <c r="F76" s="11" t="s">
        <v>168</v>
      </c>
      <c r="G76" s="35"/>
      <c r="H76" s="35"/>
      <c r="I76" s="35"/>
      <c r="J76" s="35"/>
      <c r="K76" s="35"/>
      <c r="L76" s="35"/>
      <c r="M76" s="35"/>
      <c r="N76" s="35"/>
      <c r="O76" s="35"/>
      <c r="P76" s="35"/>
      <c r="Q76" s="35"/>
      <c r="R76" s="35"/>
      <c r="S76" s="35"/>
      <c r="T76" s="39"/>
      <c r="U76" s="35">
        <v>5270000</v>
      </c>
      <c r="V76" s="35">
        <v>2411000</v>
      </c>
      <c r="W76" s="39">
        <v>77000</v>
      </c>
      <c r="X76" s="35">
        <v>3102000</v>
      </c>
      <c r="Y76" s="35">
        <v>-765000</v>
      </c>
      <c r="Z76" s="39">
        <v>-4000</v>
      </c>
      <c r="AA76" s="35">
        <v>10091000</v>
      </c>
    </row>
    <row r="77" spans="1:27" ht="15.75" thickBot="1" x14ac:dyDescent="0.3">
      <c r="C77" s="24" t="s">
        <v>108</v>
      </c>
      <c r="G77" s="26">
        <f>SUM(Table2[[2021 Medicare ]])</f>
        <v>10865323000</v>
      </c>
      <c r="H77" s="26">
        <f>SUM(Table2[[2021 Medicaid ]])</f>
        <v>4297943000</v>
      </c>
      <c r="I77" s="26">
        <f>SUM(Table2[2021 Champus/ Tricare ])</f>
        <v>141646000</v>
      </c>
      <c r="J77" s="26">
        <f>SUM(Table2[[2021 Commercial Insurance ]])</f>
        <v>11089412000</v>
      </c>
      <c r="K77" s="26">
        <f>SUM(Table2[2021 Uninsured])</f>
        <v>347239000</v>
      </c>
      <c r="L77" s="26">
        <f>SUM(Table2[[2021 Others ]])</f>
        <v>735506000</v>
      </c>
      <c r="M77" s="26">
        <f>SUM(Table2[2021 Total])</f>
        <v>27477069000</v>
      </c>
      <c r="N77" s="26">
        <f>SUM(Table2[2022 Medicare])</f>
        <v>11409474000</v>
      </c>
      <c r="O77" s="26">
        <f>SUM(Table2[2022 Medicaid])</f>
        <v>5121408000</v>
      </c>
      <c r="P77" s="26">
        <f>SUM(Table2[2022 Champus/ Tricare])</f>
        <v>143142000</v>
      </c>
      <c r="Q77" s="26">
        <f>SUM(Table2[2022 Commercial Insurance])</f>
        <v>12216622000</v>
      </c>
      <c r="R77" s="26">
        <f>SUM(Table2[2022 Uninsured])</f>
        <v>-279783000</v>
      </c>
      <c r="S77" s="26">
        <f>SUM(Table2[2022 Others])</f>
        <v>465255000</v>
      </c>
      <c r="T77" s="26">
        <f>SUM(Table2[[2022 Total ]])</f>
        <v>29076120000</v>
      </c>
      <c r="U77" s="26">
        <f>SUM(Table2[2023 Medicare])</f>
        <v>12290785000</v>
      </c>
      <c r="V77" s="26">
        <f>SUM(Table2[2023 Medicaid])</f>
        <v>5563960000</v>
      </c>
      <c r="W77" s="26">
        <f>SUM(Table2[2023 Champus/ Tricare])</f>
        <v>137653000</v>
      </c>
      <c r="X77" s="26">
        <f>SUM(Table2[2023 Commercial Insurance])</f>
        <v>13466179000</v>
      </c>
      <c r="Y77" s="26">
        <f>SUM(Table2[2023 Uninsured])</f>
        <v>-645770000</v>
      </c>
      <c r="Z77" s="26">
        <f>SUM(Table2[2023 Others])</f>
        <v>621752000</v>
      </c>
      <c r="AA77" s="27">
        <f>SUM(Table2[2023 Total])</f>
        <v>31434559000</v>
      </c>
    </row>
    <row r="79" spans="1:27" x14ac:dyDescent="0.2">
      <c r="A79" s="67"/>
      <c r="B79" s="67"/>
      <c r="C79" s="67"/>
      <c r="D79" s="67"/>
      <c r="E79" s="67"/>
      <c r="F79" s="67"/>
      <c r="G79" s="67"/>
      <c r="H79" s="67"/>
      <c r="I79" s="67"/>
    </row>
    <row r="80" spans="1:27" x14ac:dyDescent="0.2">
      <c r="A80" s="68" t="s">
        <v>124</v>
      </c>
      <c r="B80" s="67"/>
      <c r="C80" s="67"/>
      <c r="D80" s="67"/>
      <c r="E80" s="67"/>
      <c r="F80" s="67"/>
      <c r="G80" s="67"/>
      <c r="H80" s="67"/>
      <c r="I80" s="67"/>
    </row>
    <row r="81" spans="1:21" ht="33" customHeight="1" x14ac:dyDescent="0.2">
      <c r="A81" s="101" t="s">
        <v>125</v>
      </c>
      <c r="B81" s="101"/>
      <c r="C81" s="101"/>
      <c r="D81" s="101"/>
      <c r="E81" s="101"/>
      <c r="F81" s="101"/>
      <c r="G81" s="101"/>
      <c r="H81" s="101"/>
      <c r="I81" s="101"/>
    </row>
    <row r="82" spans="1:21" ht="33" customHeight="1" x14ac:dyDescent="0.2">
      <c r="A82" s="101" t="s">
        <v>218</v>
      </c>
      <c r="B82" s="101"/>
      <c r="C82" s="101"/>
      <c r="D82" s="101"/>
      <c r="E82" s="101"/>
      <c r="F82" s="101"/>
      <c r="G82" s="101"/>
      <c r="H82" s="101"/>
      <c r="I82" s="101"/>
    </row>
    <row r="83" spans="1:21" x14ac:dyDescent="0.2">
      <c r="A83" s="101" t="s">
        <v>286</v>
      </c>
      <c r="B83" s="101"/>
      <c r="C83" s="101"/>
      <c r="D83" s="101"/>
      <c r="E83" s="101"/>
      <c r="F83" s="101"/>
      <c r="G83" s="101"/>
      <c r="H83" s="101"/>
      <c r="I83" s="101"/>
      <c r="J83" s="101"/>
      <c r="K83" s="101"/>
      <c r="L83" s="101"/>
      <c r="M83" s="101"/>
      <c r="N83" s="101"/>
      <c r="O83" s="101"/>
      <c r="P83" s="101"/>
      <c r="Q83" s="101"/>
      <c r="R83" s="101"/>
      <c r="S83" s="101"/>
      <c r="T83" s="101"/>
      <c r="U83" s="101"/>
    </row>
    <row r="84" spans="1:21" x14ac:dyDescent="0.2">
      <c r="A84" s="87" t="s">
        <v>219</v>
      </c>
      <c r="B84" s="86"/>
      <c r="C84" s="86"/>
      <c r="D84" s="86"/>
      <c r="E84" s="86"/>
      <c r="F84" s="86"/>
      <c r="G84" s="86"/>
      <c r="H84" s="86"/>
      <c r="I84" s="86"/>
      <c r="J84" s="86"/>
      <c r="K84" s="86"/>
      <c r="L84" s="86"/>
      <c r="M84" s="86"/>
      <c r="N84" s="86"/>
      <c r="O84" s="86"/>
      <c r="P84" s="86"/>
      <c r="Q84" s="86"/>
      <c r="R84" s="86"/>
      <c r="S84" s="86"/>
      <c r="T84" s="86"/>
      <c r="U84" s="86"/>
    </row>
    <row r="86" spans="1:21" ht="18" x14ac:dyDescent="0.25">
      <c r="A86" s="102" t="s">
        <v>85</v>
      </c>
      <c r="B86" s="102"/>
      <c r="C86" s="102"/>
      <c r="D86" s="80"/>
      <c r="E86" s="80"/>
      <c r="F86" s="80"/>
    </row>
    <row r="87" spans="1:21" ht="15" x14ac:dyDescent="0.2">
      <c r="A87" s="28" t="s">
        <v>86</v>
      </c>
      <c r="B87" s="103" t="s">
        <v>91</v>
      </c>
      <c r="C87" s="103"/>
      <c r="D87" s="71"/>
      <c r="E87" s="71"/>
      <c r="F87" s="71"/>
    </row>
    <row r="88" spans="1:21" ht="15" x14ac:dyDescent="0.2">
      <c r="A88" s="28" t="s">
        <v>87</v>
      </c>
      <c r="B88" s="103" t="s">
        <v>84</v>
      </c>
      <c r="C88" s="103"/>
      <c r="D88" s="71"/>
      <c r="E88" s="71"/>
      <c r="F88" s="71"/>
    </row>
    <row r="89" spans="1:21" ht="14.25" customHeight="1" x14ac:dyDescent="0.2">
      <c r="A89" s="28" t="s">
        <v>88</v>
      </c>
      <c r="B89" s="110" t="s">
        <v>92</v>
      </c>
      <c r="C89" s="110"/>
      <c r="D89" s="74"/>
      <c r="E89" s="74"/>
      <c r="F89" s="74"/>
    </row>
    <row r="90" spans="1:21" ht="14.25" customHeight="1" x14ac:dyDescent="0.2">
      <c r="A90" s="44" t="s">
        <v>89</v>
      </c>
      <c r="B90" s="98" t="s">
        <v>193</v>
      </c>
      <c r="C90" s="98"/>
      <c r="D90" s="74"/>
      <c r="E90" s="74"/>
      <c r="F90" s="74"/>
    </row>
    <row r="91" spans="1:21" ht="14.25" customHeight="1" x14ac:dyDescent="0.2">
      <c r="A91" s="44" t="s">
        <v>90</v>
      </c>
      <c r="B91" s="98" t="s">
        <v>194</v>
      </c>
      <c r="C91" s="98"/>
      <c r="D91" s="74"/>
      <c r="E91" s="74"/>
      <c r="F91" s="74"/>
    </row>
    <row r="92" spans="1:21" ht="14.25" customHeight="1" x14ac:dyDescent="0.2">
      <c r="A92" s="44" t="s">
        <v>93</v>
      </c>
      <c r="B92" s="104" t="s">
        <v>195</v>
      </c>
      <c r="C92" s="104"/>
      <c r="D92" s="74"/>
      <c r="E92" s="74"/>
      <c r="F92" s="74"/>
    </row>
    <row r="93" spans="1:21" ht="15" x14ac:dyDescent="0.2">
      <c r="A93" s="28" t="s">
        <v>202</v>
      </c>
      <c r="B93" s="98" t="s">
        <v>296</v>
      </c>
      <c r="C93" s="98"/>
      <c r="D93" s="72"/>
      <c r="E93" s="72"/>
      <c r="F93" s="72"/>
    </row>
    <row r="94" spans="1:21" ht="15" x14ac:dyDescent="0.2">
      <c r="A94" s="29" t="s">
        <v>205</v>
      </c>
      <c r="B94" s="98" t="s">
        <v>106</v>
      </c>
      <c r="C94" s="98"/>
      <c r="D94" s="72"/>
      <c r="E94" s="72"/>
      <c r="F94" s="72"/>
    </row>
    <row r="95" spans="1:21" ht="15" x14ac:dyDescent="0.2">
      <c r="A95" s="28" t="s">
        <v>213</v>
      </c>
      <c r="B95" s="98" t="s">
        <v>244</v>
      </c>
      <c r="C95" s="98"/>
      <c r="D95" s="72"/>
      <c r="E95" s="72"/>
      <c r="F95" s="72"/>
    </row>
    <row r="96" spans="1:21" ht="15" x14ac:dyDescent="0.2">
      <c r="A96" s="28" t="s">
        <v>211</v>
      </c>
      <c r="B96" s="98" t="s">
        <v>225</v>
      </c>
      <c r="C96" s="98"/>
      <c r="D96" s="72"/>
      <c r="E96" s="72"/>
      <c r="F96" s="72"/>
    </row>
    <row r="97" spans="1:6" ht="15" x14ac:dyDescent="0.2">
      <c r="A97" s="28" t="s">
        <v>214</v>
      </c>
      <c r="B97" s="98" t="s">
        <v>297</v>
      </c>
      <c r="C97" s="98"/>
      <c r="D97" s="72"/>
      <c r="E97" s="72"/>
      <c r="F97" s="72"/>
    </row>
    <row r="98" spans="1:6" ht="15" x14ac:dyDescent="0.2">
      <c r="A98" s="28" t="s">
        <v>215</v>
      </c>
      <c r="B98" s="98" t="s">
        <v>298</v>
      </c>
      <c r="C98" s="98"/>
      <c r="D98" s="72"/>
      <c r="E98" s="72"/>
      <c r="F98" s="72"/>
    </row>
  </sheetData>
  <sheetProtection algorithmName="SHA-512" hashValue="f1vpt259vPgjRm5XPswGAO7AIhMXTv8HwSmWJrwKx6Vzq2It1YjntP1UjWGG2r0cE0uMBjnqyTlQZEwidwWaTQ==" saltValue="IOjptWNgw3OBiD1aCqwh+A==" spinCount="100000" sheet="1" objects="1" scenarios="1" selectLockedCells="1" selectUnlockedCells="1"/>
  <mergeCells count="17">
    <mergeCell ref="B90:C90"/>
    <mergeCell ref="B91:C91"/>
    <mergeCell ref="B92:C92"/>
    <mergeCell ref="B93:C93"/>
    <mergeCell ref="A1:AA1"/>
    <mergeCell ref="A86:C86"/>
    <mergeCell ref="B87:C87"/>
    <mergeCell ref="B88:C88"/>
    <mergeCell ref="B89:C89"/>
    <mergeCell ref="A81:I81"/>
    <mergeCell ref="A82:I82"/>
    <mergeCell ref="A83:U83"/>
    <mergeCell ref="B94:C94"/>
    <mergeCell ref="B95:C95"/>
    <mergeCell ref="B96:C96"/>
    <mergeCell ref="B97:C97"/>
    <mergeCell ref="B98:C98"/>
  </mergeCells>
  <phoneticPr fontId="11" type="noConversion"/>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EDCAE-6704-4BA8-BC9D-876189AA6F1F}">
  <dimension ref="A1:AH96"/>
  <sheetViews>
    <sheetView zoomScale="60" zoomScaleNormal="60" workbookViewId="0">
      <selection activeCell="G107" sqref="G107"/>
    </sheetView>
  </sheetViews>
  <sheetFormatPr defaultRowHeight="15" x14ac:dyDescent="0.25"/>
  <cols>
    <col min="1" max="1" width="26.42578125" customWidth="1"/>
    <col min="2" max="2" width="76.28515625" customWidth="1"/>
    <col min="3" max="3" width="47" customWidth="1"/>
    <col min="4" max="4" width="17.28515625" bestFit="1" customWidth="1"/>
    <col min="5" max="5" width="18.7109375" bestFit="1" customWidth="1"/>
    <col min="6" max="6" width="22.85546875" customWidth="1"/>
    <col min="7" max="8" width="25.85546875" bestFit="1" customWidth="1"/>
    <col min="9" max="9" width="26.28515625" bestFit="1" customWidth="1"/>
    <col min="10" max="10" width="28.28515625" bestFit="1" customWidth="1"/>
    <col min="11" max="11" width="26.5703125" bestFit="1" customWidth="1"/>
    <col min="12" max="12" width="22.7109375" bestFit="1" customWidth="1"/>
    <col min="13" max="13" width="23.42578125" bestFit="1" customWidth="1"/>
    <col min="14" max="15" width="26.28515625" bestFit="1" customWidth="1"/>
    <col min="16" max="16" width="26.85546875" bestFit="1" customWidth="1"/>
    <col min="17" max="17" width="29" bestFit="1" customWidth="1"/>
    <col min="18" max="18" width="27" bestFit="1" customWidth="1"/>
    <col min="19" max="19" width="23.28515625" bestFit="1" customWidth="1"/>
    <col min="20" max="20" width="23" bestFit="1" customWidth="1"/>
    <col min="21" max="22" width="25.85546875" bestFit="1" customWidth="1"/>
    <col min="23" max="23" width="26.28515625" bestFit="1" customWidth="1"/>
    <col min="24" max="24" width="28.28515625" bestFit="1" customWidth="1"/>
    <col min="25" max="25" width="26.5703125" bestFit="1" customWidth="1"/>
    <col min="26" max="26" width="22.7109375" bestFit="1" customWidth="1"/>
    <col min="27" max="27" width="23" bestFit="1" customWidth="1"/>
    <col min="28" max="28" width="16.28515625" bestFit="1" customWidth="1"/>
    <col min="29" max="30" width="11" bestFit="1" customWidth="1"/>
    <col min="32" max="32" width="25.140625" bestFit="1" customWidth="1"/>
    <col min="33" max="33" width="11" bestFit="1" customWidth="1"/>
  </cols>
  <sheetData>
    <row r="1" spans="1:34" ht="24" thickBot="1" x14ac:dyDescent="0.4">
      <c r="A1" s="99" t="s">
        <v>268</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9"/>
    </row>
    <row r="2" spans="1:34" x14ac:dyDescent="0.25">
      <c r="A2" s="2"/>
      <c r="B2" s="2"/>
      <c r="C2" s="2"/>
      <c r="D2" s="2"/>
      <c r="E2" s="2"/>
      <c r="F2" s="2"/>
      <c r="G2" s="2"/>
      <c r="H2" s="2"/>
      <c r="I2" s="2"/>
      <c r="J2" s="2"/>
      <c r="K2" s="2"/>
      <c r="L2" s="2"/>
      <c r="M2" s="2"/>
      <c r="N2" s="2"/>
      <c r="O2" s="2"/>
      <c r="P2" s="2"/>
      <c r="Q2" s="2"/>
      <c r="R2" s="2"/>
      <c r="S2" s="2"/>
      <c r="T2" s="2"/>
      <c r="U2" s="2"/>
      <c r="V2" s="2"/>
      <c r="W2" s="2"/>
      <c r="X2" s="2"/>
      <c r="Y2" s="2"/>
      <c r="Z2" s="2"/>
      <c r="AA2" s="2"/>
    </row>
    <row r="3" spans="1:34" x14ac:dyDescent="0.25">
      <c r="A3" s="7" t="s">
        <v>83</v>
      </c>
      <c r="B3" s="8" t="s">
        <v>84</v>
      </c>
      <c r="C3" s="8" t="s">
        <v>92</v>
      </c>
      <c r="D3" s="8" t="s">
        <v>163</v>
      </c>
      <c r="E3" s="8" t="s">
        <v>164</v>
      </c>
      <c r="F3" s="8" t="s">
        <v>165</v>
      </c>
      <c r="G3" s="8" t="s">
        <v>100</v>
      </c>
      <c r="H3" s="8" t="s">
        <v>101</v>
      </c>
      <c r="I3" s="8" t="s">
        <v>105</v>
      </c>
      <c r="J3" s="8" t="s">
        <v>102</v>
      </c>
      <c r="K3" s="8" t="s">
        <v>201</v>
      </c>
      <c r="L3" s="8" t="s">
        <v>104</v>
      </c>
      <c r="M3" s="8" t="s">
        <v>253</v>
      </c>
      <c r="N3" s="8" t="s">
        <v>228</v>
      </c>
      <c r="O3" s="8" t="s">
        <v>229</v>
      </c>
      <c r="P3" s="8" t="s">
        <v>230</v>
      </c>
      <c r="Q3" s="8" t="s">
        <v>231</v>
      </c>
      <c r="R3" s="8" t="s">
        <v>295</v>
      </c>
      <c r="S3" s="8" t="s">
        <v>233</v>
      </c>
      <c r="T3" s="8" t="s">
        <v>226</v>
      </c>
      <c r="U3" s="8" t="s">
        <v>254</v>
      </c>
      <c r="V3" s="8" t="s">
        <v>255</v>
      </c>
      <c r="W3" s="8" t="s">
        <v>256</v>
      </c>
      <c r="X3" s="8" t="s">
        <v>257</v>
      </c>
      <c r="Y3" s="8" t="s">
        <v>258</v>
      </c>
      <c r="Z3" s="8" t="s">
        <v>259</v>
      </c>
      <c r="AA3" s="9" t="s">
        <v>265</v>
      </c>
    </row>
    <row r="4" spans="1:34" x14ac:dyDescent="0.25">
      <c r="A4" s="10">
        <v>1</v>
      </c>
      <c r="B4" s="11" t="s">
        <v>18</v>
      </c>
      <c r="C4" s="11" t="s">
        <v>72</v>
      </c>
      <c r="D4" s="11" t="s">
        <v>169</v>
      </c>
      <c r="E4" s="11" t="s">
        <v>170</v>
      </c>
      <c r="F4" s="11" t="s">
        <v>171</v>
      </c>
      <c r="G4" s="35">
        <v>2492071000</v>
      </c>
      <c r="H4" s="35">
        <v>977565000</v>
      </c>
      <c r="I4" s="35">
        <v>0</v>
      </c>
      <c r="J4" s="35">
        <v>2665692000</v>
      </c>
      <c r="K4" s="35">
        <v>271187000</v>
      </c>
      <c r="L4" s="35">
        <v>0</v>
      </c>
      <c r="M4" s="35">
        <v>6406515000</v>
      </c>
      <c r="N4" s="35">
        <v>2611845000</v>
      </c>
      <c r="O4" s="35">
        <v>1228552000</v>
      </c>
      <c r="P4" s="35">
        <v>0</v>
      </c>
      <c r="Q4" s="35">
        <v>2549808000</v>
      </c>
      <c r="R4" s="35">
        <v>278526000</v>
      </c>
      <c r="S4" s="35">
        <v>0</v>
      </c>
      <c r="T4" s="35">
        <v>6668731000</v>
      </c>
      <c r="U4" s="35">
        <v>3355101000</v>
      </c>
      <c r="V4" s="35">
        <v>1497873000</v>
      </c>
      <c r="W4" s="35">
        <v>0</v>
      </c>
      <c r="X4" s="35">
        <v>2854509000</v>
      </c>
      <c r="Y4" s="35">
        <v>364660000</v>
      </c>
      <c r="Z4" s="35">
        <v>0</v>
      </c>
      <c r="AA4" s="35">
        <v>8072143000</v>
      </c>
      <c r="AC4" s="89"/>
      <c r="AD4" s="89"/>
      <c r="AE4" s="89"/>
      <c r="AF4" s="89"/>
      <c r="AG4" s="89"/>
      <c r="AH4" s="89"/>
    </row>
    <row r="5" spans="1:34" x14ac:dyDescent="0.25">
      <c r="A5" s="10">
        <v>2</v>
      </c>
      <c r="B5" s="11" t="s">
        <v>36</v>
      </c>
      <c r="C5" s="11" t="s">
        <v>69</v>
      </c>
      <c r="D5" s="11" t="s">
        <v>176</v>
      </c>
      <c r="E5" s="11" t="s">
        <v>170</v>
      </c>
      <c r="F5" s="11" t="s">
        <v>171</v>
      </c>
      <c r="G5" s="35">
        <v>874382000</v>
      </c>
      <c r="H5" s="35">
        <v>964154000</v>
      </c>
      <c r="I5" s="35">
        <v>1645000</v>
      </c>
      <c r="J5" s="35">
        <v>575558000</v>
      </c>
      <c r="K5" s="35">
        <v>188400000</v>
      </c>
      <c r="L5" s="35">
        <v>63184000</v>
      </c>
      <c r="M5" s="35">
        <v>2667323000</v>
      </c>
      <c r="N5" s="35">
        <v>869601000</v>
      </c>
      <c r="O5" s="35">
        <v>1086510000</v>
      </c>
      <c r="P5" s="35">
        <v>1956000</v>
      </c>
      <c r="Q5" s="35">
        <v>620717000</v>
      </c>
      <c r="R5" s="35">
        <v>188032000</v>
      </c>
      <c r="S5" s="35">
        <v>75570000</v>
      </c>
      <c r="T5" s="35">
        <v>2842386000</v>
      </c>
      <c r="U5" s="35">
        <v>1031259000</v>
      </c>
      <c r="V5" s="35">
        <v>1226353000</v>
      </c>
      <c r="W5" s="35">
        <v>549000</v>
      </c>
      <c r="X5" s="35">
        <v>608879000</v>
      </c>
      <c r="Y5" s="35">
        <v>198791000</v>
      </c>
      <c r="Z5" s="35">
        <v>68206000</v>
      </c>
      <c r="AA5" s="35">
        <v>3134037000</v>
      </c>
      <c r="AC5" s="89"/>
      <c r="AD5" s="89"/>
      <c r="AE5" s="89"/>
      <c r="AF5" s="89"/>
      <c r="AG5" s="89"/>
      <c r="AH5" s="89"/>
    </row>
    <row r="6" spans="1:34" x14ac:dyDescent="0.25">
      <c r="A6" s="10">
        <v>3</v>
      </c>
      <c r="B6" s="11" t="s">
        <v>15</v>
      </c>
      <c r="C6" s="11" t="s">
        <v>72</v>
      </c>
      <c r="D6" s="11" t="s">
        <v>178</v>
      </c>
      <c r="E6" s="11" t="s">
        <v>170</v>
      </c>
      <c r="F6" s="11" t="s">
        <v>171</v>
      </c>
      <c r="G6" s="35">
        <v>292893000</v>
      </c>
      <c r="H6" s="35">
        <v>214163000</v>
      </c>
      <c r="I6" s="35">
        <v>276000</v>
      </c>
      <c r="J6" s="35">
        <v>232393000</v>
      </c>
      <c r="K6" s="35">
        <v>115348000</v>
      </c>
      <c r="L6" s="35">
        <v>13162000</v>
      </c>
      <c r="M6" s="35">
        <v>868235000</v>
      </c>
      <c r="N6" s="35">
        <v>285473000</v>
      </c>
      <c r="O6" s="35">
        <v>240899000</v>
      </c>
      <c r="P6" s="35">
        <v>242000</v>
      </c>
      <c r="Q6" s="35">
        <v>254251000</v>
      </c>
      <c r="R6" s="35">
        <v>127092000</v>
      </c>
      <c r="S6" s="35">
        <v>14057000</v>
      </c>
      <c r="T6" s="35">
        <v>922014000</v>
      </c>
      <c r="U6" s="35">
        <v>289892000</v>
      </c>
      <c r="V6" s="35">
        <v>255996000</v>
      </c>
      <c r="W6" s="35">
        <v>0</v>
      </c>
      <c r="X6" s="35">
        <v>261046000</v>
      </c>
      <c r="Y6" s="35">
        <v>125658000</v>
      </c>
      <c r="Z6" s="35">
        <v>11883000</v>
      </c>
      <c r="AA6" s="35">
        <v>944475000</v>
      </c>
      <c r="AC6" s="89"/>
      <c r="AD6" s="89"/>
      <c r="AE6" s="89"/>
      <c r="AF6" s="89"/>
      <c r="AG6" s="89"/>
      <c r="AH6" s="89"/>
    </row>
    <row r="7" spans="1:34" x14ac:dyDescent="0.25">
      <c r="A7" s="10">
        <v>5</v>
      </c>
      <c r="B7" s="11" t="s">
        <v>23</v>
      </c>
      <c r="C7" s="11" t="s">
        <v>73</v>
      </c>
      <c r="D7" s="11" t="s">
        <v>179</v>
      </c>
      <c r="E7" s="11" t="s">
        <v>170</v>
      </c>
      <c r="F7" s="11" t="s">
        <v>168</v>
      </c>
      <c r="G7" s="35">
        <v>440471000</v>
      </c>
      <c r="H7" s="35">
        <v>101896000</v>
      </c>
      <c r="I7" s="35">
        <v>5232000</v>
      </c>
      <c r="J7" s="35">
        <v>354812000</v>
      </c>
      <c r="K7" s="35">
        <v>18289000</v>
      </c>
      <c r="L7" s="35">
        <v>23837000</v>
      </c>
      <c r="M7" s="35">
        <v>944537000</v>
      </c>
      <c r="N7" s="35">
        <v>480159000</v>
      </c>
      <c r="O7" s="35">
        <v>101514000</v>
      </c>
      <c r="P7" s="35">
        <v>4909000</v>
      </c>
      <c r="Q7" s="35">
        <v>355221000</v>
      </c>
      <c r="R7" s="35">
        <v>20815000</v>
      </c>
      <c r="S7" s="35">
        <v>24394000</v>
      </c>
      <c r="T7" s="35">
        <v>987012000</v>
      </c>
      <c r="U7" s="35">
        <v>517147000</v>
      </c>
      <c r="V7" s="35">
        <v>110836000</v>
      </c>
      <c r="W7" s="35">
        <v>5758000</v>
      </c>
      <c r="X7" s="35">
        <v>380998000</v>
      </c>
      <c r="Y7" s="35">
        <v>21012000</v>
      </c>
      <c r="Z7" s="35">
        <v>26718000</v>
      </c>
      <c r="AA7" s="35">
        <v>1062469000</v>
      </c>
      <c r="AC7" s="89"/>
      <c r="AD7" s="89"/>
      <c r="AE7" s="89"/>
      <c r="AF7" s="89"/>
      <c r="AG7" s="89"/>
      <c r="AH7" s="89"/>
    </row>
    <row r="8" spans="1:34" x14ac:dyDescent="0.25">
      <c r="A8" s="10">
        <v>6</v>
      </c>
      <c r="B8" s="11" t="s">
        <v>59</v>
      </c>
      <c r="C8" s="11" t="s">
        <v>76</v>
      </c>
      <c r="D8" s="11" t="s">
        <v>186</v>
      </c>
      <c r="E8" s="11" t="s">
        <v>170</v>
      </c>
      <c r="F8" s="11" t="s">
        <v>171</v>
      </c>
      <c r="G8" s="35">
        <v>364638000</v>
      </c>
      <c r="H8" s="35">
        <v>190862000</v>
      </c>
      <c r="I8" s="35">
        <v>398000</v>
      </c>
      <c r="J8" s="35">
        <v>184097000</v>
      </c>
      <c r="K8" s="35">
        <v>52245000</v>
      </c>
      <c r="L8" s="35">
        <v>22512000</v>
      </c>
      <c r="M8" s="35">
        <v>814752000</v>
      </c>
      <c r="N8" s="35">
        <v>347950000</v>
      </c>
      <c r="O8" s="35">
        <v>206958000</v>
      </c>
      <c r="P8" s="35">
        <v>647000</v>
      </c>
      <c r="Q8" s="35">
        <v>165353000</v>
      </c>
      <c r="R8" s="35">
        <v>65269000</v>
      </c>
      <c r="S8" s="35">
        <v>0</v>
      </c>
      <c r="T8" s="35">
        <v>786177000</v>
      </c>
      <c r="U8" s="35">
        <v>343764000</v>
      </c>
      <c r="V8" s="35">
        <v>210438000</v>
      </c>
      <c r="W8" s="35">
        <v>442000</v>
      </c>
      <c r="X8" s="35">
        <v>180686000</v>
      </c>
      <c r="Y8" s="35">
        <v>61414000</v>
      </c>
      <c r="Z8" s="35">
        <v>0</v>
      </c>
      <c r="AA8" s="35">
        <v>796744000</v>
      </c>
      <c r="AC8" s="89"/>
      <c r="AD8" s="89"/>
      <c r="AE8" s="89"/>
      <c r="AF8" s="89"/>
      <c r="AG8" s="89"/>
      <c r="AH8" s="89"/>
    </row>
    <row r="9" spans="1:34" x14ac:dyDescent="0.25">
      <c r="A9" s="10">
        <v>8</v>
      </c>
      <c r="B9" s="11" t="s">
        <v>21</v>
      </c>
      <c r="C9" s="11" t="s">
        <v>73</v>
      </c>
      <c r="D9" s="11" t="s">
        <v>169</v>
      </c>
      <c r="E9" s="11" t="s">
        <v>170</v>
      </c>
      <c r="F9" s="11" t="s">
        <v>171</v>
      </c>
      <c r="G9" s="35">
        <v>850453000</v>
      </c>
      <c r="H9" s="35">
        <v>291896000</v>
      </c>
      <c r="I9" s="35">
        <v>1816000</v>
      </c>
      <c r="J9" s="35">
        <v>516638000</v>
      </c>
      <c r="K9" s="35">
        <v>109962000</v>
      </c>
      <c r="L9" s="35">
        <v>22936000</v>
      </c>
      <c r="M9" s="35">
        <v>1793701000</v>
      </c>
      <c r="N9" s="35">
        <v>821563000</v>
      </c>
      <c r="O9" s="35">
        <v>303040000</v>
      </c>
      <c r="P9" s="35">
        <v>1529000</v>
      </c>
      <c r="Q9" s="35">
        <v>545904000</v>
      </c>
      <c r="R9" s="35">
        <v>40299000</v>
      </c>
      <c r="S9" s="35">
        <v>60600000</v>
      </c>
      <c r="T9" s="35">
        <v>1772935000</v>
      </c>
      <c r="U9" s="35">
        <v>871161000</v>
      </c>
      <c r="V9" s="35">
        <v>301062000</v>
      </c>
      <c r="W9" s="35">
        <v>1384000</v>
      </c>
      <c r="X9" s="35">
        <v>562393000</v>
      </c>
      <c r="Y9" s="35">
        <v>93528000</v>
      </c>
      <c r="Z9" s="35">
        <v>23215000</v>
      </c>
      <c r="AA9" s="35">
        <v>1852743000</v>
      </c>
      <c r="AC9" s="89"/>
      <c r="AD9" s="89"/>
      <c r="AE9" s="89"/>
      <c r="AF9" s="89"/>
      <c r="AG9" s="89"/>
      <c r="AH9" s="89"/>
    </row>
    <row r="10" spans="1:34" x14ac:dyDescent="0.25">
      <c r="A10" s="10">
        <v>9</v>
      </c>
      <c r="B10" s="11" t="s">
        <v>10</v>
      </c>
      <c r="C10" s="11" t="s">
        <v>69</v>
      </c>
      <c r="D10" s="11" t="s">
        <v>176</v>
      </c>
      <c r="E10" s="11" t="s">
        <v>170</v>
      </c>
      <c r="F10" s="11" t="s">
        <v>171</v>
      </c>
      <c r="G10" s="35">
        <v>664495000</v>
      </c>
      <c r="H10" s="35">
        <v>414214000</v>
      </c>
      <c r="I10" s="35">
        <v>553000</v>
      </c>
      <c r="J10" s="35">
        <v>362532000</v>
      </c>
      <c r="K10" s="35">
        <v>131317000</v>
      </c>
      <c r="L10" s="35">
        <v>40652000</v>
      </c>
      <c r="M10" s="35">
        <v>1613763000</v>
      </c>
      <c r="N10" s="35">
        <v>698533000</v>
      </c>
      <c r="O10" s="35">
        <v>463220000</v>
      </c>
      <c r="P10" s="35">
        <v>1073000</v>
      </c>
      <c r="Q10" s="35">
        <v>365102000</v>
      </c>
      <c r="R10" s="35">
        <v>119139000</v>
      </c>
      <c r="S10" s="35">
        <v>45010000</v>
      </c>
      <c r="T10" s="35">
        <v>1692077000</v>
      </c>
      <c r="U10" s="35">
        <v>726390000</v>
      </c>
      <c r="V10" s="35">
        <v>463992000</v>
      </c>
      <c r="W10" s="35">
        <v>1385000</v>
      </c>
      <c r="X10" s="35">
        <v>402357000</v>
      </c>
      <c r="Y10" s="35">
        <v>145037000</v>
      </c>
      <c r="Z10" s="35">
        <v>37947000</v>
      </c>
      <c r="AA10" s="35">
        <v>1777108000</v>
      </c>
      <c r="AC10" s="89"/>
      <c r="AD10" s="89"/>
      <c r="AE10" s="89"/>
      <c r="AF10" s="89"/>
      <c r="AG10" s="89"/>
      <c r="AH10" s="89"/>
    </row>
    <row r="11" spans="1:34" x14ac:dyDescent="0.25">
      <c r="A11" s="10">
        <v>10</v>
      </c>
      <c r="B11" s="11" t="s">
        <v>40</v>
      </c>
      <c r="C11" s="11" t="s">
        <v>78</v>
      </c>
      <c r="D11" s="11" t="s">
        <v>182</v>
      </c>
      <c r="E11" s="11" t="s">
        <v>181</v>
      </c>
      <c r="F11" s="11" t="s">
        <v>171</v>
      </c>
      <c r="G11" s="35">
        <v>813118000</v>
      </c>
      <c r="H11" s="35">
        <v>150742000</v>
      </c>
      <c r="I11" s="35">
        <v>0</v>
      </c>
      <c r="J11" s="35">
        <v>888922000</v>
      </c>
      <c r="K11" s="35">
        <v>74881000</v>
      </c>
      <c r="L11" s="35">
        <v>33933000</v>
      </c>
      <c r="M11" s="35">
        <v>1961596000</v>
      </c>
      <c r="N11" s="35">
        <v>988872000</v>
      </c>
      <c r="O11" s="35">
        <v>173384000</v>
      </c>
      <c r="P11" s="35">
        <v>0</v>
      </c>
      <c r="Q11" s="35">
        <v>1040054000</v>
      </c>
      <c r="R11" s="35">
        <v>70200000</v>
      </c>
      <c r="S11" s="35">
        <v>38465000</v>
      </c>
      <c r="T11" s="35">
        <v>2310975000</v>
      </c>
      <c r="U11" s="35">
        <v>1177071000</v>
      </c>
      <c r="V11" s="35">
        <v>200212000</v>
      </c>
      <c r="W11" s="35">
        <v>0</v>
      </c>
      <c r="X11" s="35">
        <v>1203828000</v>
      </c>
      <c r="Y11" s="35">
        <v>72722000</v>
      </c>
      <c r="Z11" s="35">
        <v>45339000</v>
      </c>
      <c r="AA11" s="35">
        <v>2699172000</v>
      </c>
      <c r="AC11" s="89"/>
      <c r="AD11" s="89"/>
      <c r="AE11" s="89"/>
      <c r="AF11" s="89"/>
      <c r="AG11" s="89"/>
      <c r="AH11" s="89"/>
    </row>
    <row r="12" spans="1:34" x14ac:dyDescent="0.25">
      <c r="A12" s="10">
        <v>11</v>
      </c>
      <c r="B12" s="11" t="s">
        <v>4</v>
      </c>
      <c r="C12" s="11" t="s">
        <v>73</v>
      </c>
      <c r="D12" s="11" t="s">
        <v>174</v>
      </c>
      <c r="E12" s="11" t="s">
        <v>167</v>
      </c>
      <c r="F12" s="11" t="s">
        <v>168</v>
      </c>
      <c r="G12" s="35">
        <v>474734000</v>
      </c>
      <c r="H12" s="35">
        <v>149851000</v>
      </c>
      <c r="I12" s="35">
        <v>17197000</v>
      </c>
      <c r="J12" s="35">
        <v>226864000</v>
      </c>
      <c r="K12" s="35">
        <v>23421000</v>
      </c>
      <c r="L12" s="35">
        <v>11132000</v>
      </c>
      <c r="M12" s="35">
        <v>903199000</v>
      </c>
      <c r="N12" s="35">
        <v>477552000</v>
      </c>
      <c r="O12" s="35">
        <v>142616000</v>
      </c>
      <c r="P12" s="35">
        <v>19947000</v>
      </c>
      <c r="Q12" s="35">
        <v>206394000</v>
      </c>
      <c r="R12" s="35">
        <v>18644000</v>
      </c>
      <c r="S12" s="35">
        <v>11881000</v>
      </c>
      <c r="T12" s="35">
        <v>877034000</v>
      </c>
      <c r="U12" s="35">
        <v>537462000</v>
      </c>
      <c r="V12" s="35">
        <v>139615000</v>
      </c>
      <c r="W12" s="35">
        <v>22827000</v>
      </c>
      <c r="X12" s="35">
        <v>199757000</v>
      </c>
      <c r="Y12" s="35">
        <v>21724000</v>
      </c>
      <c r="Z12" s="35">
        <v>10897000</v>
      </c>
      <c r="AA12" s="35">
        <v>932282000</v>
      </c>
      <c r="AC12" s="89"/>
      <c r="AD12" s="89"/>
      <c r="AE12" s="89"/>
      <c r="AF12" s="89"/>
      <c r="AG12" s="89"/>
      <c r="AH12" s="89"/>
    </row>
    <row r="13" spans="1:34" x14ac:dyDescent="0.25">
      <c r="A13" s="10">
        <v>12</v>
      </c>
      <c r="B13" s="11" t="s">
        <v>62</v>
      </c>
      <c r="C13" s="11" t="s">
        <v>73</v>
      </c>
      <c r="D13" s="11" t="s">
        <v>169</v>
      </c>
      <c r="E13" s="11" t="s">
        <v>170</v>
      </c>
      <c r="F13" s="11" t="s">
        <v>171</v>
      </c>
      <c r="G13" s="35">
        <v>1424968000</v>
      </c>
      <c r="H13" s="35">
        <v>105645000</v>
      </c>
      <c r="I13" s="35">
        <v>0</v>
      </c>
      <c r="J13" s="35">
        <v>1163497000</v>
      </c>
      <c r="K13" s="35">
        <v>42484000</v>
      </c>
      <c r="L13" s="35">
        <v>63831000</v>
      </c>
      <c r="M13" s="35">
        <v>2800425000</v>
      </c>
      <c r="N13" s="35">
        <v>1575182000</v>
      </c>
      <c r="O13" s="35">
        <v>127387000</v>
      </c>
      <c r="P13" s="35">
        <v>0</v>
      </c>
      <c r="Q13" s="35">
        <v>1236228000</v>
      </c>
      <c r="R13" s="35">
        <v>48099000</v>
      </c>
      <c r="S13" s="35">
        <v>59830000</v>
      </c>
      <c r="T13" s="35">
        <v>3046726000</v>
      </c>
      <c r="U13" s="35">
        <v>1717560000</v>
      </c>
      <c r="V13" s="35">
        <v>142672000</v>
      </c>
      <c r="W13" s="35">
        <v>0</v>
      </c>
      <c r="X13" s="35">
        <v>1269031000</v>
      </c>
      <c r="Y13" s="35">
        <v>50055000</v>
      </c>
      <c r="Z13" s="35">
        <v>84617000</v>
      </c>
      <c r="AA13" s="35">
        <v>3263935000</v>
      </c>
      <c r="AC13" s="89"/>
      <c r="AD13" s="89"/>
      <c r="AE13" s="89"/>
      <c r="AF13" s="89"/>
      <c r="AG13" s="89"/>
      <c r="AH13" s="89"/>
    </row>
    <row r="14" spans="1:34" x14ac:dyDescent="0.25">
      <c r="A14" s="10">
        <v>14</v>
      </c>
      <c r="B14" s="11" t="s">
        <v>12</v>
      </c>
      <c r="C14" s="11" t="s">
        <v>73</v>
      </c>
      <c r="D14" s="11" t="s">
        <v>173</v>
      </c>
      <c r="E14" s="11" t="s">
        <v>167</v>
      </c>
      <c r="F14" s="11" t="s">
        <v>171</v>
      </c>
      <c r="G14" s="35">
        <v>2416612000</v>
      </c>
      <c r="H14" s="35">
        <v>1512038000</v>
      </c>
      <c r="I14" s="35">
        <v>42750000</v>
      </c>
      <c r="J14" s="35">
        <v>1471880000</v>
      </c>
      <c r="K14" s="35">
        <v>117090000</v>
      </c>
      <c r="L14" s="35">
        <v>134319000</v>
      </c>
      <c r="M14" s="35">
        <v>5694689000</v>
      </c>
      <c r="N14" s="35">
        <v>2539466000</v>
      </c>
      <c r="O14" s="35">
        <v>1558183000</v>
      </c>
      <c r="P14" s="35">
        <v>62058000</v>
      </c>
      <c r="Q14" s="35">
        <v>1481420000</v>
      </c>
      <c r="R14" s="35">
        <v>131515000</v>
      </c>
      <c r="S14" s="35">
        <v>132500000</v>
      </c>
      <c r="T14" s="35">
        <v>5905142000</v>
      </c>
      <c r="U14" s="35">
        <v>2721421000</v>
      </c>
      <c r="V14" s="35">
        <v>1745259000</v>
      </c>
      <c r="W14" s="35">
        <v>68389000</v>
      </c>
      <c r="X14" s="35">
        <v>1608168000</v>
      </c>
      <c r="Y14" s="35">
        <v>140404000</v>
      </c>
      <c r="Z14" s="35">
        <v>140465000</v>
      </c>
      <c r="AA14" s="35">
        <v>6424106000</v>
      </c>
      <c r="AC14" s="89"/>
      <c r="AD14" s="89"/>
      <c r="AE14" s="89"/>
      <c r="AF14" s="89"/>
      <c r="AG14" s="89"/>
      <c r="AH14" s="89"/>
    </row>
    <row r="15" spans="1:34" x14ac:dyDescent="0.25">
      <c r="A15" s="10">
        <v>15</v>
      </c>
      <c r="B15" s="11" t="s">
        <v>34</v>
      </c>
      <c r="C15" s="11" t="s">
        <v>67</v>
      </c>
      <c r="D15" s="11" t="s">
        <v>184</v>
      </c>
      <c r="E15" s="11" t="s">
        <v>170</v>
      </c>
      <c r="F15" s="11" t="s">
        <v>171</v>
      </c>
      <c r="G15" s="35">
        <v>3454906000</v>
      </c>
      <c r="H15" s="35">
        <v>698519000</v>
      </c>
      <c r="I15" s="35">
        <v>0</v>
      </c>
      <c r="J15" s="35">
        <v>2681091000</v>
      </c>
      <c r="K15" s="35">
        <v>126873000</v>
      </c>
      <c r="L15" s="35">
        <v>311986000</v>
      </c>
      <c r="M15" s="35">
        <v>7273375000</v>
      </c>
      <c r="N15" s="35">
        <v>3807728000</v>
      </c>
      <c r="O15" s="35">
        <v>751929000</v>
      </c>
      <c r="P15" s="35">
        <v>0</v>
      </c>
      <c r="Q15" s="35">
        <v>2843649000</v>
      </c>
      <c r="R15" s="35">
        <v>116924000</v>
      </c>
      <c r="S15" s="35">
        <v>317725000</v>
      </c>
      <c r="T15" s="35">
        <v>7837955000</v>
      </c>
      <c r="U15" s="35">
        <v>4336409000</v>
      </c>
      <c r="V15" s="35">
        <v>817900000</v>
      </c>
      <c r="W15" s="35">
        <v>0</v>
      </c>
      <c r="X15" s="35">
        <v>3029283000</v>
      </c>
      <c r="Y15" s="35">
        <v>133974000</v>
      </c>
      <c r="Z15" s="35">
        <v>366032000</v>
      </c>
      <c r="AA15" s="35">
        <v>8683598000</v>
      </c>
      <c r="AC15" s="89"/>
      <c r="AD15" s="89"/>
      <c r="AE15" s="89"/>
      <c r="AF15" s="89"/>
      <c r="AG15" s="89"/>
      <c r="AH15" s="89"/>
    </row>
    <row r="16" spans="1:34" x14ac:dyDescent="0.25">
      <c r="A16" s="10">
        <v>16</v>
      </c>
      <c r="B16" s="11" t="s">
        <v>9</v>
      </c>
      <c r="C16" s="11" t="s">
        <v>71</v>
      </c>
      <c r="D16" s="11" t="s">
        <v>178</v>
      </c>
      <c r="E16" s="11" t="s">
        <v>170</v>
      </c>
      <c r="F16" s="11" t="s">
        <v>171</v>
      </c>
      <c r="G16" s="35">
        <v>1158016000</v>
      </c>
      <c r="H16" s="35">
        <v>1013019000</v>
      </c>
      <c r="I16" s="35">
        <v>4008000</v>
      </c>
      <c r="J16" s="35">
        <v>466512000</v>
      </c>
      <c r="K16" s="35">
        <v>424748000</v>
      </c>
      <c r="L16" s="35">
        <v>22847000</v>
      </c>
      <c r="M16" s="35">
        <v>3089150000</v>
      </c>
      <c r="N16" s="35">
        <v>1324278000</v>
      </c>
      <c r="O16" s="35">
        <v>1054796000</v>
      </c>
      <c r="P16" s="35">
        <v>11132000</v>
      </c>
      <c r="Q16" s="35">
        <v>494444000</v>
      </c>
      <c r="R16" s="35">
        <v>390114000</v>
      </c>
      <c r="S16" s="35">
        <v>16662000</v>
      </c>
      <c r="T16" s="35">
        <v>3291426000</v>
      </c>
      <c r="U16" s="35">
        <v>1210497000</v>
      </c>
      <c r="V16" s="35">
        <v>951914000</v>
      </c>
      <c r="W16" s="35">
        <v>5043000</v>
      </c>
      <c r="X16" s="35">
        <v>484366000</v>
      </c>
      <c r="Y16" s="35">
        <v>431660000</v>
      </c>
      <c r="Z16" s="35">
        <v>13118000</v>
      </c>
      <c r="AA16" s="35">
        <v>3096598000</v>
      </c>
      <c r="AC16" s="89"/>
      <c r="AD16" s="89"/>
      <c r="AE16" s="89"/>
      <c r="AF16" s="89"/>
      <c r="AG16" s="89"/>
      <c r="AH16" s="89"/>
    </row>
    <row r="17" spans="1:34" x14ac:dyDescent="0.25">
      <c r="A17" s="10">
        <v>17</v>
      </c>
      <c r="B17" s="11" t="s">
        <v>8</v>
      </c>
      <c r="C17" s="11" t="s">
        <v>67</v>
      </c>
      <c r="D17" s="11" t="s">
        <v>184</v>
      </c>
      <c r="E17" s="11" t="s">
        <v>170</v>
      </c>
      <c r="F17" s="11" t="s">
        <v>171</v>
      </c>
      <c r="G17" s="35">
        <v>729135000</v>
      </c>
      <c r="H17" s="35">
        <v>168495000</v>
      </c>
      <c r="I17" s="35">
        <v>0</v>
      </c>
      <c r="J17" s="35">
        <v>383057000</v>
      </c>
      <c r="K17" s="35">
        <v>34619000</v>
      </c>
      <c r="L17" s="35">
        <v>41690000</v>
      </c>
      <c r="M17" s="35">
        <v>1356996000</v>
      </c>
      <c r="N17" s="35">
        <v>847795000</v>
      </c>
      <c r="O17" s="35">
        <v>170973000</v>
      </c>
      <c r="P17" s="35">
        <v>0</v>
      </c>
      <c r="Q17" s="35">
        <v>432316000</v>
      </c>
      <c r="R17" s="35">
        <v>19995000</v>
      </c>
      <c r="S17" s="35">
        <v>37239000</v>
      </c>
      <c r="T17" s="35">
        <v>1508318000</v>
      </c>
      <c r="U17" s="35">
        <v>938125000</v>
      </c>
      <c r="V17" s="35">
        <v>191413000</v>
      </c>
      <c r="W17" s="35">
        <v>0</v>
      </c>
      <c r="X17" s="35">
        <v>472824000</v>
      </c>
      <c r="Y17" s="35">
        <v>24057000</v>
      </c>
      <c r="Z17" s="35">
        <v>42503000</v>
      </c>
      <c r="AA17" s="35">
        <v>1668922000</v>
      </c>
      <c r="AC17" s="89"/>
      <c r="AD17" s="89"/>
      <c r="AE17" s="89"/>
      <c r="AF17" s="89"/>
      <c r="AG17" s="89"/>
      <c r="AH17" s="89"/>
    </row>
    <row r="18" spans="1:34" x14ac:dyDescent="0.25">
      <c r="A18" s="10">
        <v>19</v>
      </c>
      <c r="B18" s="11" t="s">
        <v>56</v>
      </c>
      <c r="C18" s="11" t="s">
        <v>77</v>
      </c>
      <c r="D18" s="11" t="s">
        <v>186</v>
      </c>
      <c r="E18" s="11" t="s">
        <v>170</v>
      </c>
      <c r="F18" s="11" t="s">
        <v>171</v>
      </c>
      <c r="G18" s="35">
        <v>1107453000</v>
      </c>
      <c r="H18" s="35">
        <v>1075249000</v>
      </c>
      <c r="I18" s="35">
        <v>2247000</v>
      </c>
      <c r="J18" s="35">
        <v>624887000</v>
      </c>
      <c r="K18" s="35">
        <v>321864000</v>
      </c>
      <c r="L18" s="35">
        <v>66308000</v>
      </c>
      <c r="M18" s="35">
        <v>3198008000</v>
      </c>
      <c r="N18" s="35">
        <v>1154480000</v>
      </c>
      <c r="O18" s="35">
        <v>1127189000</v>
      </c>
      <c r="P18" s="35">
        <v>2906000</v>
      </c>
      <c r="Q18" s="35">
        <v>599943000</v>
      </c>
      <c r="R18" s="35">
        <v>328215000</v>
      </c>
      <c r="S18" s="35">
        <v>70918000</v>
      </c>
      <c r="T18" s="35">
        <v>3283651000</v>
      </c>
      <c r="U18" s="35">
        <v>1203818000</v>
      </c>
      <c r="V18" s="35">
        <v>1170535000</v>
      </c>
      <c r="W18" s="35">
        <v>2428000</v>
      </c>
      <c r="X18" s="35">
        <v>653099000</v>
      </c>
      <c r="Y18" s="35">
        <v>344674000</v>
      </c>
      <c r="Z18" s="35">
        <v>66079000</v>
      </c>
      <c r="AA18" s="35">
        <v>3440633000</v>
      </c>
      <c r="AC18" s="89"/>
      <c r="AD18" s="89"/>
      <c r="AE18" s="89"/>
      <c r="AF18" s="89"/>
      <c r="AG18" s="89"/>
      <c r="AH18" s="89"/>
    </row>
    <row r="19" spans="1:34" x14ac:dyDescent="0.25">
      <c r="A19" s="10">
        <v>21</v>
      </c>
      <c r="B19" s="11" t="s">
        <v>55</v>
      </c>
      <c r="C19" s="11" t="s">
        <v>73</v>
      </c>
      <c r="D19" s="11" t="s">
        <v>180</v>
      </c>
      <c r="E19" s="11" t="s">
        <v>181</v>
      </c>
      <c r="F19" s="11" t="s">
        <v>171</v>
      </c>
      <c r="G19" s="35">
        <v>346785000</v>
      </c>
      <c r="H19" s="35">
        <v>230203000</v>
      </c>
      <c r="I19" s="35">
        <v>3800000</v>
      </c>
      <c r="J19" s="35">
        <v>142923000</v>
      </c>
      <c r="K19" s="35">
        <v>56016000</v>
      </c>
      <c r="L19" s="35">
        <v>0</v>
      </c>
      <c r="M19" s="35">
        <v>779727000</v>
      </c>
      <c r="N19" s="35">
        <v>299053000</v>
      </c>
      <c r="O19" s="35">
        <v>249259000</v>
      </c>
      <c r="P19" s="35">
        <v>3874000</v>
      </c>
      <c r="Q19" s="35">
        <v>118664000</v>
      </c>
      <c r="R19" s="35">
        <v>90530000</v>
      </c>
      <c r="S19" s="35">
        <v>11182000</v>
      </c>
      <c r="T19" s="35">
        <v>772562000</v>
      </c>
      <c r="U19" s="35">
        <v>0</v>
      </c>
      <c r="V19" s="35">
        <v>0</v>
      </c>
      <c r="W19" s="35">
        <v>0</v>
      </c>
      <c r="X19" s="35">
        <v>0</v>
      </c>
      <c r="Y19" s="35">
        <v>0</v>
      </c>
      <c r="Z19" s="35">
        <v>0</v>
      </c>
      <c r="AA19" s="35">
        <v>0</v>
      </c>
      <c r="AC19" s="89"/>
      <c r="AD19" s="89"/>
      <c r="AE19" s="89"/>
      <c r="AF19" s="89"/>
      <c r="AG19" s="89"/>
      <c r="AH19" s="89"/>
    </row>
    <row r="20" spans="1:34" x14ac:dyDescent="0.25">
      <c r="A20" s="10">
        <v>24</v>
      </c>
      <c r="B20" s="11" t="s">
        <v>45</v>
      </c>
      <c r="C20" s="11" t="s">
        <v>69</v>
      </c>
      <c r="D20" s="11" t="s">
        <v>190</v>
      </c>
      <c r="E20" s="11" t="s">
        <v>170</v>
      </c>
      <c r="F20" s="11" t="s">
        <v>171</v>
      </c>
      <c r="G20" s="35">
        <v>437233000</v>
      </c>
      <c r="H20" s="35">
        <v>139777000</v>
      </c>
      <c r="I20" s="35">
        <v>0</v>
      </c>
      <c r="J20" s="35">
        <v>203222000</v>
      </c>
      <c r="K20" s="35">
        <v>40869000</v>
      </c>
      <c r="L20" s="35">
        <v>22526000</v>
      </c>
      <c r="M20" s="35">
        <v>843627000</v>
      </c>
      <c r="N20" s="35">
        <v>439738000</v>
      </c>
      <c r="O20" s="35">
        <v>147497000</v>
      </c>
      <c r="P20" s="35">
        <v>0</v>
      </c>
      <c r="Q20" s="35">
        <v>199687000</v>
      </c>
      <c r="R20" s="35">
        <v>46300000</v>
      </c>
      <c r="S20" s="35">
        <v>20040000</v>
      </c>
      <c r="T20" s="35">
        <v>853262000</v>
      </c>
      <c r="U20" s="35">
        <v>480852000</v>
      </c>
      <c r="V20" s="35">
        <v>177136000</v>
      </c>
      <c r="W20" s="35">
        <v>505000</v>
      </c>
      <c r="X20" s="35">
        <v>224700000</v>
      </c>
      <c r="Y20" s="35">
        <v>55487000</v>
      </c>
      <c r="Z20" s="35">
        <v>23802000</v>
      </c>
      <c r="AA20" s="35">
        <v>962482000</v>
      </c>
      <c r="AC20" s="89"/>
      <c r="AD20" s="89"/>
      <c r="AE20" s="89"/>
      <c r="AF20" s="89"/>
      <c r="AG20" s="89"/>
      <c r="AH20" s="89"/>
    </row>
    <row r="21" spans="1:34" x14ac:dyDescent="0.25">
      <c r="A21" s="10">
        <v>25</v>
      </c>
      <c r="B21" s="11" t="s">
        <v>2</v>
      </c>
      <c r="C21" s="11" t="s">
        <v>71</v>
      </c>
      <c r="D21" s="11" t="s">
        <v>178</v>
      </c>
      <c r="E21" s="11" t="s">
        <v>170</v>
      </c>
      <c r="F21" s="11" t="s">
        <v>171</v>
      </c>
      <c r="G21" s="35">
        <v>1177637000</v>
      </c>
      <c r="H21" s="35">
        <v>504630000</v>
      </c>
      <c r="I21" s="35">
        <v>3145000</v>
      </c>
      <c r="J21" s="35">
        <v>452240000</v>
      </c>
      <c r="K21" s="35">
        <v>138510000</v>
      </c>
      <c r="L21" s="35">
        <v>66039000</v>
      </c>
      <c r="M21" s="35">
        <v>2342201000</v>
      </c>
      <c r="N21" s="35">
        <v>1232757000</v>
      </c>
      <c r="O21" s="35">
        <v>470711000</v>
      </c>
      <c r="P21" s="35">
        <v>5527000</v>
      </c>
      <c r="Q21" s="35">
        <v>474353000</v>
      </c>
      <c r="R21" s="35">
        <v>126847000</v>
      </c>
      <c r="S21" s="35">
        <v>141061000</v>
      </c>
      <c r="T21" s="35">
        <v>2451256000</v>
      </c>
      <c r="U21" s="35">
        <v>1119249000</v>
      </c>
      <c r="V21" s="35">
        <v>462581000</v>
      </c>
      <c r="W21" s="35">
        <v>5723000</v>
      </c>
      <c r="X21" s="35">
        <v>431147000</v>
      </c>
      <c r="Y21" s="35">
        <v>110828000</v>
      </c>
      <c r="Z21" s="35">
        <v>58481000</v>
      </c>
      <c r="AA21" s="35">
        <v>2188009000</v>
      </c>
      <c r="AC21" s="89"/>
      <c r="AD21" s="89"/>
      <c r="AE21" s="89"/>
      <c r="AF21" s="89"/>
      <c r="AG21" s="89"/>
      <c r="AH21" s="89"/>
    </row>
    <row r="22" spans="1:34" x14ac:dyDescent="0.25">
      <c r="A22" s="10">
        <v>27</v>
      </c>
      <c r="B22" s="11" t="s">
        <v>60</v>
      </c>
      <c r="C22" s="11" t="s">
        <v>73</v>
      </c>
      <c r="D22" s="11" t="s">
        <v>190</v>
      </c>
      <c r="E22" s="11" t="s">
        <v>170</v>
      </c>
      <c r="F22" s="11" t="s">
        <v>171</v>
      </c>
      <c r="G22" s="35">
        <v>476015000</v>
      </c>
      <c r="H22" s="35">
        <v>422147000</v>
      </c>
      <c r="I22" s="35">
        <v>1028000</v>
      </c>
      <c r="J22" s="35">
        <v>253778000</v>
      </c>
      <c r="K22" s="35">
        <v>174175000</v>
      </c>
      <c r="L22" s="35">
        <v>36094000</v>
      </c>
      <c r="M22" s="35">
        <v>1363237000</v>
      </c>
      <c r="N22" s="35">
        <v>341648000</v>
      </c>
      <c r="O22" s="35">
        <v>555495000</v>
      </c>
      <c r="P22" s="35">
        <v>690000</v>
      </c>
      <c r="Q22" s="35">
        <v>210827000</v>
      </c>
      <c r="R22" s="35">
        <v>180349000</v>
      </c>
      <c r="S22" s="35">
        <v>63868000</v>
      </c>
      <c r="T22" s="35">
        <v>1352877000</v>
      </c>
      <c r="U22" s="35">
        <v>499945000</v>
      </c>
      <c r="V22" s="35">
        <v>448782000</v>
      </c>
      <c r="W22" s="35">
        <v>263000</v>
      </c>
      <c r="X22" s="35">
        <v>271938000</v>
      </c>
      <c r="Y22" s="35">
        <v>203370000</v>
      </c>
      <c r="Z22" s="35">
        <v>14419000</v>
      </c>
      <c r="AA22" s="35">
        <v>1438717000</v>
      </c>
      <c r="AC22" s="89"/>
      <c r="AD22" s="89"/>
      <c r="AE22" s="89"/>
      <c r="AF22" s="89"/>
      <c r="AG22" s="89"/>
      <c r="AH22" s="89"/>
    </row>
    <row r="23" spans="1:34" x14ac:dyDescent="0.25">
      <c r="A23" s="10">
        <v>28</v>
      </c>
      <c r="B23" s="11" t="s">
        <v>37</v>
      </c>
      <c r="C23" s="11" t="s">
        <v>67</v>
      </c>
      <c r="D23" s="11" t="s">
        <v>189</v>
      </c>
      <c r="E23" s="11" t="s">
        <v>170</v>
      </c>
      <c r="F23" s="11" t="s">
        <v>168</v>
      </c>
      <c r="G23" s="35">
        <v>957726000</v>
      </c>
      <c r="H23" s="35">
        <v>213351000</v>
      </c>
      <c r="I23" s="35">
        <v>0</v>
      </c>
      <c r="J23" s="35">
        <v>475363000</v>
      </c>
      <c r="K23" s="35">
        <v>37831000</v>
      </c>
      <c r="L23" s="35">
        <v>43297000</v>
      </c>
      <c r="M23" s="35">
        <v>1727568000</v>
      </c>
      <c r="N23" s="35">
        <v>1033559000</v>
      </c>
      <c r="O23" s="35">
        <v>223887000</v>
      </c>
      <c r="P23" s="35">
        <v>0</v>
      </c>
      <c r="Q23" s="35">
        <v>458038000</v>
      </c>
      <c r="R23" s="35">
        <v>26483000</v>
      </c>
      <c r="S23" s="35">
        <v>46753000</v>
      </c>
      <c r="T23" s="35">
        <v>1788720000</v>
      </c>
      <c r="U23" s="35">
        <v>1086771000</v>
      </c>
      <c r="V23" s="35">
        <v>231211000</v>
      </c>
      <c r="W23" s="35">
        <v>0</v>
      </c>
      <c r="X23" s="35">
        <v>466191000</v>
      </c>
      <c r="Y23" s="35">
        <v>31781000</v>
      </c>
      <c r="Z23" s="35">
        <v>52958000</v>
      </c>
      <c r="AA23" s="35">
        <v>1868912000</v>
      </c>
      <c r="AC23" s="89"/>
      <c r="AD23" s="89"/>
      <c r="AE23" s="89"/>
      <c r="AF23" s="89"/>
      <c r="AG23" s="89"/>
      <c r="AH23" s="89"/>
    </row>
    <row r="24" spans="1:34" x14ac:dyDescent="0.25">
      <c r="A24" s="10">
        <v>29</v>
      </c>
      <c r="B24" s="11" t="s">
        <v>115</v>
      </c>
      <c r="C24" s="11" t="s">
        <v>74</v>
      </c>
      <c r="D24" s="11" t="s">
        <v>173</v>
      </c>
      <c r="E24" s="11" t="s">
        <v>167</v>
      </c>
      <c r="F24" s="11" t="s">
        <v>171</v>
      </c>
      <c r="G24" s="35">
        <v>1444882000</v>
      </c>
      <c r="H24" s="35">
        <v>568814000</v>
      </c>
      <c r="I24" s="35">
        <v>20274000</v>
      </c>
      <c r="J24" s="35">
        <v>702198000</v>
      </c>
      <c r="K24" s="35">
        <v>72380000</v>
      </c>
      <c r="L24" s="35">
        <v>50920000</v>
      </c>
      <c r="M24" s="35">
        <v>2859468000</v>
      </c>
      <c r="N24" s="35">
        <v>1563807000</v>
      </c>
      <c r="O24" s="35">
        <v>645428000</v>
      </c>
      <c r="P24" s="35">
        <v>26762000</v>
      </c>
      <c r="Q24" s="35">
        <v>755443000</v>
      </c>
      <c r="R24" s="35">
        <v>77425000</v>
      </c>
      <c r="S24" s="35">
        <v>55626000</v>
      </c>
      <c r="T24" s="35">
        <v>3124491000</v>
      </c>
      <c r="U24" s="35">
        <v>1679831000</v>
      </c>
      <c r="V24" s="35">
        <v>732418000</v>
      </c>
      <c r="W24" s="35">
        <v>27767000</v>
      </c>
      <c r="X24" s="35">
        <v>881780000</v>
      </c>
      <c r="Y24" s="35">
        <v>85133000</v>
      </c>
      <c r="Z24" s="35">
        <v>64506000</v>
      </c>
      <c r="AA24" s="35">
        <v>3471435000</v>
      </c>
      <c r="AC24" s="89"/>
      <c r="AD24" s="89"/>
      <c r="AE24" s="89"/>
      <c r="AF24" s="89"/>
      <c r="AG24" s="89"/>
      <c r="AH24" s="89"/>
    </row>
    <row r="25" spans="1:34" x14ac:dyDescent="0.25">
      <c r="A25" s="10">
        <v>31</v>
      </c>
      <c r="B25" s="11" t="s">
        <v>13</v>
      </c>
      <c r="C25" s="11" t="s">
        <v>73</v>
      </c>
      <c r="D25" s="11" t="s">
        <v>172</v>
      </c>
      <c r="E25" s="11" t="s">
        <v>167</v>
      </c>
      <c r="F25" s="11" t="s">
        <v>171</v>
      </c>
      <c r="G25" s="35">
        <v>528427000</v>
      </c>
      <c r="H25" s="35">
        <v>84879000</v>
      </c>
      <c r="I25" s="35">
        <v>13446000</v>
      </c>
      <c r="J25" s="35">
        <v>325112000</v>
      </c>
      <c r="K25" s="35">
        <v>34822000</v>
      </c>
      <c r="L25" s="35">
        <v>8147000</v>
      </c>
      <c r="M25" s="35">
        <v>994833000</v>
      </c>
      <c r="N25" s="35">
        <v>608126000</v>
      </c>
      <c r="O25" s="35">
        <v>101306000</v>
      </c>
      <c r="P25" s="35">
        <v>13653000</v>
      </c>
      <c r="Q25" s="35">
        <v>384911000</v>
      </c>
      <c r="R25" s="35">
        <v>31078000</v>
      </c>
      <c r="S25" s="35">
        <v>11005000</v>
      </c>
      <c r="T25" s="35">
        <v>1150079000</v>
      </c>
      <c r="U25" s="35">
        <v>840726000</v>
      </c>
      <c r="V25" s="35">
        <v>112031000</v>
      </c>
      <c r="W25" s="35">
        <v>13731000</v>
      </c>
      <c r="X25" s="35">
        <v>271855000</v>
      </c>
      <c r="Y25" s="35">
        <v>27387000</v>
      </c>
      <c r="Z25" s="35">
        <v>7032000</v>
      </c>
      <c r="AA25" s="35">
        <v>1272762000</v>
      </c>
      <c r="AC25" s="89"/>
      <c r="AD25" s="89"/>
      <c r="AE25" s="89"/>
      <c r="AF25" s="89"/>
      <c r="AG25" s="89"/>
      <c r="AH25" s="89"/>
    </row>
    <row r="26" spans="1:34" x14ac:dyDescent="0.25">
      <c r="A26" s="10">
        <v>34</v>
      </c>
      <c r="B26" s="11" t="s">
        <v>43</v>
      </c>
      <c r="C26" s="11" t="s">
        <v>72</v>
      </c>
      <c r="D26" s="11" t="s">
        <v>183</v>
      </c>
      <c r="E26" s="11" t="s">
        <v>181</v>
      </c>
      <c r="F26" s="11" t="s">
        <v>171</v>
      </c>
      <c r="G26" s="35">
        <v>751305000</v>
      </c>
      <c r="H26" s="35">
        <v>130290000</v>
      </c>
      <c r="I26" s="35">
        <v>1359000</v>
      </c>
      <c r="J26" s="35">
        <v>500190000</v>
      </c>
      <c r="K26" s="35">
        <v>45705000</v>
      </c>
      <c r="L26" s="35">
        <v>46630000</v>
      </c>
      <c r="M26" s="35">
        <v>1475479000</v>
      </c>
      <c r="N26" s="35">
        <v>735658000</v>
      </c>
      <c r="O26" s="35">
        <v>139237000</v>
      </c>
      <c r="P26" s="35">
        <v>1766000</v>
      </c>
      <c r="Q26" s="35">
        <v>486731000</v>
      </c>
      <c r="R26" s="35">
        <v>31361000</v>
      </c>
      <c r="S26" s="35">
        <v>45267000</v>
      </c>
      <c r="T26" s="35">
        <v>1440020000</v>
      </c>
      <c r="U26" s="35">
        <v>811741000</v>
      </c>
      <c r="V26" s="35">
        <v>129306000</v>
      </c>
      <c r="W26" s="35">
        <v>617000</v>
      </c>
      <c r="X26" s="35">
        <v>537020000</v>
      </c>
      <c r="Y26" s="35">
        <v>36847000</v>
      </c>
      <c r="Z26" s="35">
        <v>47989000</v>
      </c>
      <c r="AA26" s="35">
        <v>1563520000</v>
      </c>
      <c r="AC26" s="89"/>
      <c r="AD26" s="89"/>
      <c r="AE26" s="89"/>
      <c r="AF26" s="89"/>
      <c r="AG26" s="89"/>
      <c r="AH26" s="89"/>
    </row>
    <row r="27" spans="1:34" x14ac:dyDescent="0.25">
      <c r="A27" s="10">
        <v>37</v>
      </c>
      <c r="B27" s="11" t="s">
        <v>16</v>
      </c>
      <c r="C27" s="11" t="s">
        <v>72</v>
      </c>
      <c r="D27" s="11" t="s">
        <v>169</v>
      </c>
      <c r="E27" s="11" t="s">
        <v>170</v>
      </c>
      <c r="F27" s="11" t="s">
        <v>171</v>
      </c>
      <c r="G27" s="35">
        <v>224904000</v>
      </c>
      <c r="H27" s="35">
        <v>51950000</v>
      </c>
      <c r="I27" s="35">
        <v>1961000</v>
      </c>
      <c r="J27" s="35">
        <v>234901000</v>
      </c>
      <c r="K27" s="35">
        <v>12672000</v>
      </c>
      <c r="L27" s="35">
        <v>10436000</v>
      </c>
      <c r="M27" s="35">
        <v>536824000</v>
      </c>
      <c r="N27" s="35">
        <v>241021000</v>
      </c>
      <c r="O27" s="35">
        <v>46106000</v>
      </c>
      <c r="P27" s="35">
        <v>1815000</v>
      </c>
      <c r="Q27" s="35">
        <v>230457000</v>
      </c>
      <c r="R27" s="35">
        <v>13209000</v>
      </c>
      <c r="S27" s="35">
        <v>10890000</v>
      </c>
      <c r="T27" s="35">
        <v>543498000</v>
      </c>
      <c r="U27" s="35">
        <v>243910000</v>
      </c>
      <c r="V27" s="35">
        <v>43699000</v>
      </c>
      <c r="W27" s="35">
        <v>1683000</v>
      </c>
      <c r="X27" s="35">
        <v>234697000</v>
      </c>
      <c r="Y27" s="35">
        <v>14771000</v>
      </c>
      <c r="Z27" s="35">
        <v>12099000</v>
      </c>
      <c r="AA27" s="35">
        <v>550859000</v>
      </c>
      <c r="AC27" s="89"/>
      <c r="AD27" s="89"/>
      <c r="AE27" s="89"/>
      <c r="AF27" s="89"/>
      <c r="AG27" s="89"/>
      <c r="AH27" s="89"/>
    </row>
    <row r="28" spans="1:34" x14ac:dyDescent="0.25">
      <c r="A28" s="10">
        <v>38</v>
      </c>
      <c r="B28" s="11" t="s">
        <v>46</v>
      </c>
      <c r="C28" s="11" t="s">
        <v>69</v>
      </c>
      <c r="D28" s="11" t="s">
        <v>182</v>
      </c>
      <c r="E28" s="11" t="s">
        <v>181</v>
      </c>
      <c r="F28" s="11" t="s">
        <v>171</v>
      </c>
      <c r="G28" s="35">
        <v>2658438000</v>
      </c>
      <c r="H28" s="35">
        <v>1227451000</v>
      </c>
      <c r="I28" s="35">
        <v>9348000</v>
      </c>
      <c r="J28" s="35">
        <v>2051582000</v>
      </c>
      <c r="K28" s="35">
        <v>344180000</v>
      </c>
      <c r="L28" s="35">
        <v>109598000</v>
      </c>
      <c r="M28" s="35">
        <v>6400597000</v>
      </c>
      <c r="N28" s="35">
        <v>2944831000</v>
      </c>
      <c r="O28" s="35">
        <v>1396877000</v>
      </c>
      <c r="P28" s="35">
        <v>3746000</v>
      </c>
      <c r="Q28" s="35">
        <v>2024953000</v>
      </c>
      <c r="R28" s="35">
        <v>329216000</v>
      </c>
      <c r="S28" s="35">
        <v>228388000</v>
      </c>
      <c r="T28" s="35">
        <v>6928011000</v>
      </c>
      <c r="U28" s="35">
        <v>3116363000</v>
      </c>
      <c r="V28" s="35">
        <v>1618903000</v>
      </c>
      <c r="W28" s="35">
        <v>161000</v>
      </c>
      <c r="X28" s="35">
        <v>2025943000</v>
      </c>
      <c r="Y28" s="35">
        <v>306319000</v>
      </c>
      <c r="Z28" s="35">
        <v>254641000</v>
      </c>
      <c r="AA28" s="35">
        <v>7322330000</v>
      </c>
      <c r="AC28" s="89"/>
      <c r="AD28" s="89"/>
      <c r="AE28" s="89"/>
      <c r="AF28" s="89"/>
      <c r="AG28" s="89"/>
      <c r="AH28" s="89"/>
    </row>
    <row r="29" spans="1:34" x14ac:dyDescent="0.25">
      <c r="A29" s="10">
        <v>40</v>
      </c>
      <c r="B29" s="11" t="s">
        <v>20</v>
      </c>
      <c r="C29" s="11" t="s">
        <v>71</v>
      </c>
      <c r="D29" s="11" t="s">
        <v>178</v>
      </c>
      <c r="E29" s="11" t="s">
        <v>170</v>
      </c>
      <c r="F29" s="11" t="s">
        <v>171</v>
      </c>
      <c r="G29" s="35">
        <v>728461000</v>
      </c>
      <c r="H29" s="35">
        <v>755228000</v>
      </c>
      <c r="I29" s="35">
        <v>6115000</v>
      </c>
      <c r="J29" s="35">
        <v>538052000</v>
      </c>
      <c r="K29" s="35">
        <v>381645000</v>
      </c>
      <c r="L29" s="35">
        <v>22314000</v>
      </c>
      <c r="M29" s="35">
        <v>2431815000</v>
      </c>
      <c r="N29" s="35">
        <v>725834000</v>
      </c>
      <c r="O29" s="35">
        <v>853313000</v>
      </c>
      <c r="P29" s="35">
        <v>3515000</v>
      </c>
      <c r="Q29" s="35">
        <v>571276000</v>
      </c>
      <c r="R29" s="35">
        <v>375671000</v>
      </c>
      <c r="S29" s="35">
        <v>21739000</v>
      </c>
      <c r="T29" s="35">
        <v>2551348000</v>
      </c>
      <c r="U29" s="35">
        <v>684943000</v>
      </c>
      <c r="V29" s="35">
        <v>809165000</v>
      </c>
      <c r="W29" s="35">
        <v>3241000</v>
      </c>
      <c r="X29" s="35">
        <v>529391000</v>
      </c>
      <c r="Y29" s="35">
        <v>403316000</v>
      </c>
      <c r="Z29" s="35">
        <v>20294000</v>
      </c>
      <c r="AA29" s="35">
        <v>2450350000</v>
      </c>
      <c r="AC29" s="89"/>
      <c r="AD29" s="89"/>
      <c r="AE29" s="89"/>
      <c r="AF29" s="89"/>
      <c r="AG29" s="89"/>
      <c r="AH29" s="89"/>
    </row>
    <row r="30" spans="1:34" x14ac:dyDescent="0.25">
      <c r="A30" s="10">
        <v>41</v>
      </c>
      <c r="B30" s="11" t="s">
        <v>11</v>
      </c>
      <c r="C30" s="11" t="s">
        <v>69</v>
      </c>
      <c r="D30" s="11" t="s">
        <v>185</v>
      </c>
      <c r="E30" s="11" t="s">
        <v>181</v>
      </c>
      <c r="F30" s="11" t="s">
        <v>171</v>
      </c>
      <c r="G30" s="35">
        <v>1494947000</v>
      </c>
      <c r="H30" s="35">
        <v>272994000</v>
      </c>
      <c r="I30" s="35">
        <v>3103000</v>
      </c>
      <c r="J30" s="35">
        <v>449941000</v>
      </c>
      <c r="K30" s="35">
        <v>60043000</v>
      </c>
      <c r="L30" s="35">
        <v>7577000</v>
      </c>
      <c r="M30" s="35">
        <v>2288605000</v>
      </c>
      <c r="N30" s="35">
        <v>1631180000</v>
      </c>
      <c r="O30" s="35">
        <v>276793000</v>
      </c>
      <c r="P30" s="35">
        <v>4423000</v>
      </c>
      <c r="Q30" s="35">
        <v>444765000</v>
      </c>
      <c r="R30" s="35">
        <v>46735000</v>
      </c>
      <c r="S30" s="35">
        <v>6722000</v>
      </c>
      <c r="T30" s="35">
        <v>2410618000</v>
      </c>
      <c r="U30" s="35">
        <v>1582700000</v>
      </c>
      <c r="V30" s="35">
        <v>395928000</v>
      </c>
      <c r="W30" s="35">
        <v>2598000</v>
      </c>
      <c r="X30" s="35">
        <v>586209000</v>
      </c>
      <c r="Y30" s="35">
        <v>54828000</v>
      </c>
      <c r="Z30" s="35">
        <v>37972000</v>
      </c>
      <c r="AA30" s="35">
        <v>2660235000</v>
      </c>
      <c r="AC30" s="89"/>
      <c r="AD30" s="89"/>
      <c r="AE30" s="89"/>
      <c r="AF30" s="89"/>
      <c r="AG30" s="89"/>
      <c r="AH30" s="89"/>
    </row>
    <row r="31" spans="1:34" x14ac:dyDescent="0.25">
      <c r="A31" s="10">
        <v>44</v>
      </c>
      <c r="B31" s="11" t="s">
        <v>6</v>
      </c>
      <c r="C31" s="11" t="s">
        <v>70</v>
      </c>
      <c r="D31" s="11" t="s">
        <v>180</v>
      </c>
      <c r="E31" s="11" t="s">
        <v>181</v>
      </c>
      <c r="F31" s="11" t="s">
        <v>171</v>
      </c>
      <c r="G31" s="35">
        <v>2700478000</v>
      </c>
      <c r="H31" s="35">
        <v>1050623000</v>
      </c>
      <c r="I31" s="35">
        <v>113739000</v>
      </c>
      <c r="J31" s="35">
        <v>2177341000</v>
      </c>
      <c r="K31" s="35">
        <v>311587000</v>
      </c>
      <c r="L31" s="35">
        <v>237913000</v>
      </c>
      <c r="M31" s="35">
        <v>6591681000</v>
      </c>
      <c r="N31" s="35">
        <v>3384688000</v>
      </c>
      <c r="O31" s="35">
        <v>1281909000</v>
      </c>
      <c r="P31" s="35">
        <v>139021000</v>
      </c>
      <c r="Q31" s="35">
        <v>2537288000</v>
      </c>
      <c r="R31" s="35">
        <v>356616000</v>
      </c>
      <c r="S31" s="35">
        <v>262885000</v>
      </c>
      <c r="T31" s="35">
        <v>7962407000</v>
      </c>
      <c r="U31" s="35">
        <v>3895782000</v>
      </c>
      <c r="V31" s="35">
        <v>1484110000</v>
      </c>
      <c r="W31" s="35">
        <v>149655000</v>
      </c>
      <c r="X31" s="35">
        <v>2685167000</v>
      </c>
      <c r="Y31" s="35">
        <v>398436000</v>
      </c>
      <c r="Z31" s="35">
        <v>304571000</v>
      </c>
      <c r="AA31" s="35">
        <v>8917721000</v>
      </c>
      <c r="AC31" s="89"/>
      <c r="AD31" s="89"/>
      <c r="AE31" s="89"/>
      <c r="AF31" s="89"/>
      <c r="AG31" s="89"/>
      <c r="AH31" s="89"/>
    </row>
    <row r="32" spans="1:34" x14ac:dyDescent="0.25">
      <c r="A32" s="10">
        <v>45</v>
      </c>
      <c r="B32" s="11" t="s">
        <v>14</v>
      </c>
      <c r="C32" s="11" t="s">
        <v>73</v>
      </c>
      <c r="D32" s="11" t="s">
        <v>169</v>
      </c>
      <c r="E32" s="11" t="s">
        <v>170</v>
      </c>
      <c r="F32" s="11" t="s">
        <v>171</v>
      </c>
      <c r="G32" s="35">
        <v>2465260000</v>
      </c>
      <c r="H32" s="35">
        <v>821138000</v>
      </c>
      <c r="I32" s="35">
        <v>0</v>
      </c>
      <c r="J32" s="35">
        <v>1979623000</v>
      </c>
      <c r="K32" s="35">
        <v>201184000</v>
      </c>
      <c r="L32" s="35">
        <v>134869000</v>
      </c>
      <c r="M32" s="35">
        <v>5602074000</v>
      </c>
      <c r="N32" s="35">
        <v>2838878000</v>
      </c>
      <c r="O32" s="35">
        <v>950054000</v>
      </c>
      <c r="P32" s="35">
        <v>0</v>
      </c>
      <c r="Q32" s="35">
        <v>2178336000</v>
      </c>
      <c r="R32" s="35">
        <v>214463000</v>
      </c>
      <c r="S32" s="35">
        <v>133431000</v>
      </c>
      <c r="T32" s="35">
        <v>6315162000</v>
      </c>
      <c r="U32" s="35">
        <v>3345843000</v>
      </c>
      <c r="V32" s="35">
        <v>998756000</v>
      </c>
      <c r="W32" s="35">
        <v>0</v>
      </c>
      <c r="X32" s="35">
        <v>2610724000</v>
      </c>
      <c r="Y32" s="35">
        <v>231105000</v>
      </c>
      <c r="Z32" s="35">
        <v>143351000</v>
      </c>
      <c r="AA32" s="35">
        <v>7329779000</v>
      </c>
      <c r="AC32" s="89"/>
      <c r="AD32" s="89"/>
      <c r="AE32" s="89"/>
      <c r="AF32" s="89"/>
      <c r="AG32" s="89"/>
      <c r="AH32" s="89"/>
    </row>
    <row r="33" spans="1:34" x14ac:dyDescent="0.25">
      <c r="A33" s="10">
        <v>47</v>
      </c>
      <c r="B33" s="11" t="s">
        <v>53</v>
      </c>
      <c r="C33" s="11" t="s">
        <v>73</v>
      </c>
      <c r="D33" s="11" t="s">
        <v>166</v>
      </c>
      <c r="E33" s="11" t="s">
        <v>167</v>
      </c>
      <c r="F33" s="11" t="s">
        <v>168</v>
      </c>
      <c r="G33" s="35">
        <v>575287000</v>
      </c>
      <c r="H33" s="35">
        <v>223856000</v>
      </c>
      <c r="I33" s="35">
        <v>7035000</v>
      </c>
      <c r="J33" s="35">
        <v>288135000</v>
      </c>
      <c r="K33" s="35">
        <v>41461000</v>
      </c>
      <c r="L33" s="35">
        <v>44622000</v>
      </c>
      <c r="M33" s="35">
        <v>1180396000</v>
      </c>
      <c r="N33" s="35">
        <v>593474000</v>
      </c>
      <c r="O33" s="35">
        <v>244876000</v>
      </c>
      <c r="P33" s="35">
        <v>8636000</v>
      </c>
      <c r="Q33" s="35">
        <v>306465000</v>
      </c>
      <c r="R33" s="35">
        <v>37424000</v>
      </c>
      <c r="S33" s="35">
        <v>41645000</v>
      </c>
      <c r="T33" s="35">
        <v>1232520000</v>
      </c>
      <c r="U33" s="35">
        <v>594574000</v>
      </c>
      <c r="V33" s="35">
        <v>251685000</v>
      </c>
      <c r="W33" s="35">
        <v>6446000</v>
      </c>
      <c r="X33" s="35">
        <v>297864000</v>
      </c>
      <c r="Y33" s="35">
        <v>40197000</v>
      </c>
      <c r="Z33" s="35">
        <v>40995000</v>
      </c>
      <c r="AA33" s="35">
        <v>1231761000</v>
      </c>
      <c r="AC33" s="89"/>
      <c r="AD33" s="89"/>
      <c r="AE33" s="89"/>
      <c r="AF33" s="89"/>
      <c r="AG33" s="89"/>
      <c r="AH33" s="89"/>
    </row>
    <row r="34" spans="1:34" x14ac:dyDescent="0.25">
      <c r="A34" s="10">
        <v>48</v>
      </c>
      <c r="B34" s="11" t="s">
        <v>47</v>
      </c>
      <c r="C34" s="11" t="s">
        <v>69</v>
      </c>
      <c r="D34" s="11" t="s">
        <v>188</v>
      </c>
      <c r="E34" s="11" t="s">
        <v>181</v>
      </c>
      <c r="F34" s="11" t="s">
        <v>171</v>
      </c>
      <c r="G34" s="35">
        <v>1034921000</v>
      </c>
      <c r="H34" s="35">
        <v>252787000</v>
      </c>
      <c r="I34" s="35">
        <v>701000</v>
      </c>
      <c r="J34" s="35">
        <v>591132000</v>
      </c>
      <c r="K34" s="35">
        <v>101822000</v>
      </c>
      <c r="L34" s="35">
        <v>48440000</v>
      </c>
      <c r="M34" s="35">
        <v>2029803000</v>
      </c>
      <c r="N34" s="35">
        <v>1084550000</v>
      </c>
      <c r="O34" s="35">
        <v>272107000</v>
      </c>
      <c r="P34" s="35">
        <v>8000</v>
      </c>
      <c r="Q34" s="35">
        <v>589480000</v>
      </c>
      <c r="R34" s="35">
        <v>84944000</v>
      </c>
      <c r="S34" s="35">
        <v>49649000</v>
      </c>
      <c r="T34" s="35">
        <v>2080738000</v>
      </c>
      <c r="U34" s="35">
        <v>1185984000</v>
      </c>
      <c r="V34" s="35">
        <v>291347000</v>
      </c>
      <c r="W34" s="35">
        <v>1047000</v>
      </c>
      <c r="X34" s="35">
        <v>610798000</v>
      </c>
      <c r="Y34" s="35">
        <v>95577000</v>
      </c>
      <c r="Z34" s="35">
        <v>57812000</v>
      </c>
      <c r="AA34" s="35">
        <v>2242565000</v>
      </c>
      <c r="AC34" s="89"/>
      <c r="AD34" s="89"/>
      <c r="AE34" s="89"/>
      <c r="AF34" s="89"/>
      <c r="AG34" s="89"/>
      <c r="AH34" s="89"/>
    </row>
    <row r="35" spans="1:34" x14ac:dyDescent="0.25">
      <c r="A35" s="10">
        <v>50</v>
      </c>
      <c r="B35" s="11" t="s">
        <v>48</v>
      </c>
      <c r="C35" s="11" t="s">
        <v>76</v>
      </c>
      <c r="D35" s="11" t="s">
        <v>184</v>
      </c>
      <c r="E35" s="11" t="s">
        <v>170</v>
      </c>
      <c r="F35" s="11" t="s">
        <v>171</v>
      </c>
      <c r="G35" s="35">
        <v>324730000</v>
      </c>
      <c r="H35" s="35">
        <v>72711000</v>
      </c>
      <c r="I35" s="35">
        <v>3432000</v>
      </c>
      <c r="J35" s="35">
        <v>373607000</v>
      </c>
      <c r="K35" s="35">
        <v>27529000</v>
      </c>
      <c r="L35" s="35">
        <v>3243000</v>
      </c>
      <c r="M35" s="35">
        <v>805252000</v>
      </c>
      <c r="N35" s="35">
        <v>342344000</v>
      </c>
      <c r="O35" s="35">
        <v>227654000</v>
      </c>
      <c r="P35" s="35">
        <v>1593000</v>
      </c>
      <c r="Q35" s="35">
        <v>279198000</v>
      </c>
      <c r="R35" s="35">
        <v>27949000</v>
      </c>
      <c r="S35" s="35">
        <v>4166000</v>
      </c>
      <c r="T35" s="35">
        <v>882904000</v>
      </c>
      <c r="U35" s="35">
        <v>406310000</v>
      </c>
      <c r="V35" s="35">
        <v>133401000</v>
      </c>
      <c r="W35" s="35">
        <v>1176000</v>
      </c>
      <c r="X35" s="35">
        <v>314115000</v>
      </c>
      <c r="Y35" s="35">
        <v>28715000</v>
      </c>
      <c r="Z35" s="35">
        <v>2896000</v>
      </c>
      <c r="AA35" s="35">
        <v>886613000</v>
      </c>
      <c r="AC35" s="89"/>
      <c r="AD35" s="89"/>
      <c r="AE35" s="89"/>
      <c r="AF35" s="89"/>
      <c r="AG35" s="89"/>
      <c r="AH35" s="89"/>
    </row>
    <row r="36" spans="1:34" x14ac:dyDescent="0.25">
      <c r="A36" s="10">
        <v>51</v>
      </c>
      <c r="B36" s="11" t="s">
        <v>39</v>
      </c>
      <c r="C36" s="11" t="s">
        <v>67</v>
      </c>
      <c r="D36" s="11" t="s">
        <v>190</v>
      </c>
      <c r="E36" s="11" t="s">
        <v>170</v>
      </c>
      <c r="F36" s="11" t="s">
        <v>171</v>
      </c>
      <c r="G36" s="35">
        <v>1644204000</v>
      </c>
      <c r="H36" s="35">
        <v>410545000</v>
      </c>
      <c r="I36" s="35">
        <v>0</v>
      </c>
      <c r="J36" s="35">
        <v>1406481000</v>
      </c>
      <c r="K36" s="35">
        <v>96156000</v>
      </c>
      <c r="L36" s="35">
        <v>84589000</v>
      </c>
      <c r="M36" s="35">
        <v>3641975000</v>
      </c>
      <c r="N36" s="35">
        <v>1858429000</v>
      </c>
      <c r="O36" s="35">
        <v>460901000</v>
      </c>
      <c r="P36" s="35">
        <v>0</v>
      </c>
      <c r="Q36" s="35">
        <v>1394891000</v>
      </c>
      <c r="R36" s="35">
        <v>89899000</v>
      </c>
      <c r="S36" s="35">
        <v>98312000</v>
      </c>
      <c r="T36" s="35">
        <v>3902432000</v>
      </c>
      <c r="U36" s="35">
        <v>2075301000</v>
      </c>
      <c r="V36" s="35">
        <v>515463000</v>
      </c>
      <c r="W36" s="35">
        <v>0</v>
      </c>
      <c r="X36" s="35">
        <v>1524716000</v>
      </c>
      <c r="Y36" s="35">
        <v>93736000</v>
      </c>
      <c r="Z36" s="35">
        <v>101346000</v>
      </c>
      <c r="AA36" s="35">
        <v>4310562000</v>
      </c>
      <c r="AC36" s="89"/>
      <c r="AD36" s="89"/>
      <c r="AE36" s="89"/>
      <c r="AF36" s="89"/>
      <c r="AG36" s="89"/>
      <c r="AH36" s="89"/>
    </row>
    <row r="37" spans="1:34" x14ac:dyDescent="0.25">
      <c r="A37" s="10">
        <v>52</v>
      </c>
      <c r="B37" s="11" t="s">
        <v>38</v>
      </c>
      <c r="C37" s="11" t="s">
        <v>72</v>
      </c>
      <c r="D37" s="11" t="s">
        <v>185</v>
      </c>
      <c r="E37" s="11" t="s">
        <v>181</v>
      </c>
      <c r="F37" s="11" t="s">
        <v>171</v>
      </c>
      <c r="G37" s="35">
        <v>1203909000</v>
      </c>
      <c r="H37" s="35">
        <v>179979000</v>
      </c>
      <c r="I37" s="35">
        <v>6715000</v>
      </c>
      <c r="J37" s="35">
        <v>512969000</v>
      </c>
      <c r="K37" s="35">
        <v>69857000</v>
      </c>
      <c r="L37" s="35">
        <v>65620000</v>
      </c>
      <c r="M37" s="35">
        <v>2039049000</v>
      </c>
      <c r="N37" s="35">
        <v>1264189000</v>
      </c>
      <c r="O37" s="35">
        <v>202401000</v>
      </c>
      <c r="P37" s="35">
        <v>1069000</v>
      </c>
      <c r="Q37" s="35">
        <v>504541000</v>
      </c>
      <c r="R37" s="35">
        <v>48751000</v>
      </c>
      <c r="S37" s="35">
        <v>54999000</v>
      </c>
      <c r="T37" s="35">
        <v>2075950000</v>
      </c>
      <c r="U37" s="35">
        <v>1470010000</v>
      </c>
      <c r="V37" s="35">
        <v>242286000</v>
      </c>
      <c r="W37" s="35">
        <v>1856000</v>
      </c>
      <c r="X37" s="35">
        <v>575000000</v>
      </c>
      <c r="Y37" s="35">
        <v>86402000</v>
      </c>
      <c r="Z37" s="35">
        <v>68723000</v>
      </c>
      <c r="AA37" s="35">
        <v>2444277000</v>
      </c>
      <c r="AC37" s="89"/>
      <c r="AD37" s="89"/>
      <c r="AE37" s="89"/>
      <c r="AF37" s="89"/>
      <c r="AG37" s="89"/>
      <c r="AH37" s="89"/>
    </row>
    <row r="38" spans="1:34" x14ac:dyDescent="0.25">
      <c r="A38" s="10">
        <v>54</v>
      </c>
      <c r="B38" s="11" t="s">
        <v>17</v>
      </c>
      <c r="C38" s="11" t="s">
        <v>72</v>
      </c>
      <c r="D38" s="11" t="s">
        <v>176</v>
      </c>
      <c r="E38" s="11" t="s">
        <v>170</v>
      </c>
      <c r="F38" s="11" t="s">
        <v>171</v>
      </c>
      <c r="G38" s="35">
        <v>611347000</v>
      </c>
      <c r="H38" s="35">
        <v>202943000</v>
      </c>
      <c r="I38" s="35">
        <v>1761000</v>
      </c>
      <c r="J38" s="35">
        <v>378240000</v>
      </c>
      <c r="K38" s="35">
        <v>40454000</v>
      </c>
      <c r="L38" s="35">
        <v>17487000</v>
      </c>
      <c r="M38" s="35">
        <v>1252232000</v>
      </c>
      <c r="N38" s="35">
        <v>624914000</v>
      </c>
      <c r="O38" s="35">
        <v>218644000</v>
      </c>
      <c r="P38" s="35">
        <v>2658000</v>
      </c>
      <c r="Q38" s="35">
        <v>406151000</v>
      </c>
      <c r="R38" s="35">
        <v>40988000</v>
      </c>
      <c r="S38" s="35">
        <v>18059000</v>
      </c>
      <c r="T38" s="35">
        <v>1311414000</v>
      </c>
      <c r="U38" s="35">
        <v>694400000</v>
      </c>
      <c r="V38" s="35">
        <v>226510000</v>
      </c>
      <c r="W38" s="35">
        <v>1818000</v>
      </c>
      <c r="X38" s="35">
        <v>434123000</v>
      </c>
      <c r="Y38" s="35">
        <v>45109000</v>
      </c>
      <c r="Z38" s="35">
        <v>16071000</v>
      </c>
      <c r="AA38" s="35">
        <v>1418031000</v>
      </c>
      <c r="AC38" s="89"/>
      <c r="AD38" s="89"/>
      <c r="AE38" s="89"/>
      <c r="AF38" s="89"/>
      <c r="AG38" s="89"/>
      <c r="AH38" s="89"/>
    </row>
    <row r="39" spans="1:34" x14ac:dyDescent="0.25">
      <c r="A39" s="10">
        <v>57</v>
      </c>
      <c r="B39" s="11" t="s">
        <v>66</v>
      </c>
      <c r="C39" s="11" t="s">
        <v>74</v>
      </c>
      <c r="D39" s="11" t="s">
        <v>172</v>
      </c>
      <c r="E39" s="11" t="s">
        <v>167</v>
      </c>
      <c r="F39" s="11" t="s">
        <v>171</v>
      </c>
      <c r="G39" s="35">
        <v>1054880000</v>
      </c>
      <c r="H39" s="35">
        <v>414625000</v>
      </c>
      <c r="I39" s="35">
        <v>79176000</v>
      </c>
      <c r="J39" s="35">
        <v>727819000</v>
      </c>
      <c r="K39" s="35">
        <v>55821000</v>
      </c>
      <c r="L39" s="35">
        <v>67946000</v>
      </c>
      <c r="M39" s="35">
        <v>2400267000</v>
      </c>
      <c r="N39" s="35">
        <v>1210735000</v>
      </c>
      <c r="O39" s="35">
        <v>468697000</v>
      </c>
      <c r="P39" s="35">
        <v>81967000</v>
      </c>
      <c r="Q39" s="35">
        <v>774053000</v>
      </c>
      <c r="R39" s="35">
        <v>47012000</v>
      </c>
      <c r="S39" s="35">
        <v>67461000</v>
      </c>
      <c r="T39" s="35">
        <v>2649925000</v>
      </c>
      <c r="U39" s="35">
        <v>1259402000</v>
      </c>
      <c r="V39" s="35">
        <v>540192000</v>
      </c>
      <c r="W39" s="35">
        <v>90408000</v>
      </c>
      <c r="X39" s="35">
        <v>885800000</v>
      </c>
      <c r="Y39" s="35">
        <v>54775000</v>
      </c>
      <c r="Z39" s="35">
        <v>86130000</v>
      </c>
      <c r="AA39" s="35">
        <v>2916707000</v>
      </c>
      <c r="AC39" s="89"/>
      <c r="AD39" s="89"/>
      <c r="AE39" s="89"/>
      <c r="AF39" s="89"/>
      <c r="AG39" s="89"/>
      <c r="AH39" s="89"/>
    </row>
    <row r="40" spans="1:34" x14ac:dyDescent="0.25">
      <c r="A40" s="10">
        <v>58</v>
      </c>
      <c r="B40" s="11" t="s">
        <v>35</v>
      </c>
      <c r="C40" s="11" t="s">
        <v>73</v>
      </c>
      <c r="D40" s="11" t="s">
        <v>169</v>
      </c>
      <c r="E40" s="11" t="s">
        <v>170</v>
      </c>
      <c r="F40" s="11" t="s">
        <v>171</v>
      </c>
      <c r="G40" s="35">
        <v>80194000</v>
      </c>
      <c r="H40" s="35">
        <v>140219000</v>
      </c>
      <c r="I40" s="35">
        <v>0</v>
      </c>
      <c r="J40" s="35">
        <v>104528000</v>
      </c>
      <c r="K40" s="35">
        <v>68501000</v>
      </c>
      <c r="L40" s="35">
        <v>7714000</v>
      </c>
      <c r="M40" s="35">
        <v>401156000</v>
      </c>
      <c r="N40" s="35">
        <v>141571000</v>
      </c>
      <c r="O40" s="35">
        <v>235593000</v>
      </c>
      <c r="P40" s="35">
        <v>0</v>
      </c>
      <c r="Q40" s="35">
        <v>75260000</v>
      </c>
      <c r="R40" s="35">
        <v>85920000</v>
      </c>
      <c r="S40" s="35">
        <v>16486000</v>
      </c>
      <c r="T40" s="35">
        <v>554830000</v>
      </c>
      <c r="U40" s="35">
        <v>145446000</v>
      </c>
      <c r="V40" s="35">
        <v>271066000</v>
      </c>
      <c r="W40" s="35">
        <v>0</v>
      </c>
      <c r="X40" s="35">
        <v>67479000</v>
      </c>
      <c r="Y40" s="35">
        <v>109894000</v>
      </c>
      <c r="Z40" s="35">
        <v>14164000</v>
      </c>
      <c r="AA40" s="35">
        <v>608049000</v>
      </c>
      <c r="AC40" s="89"/>
      <c r="AD40" s="89"/>
      <c r="AE40" s="89"/>
      <c r="AF40" s="89"/>
      <c r="AG40" s="89"/>
      <c r="AH40" s="89"/>
    </row>
    <row r="41" spans="1:34" x14ac:dyDescent="0.25">
      <c r="A41" s="10">
        <v>60</v>
      </c>
      <c r="B41" s="11" t="s">
        <v>58</v>
      </c>
      <c r="C41" s="11" t="s">
        <v>75</v>
      </c>
      <c r="D41" s="11" t="s">
        <v>191</v>
      </c>
      <c r="E41" s="11" t="s">
        <v>170</v>
      </c>
      <c r="F41" s="11" t="s">
        <v>168</v>
      </c>
      <c r="G41" s="35">
        <v>622831000</v>
      </c>
      <c r="H41" s="35">
        <v>168809000</v>
      </c>
      <c r="I41" s="35">
        <v>1562000</v>
      </c>
      <c r="J41" s="35">
        <v>324097000</v>
      </c>
      <c r="K41" s="35">
        <v>28516000</v>
      </c>
      <c r="L41" s="35">
        <v>41296000</v>
      </c>
      <c r="M41" s="35">
        <v>1187111000</v>
      </c>
      <c r="N41" s="35">
        <v>709144000</v>
      </c>
      <c r="O41" s="35">
        <v>192225000</v>
      </c>
      <c r="P41" s="35">
        <v>2424000</v>
      </c>
      <c r="Q41" s="35">
        <v>381276000</v>
      </c>
      <c r="R41" s="35">
        <v>33793000</v>
      </c>
      <c r="S41" s="35">
        <v>51036000</v>
      </c>
      <c r="T41" s="35">
        <v>1369898000</v>
      </c>
      <c r="U41" s="35">
        <v>764752000</v>
      </c>
      <c r="V41" s="35">
        <v>211859000</v>
      </c>
      <c r="W41" s="35">
        <v>4147000</v>
      </c>
      <c r="X41" s="35">
        <v>407858000</v>
      </c>
      <c r="Y41" s="35">
        <v>30473000</v>
      </c>
      <c r="Z41" s="35">
        <v>54117000</v>
      </c>
      <c r="AA41" s="35">
        <v>1473206000</v>
      </c>
      <c r="AC41" s="89"/>
      <c r="AD41" s="89"/>
      <c r="AE41" s="89"/>
      <c r="AF41" s="89"/>
      <c r="AG41" s="89"/>
      <c r="AH41" s="89"/>
    </row>
    <row r="42" spans="1:34" x14ac:dyDescent="0.25">
      <c r="A42" s="10">
        <v>61</v>
      </c>
      <c r="B42" s="11" t="s">
        <v>116</v>
      </c>
      <c r="C42" s="11" t="s">
        <v>74</v>
      </c>
      <c r="D42" s="11" t="s">
        <v>172</v>
      </c>
      <c r="E42" s="11" t="s">
        <v>167</v>
      </c>
      <c r="F42" s="11" t="s">
        <v>171</v>
      </c>
      <c r="G42" s="35">
        <v>305940000</v>
      </c>
      <c r="H42" s="35">
        <v>194186000</v>
      </c>
      <c r="I42" s="35">
        <v>20537000</v>
      </c>
      <c r="J42" s="35">
        <v>203701000</v>
      </c>
      <c r="K42" s="35">
        <v>32699000</v>
      </c>
      <c r="L42" s="35">
        <v>20476000</v>
      </c>
      <c r="M42" s="35">
        <v>777539000</v>
      </c>
      <c r="N42" s="35">
        <v>369351000</v>
      </c>
      <c r="O42" s="35">
        <v>212959000</v>
      </c>
      <c r="P42" s="35">
        <v>19561000</v>
      </c>
      <c r="Q42" s="35">
        <v>211546000</v>
      </c>
      <c r="R42" s="35">
        <v>29577000</v>
      </c>
      <c r="S42" s="35">
        <v>21558000</v>
      </c>
      <c r="T42" s="35">
        <v>864552000</v>
      </c>
      <c r="U42" s="35">
        <v>355072000</v>
      </c>
      <c r="V42" s="35">
        <v>236581000</v>
      </c>
      <c r="W42" s="35">
        <v>17228000</v>
      </c>
      <c r="X42" s="35">
        <v>253453000</v>
      </c>
      <c r="Y42" s="35">
        <v>37066000</v>
      </c>
      <c r="Z42" s="35">
        <v>28654000</v>
      </c>
      <c r="AA42" s="35">
        <v>928054000</v>
      </c>
      <c r="AC42" s="89"/>
      <c r="AD42" s="89"/>
      <c r="AE42" s="89"/>
      <c r="AF42" s="89"/>
      <c r="AG42" s="89"/>
      <c r="AH42" s="89"/>
    </row>
    <row r="43" spans="1:34" x14ac:dyDescent="0.25">
      <c r="A43" s="10">
        <v>69</v>
      </c>
      <c r="B43" s="11" t="s">
        <v>24</v>
      </c>
      <c r="C43" s="11" t="s">
        <v>80</v>
      </c>
      <c r="D43" s="11" t="s">
        <v>187</v>
      </c>
      <c r="E43" s="11" t="s">
        <v>167</v>
      </c>
      <c r="F43" s="11" t="s">
        <v>168</v>
      </c>
      <c r="G43" s="35">
        <v>127341000</v>
      </c>
      <c r="H43" s="35">
        <v>53995000</v>
      </c>
      <c r="I43" s="35">
        <v>6501000</v>
      </c>
      <c r="J43" s="35">
        <v>79872000</v>
      </c>
      <c r="K43" s="35">
        <v>6436000</v>
      </c>
      <c r="L43" s="35">
        <v>8372000</v>
      </c>
      <c r="M43" s="35">
        <v>282517000</v>
      </c>
      <c r="N43" s="35">
        <v>122263000</v>
      </c>
      <c r="O43" s="35">
        <v>55151000</v>
      </c>
      <c r="P43" s="35">
        <v>3513000</v>
      </c>
      <c r="Q43" s="35">
        <v>73247000</v>
      </c>
      <c r="R43" s="35">
        <v>6995000</v>
      </c>
      <c r="S43" s="35">
        <v>5250000</v>
      </c>
      <c r="T43" s="35">
        <v>266419000</v>
      </c>
      <c r="U43" s="35">
        <v>136329000</v>
      </c>
      <c r="V43" s="35">
        <v>62243000</v>
      </c>
      <c r="W43" s="35">
        <v>4567000</v>
      </c>
      <c r="X43" s="35">
        <v>79541000</v>
      </c>
      <c r="Y43" s="35">
        <v>10011000</v>
      </c>
      <c r="Z43" s="35">
        <v>6944000</v>
      </c>
      <c r="AA43" s="35">
        <v>299635000</v>
      </c>
      <c r="AC43" s="89"/>
      <c r="AD43" s="89"/>
      <c r="AE43" s="89"/>
      <c r="AF43" s="89"/>
      <c r="AG43" s="89"/>
      <c r="AH43" s="89"/>
    </row>
    <row r="44" spans="1:34" x14ac:dyDescent="0.25">
      <c r="A44" s="10">
        <v>70</v>
      </c>
      <c r="B44" s="11" t="s">
        <v>51</v>
      </c>
      <c r="C44" s="11" t="s">
        <v>73</v>
      </c>
      <c r="D44" s="11" t="s">
        <v>182</v>
      </c>
      <c r="E44" s="11" t="s">
        <v>181</v>
      </c>
      <c r="F44" s="11" t="s">
        <v>171</v>
      </c>
      <c r="G44" s="35">
        <v>924946000</v>
      </c>
      <c r="H44" s="35">
        <v>855532000</v>
      </c>
      <c r="I44" s="35">
        <v>5145000</v>
      </c>
      <c r="J44" s="35">
        <v>1247937000</v>
      </c>
      <c r="K44" s="35">
        <v>304774000</v>
      </c>
      <c r="L44" s="35">
        <v>16224000</v>
      </c>
      <c r="M44" s="35">
        <v>3354558000</v>
      </c>
      <c r="N44" s="35">
        <v>954979000</v>
      </c>
      <c r="O44" s="35">
        <v>947132000</v>
      </c>
      <c r="P44" s="35">
        <v>6771000</v>
      </c>
      <c r="Q44" s="35">
        <v>1311516000</v>
      </c>
      <c r="R44" s="35">
        <v>312237000</v>
      </c>
      <c r="S44" s="35">
        <v>11396000</v>
      </c>
      <c r="T44" s="35">
        <v>3544031000</v>
      </c>
      <c r="U44" s="35">
        <v>1030155000</v>
      </c>
      <c r="V44" s="35">
        <v>1028790000</v>
      </c>
      <c r="W44" s="35">
        <v>5074000</v>
      </c>
      <c r="X44" s="35">
        <v>1409115000</v>
      </c>
      <c r="Y44" s="35">
        <v>344407000</v>
      </c>
      <c r="Z44" s="35">
        <v>14241000</v>
      </c>
      <c r="AA44" s="35">
        <v>3831782000</v>
      </c>
      <c r="AC44" s="89"/>
      <c r="AD44" s="89"/>
      <c r="AE44" s="89"/>
      <c r="AF44" s="89"/>
      <c r="AG44" s="89"/>
      <c r="AH44" s="89"/>
    </row>
    <row r="45" spans="1:34" x14ac:dyDescent="0.25">
      <c r="A45" s="10">
        <v>73</v>
      </c>
      <c r="B45" s="11" t="s">
        <v>30</v>
      </c>
      <c r="C45" s="11" t="s">
        <v>72</v>
      </c>
      <c r="D45" s="11" t="s">
        <v>183</v>
      </c>
      <c r="E45" s="11" t="s">
        <v>181</v>
      </c>
      <c r="F45" s="11" t="s">
        <v>171</v>
      </c>
      <c r="G45" s="35">
        <v>2132276000</v>
      </c>
      <c r="H45" s="35">
        <v>656391000</v>
      </c>
      <c r="I45" s="35">
        <v>9625000</v>
      </c>
      <c r="J45" s="35">
        <v>1342497000</v>
      </c>
      <c r="K45" s="35">
        <v>158977000</v>
      </c>
      <c r="L45" s="35">
        <v>139716000</v>
      </c>
      <c r="M45" s="35">
        <v>4439482000</v>
      </c>
      <c r="N45" s="35">
        <v>2247164000</v>
      </c>
      <c r="O45" s="35">
        <v>629296000</v>
      </c>
      <c r="P45" s="35">
        <v>7244000</v>
      </c>
      <c r="Q45" s="35">
        <v>1353769000</v>
      </c>
      <c r="R45" s="35">
        <v>227700000</v>
      </c>
      <c r="S45" s="35">
        <v>125245000</v>
      </c>
      <c r="T45" s="35">
        <v>4590418000</v>
      </c>
      <c r="U45" s="35">
        <v>2412432000</v>
      </c>
      <c r="V45" s="35">
        <v>746556000</v>
      </c>
      <c r="W45" s="35">
        <v>6694000</v>
      </c>
      <c r="X45" s="35">
        <v>1519715000</v>
      </c>
      <c r="Y45" s="35">
        <v>228389000</v>
      </c>
      <c r="Z45" s="35">
        <v>165713000</v>
      </c>
      <c r="AA45" s="35">
        <v>5079499000</v>
      </c>
      <c r="AC45" s="89"/>
      <c r="AD45" s="89"/>
      <c r="AE45" s="89"/>
      <c r="AF45" s="89"/>
      <c r="AG45" s="89"/>
      <c r="AH45" s="89"/>
    </row>
    <row r="46" spans="1:34" x14ac:dyDescent="0.25">
      <c r="A46" s="10">
        <v>74</v>
      </c>
      <c r="B46" s="11" t="s">
        <v>29</v>
      </c>
      <c r="C46" s="11" t="s">
        <v>69</v>
      </c>
      <c r="D46" s="11" t="s">
        <v>178</v>
      </c>
      <c r="E46" s="11" t="s">
        <v>170</v>
      </c>
      <c r="F46" s="11" t="s">
        <v>171</v>
      </c>
      <c r="G46" s="35">
        <v>685441000</v>
      </c>
      <c r="H46" s="35">
        <v>691485000</v>
      </c>
      <c r="I46" s="35">
        <v>0</v>
      </c>
      <c r="J46" s="35">
        <v>499472000</v>
      </c>
      <c r="K46" s="35">
        <v>158983000</v>
      </c>
      <c r="L46" s="35">
        <v>31685000</v>
      </c>
      <c r="M46" s="35">
        <v>2067066000</v>
      </c>
      <c r="N46" s="35">
        <v>747110000</v>
      </c>
      <c r="O46" s="35">
        <v>750778000</v>
      </c>
      <c r="P46" s="35">
        <v>0</v>
      </c>
      <c r="Q46" s="35">
        <v>482403000</v>
      </c>
      <c r="R46" s="35">
        <v>162967000</v>
      </c>
      <c r="S46" s="35">
        <v>29746000</v>
      </c>
      <c r="T46" s="35">
        <v>2173004000</v>
      </c>
      <c r="U46" s="35">
        <v>793815000</v>
      </c>
      <c r="V46" s="35">
        <v>830926000</v>
      </c>
      <c r="W46" s="35">
        <v>1421000</v>
      </c>
      <c r="X46" s="35">
        <v>558707000</v>
      </c>
      <c r="Y46" s="35">
        <v>186877000</v>
      </c>
      <c r="Z46" s="35">
        <v>46482000</v>
      </c>
      <c r="AA46" s="35">
        <v>2418228000</v>
      </c>
      <c r="AC46" s="89"/>
      <c r="AD46" s="89"/>
      <c r="AE46" s="89"/>
      <c r="AF46" s="89"/>
      <c r="AG46" s="89"/>
      <c r="AH46" s="89"/>
    </row>
    <row r="47" spans="1:34" x14ac:dyDescent="0.25">
      <c r="A47" s="10">
        <v>75</v>
      </c>
      <c r="B47" s="11" t="s">
        <v>32</v>
      </c>
      <c r="C47" s="11" t="s">
        <v>69</v>
      </c>
      <c r="D47" s="11" t="s">
        <v>183</v>
      </c>
      <c r="E47" s="11" t="s">
        <v>181</v>
      </c>
      <c r="F47" s="11" t="s">
        <v>171</v>
      </c>
      <c r="G47" s="35">
        <v>612853000</v>
      </c>
      <c r="H47" s="35">
        <v>390495000</v>
      </c>
      <c r="I47" s="35">
        <v>2304000</v>
      </c>
      <c r="J47" s="35">
        <v>592820000</v>
      </c>
      <c r="K47" s="35">
        <v>95632000</v>
      </c>
      <c r="L47" s="35">
        <v>13584000</v>
      </c>
      <c r="M47" s="35">
        <v>1707688000</v>
      </c>
      <c r="N47" s="35">
        <v>632388000</v>
      </c>
      <c r="O47" s="35">
        <v>433191000</v>
      </c>
      <c r="P47" s="35">
        <v>2174000</v>
      </c>
      <c r="Q47" s="35">
        <v>590875000</v>
      </c>
      <c r="R47" s="35">
        <v>90274000</v>
      </c>
      <c r="S47" s="35">
        <v>15542000</v>
      </c>
      <c r="T47" s="35">
        <v>1764444000</v>
      </c>
      <c r="U47" s="35">
        <v>530755000</v>
      </c>
      <c r="V47" s="35">
        <v>360278000</v>
      </c>
      <c r="W47" s="35">
        <v>661000</v>
      </c>
      <c r="X47" s="35">
        <v>773795000</v>
      </c>
      <c r="Y47" s="35">
        <v>235032000</v>
      </c>
      <c r="Z47" s="35">
        <v>20589000</v>
      </c>
      <c r="AA47" s="35">
        <v>1921110000</v>
      </c>
      <c r="AC47" s="89"/>
      <c r="AD47" s="89"/>
      <c r="AE47" s="89"/>
      <c r="AF47" s="89"/>
      <c r="AG47" s="89"/>
      <c r="AH47" s="89"/>
    </row>
    <row r="48" spans="1:34" x14ac:dyDescent="0.25">
      <c r="A48" s="10">
        <v>76</v>
      </c>
      <c r="B48" s="11" t="s">
        <v>222</v>
      </c>
      <c r="C48" s="11" t="s">
        <v>69</v>
      </c>
      <c r="D48" s="11" t="s">
        <v>176</v>
      </c>
      <c r="E48" s="11" t="s">
        <v>170</v>
      </c>
      <c r="F48" s="11" t="s">
        <v>171</v>
      </c>
      <c r="G48" s="35">
        <v>1593152000</v>
      </c>
      <c r="H48" s="35">
        <v>484819000</v>
      </c>
      <c r="I48" s="35">
        <v>11355000</v>
      </c>
      <c r="J48" s="35">
        <v>1455316000</v>
      </c>
      <c r="K48" s="35">
        <v>116254000</v>
      </c>
      <c r="L48" s="35">
        <v>127116000</v>
      </c>
      <c r="M48" s="35">
        <v>3788012000</v>
      </c>
      <c r="N48" s="35">
        <v>1790224000</v>
      </c>
      <c r="O48" s="35">
        <v>540711000</v>
      </c>
      <c r="P48" s="35">
        <v>10124000</v>
      </c>
      <c r="Q48" s="35">
        <v>1582966000</v>
      </c>
      <c r="R48" s="35">
        <v>113883000</v>
      </c>
      <c r="S48" s="35">
        <v>145198000</v>
      </c>
      <c r="T48" s="35">
        <v>4183106000</v>
      </c>
      <c r="U48" s="35">
        <v>2005918000</v>
      </c>
      <c r="V48" s="35">
        <v>686296000</v>
      </c>
      <c r="W48" s="35">
        <v>3122000</v>
      </c>
      <c r="X48" s="35">
        <v>1688427000</v>
      </c>
      <c r="Y48" s="35">
        <v>138305000</v>
      </c>
      <c r="Z48" s="35">
        <v>163368000</v>
      </c>
      <c r="AA48" s="35">
        <v>4685436000</v>
      </c>
      <c r="AC48" s="89"/>
      <c r="AD48" s="89"/>
      <c r="AE48" s="89"/>
      <c r="AF48" s="89"/>
      <c r="AG48" s="89"/>
      <c r="AH48" s="89"/>
    </row>
    <row r="49" spans="1:34" x14ac:dyDescent="0.25">
      <c r="A49" s="10">
        <v>81</v>
      </c>
      <c r="B49" s="11" t="s">
        <v>107</v>
      </c>
      <c r="C49" s="15" t="s">
        <v>80</v>
      </c>
      <c r="D49" s="15" t="s">
        <v>177</v>
      </c>
      <c r="E49" s="15" t="s">
        <v>167</v>
      </c>
      <c r="F49" s="15" t="s">
        <v>171</v>
      </c>
      <c r="G49" s="35">
        <v>0</v>
      </c>
      <c r="H49" s="35">
        <v>0</v>
      </c>
      <c r="I49" s="35">
        <v>0</v>
      </c>
      <c r="J49" s="35">
        <v>0</v>
      </c>
      <c r="K49" s="35">
        <v>0</v>
      </c>
      <c r="L49" s="35">
        <v>0</v>
      </c>
      <c r="M49" s="35">
        <v>0</v>
      </c>
      <c r="N49" s="35">
        <v>0</v>
      </c>
      <c r="O49" s="35">
        <v>0</v>
      </c>
      <c r="P49" s="35">
        <v>0</v>
      </c>
      <c r="Q49" s="35">
        <v>0</v>
      </c>
      <c r="R49" s="35">
        <v>0</v>
      </c>
      <c r="S49" s="35">
        <v>0</v>
      </c>
      <c r="T49" s="35">
        <v>0</v>
      </c>
      <c r="U49" s="35">
        <v>0</v>
      </c>
      <c r="V49" s="35">
        <v>0</v>
      </c>
      <c r="W49" s="35">
        <v>0</v>
      </c>
      <c r="X49" s="35">
        <v>0</v>
      </c>
      <c r="Y49" s="35">
        <v>0</v>
      </c>
      <c r="Z49" s="35">
        <v>0</v>
      </c>
      <c r="AA49" s="35">
        <v>0</v>
      </c>
      <c r="AC49" s="89"/>
      <c r="AD49" s="89"/>
      <c r="AE49" s="89"/>
      <c r="AF49" s="89"/>
      <c r="AG49" s="89"/>
      <c r="AH49" s="89"/>
    </row>
    <row r="50" spans="1:34" x14ac:dyDescent="0.25">
      <c r="A50" s="10">
        <v>83</v>
      </c>
      <c r="B50" s="11" t="s">
        <v>221</v>
      </c>
      <c r="C50" s="11" t="s">
        <v>73</v>
      </c>
      <c r="D50" s="11" t="s">
        <v>176</v>
      </c>
      <c r="E50" s="11" t="s">
        <v>170</v>
      </c>
      <c r="F50" s="11" t="s">
        <v>171</v>
      </c>
      <c r="G50" s="35">
        <v>188334000</v>
      </c>
      <c r="H50" s="35">
        <v>154849000</v>
      </c>
      <c r="I50" s="35">
        <v>109000</v>
      </c>
      <c r="J50" s="35">
        <v>43324000</v>
      </c>
      <c r="K50" s="35">
        <v>21210000</v>
      </c>
      <c r="L50" s="35">
        <v>870000</v>
      </c>
      <c r="M50" s="35">
        <v>408696000</v>
      </c>
      <c r="N50" s="35">
        <v>185866000</v>
      </c>
      <c r="O50" s="35">
        <v>164336000</v>
      </c>
      <c r="P50" s="35">
        <v>53000</v>
      </c>
      <c r="Q50" s="35">
        <v>62687000</v>
      </c>
      <c r="R50" s="35">
        <v>18490000</v>
      </c>
      <c r="S50" s="35">
        <v>790000</v>
      </c>
      <c r="T50" s="35">
        <v>432222000</v>
      </c>
      <c r="U50" s="35">
        <v>131640000</v>
      </c>
      <c r="V50" s="35">
        <v>125952000</v>
      </c>
      <c r="W50" s="35">
        <v>60000</v>
      </c>
      <c r="X50" s="35">
        <v>48778000</v>
      </c>
      <c r="Y50" s="35">
        <v>20237000</v>
      </c>
      <c r="Z50" s="35">
        <v>40279000</v>
      </c>
      <c r="AA50" s="35">
        <v>366946000</v>
      </c>
      <c r="AC50" s="89"/>
      <c r="AD50" s="89"/>
      <c r="AE50" s="89"/>
      <c r="AF50" s="89"/>
      <c r="AG50" s="89"/>
      <c r="AH50" s="89"/>
    </row>
    <row r="51" spans="1:34" x14ac:dyDescent="0.25">
      <c r="A51" s="10">
        <v>84</v>
      </c>
      <c r="B51" s="11" t="s">
        <v>33</v>
      </c>
      <c r="C51" s="11" t="s">
        <v>69</v>
      </c>
      <c r="D51" s="11" t="s">
        <v>185</v>
      </c>
      <c r="E51" s="11" t="s">
        <v>181</v>
      </c>
      <c r="F51" s="11" t="s">
        <v>171</v>
      </c>
      <c r="G51" s="35">
        <v>373237000</v>
      </c>
      <c r="H51" s="35">
        <v>163814000</v>
      </c>
      <c r="I51" s="35">
        <v>799000</v>
      </c>
      <c r="J51" s="35">
        <v>109943000</v>
      </c>
      <c r="K51" s="35">
        <v>43877000</v>
      </c>
      <c r="L51" s="35">
        <v>3592000</v>
      </c>
      <c r="M51" s="35">
        <v>695262000</v>
      </c>
      <c r="N51" s="35">
        <v>368854000</v>
      </c>
      <c r="O51" s="35">
        <v>183550000</v>
      </c>
      <c r="P51" s="35">
        <v>597000</v>
      </c>
      <c r="Q51" s="35">
        <v>112475000</v>
      </c>
      <c r="R51" s="35">
        <v>40509000</v>
      </c>
      <c r="S51" s="35">
        <v>2995000</v>
      </c>
      <c r="T51" s="35">
        <v>708980000</v>
      </c>
      <c r="U51" s="35">
        <v>390418000</v>
      </c>
      <c r="V51" s="35">
        <v>195110000</v>
      </c>
      <c r="W51" s="35">
        <v>265000</v>
      </c>
      <c r="X51" s="35">
        <v>112362000</v>
      </c>
      <c r="Y51" s="35">
        <v>50419000</v>
      </c>
      <c r="Z51" s="35">
        <v>8611000</v>
      </c>
      <c r="AA51" s="35">
        <v>757185000</v>
      </c>
      <c r="AC51" s="89"/>
      <c r="AD51" s="89"/>
      <c r="AE51" s="89"/>
      <c r="AF51" s="89"/>
      <c r="AG51" s="89"/>
      <c r="AH51" s="89"/>
    </row>
    <row r="52" spans="1:34" x14ac:dyDescent="0.25">
      <c r="A52" s="10">
        <v>91</v>
      </c>
      <c r="B52" s="11" t="s">
        <v>52</v>
      </c>
      <c r="C52" s="11" t="s">
        <v>73</v>
      </c>
      <c r="D52" s="11" t="s">
        <v>187</v>
      </c>
      <c r="E52" s="11" t="s">
        <v>167</v>
      </c>
      <c r="F52" s="11" t="s">
        <v>168</v>
      </c>
      <c r="G52" s="35">
        <v>161037000</v>
      </c>
      <c r="H52" s="35">
        <v>110833000</v>
      </c>
      <c r="I52" s="35">
        <v>0</v>
      </c>
      <c r="J52" s="35">
        <v>116302000</v>
      </c>
      <c r="K52" s="35">
        <v>26392000</v>
      </c>
      <c r="L52" s="35">
        <v>0</v>
      </c>
      <c r="M52" s="35">
        <v>414564000</v>
      </c>
      <c r="N52" s="35">
        <v>137983000</v>
      </c>
      <c r="O52" s="35">
        <v>98547000</v>
      </c>
      <c r="P52" s="35">
        <v>0</v>
      </c>
      <c r="Q52" s="35">
        <v>81914000</v>
      </c>
      <c r="R52" s="35">
        <v>20105000</v>
      </c>
      <c r="S52" s="35">
        <v>0</v>
      </c>
      <c r="T52" s="35">
        <v>338549000</v>
      </c>
      <c r="U52" s="35">
        <v>104167000</v>
      </c>
      <c r="V52" s="35">
        <v>67855000</v>
      </c>
      <c r="W52" s="35">
        <v>1935000</v>
      </c>
      <c r="X52" s="35">
        <v>53539000</v>
      </c>
      <c r="Y52" s="35">
        <v>10710000</v>
      </c>
      <c r="Z52" s="35">
        <v>0</v>
      </c>
      <c r="AA52" s="35">
        <v>238206000</v>
      </c>
      <c r="AC52" s="89"/>
      <c r="AD52" s="89"/>
      <c r="AE52" s="89"/>
      <c r="AF52" s="89"/>
      <c r="AG52" s="89"/>
      <c r="AH52" s="89"/>
    </row>
    <row r="53" spans="1:34" x14ac:dyDescent="0.25">
      <c r="A53" s="10">
        <v>92</v>
      </c>
      <c r="B53" s="11" t="s">
        <v>5</v>
      </c>
      <c r="C53" s="11" t="s">
        <v>70</v>
      </c>
      <c r="D53" s="11" t="s">
        <v>180</v>
      </c>
      <c r="E53" s="11" t="s">
        <v>181</v>
      </c>
      <c r="F53" s="11" t="s">
        <v>171</v>
      </c>
      <c r="G53" s="35">
        <v>1939663000</v>
      </c>
      <c r="H53" s="35">
        <v>1183676000</v>
      </c>
      <c r="I53" s="35">
        <v>10713000</v>
      </c>
      <c r="J53" s="35">
        <v>614745000</v>
      </c>
      <c r="K53" s="35">
        <v>558320000</v>
      </c>
      <c r="L53" s="35">
        <v>253247000</v>
      </c>
      <c r="M53" s="35">
        <v>4560364000</v>
      </c>
      <c r="N53" s="35">
        <v>1991179000</v>
      </c>
      <c r="O53" s="35">
        <v>1362482000</v>
      </c>
      <c r="P53" s="35">
        <v>14348000</v>
      </c>
      <c r="Q53" s="35">
        <v>599289000</v>
      </c>
      <c r="R53" s="35">
        <v>667562000</v>
      </c>
      <c r="S53" s="35">
        <v>294536000</v>
      </c>
      <c r="T53" s="35">
        <v>4929396000</v>
      </c>
      <c r="U53" s="35">
        <v>2385305000</v>
      </c>
      <c r="V53" s="35">
        <v>1794020000</v>
      </c>
      <c r="W53" s="35">
        <v>22140000</v>
      </c>
      <c r="X53" s="35">
        <v>804867000</v>
      </c>
      <c r="Y53" s="35">
        <v>897386000</v>
      </c>
      <c r="Z53" s="35">
        <v>303390000</v>
      </c>
      <c r="AA53" s="35">
        <v>6207108000</v>
      </c>
      <c r="AC53" s="89"/>
      <c r="AD53" s="89"/>
      <c r="AE53" s="89"/>
      <c r="AF53" s="89"/>
      <c r="AG53" s="89"/>
      <c r="AH53" s="89"/>
    </row>
    <row r="54" spans="1:34" x14ac:dyDescent="0.25">
      <c r="A54" s="10">
        <v>96</v>
      </c>
      <c r="B54" s="11" t="s">
        <v>50</v>
      </c>
      <c r="C54" s="11" t="s">
        <v>76</v>
      </c>
      <c r="D54" s="11" t="s">
        <v>176</v>
      </c>
      <c r="E54" s="11" t="s">
        <v>170</v>
      </c>
      <c r="F54" s="11" t="s">
        <v>171</v>
      </c>
      <c r="G54" s="35">
        <v>444689000</v>
      </c>
      <c r="H54" s="35">
        <v>266324000</v>
      </c>
      <c r="I54" s="35">
        <v>283000</v>
      </c>
      <c r="J54" s="35">
        <v>163937000</v>
      </c>
      <c r="K54" s="35">
        <v>32796000</v>
      </c>
      <c r="L54" s="35">
        <v>0</v>
      </c>
      <c r="M54" s="35">
        <v>908029000</v>
      </c>
      <c r="N54" s="35">
        <v>333942000</v>
      </c>
      <c r="O54" s="35">
        <v>279869000</v>
      </c>
      <c r="P54" s="35">
        <v>294000</v>
      </c>
      <c r="Q54" s="35">
        <v>147944000</v>
      </c>
      <c r="R54" s="35">
        <v>62619000</v>
      </c>
      <c r="S54" s="35">
        <v>0</v>
      </c>
      <c r="T54" s="35">
        <v>824668000</v>
      </c>
      <c r="U54" s="35">
        <v>370286000</v>
      </c>
      <c r="V54" s="35">
        <v>279173000</v>
      </c>
      <c r="W54" s="35">
        <v>401000</v>
      </c>
      <c r="X54" s="35">
        <v>147435000</v>
      </c>
      <c r="Y54" s="35">
        <v>65909000</v>
      </c>
      <c r="Z54" s="35">
        <v>4000</v>
      </c>
      <c r="AA54" s="35">
        <v>863208000</v>
      </c>
      <c r="AC54" s="89"/>
      <c r="AD54" s="89"/>
      <c r="AE54" s="89"/>
      <c r="AF54" s="89"/>
      <c r="AG54" s="89"/>
      <c r="AH54" s="89"/>
    </row>
    <row r="55" spans="1:34" x14ac:dyDescent="0.25">
      <c r="A55" s="10">
        <v>108</v>
      </c>
      <c r="B55" s="11" t="s">
        <v>31</v>
      </c>
      <c r="C55" s="11" t="s">
        <v>72</v>
      </c>
      <c r="D55" s="11" t="s">
        <v>182</v>
      </c>
      <c r="E55" s="11" t="s">
        <v>181</v>
      </c>
      <c r="F55" s="11" t="s">
        <v>171</v>
      </c>
      <c r="G55" s="35">
        <v>1240820000</v>
      </c>
      <c r="H55" s="35">
        <v>355844000</v>
      </c>
      <c r="I55" s="35">
        <v>1964000</v>
      </c>
      <c r="J55" s="35">
        <v>852133000</v>
      </c>
      <c r="K55" s="35">
        <v>209999000</v>
      </c>
      <c r="L55" s="35">
        <v>86792000</v>
      </c>
      <c r="M55" s="35">
        <v>2747552000</v>
      </c>
      <c r="N55" s="35">
        <v>1296649000</v>
      </c>
      <c r="O55" s="35">
        <v>436809000</v>
      </c>
      <c r="P55" s="35">
        <v>1743000</v>
      </c>
      <c r="Q55" s="35">
        <v>860905000</v>
      </c>
      <c r="R55" s="35">
        <v>141501000</v>
      </c>
      <c r="S55" s="35">
        <v>78662000</v>
      </c>
      <c r="T55" s="35">
        <v>2816269000</v>
      </c>
      <c r="U55" s="35">
        <v>1427586000</v>
      </c>
      <c r="V55" s="35">
        <v>543558000</v>
      </c>
      <c r="W55" s="35">
        <v>1828000</v>
      </c>
      <c r="X55" s="35">
        <v>999586000</v>
      </c>
      <c r="Y55" s="35">
        <v>155946000</v>
      </c>
      <c r="Z55" s="35">
        <v>86478000</v>
      </c>
      <c r="AA55" s="35">
        <v>3214982000</v>
      </c>
      <c r="AC55" s="89"/>
      <c r="AD55" s="89"/>
      <c r="AE55" s="89"/>
      <c r="AF55" s="89"/>
      <c r="AG55" s="89"/>
      <c r="AH55" s="89"/>
    </row>
    <row r="56" spans="1:34" x14ac:dyDescent="0.25">
      <c r="A56" s="10">
        <v>110</v>
      </c>
      <c r="B56" s="11" t="s">
        <v>44</v>
      </c>
      <c r="C56" s="11" t="s">
        <v>69</v>
      </c>
      <c r="D56" s="11" t="s">
        <v>180</v>
      </c>
      <c r="E56" s="11" t="s">
        <v>181</v>
      </c>
      <c r="F56" s="11" t="s">
        <v>171</v>
      </c>
      <c r="G56" s="35">
        <v>684364000</v>
      </c>
      <c r="H56" s="35">
        <v>148955000</v>
      </c>
      <c r="I56" s="35">
        <v>4751000</v>
      </c>
      <c r="J56" s="35">
        <v>255718000</v>
      </c>
      <c r="K56" s="35">
        <v>42140000</v>
      </c>
      <c r="L56" s="35">
        <v>114653000</v>
      </c>
      <c r="M56" s="35">
        <v>1250581000</v>
      </c>
      <c r="N56" s="35">
        <v>679210000</v>
      </c>
      <c r="O56" s="35">
        <v>138596000</v>
      </c>
      <c r="P56" s="35">
        <v>41000</v>
      </c>
      <c r="Q56" s="35">
        <v>296595000</v>
      </c>
      <c r="R56" s="35">
        <v>38926000</v>
      </c>
      <c r="S56" s="35">
        <v>34752000</v>
      </c>
      <c r="T56" s="35">
        <v>1188120000</v>
      </c>
      <c r="U56" s="35">
        <v>774735000</v>
      </c>
      <c r="V56" s="35">
        <v>175717000</v>
      </c>
      <c r="W56" s="35">
        <v>3087000</v>
      </c>
      <c r="X56" s="35">
        <v>318537000</v>
      </c>
      <c r="Y56" s="35">
        <v>42480000</v>
      </c>
      <c r="Z56" s="35">
        <v>41291000</v>
      </c>
      <c r="AA56" s="35">
        <v>1355847000</v>
      </c>
      <c r="AC56" s="89"/>
      <c r="AD56" s="89"/>
      <c r="AE56" s="89"/>
      <c r="AF56" s="89"/>
      <c r="AG56" s="89"/>
      <c r="AH56" s="89"/>
    </row>
    <row r="57" spans="1:34" x14ac:dyDescent="0.25">
      <c r="A57" s="10">
        <v>111</v>
      </c>
      <c r="B57" s="11" t="s">
        <v>7</v>
      </c>
      <c r="C57" s="11" t="s">
        <v>73</v>
      </c>
      <c r="D57" s="11" t="s">
        <v>183</v>
      </c>
      <c r="E57" s="11" t="s">
        <v>181</v>
      </c>
      <c r="F57" s="11" t="s">
        <v>171</v>
      </c>
      <c r="G57" s="35">
        <v>622863000</v>
      </c>
      <c r="H57" s="35">
        <v>106445000</v>
      </c>
      <c r="I57" s="35">
        <v>4783000</v>
      </c>
      <c r="J57" s="35">
        <v>322806000</v>
      </c>
      <c r="K57" s="35">
        <v>41683000</v>
      </c>
      <c r="L57" s="35">
        <v>40841000</v>
      </c>
      <c r="M57" s="35">
        <v>1139421000</v>
      </c>
      <c r="N57" s="35">
        <v>687240000</v>
      </c>
      <c r="O57" s="35">
        <v>126838000</v>
      </c>
      <c r="P57" s="35">
        <v>5611000</v>
      </c>
      <c r="Q57" s="35">
        <v>305333000</v>
      </c>
      <c r="R57" s="35">
        <v>47029000</v>
      </c>
      <c r="S57" s="35">
        <v>34139000</v>
      </c>
      <c r="T57" s="35">
        <v>1206190000</v>
      </c>
      <c r="U57" s="35">
        <v>744646000</v>
      </c>
      <c r="V57" s="35">
        <v>131653000</v>
      </c>
      <c r="W57" s="35">
        <v>7744000</v>
      </c>
      <c r="X57" s="35">
        <v>347877000</v>
      </c>
      <c r="Y57" s="35">
        <v>43793000</v>
      </c>
      <c r="Z57" s="35">
        <v>40969000</v>
      </c>
      <c r="AA57" s="35">
        <v>1316682000</v>
      </c>
      <c r="AC57" s="89"/>
      <c r="AD57" s="89"/>
      <c r="AE57" s="89"/>
      <c r="AF57" s="89"/>
      <c r="AG57" s="89"/>
      <c r="AH57" s="89"/>
    </row>
    <row r="58" spans="1:34" x14ac:dyDescent="0.25">
      <c r="A58" s="10">
        <v>112</v>
      </c>
      <c r="B58" s="11" t="s">
        <v>3</v>
      </c>
      <c r="C58" s="11" t="s">
        <v>72</v>
      </c>
      <c r="D58" s="11" t="s">
        <v>183</v>
      </c>
      <c r="E58" s="11" t="s">
        <v>181</v>
      </c>
      <c r="F58" s="11" t="s">
        <v>171</v>
      </c>
      <c r="G58" s="35">
        <v>502437000</v>
      </c>
      <c r="H58" s="35">
        <v>125737000</v>
      </c>
      <c r="I58" s="35">
        <v>699000</v>
      </c>
      <c r="J58" s="35">
        <v>276973000</v>
      </c>
      <c r="K58" s="35">
        <v>26862000</v>
      </c>
      <c r="L58" s="35">
        <v>24451000</v>
      </c>
      <c r="M58" s="35">
        <v>957159000</v>
      </c>
      <c r="N58" s="35">
        <v>476788000</v>
      </c>
      <c r="O58" s="35">
        <v>126468000</v>
      </c>
      <c r="P58" s="35">
        <v>901000</v>
      </c>
      <c r="Q58" s="35">
        <v>269407000</v>
      </c>
      <c r="R58" s="35">
        <v>19214000</v>
      </c>
      <c r="S58" s="35">
        <v>22762000</v>
      </c>
      <c r="T58" s="35">
        <v>915540000</v>
      </c>
      <c r="U58" s="35">
        <v>525010000</v>
      </c>
      <c r="V58" s="35">
        <v>140139000</v>
      </c>
      <c r="W58" s="35">
        <v>264000</v>
      </c>
      <c r="X58" s="35">
        <v>291798000</v>
      </c>
      <c r="Y58" s="35">
        <v>26245000</v>
      </c>
      <c r="Z58" s="35">
        <v>22694000</v>
      </c>
      <c r="AA58" s="35">
        <v>1006150000</v>
      </c>
      <c r="AC58" s="89"/>
      <c r="AD58" s="89"/>
      <c r="AE58" s="89"/>
      <c r="AF58" s="89"/>
      <c r="AG58" s="89"/>
      <c r="AH58" s="89"/>
    </row>
    <row r="59" spans="1:34" x14ac:dyDescent="0.25">
      <c r="A59" s="10">
        <v>113</v>
      </c>
      <c r="B59" s="11" t="s">
        <v>54</v>
      </c>
      <c r="C59" s="11" t="s">
        <v>72</v>
      </c>
      <c r="D59" s="11" t="s">
        <v>185</v>
      </c>
      <c r="E59" s="11" t="s">
        <v>181</v>
      </c>
      <c r="F59" s="11" t="s">
        <v>171</v>
      </c>
      <c r="G59" s="35">
        <v>629348000</v>
      </c>
      <c r="H59" s="35">
        <v>121206000</v>
      </c>
      <c r="I59" s="35">
        <v>2442000</v>
      </c>
      <c r="J59" s="35">
        <v>264105000</v>
      </c>
      <c r="K59" s="35">
        <v>20032000</v>
      </c>
      <c r="L59" s="35">
        <v>21450000</v>
      </c>
      <c r="M59" s="35">
        <v>1058583000</v>
      </c>
      <c r="N59" s="35">
        <v>647348000</v>
      </c>
      <c r="O59" s="35">
        <v>128856000</v>
      </c>
      <c r="P59" s="35">
        <v>3010000</v>
      </c>
      <c r="Q59" s="35">
        <v>265209000</v>
      </c>
      <c r="R59" s="35">
        <v>19917000</v>
      </c>
      <c r="S59" s="35">
        <v>20010000</v>
      </c>
      <c r="T59" s="35">
        <v>1084350000</v>
      </c>
      <c r="U59" s="35">
        <v>722491000</v>
      </c>
      <c r="V59" s="35">
        <v>148054000</v>
      </c>
      <c r="W59" s="35">
        <v>2839000</v>
      </c>
      <c r="X59" s="35">
        <v>283901000</v>
      </c>
      <c r="Y59" s="35">
        <v>19066000</v>
      </c>
      <c r="Z59" s="35">
        <v>26769000</v>
      </c>
      <c r="AA59" s="35">
        <v>1203120000</v>
      </c>
      <c r="AC59" s="89"/>
      <c r="AD59" s="89"/>
      <c r="AE59" s="89"/>
      <c r="AF59" s="89"/>
      <c r="AG59" s="89"/>
      <c r="AH59" s="89"/>
    </row>
    <row r="60" spans="1:34" x14ac:dyDescent="0.25">
      <c r="A60" s="10">
        <v>115</v>
      </c>
      <c r="B60" s="11" t="s">
        <v>19</v>
      </c>
      <c r="C60" s="11" t="s">
        <v>67</v>
      </c>
      <c r="D60" s="11" t="s">
        <v>191</v>
      </c>
      <c r="E60" s="11" t="s">
        <v>170</v>
      </c>
      <c r="F60" s="11" t="s">
        <v>168</v>
      </c>
      <c r="G60" s="35">
        <v>394933000</v>
      </c>
      <c r="H60" s="35">
        <v>82514000</v>
      </c>
      <c r="I60" s="35">
        <v>0</v>
      </c>
      <c r="J60" s="35">
        <v>207486000</v>
      </c>
      <c r="K60" s="35">
        <v>16140000</v>
      </c>
      <c r="L60" s="35">
        <v>20440000</v>
      </c>
      <c r="M60" s="35">
        <v>721513000</v>
      </c>
      <c r="N60" s="35">
        <v>451501000</v>
      </c>
      <c r="O60" s="35">
        <v>84804000</v>
      </c>
      <c r="P60" s="35">
        <v>0</v>
      </c>
      <c r="Q60" s="35">
        <v>203162000</v>
      </c>
      <c r="R60" s="35">
        <v>13261000</v>
      </c>
      <c r="S60" s="35">
        <v>21156000</v>
      </c>
      <c r="T60" s="35">
        <v>773884000</v>
      </c>
      <c r="U60" s="35">
        <v>505161000</v>
      </c>
      <c r="V60" s="35">
        <v>93181000</v>
      </c>
      <c r="W60" s="35">
        <v>0</v>
      </c>
      <c r="X60" s="35">
        <v>227859000</v>
      </c>
      <c r="Y60" s="35">
        <v>17153000</v>
      </c>
      <c r="Z60" s="35">
        <v>27464000</v>
      </c>
      <c r="AA60" s="35">
        <v>870818000</v>
      </c>
      <c r="AC60" s="89"/>
      <c r="AD60" s="89"/>
      <c r="AE60" s="89"/>
      <c r="AF60" s="89"/>
      <c r="AG60" s="89"/>
      <c r="AH60" s="89"/>
    </row>
    <row r="61" spans="1:34" x14ac:dyDescent="0.25">
      <c r="A61" s="10">
        <v>116</v>
      </c>
      <c r="B61" s="11" t="s">
        <v>57</v>
      </c>
      <c r="C61" s="11" t="s">
        <v>77</v>
      </c>
      <c r="D61" s="11" t="s">
        <v>186</v>
      </c>
      <c r="E61" s="11" t="s">
        <v>170</v>
      </c>
      <c r="F61" s="11" t="s">
        <v>171</v>
      </c>
      <c r="G61" s="35">
        <v>320777000</v>
      </c>
      <c r="H61" s="35">
        <v>135840000</v>
      </c>
      <c r="I61" s="35">
        <v>197000</v>
      </c>
      <c r="J61" s="35">
        <v>135959000</v>
      </c>
      <c r="K61" s="35">
        <v>27050000</v>
      </c>
      <c r="L61" s="35">
        <v>15592000</v>
      </c>
      <c r="M61" s="35">
        <v>635415000</v>
      </c>
      <c r="N61" s="35">
        <v>323431000</v>
      </c>
      <c r="O61" s="35">
        <v>151030000</v>
      </c>
      <c r="P61" s="35">
        <v>394000</v>
      </c>
      <c r="Q61" s="35">
        <v>149498000</v>
      </c>
      <c r="R61" s="35">
        <v>27636000</v>
      </c>
      <c r="S61" s="35">
        <v>18114000</v>
      </c>
      <c r="T61" s="35">
        <v>670103000</v>
      </c>
      <c r="U61" s="35">
        <v>342103000</v>
      </c>
      <c r="V61" s="35">
        <v>167453000</v>
      </c>
      <c r="W61" s="35">
        <v>451000</v>
      </c>
      <c r="X61" s="35">
        <v>150202000</v>
      </c>
      <c r="Y61" s="35">
        <v>35548000</v>
      </c>
      <c r="Z61" s="35">
        <v>17646000</v>
      </c>
      <c r="AA61" s="35">
        <v>713403000</v>
      </c>
      <c r="AB61" s="83"/>
      <c r="AC61" s="89"/>
      <c r="AD61" s="89"/>
      <c r="AE61" s="89"/>
      <c r="AF61" s="89"/>
      <c r="AG61" s="89"/>
      <c r="AH61" s="89"/>
    </row>
    <row r="62" spans="1:34" x14ac:dyDescent="0.25">
      <c r="A62" s="10">
        <v>118</v>
      </c>
      <c r="B62" s="11" t="s">
        <v>22</v>
      </c>
      <c r="C62" s="11" t="s">
        <v>73</v>
      </c>
      <c r="D62" s="11" t="s">
        <v>178</v>
      </c>
      <c r="E62" s="11" t="s">
        <v>170</v>
      </c>
      <c r="F62" s="11" t="s">
        <v>171</v>
      </c>
      <c r="G62" s="35">
        <v>171766000</v>
      </c>
      <c r="H62" s="35">
        <v>144477000</v>
      </c>
      <c r="I62" s="35">
        <v>1062000</v>
      </c>
      <c r="J62" s="35">
        <v>552312000</v>
      </c>
      <c r="K62" s="35">
        <v>37884000</v>
      </c>
      <c r="L62" s="35">
        <v>181145000</v>
      </c>
      <c r="M62" s="35">
        <v>1088646000</v>
      </c>
      <c r="N62" s="35">
        <v>202622000</v>
      </c>
      <c r="O62" s="35">
        <v>141754000</v>
      </c>
      <c r="P62" s="35">
        <v>814000</v>
      </c>
      <c r="Q62" s="35">
        <v>594773000</v>
      </c>
      <c r="R62" s="35">
        <v>29976000</v>
      </c>
      <c r="S62" s="35">
        <v>202181000</v>
      </c>
      <c r="T62" s="35">
        <v>1172120000</v>
      </c>
      <c r="U62" s="35">
        <v>186830000</v>
      </c>
      <c r="V62" s="35">
        <v>133260000</v>
      </c>
      <c r="W62" s="35">
        <v>898000</v>
      </c>
      <c r="X62" s="35">
        <v>716245000</v>
      </c>
      <c r="Y62" s="35">
        <v>27664000</v>
      </c>
      <c r="Z62" s="35">
        <v>277823000</v>
      </c>
      <c r="AA62" s="35">
        <v>1342720000</v>
      </c>
      <c r="AC62" s="89"/>
      <c r="AD62" s="89"/>
      <c r="AE62" s="89"/>
      <c r="AF62" s="89"/>
      <c r="AG62" s="89"/>
      <c r="AH62" s="89"/>
    </row>
    <row r="63" spans="1:34" x14ac:dyDescent="0.25">
      <c r="A63" s="10">
        <v>119</v>
      </c>
      <c r="B63" s="11" t="s">
        <v>61</v>
      </c>
      <c r="C63" s="11" t="s">
        <v>73</v>
      </c>
      <c r="D63" s="11" t="s">
        <v>176</v>
      </c>
      <c r="E63" s="11" t="s">
        <v>170</v>
      </c>
      <c r="F63" s="11" t="s">
        <v>171</v>
      </c>
      <c r="G63" s="35">
        <v>707516000</v>
      </c>
      <c r="H63" s="35">
        <v>1238963000</v>
      </c>
      <c r="I63" s="35">
        <v>5778000</v>
      </c>
      <c r="J63" s="35">
        <v>383688000</v>
      </c>
      <c r="K63" s="35">
        <v>369500000</v>
      </c>
      <c r="L63" s="35">
        <v>183644000</v>
      </c>
      <c r="M63" s="35">
        <v>2889089000</v>
      </c>
      <c r="N63" s="35">
        <v>756151000</v>
      </c>
      <c r="O63" s="35">
        <v>1225385000</v>
      </c>
      <c r="P63" s="35">
        <v>2540000</v>
      </c>
      <c r="Q63" s="35">
        <v>428852000</v>
      </c>
      <c r="R63" s="35">
        <v>381556000</v>
      </c>
      <c r="S63" s="35">
        <v>181256000</v>
      </c>
      <c r="T63" s="35">
        <v>2975740000</v>
      </c>
      <c r="U63" s="35">
        <v>810973000</v>
      </c>
      <c r="V63" s="35">
        <v>1299567000</v>
      </c>
      <c r="W63" s="35">
        <v>1528000</v>
      </c>
      <c r="X63" s="35">
        <v>464094000</v>
      </c>
      <c r="Y63" s="35">
        <v>469933000</v>
      </c>
      <c r="Z63" s="35">
        <v>164730000</v>
      </c>
      <c r="AA63" s="35">
        <v>3210825000</v>
      </c>
      <c r="AC63" s="89"/>
      <c r="AD63" s="89"/>
      <c r="AE63" s="89"/>
      <c r="AF63" s="89"/>
      <c r="AG63" s="89"/>
      <c r="AH63" s="89"/>
    </row>
    <row r="64" spans="1:34" x14ac:dyDescent="0.25">
      <c r="A64" s="10">
        <v>221</v>
      </c>
      <c r="B64" s="11" t="s">
        <v>64</v>
      </c>
      <c r="C64" s="11" t="s">
        <v>74</v>
      </c>
      <c r="D64" s="11" t="s">
        <v>173</v>
      </c>
      <c r="E64" s="11" t="s">
        <v>167</v>
      </c>
      <c r="F64" s="11" t="s">
        <v>171</v>
      </c>
      <c r="G64" s="35">
        <v>1527849000</v>
      </c>
      <c r="H64" s="35">
        <v>711777000</v>
      </c>
      <c r="I64" s="35">
        <v>47864000</v>
      </c>
      <c r="J64" s="35">
        <v>1533794000</v>
      </c>
      <c r="K64" s="35">
        <v>61825000</v>
      </c>
      <c r="L64" s="35">
        <v>147068000</v>
      </c>
      <c r="M64" s="35">
        <v>4030177000</v>
      </c>
      <c r="N64" s="35">
        <v>1678141000</v>
      </c>
      <c r="O64" s="35">
        <v>817297000</v>
      </c>
      <c r="P64" s="35">
        <v>52121000</v>
      </c>
      <c r="Q64" s="35">
        <v>1622097000</v>
      </c>
      <c r="R64" s="35">
        <v>53471000</v>
      </c>
      <c r="S64" s="35">
        <v>144376000</v>
      </c>
      <c r="T64" s="35">
        <v>4367503000</v>
      </c>
      <c r="U64" s="35">
        <v>1734398000</v>
      </c>
      <c r="V64" s="35">
        <v>928735000</v>
      </c>
      <c r="W64" s="35">
        <v>68745000</v>
      </c>
      <c r="X64" s="35">
        <v>1916392000</v>
      </c>
      <c r="Y64" s="35">
        <v>66276000</v>
      </c>
      <c r="Z64" s="35">
        <v>163077000</v>
      </c>
      <c r="AA64" s="35">
        <v>4877623000</v>
      </c>
      <c r="AC64" s="89"/>
      <c r="AD64" s="89"/>
      <c r="AE64" s="89"/>
      <c r="AF64" s="89"/>
      <c r="AG64" s="89"/>
      <c r="AH64" s="89"/>
    </row>
    <row r="65" spans="1:34" x14ac:dyDescent="0.25">
      <c r="A65" s="10">
        <v>224</v>
      </c>
      <c r="B65" s="11" t="s">
        <v>63</v>
      </c>
      <c r="C65" s="11" t="s">
        <v>74</v>
      </c>
      <c r="D65" s="11" t="s">
        <v>172</v>
      </c>
      <c r="E65" s="11" t="s">
        <v>167</v>
      </c>
      <c r="F65" s="11" t="s">
        <v>171</v>
      </c>
      <c r="G65" s="35">
        <v>645649000</v>
      </c>
      <c r="H65" s="35">
        <v>115978000</v>
      </c>
      <c r="I65" s="35">
        <v>9772000</v>
      </c>
      <c r="J65" s="35">
        <v>304681000</v>
      </c>
      <c r="K65" s="35">
        <v>11215000</v>
      </c>
      <c r="L65" s="35">
        <v>25343000</v>
      </c>
      <c r="M65" s="35">
        <v>1112638000</v>
      </c>
      <c r="N65" s="35">
        <v>728599000</v>
      </c>
      <c r="O65" s="35">
        <v>137998000</v>
      </c>
      <c r="P65" s="35">
        <v>14988000</v>
      </c>
      <c r="Q65" s="35">
        <v>387628000</v>
      </c>
      <c r="R65" s="35">
        <v>12307000</v>
      </c>
      <c r="S65" s="35">
        <v>30856000</v>
      </c>
      <c r="T65" s="35">
        <v>1312376000</v>
      </c>
      <c r="U65" s="35">
        <v>841058000</v>
      </c>
      <c r="V65" s="35">
        <v>158973000</v>
      </c>
      <c r="W65" s="35">
        <v>18049000</v>
      </c>
      <c r="X65" s="35">
        <v>431575000</v>
      </c>
      <c r="Y65" s="35">
        <v>10051000</v>
      </c>
      <c r="Z65" s="35">
        <v>35496000</v>
      </c>
      <c r="AA65" s="35">
        <v>1495202000</v>
      </c>
      <c r="AC65" s="89"/>
      <c r="AD65" s="89"/>
      <c r="AE65" s="89"/>
      <c r="AF65" s="89"/>
      <c r="AG65" s="89"/>
      <c r="AH65" s="89"/>
    </row>
    <row r="66" spans="1:34" x14ac:dyDescent="0.25">
      <c r="A66" s="10">
        <v>324</v>
      </c>
      <c r="B66" s="11" t="s">
        <v>25</v>
      </c>
      <c r="C66" s="11" t="s">
        <v>80</v>
      </c>
      <c r="D66" s="11" t="s">
        <v>175</v>
      </c>
      <c r="E66" s="11" t="s">
        <v>167</v>
      </c>
      <c r="F66" s="11" t="s">
        <v>168</v>
      </c>
      <c r="G66" s="35">
        <v>926881000</v>
      </c>
      <c r="H66" s="35">
        <v>614144000</v>
      </c>
      <c r="I66" s="35">
        <v>30015000</v>
      </c>
      <c r="J66" s="35">
        <v>545938000</v>
      </c>
      <c r="K66" s="35">
        <v>52218000</v>
      </c>
      <c r="L66" s="35">
        <v>50917000</v>
      </c>
      <c r="M66" s="35">
        <v>2220113000</v>
      </c>
      <c r="N66" s="35">
        <v>940433000</v>
      </c>
      <c r="O66" s="35">
        <v>643491000</v>
      </c>
      <c r="P66" s="35">
        <v>30643000</v>
      </c>
      <c r="Q66" s="35">
        <v>525567000</v>
      </c>
      <c r="R66" s="35">
        <v>49894000</v>
      </c>
      <c r="S66" s="35">
        <v>44740000</v>
      </c>
      <c r="T66" s="35">
        <v>2234768000</v>
      </c>
      <c r="U66" s="35">
        <v>1012476000</v>
      </c>
      <c r="V66" s="35">
        <v>680214000</v>
      </c>
      <c r="W66" s="35">
        <v>37340000</v>
      </c>
      <c r="X66" s="35">
        <v>508614000</v>
      </c>
      <c r="Y66" s="35">
        <v>56748000</v>
      </c>
      <c r="Z66" s="35">
        <v>48675000</v>
      </c>
      <c r="AA66" s="35">
        <v>2344067000</v>
      </c>
      <c r="AC66" s="89"/>
      <c r="AD66" s="89"/>
      <c r="AE66" s="89"/>
      <c r="AF66" s="89"/>
      <c r="AG66" s="89"/>
      <c r="AH66" s="89"/>
    </row>
    <row r="67" spans="1:34" x14ac:dyDescent="0.25">
      <c r="A67" s="10">
        <v>391</v>
      </c>
      <c r="B67" s="11" t="s">
        <v>42</v>
      </c>
      <c r="C67" s="11" t="s">
        <v>72</v>
      </c>
      <c r="D67" s="11" t="s">
        <v>182</v>
      </c>
      <c r="E67" s="11" t="s">
        <v>181</v>
      </c>
      <c r="F67" s="11" t="s">
        <v>171</v>
      </c>
      <c r="G67" s="35">
        <v>199862000</v>
      </c>
      <c r="H67" s="35">
        <v>239919000</v>
      </c>
      <c r="I67" s="35">
        <v>161000</v>
      </c>
      <c r="J67" s="35">
        <v>187873000</v>
      </c>
      <c r="K67" s="35">
        <v>56740000</v>
      </c>
      <c r="L67" s="35">
        <v>14965000</v>
      </c>
      <c r="M67" s="35">
        <v>699520000</v>
      </c>
      <c r="N67" s="35">
        <v>176601000</v>
      </c>
      <c r="O67" s="35">
        <v>243597000</v>
      </c>
      <c r="P67" s="35">
        <v>381000</v>
      </c>
      <c r="Q67" s="35">
        <v>183536000</v>
      </c>
      <c r="R67" s="35">
        <v>45457000</v>
      </c>
      <c r="S67" s="35">
        <v>13872000</v>
      </c>
      <c r="T67" s="35">
        <v>663444000</v>
      </c>
      <c r="U67" s="35">
        <v>204080000</v>
      </c>
      <c r="V67" s="35">
        <v>282043000</v>
      </c>
      <c r="W67" s="35">
        <v>705000</v>
      </c>
      <c r="X67" s="35">
        <v>206371000</v>
      </c>
      <c r="Y67" s="35">
        <v>50315000</v>
      </c>
      <c r="Z67" s="35">
        <v>15881000</v>
      </c>
      <c r="AA67" s="35">
        <v>759395000</v>
      </c>
      <c r="AC67" s="89"/>
      <c r="AD67" s="89"/>
      <c r="AE67" s="89"/>
      <c r="AF67" s="89"/>
      <c r="AG67" s="89"/>
      <c r="AH67" s="89"/>
    </row>
    <row r="68" spans="1:34" x14ac:dyDescent="0.25">
      <c r="A68" s="10">
        <v>392</v>
      </c>
      <c r="B68" s="11" t="s">
        <v>41</v>
      </c>
      <c r="C68" s="11" t="s">
        <v>72</v>
      </c>
      <c r="D68" s="11" t="s">
        <v>182</v>
      </c>
      <c r="E68" s="11" t="s">
        <v>181</v>
      </c>
      <c r="F68" s="11" t="s">
        <v>171</v>
      </c>
      <c r="G68" s="35">
        <v>312746000</v>
      </c>
      <c r="H68" s="35">
        <v>67105000</v>
      </c>
      <c r="I68" s="35">
        <v>228000</v>
      </c>
      <c r="J68" s="35">
        <v>189192000</v>
      </c>
      <c r="K68" s="35">
        <v>19994000</v>
      </c>
      <c r="L68" s="35">
        <v>12619000</v>
      </c>
      <c r="M68" s="35">
        <v>601884000</v>
      </c>
      <c r="N68" s="35">
        <v>318573000</v>
      </c>
      <c r="O68" s="35">
        <v>72206000</v>
      </c>
      <c r="P68" s="35">
        <v>792000</v>
      </c>
      <c r="Q68" s="35">
        <v>190885000</v>
      </c>
      <c r="R68" s="35">
        <v>17704000</v>
      </c>
      <c r="S68" s="35">
        <v>14797000</v>
      </c>
      <c r="T68" s="35">
        <v>614957000</v>
      </c>
      <c r="U68" s="35">
        <v>370544000</v>
      </c>
      <c r="V68" s="35">
        <v>93455000</v>
      </c>
      <c r="W68" s="35">
        <v>729000</v>
      </c>
      <c r="X68" s="35">
        <v>213479000</v>
      </c>
      <c r="Y68" s="35">
        <v>17100000</v>
      </c>
      <c r="Z68" s="35">
        <v>15780000</v>
      </c>
      <c r="AA68" s="35">
        <v>711087000</v>
      </c>
      <c r="AC68" s="89"/>
      <c r="AD68" s="89"/>
      <c r="AE68" s="89"/>
      <c r="AF68" s="89"/>
      <c r="AG68" s="89"/>
      <c r="AH68" s="89"/>
    </row>
    <row r="69" spans="1:34" x14ac:dyDescent="0.25">
      <c r="A69" s="10">
        <v>502</v>
      </c>
      <c r="B69" s="11" t="s">
        <v>49</v>
      </c>
      <c r="C69" s="11" t="s">
        <v>76</v>
      </c>
      <c r="D69" s="11" t="s">
        <v>184</v>
      </c>
      <c r="E69" s="11" t="s">
        <v>170</v>
      </c>
      <c r="F69" s="11" t="s">
        <v>171</v>
      </c>
      <c r="G69" s="35">
        <v>159729000</v>
      </c>
      <c r="H69" s="35">
        <v>50460000</v>
      </c>
      <c r="I69" s="35">
        <v>6631000</v>
      </c>
      <c r="J69" s="35">
        <v>127049000</v>
      </c>
      <c r="K69" s="35">
        <v>20169000</v>
      </c>
      <c r="L69" s="35">
        <v>2563000</v>
      </c>
      <c r="M69" s="35">
        <v>366601000</v>
      </c>
      <c r="N69" s="35">
        <v>208672000</v>
      </c>
      <c r="O69" s="35">
        <v>89010000</v>
      </c>
      <c r="P69" s="35">
        <v>533000</v>
      </c>
      <c r="Q69" s="35">
        <v>65506000</v>
      </c>
      <c r="R69" s="35">
        <v>31999000</v>
      </c>
      <c r="S69" s="35">
        <v>3218000</v>
      </c>
      <c r="T69" s="35">
        <v>398938000</v>
      </c>
      <c r="U69" s="35">
        <v>197184000</v>
      </c>
      <c r="V69" s="35">
        <v>69555000</v>
      </c>
      <c r="W69" s="35">
        <v>371000</v>
      </c>
      <c r="X69" s="35">
        <v>92098000</v>
      </c>
      <c r="Y69" s="35">
        <v>24440000</v>
      </c>
      <c r="Z69" s="35">
        <v>1712000</v>
      </c>
      <c r="AA69" s="35">
        <v>385360000</v>
      </c>
      <c r="AC69" s="89"/>
      <c r="AD69" s="89"/>
      <c r="AE69" s="89"/>
      <c r="AF69" s="89"/>
      <c r="AG69" s="89"/>
      <c r="AH69" s="89"/>
    </row>
    <row r="70" spans="1:34" x14ac:dyDescent="0.25">
      <c r="A70" s="10">
        <v>641</v>
      </c>
      <c r="B70" s="11" t="s">
        <v>1</v>
      </c>
      <c r="C70" s="11" t="s">
        <v>68</v>
      </c>
      <c r="D70" s="11" t="s">
        <v>166</v>
      </c>
      <c r="E70" s="11" t="s">
        <v>167</v>
      </c>
      <c r="F70" s="11" t="s">
        <v>168</v>
      </c>
      <c r="G70" s="35">
        <v>1122185000</v>
      </c>
      <c r="H70" s="35">
        <v>393273000</v>
      </c>
      <c r="I70" s="35">
        <v>39577000</v>
      </c>
      <c r="J70" s="35">
        <v>541729000</v>
      </c>
      <c r="K70" s="35">
        <v>67304000</v>
      </c>
      <c r="L70" s="35">
        <v>60157000</v>
      </c>
      <c r="M70" s="35">
        <v>2224225000</v>
      </c>
      <c r="N70" s="35">
        <v>1156240000</v>
      </c>
      <c r="O70" s="35">
        <v>386378000</v>
      </c>
      <c r="P70" s="35">
        <v>42252000</v>
      </c>
      <c r="Q70" s="35">
        <v>548172000</v>
      </c>
      <c r="R70" s="35">
        <v>65919000</v>
      </c>
      <c r="S70" s="35">
        <v>53431000</v>
      </c>
      <c r="T70" s="35">
        <v>2252392000</v>
      </c>
      <c r="U70" s="35">
        <v>1191509000</v>
      </c>
      <c r="V70" s="35">
        <v>398163000</v>
      </c>
      <c r="W70" s="35">
        <v>43541000</v>
      </c>
      <c r="X70" s="35">
        <v>564895000</v>
      </c>
      <c r="Y70" s="35">
        <v>67928000</v>
      </c>
      <c r="Z70" s="35">
        <v>55060000</v>
      </c>
      <c r="AA70" s="35">
        <v>2321096000</v>
      </c>
      <c r="AC70" s="89"/>
      <c r="AD70" s="89"/>
      <c r="AE70" s="89"/>
      <c r="AF70" s="89"/>
      <c r="AG70" s="89"/>
      <c r="AH70" s="89"/>
    </row>
    <row r="71" spans="1:34" x14ac:dyDescent="0.25">
      <c r="A71" s="10">
        <v>642</v>
      </c>
      <c r="B71" s="11" t="s">
        <v>0</v>
      </c>
      <c r="C71" s="11" t="s">
        <v>68</v>
      </c>
      <c r="D71" s="11" t="s">
        <v>166</v>
      </c>
      <c r="E71" s="11" t="s">
        <v>167</v>
      </c>
      <c r="F71" s="11" t="s">
        <v>168</v>
      </c>
      <c r="G71" s="35">
        <v>567720000</v>
      </c>
      <c r="H71" s="35">
        <v>384528000</v>
      </c>
      <c r="I71" s="35">
        <v>22290000</v>
      </c>
      <c r="J71" s="35">
        <v>267592000</v>
      </c>
      <c r="K71" s="35">
        <v>92366000</v>
      </c>
      <c r="L71" s="35">
        <v>87720000</v>
      </c>
      <c r="M71" s="35">
        <v>1422216000</v>
      </c>
      <c r="N71" s="35">
        <v>561109000</v>
      </c>
      <c r="O71" s="35">
        <v>377933000</v>
      </c>
      <c r="P71" s="35">
        <v>21055000</v>
      </c>
      <c r="Q71" s="35">
        <v>252662000</v>
      </c>
      <c r="R71" s="35">
        <v>88826000</v>
      </c>
      <c r="S71" s="35">
        <v>86565000</v>
      </c>
      <c r="T71" s="35">
        <v>1388150000</v>
      </c>
      <c r="U71" s="35">
        <v>578226000</v>
      </c>
      <c r="V71" s="35">
        <v>389461000</v>
      </c>
      <c r="W71" s="35">
        <v>21698000</v>
      </c>
      <c r="X71" s="35">
        <v>260369000</v>
      </c>
      <c r="Y71" s="35">
        <v>91535000</v>
      </c>
      <c r="Z71" s="35">
        <v>89204000</v>
      </c>
      <c r="AA71" s="35">
        <v>1430493000</v>
      </c>
      <c r="AC71" s="89"/>
      <c r="AD71" s="89"/>
      <c r="AE71" s="89"/>
      <c r="AF71" s="89"/>
      <c r="AG71" s="89"/>
      <c r="AH71" s="89"/>
    </row>
    <row r="72" spans="1:34" x14ac:dyDescent="0.25">
      <c r="A72" s="10">
        <v>861</v>
      </c>
      <c r="B72" s="11" t="s">
        <v>28</v>
      </c>
      <c r="C72" s="11" t="s">
        <v>79</v>
      </c>
      <c r="D72" s="11" t="s">
        <v>177</v>
      </c>
      <c r="E72" s="11" t="s">
        <v>167</v>
      </c>
      <c r="F72" s="11" t="s">
        <v>171</v>
      </c>
      <c r="G72" s="35">
        <v>1021715000</v>
      </c>
      <c r="H72" s="35">
        <v>303725000</v>
      </c>
      <c r="I72" s="35">
        <v>3787000</v>
      </c>
      <c r="J72" s="35">
        <v>475415000</v>
      </c>
      <c r="K72" s="35">
        <v>31859000</v>
      </c>
      <c r="L72" s="35">
        <v>59659000</v>
      </c>
      <c r="M72" s="35">
        <v>1896160000</v>
      </c>
      <c r="N72" s="35">
        <v>1110221000</v>
      </c>
      <c r="O72" s="35">
        <v>322240000</v>
      </c>
      <c r="P72" s="35">
        <v>3920000</v>
      </c>
      <c r="Q72" s="35">
        <v>512219000</v>
      </c>
      <c r="R72" s="35">
        <v>26082000</v>
      </c>
      <c r="S72" s="35">
        <v>55104000</v>
      </c>
      <c r="T72" s="35">
        <v>2029786000</v>
      </c>
      <c r="U72" s="35">
        <v>1129285000</v>
      </c>
      <c r="V72" s="35">
        <v>320209000</v>
      </c>
      <c r="W72" s="35">
        <v>4352000</v>
      </c>
      <c r="X72" s="35">
        <v>478981000</v>
      </c>
      <c r="Y72" s="35">
        <v>24067000</v>
      </c>
      <c r="Z72" s="35">
        <v>57384000</v>
      </c>
      <c r="AA72" s="35">
        <v>2014278000</v>
      </c>
      <c r="AC72" s="89"/>
      <c r="AD72" s="89"/>
      <c r="AE72" s="89"/>
      <c r="AF72" s="89"/>
      <c r="AG72" s="89"/>
      <c r="AH72" s="89"/>
    </row>
    <row r="73" spans="1:34" x14ac:dyDescent="0.25">
      <c r="A73" s="10">
        <v>862</v>
      </c>
      <c r="B73" s="11" t="s">
        <v>26</v>
      </c>
      <c r="C73" s="11" t="s">
        <v>79</v>
      </c>
      <c r="D73" s="11" t="s">
        <v>173</v>
      </c>
      <c r="E73" s="11" t="s">
        <v>167</v>
      </c>
      <c r="F73" s="11" t="s">
        <v>171</v>
      </c>
      <c r="G73" s="35">
        <v>472269000</v>
      </c>
      <c r="H73" s="35">
        <v>164074000</v>
      </c>
      <c r="I73" s="35">
        <v>2937000</v>
      </c>
      <c r="J73" s="35">
        <v>232655000</v>
      </c>
      <c r="K73" s="35">
        <v>55236000</v>
      </c>
      <c r="L73" s="35">
        <v>82743000</v>
      </c>
      <c r="M73" s="35">
        <v>1009914000</v>
      </c>
      <c r="N73" s="35">
        <v>535150000</v>
      </c>
      <c r="O73" s="35">
        <v>231003000</v>
      </c>
      <c r="P73" s="35">
        <v>3882000</v>
      </c>
      <c r="Q73" s="35">
        <v>269084000</v>
      </c>
      <c r="R73" s="35">
        <v>27935000</v>
      </c>
      <c r="S73" s="35">
        <v>34240000</v>
      </c>
      <c r="T73" s="35">
        <v>1101294000</v>
      </c>
      <c r="U73" s="35">
        <v>562432000</v>
      </c>
      <c r="V73" s="35">
        <v>242627000</v>
      </c>
      <c r="W73" s="35">
        <v>2874000</v>
      </c>
      <c r="X73" s="35">
        <v>274622000</v>
      </c>
      <c r="Y73" s="35">
        <v>27439000</v>
      </c>
      <c r="Z73" s="35">
        <v>38536000</v>
      </c>
      <c r="AA73" s="35">
        <v>1148530000</v>
      </c>
      <c r="AC73" s="89"/>
      <c r="AD73" s="89"/>
      <c r="AE73" s="89"/>
      <c r="AF73" s="89"/>
      <c r="AG73" s="89"/>
      <c r="AH73" s="89"/>
    </row>
    <row r="74" spans="1:34" x14ac:dyDescent="0.25">
      <c r="A74" s="10">
        <v>863</v>
      </c>
      <c r="B74" s="11" t="s">
        <v>27</v>
      </c>
      <c r="C74" s="11" t="s">
        <v>79</v>
      </c>
      <c r="D74" s="11" t="s">
        <v>173</v>
      </c>
      <c r="E74" s="11" t="s">
        <v>167</v>
      </c>
      <c r="F74" s="11" t="s">
        <v>171</v>
      </c>
      <c r="G74" s="35">
        <v>373158000</v>
      </c>
      <c r="H74" s="35">
        <v>152283000</v>
      </c>
      <c r="I74" s="35">
        <v>761000</v>
      </c>
      <c r="J74" s="35">
        <v>143912000</v>
      </c>
      <c r="K74" s="35">
        <v>30413000</v>
      </c>
      <c r="L74" s="35">
        <v>14738000</v>
      </c>
      <c r="M74" s="35">
        <v>715265000</v>
      </c>
      <c r="N74" s="35">
        <v>360912000</v>
      </c>
      <c r="O74" s="35">
        <v>171518000</v>
      </c>
      <c r="P74" s="35">
        <v>1082000</v>
      </c>
      <c r="Q74" s="35">
        <v>148586000</v>
      </c>
      <c r="R74" s="35">
        <v>27072000</v>
      </c>
      <c r="S74" s="35">
        <v>14361000</v>
      </c>
      <c r="T74" s="35">
        <v>723531000</v>
      </c>
      <c r="U74" s="35">
        <v>346265000</v>
      </c>
      <c r="V74" s="35">
        <v>165439000</v>
      </c>
      <c r="W74" s="35">
        <v>924000</v>
      </c>
      <c r="X74" s="35">
        <v>137853000</v>
      </c>
      <c r="Y74" s="35">
        <v>21370000</v>
      </c>
      <c r="Z74" s="35">
        <v>14102000</v>
      </c>
      <c r="AA74" s="35">
        <v>685953000</v>
      </c>
      <c r="AC74" s="89"/>
      <c r="AD74" s="89"/>
      <c r="AE74" s="89"/>
      <c r="AF74" s="89"/>
      <c r="AG74" s="89"/>
      <c r="AH74" s="89"/>
    </row>
    <row r="75" spans="1:34" x14ac:dyDescent="0.25">
      <c r="A75" s="18">
        <v>1069</v>
      </c>
      <c r="B75" s="19" t="s">
        <v>121</v>
      </c>
      <c r="C75" s="19" t="s">
        <v>80</v>
      </c>
      <c r="D75" s="11" t="s">
        <v>177</v>
      </c>
      <c r="E75" s="11" t="s">
        <v>167</v>
      </c>
      <c r="F75" s="11" t="s">
        <v>171</v>
      </c>
      <c r="G75" s="40">
        <v>679593000</v>
      </c>
      <c r="H75" s="40">
        <v>232873000</v>
      </c>
      <c r="I75" s="40">
        <v>13636000</v>
      </c>
      <c r="J75" s="40">
        <v>448881000</v>
      </c>
      <c r="K75" s="40">
        <v>14820000</v>
      </c>
      <c r="L75" s="40">
        <v>29223000</v>
      </c>
      <c r="M75" s="40">
        <v>1419026000</v>
      </c>
      <c r="N75" s="40">
        <v>807011000</v>
      </c>
      <c r="O75" s="40">
        <v>267151000</v>
      </c>
      <c r="P75" s="40">
        <v>17587000</v>
      </c>
      <c r="Q75" s="40">
        <v>466336000</v>
      </c>
      <c r="R75" s="40">
        <v>16124000</v>
      </c>
      <c r="S75" s="40">
        <v>29717000</v>
      </c>
      <c r="T75" s="40">
        <v>1603926000</v>
      </c>
      <c r="U75" s="35">
        <v>912300000</v>
      </c>
      <c r="V75" s="35">
        <v>278936000</v>
      </c>
      <c r="W75" s="35">
        <v>24370000</v>
      </c>
      <c r="X75" s="35">
        <v>502752000</v>
      </c>
      <c r="Y75" s="35">
        <v>18496000</v>
      </c>
      <c r="Z75" s="35">
        <v>31181000</v>
      </c>
      <c r="AA75" s="35">
        <v>1768035000</v>
      </c>
      <c r="AC75" s="89"/>
      <c r="AD75" s="89"/>
      <c r="AE75" s="89"/>
      <c r="AF75" s="89"/>
      <c r="AG75" s="89"/>
      <c r="AH75" s="89"/>
    </row>
    <row r="76" spans="1:34" ht="15.75" thickBot="1" x14ac:dyDescent="0.3">
      <c r="A76" s="10">
        <v>1169</v>
      </c>
      <c r="B76" s="11" t="s">
        <v>252</v>
      </c>
      <c r="C76" s="11" t="s">
        <v>80</v>
      </c>
      <c r="D76" s="11" t="s">
        <v>187</v>
      </c>
      <c r="E76" s="11" t="s">
        <v>167</v>
      </c>
      <c r="F76" s="11" t="s">
        <v>168</v>
      </c>
      <c r="G76" s="35"/>
      <c r="H76" s="35"/>
      <c r="I76" s="35"/>
      <c r="J76" s="35"/>
      <c r="K76" s="35"/>
      <c r="L76" s="35"/>
      <c r="M76" s="35"/>
      <c r="N76" s="35"/>
      <c r="O76" s="35"/>
      <c r="P76" s="35"/>
      <c r="Q76" s="35"/>
      <c r="R76" s="35"/>
      <c r="S76" s="35"/>
      <c r="T76" s="35"/>
      <c r="U76" s="35">
        <v>27652000</v>
      </c>
      <c r="V76" s="35">
        <v>13743000</v>
      </c>
      <c r="W76" s="35">
        <v>250000</v>
      </c>
      <c r="X76" s="35">
        <v>8094000</v>
      </c>
      <c r="Y76" s="35">
        <v>1524000</v>
      </c>
      <c r="Z76" s="35">
        <v>8000</v>
      </c>
      <c r="AA76" s="35">
        <v>51271000</v>
      </c>
      <c r="AC76" s="89"/>
      <c r="AD76" s="89"/>
      <c r="AE76" s="89"/>
      <c r="AF76" s="89"/>
      <c r="AG76" s="89"/>
      <c r="AH76" s="89"/>
    </row>
    <row r="77" spans="1:34" ht="15.75" thickBot="1" x14ac:dyDescent="0.3">
      <c r="A77" s="2"/>
      <c r="B77" s="2"/>
      <c r="C77" s="24" t="s">
        <v>108</v>
      </c>
      <c r="D77" s="78"/>
      <c r="E77" s="78"/>
      <c r="F77" s="78"/>
      <c r="G77" s="26">
        <f>SUM(Table26[[2021 Medicare ]])</f>
        <v>63876235000</v>
      </c>
      <c r="H77" s="26">
        <f>SUM(Table26[[2021 Medicaid ]])</f>
        <v>27664776000</v>
      </c>
      <c r="I77" s="26">
        <f>SUM(Table26[2021 Champus/ Tricare ])</f>
        <v>620528000</v>
      </c>
      <c r="J77" s="26">
        <f>SUM(Table26[[2021 Commercial Insurance ]])</f>
        <v>42711663000</v>
      </c>
      <c r="K77" s="26">
        <f>SUM(Table26[2021 Uninsured])</f>
        <v>7356263000</v>
      </c>
      <c r="L77" s="26">
        <f>SUM(Table26[[2021 Others ]])</f>
        <v>3941251000</v>
      </c>
      <c r="M77" s="26">
        <f>SUM(Table26[2021 Total])</f>
        <v>146170716000</v>
      </c>
      <c r="N77" s="26">
        <f>SUM(Table26[2022 Medicare])</f>
        <v>68664510000</v>
      </c>
      <c r="O77" s="26">
        <f>SUM(Table26[2022 Medicaid])</f>
        <v>30576484000</v>
      </c>
      <c r="P77" s="26">
        <f>SUM(Table26[2022 Champus/ Tricare])</f>
        <v>678515000</v>
      </c>
      <c r="Q77" s="26">
        <f>SUM(Table26[2022 Commercial Insurance])</f>
        <v>44134491000</v>
      </c>
      <c r="R77" s="26">
        <f>SUM(Table26[2022 Uninsured])</f>
        <v>7340565000</v>
      </c>
      <c r="S77" s="26">
        <f>SUM(Table26[2022 Others])</f>
        <v>4156086000</v>
      </c>
      <c r="T77" s="26">
        <f>SUM(Table26[[2022 Total ]])</f>
        <v>155550651000</v>
      </c>
      <c r="U77" s="26">
        <f>SUM(Table26[[2023 Medicare ]])</f>
        <v>74755148000</v>
      </c>
      <c r="V77" s="26">
        <f>SUM(Table26[[2023 Medicaid ]])</f>
        <v>33021820000</v>
      </c>
      <c r="W77" s="26">
        <f>SUM(Table26[2023 Champus/ Tricare ])</f>
        <v>727202000</v>
      </c>
      <c r="X77" s="26">
        <f>SUM(Table26[[2023 Commercial Insurance ]])</f>
        <v>47891667000</v>
      </c>
      <c r="Y77" s="26">
        <f>SUM(Table26[2023 Uninsured])</f>
        <v>8313721000</v>
      </c>
      <c r="Z77" s="26">
        <f>SUM(Table26[[2023 Others ]])</f>
        <v>4491623000</v>
      </c>
      <c r="AA77" s="27">
        <f>SUM(Table26[2023 Total])</f>
        <v>169201181000</v>
      </c>
    </row>
    <row r="78" spans="1:34"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spans="1:34" ht="59.25" customHeight="1" x14ac:dyDescent="0.25">
      <c r="A79" s="101" t="s">
        <v>125</v>
      </c>
      <c r="B79" s="101"/>
      <c r="C79" s="101"/>
      <c r="D79" s="70"/>
      <c r="E79" s="70"/>
      <c r="F79" s="70"/>
      <c r="G79" s="2"/>
      <c r="H79" s="2"/>
      <c r="I79" s="2"/>
      <c r="J79" s="2"/>
      <c r="K79" s="2"/>
      <c r="L79" s="2"/>
      <c r="M79" s="2"/>
      <c r="N79" s="2"/>
      <c r="O79" s="2"/>
      <c r="P79" s="2"/>
      <c r="Q79" s="2"/>
      <c r="R79" s="2"/>
      <c r="S79" s="2"/>
      <c r="T79" s="2"/>
      <c r="U79" s="2"/>
      <c r="V79" s="2"/>
      <c r="W79" s="2"/>
      <c r="X79" s="2"/>
      <c r="Y79" s="2"/>
      <c r="Z79" s="2"/>
      <c r="AA79" s="2"/>
    </row>
    <row r="80" spans="1:34" ht="59.25" customHeight="1" x14ac:dyDescent="0.25">
      <c r="A80" s="101" t="s">
        <v>218</v>
      </c>
      <c r="B80" s="101"/>
      <c r="C80" s="101"/>
      <c r="D80" s="101"/>
      <c r="E80" s="101"/>
      <c r="F80" s="101"/>
      <c r="G80" s="101"/>
      <c r="H80" s="101"/>
      <c r="I80" s="101"/>
      <c r="J80" s="2"/>
      <c r="K80" s="2"/>
      <c r="L80" s="2"/>
      <c r="M80" s="2"/>
      <c r="N80" s="2"/>
      <c r="O80" s="2"/>
      <c r="P80" s="2"/>
      <c r="Q80" s="2"/>
      <c r="R80" s="2"/>
      <c r="S80" s="2"/>
      <c r="T80" s="2"/>
      <c r="U80" s="2"/>
      <c r="V80" s="2"/>
      <c r="W80" s="2"/>
      <c r="X80" s="2"/>
      <c r="Y80" s="2"/>
      <c r="Z80" s="2"/>
      <c r="AA80" s="2"/>
    </row>
    <row r="81" spans="1:27" s="2" customFormat="1" ht="14.25" x14ac:dyDescent="0.2">
      <c r="A81" s="101" t="s">
        <v>282</v>
      </c>
      <c r="B81" s="101"/>
      <c r="C81" s="101"/>
      <c r="D81" s="101"/>
      <c r="E81" s="101"/>
      <c r="F81" s="101"/>
      <c r="G81" s="101"/>
      <c r="H81" s="101"/>
      <c r="I81" s="101"/>
      <c r="J81" s="101"/>
      <c r="K81" s="101"/>
      <c r="L81" s="101"/>
      <c r="M81" s="101"/>
      <c r="N81" s="101"/>
      <c r="O81" s="101"/>
      <c r="P81" s="101"/>
      <c r="Q81" s="101"/>
      <c r="R81" s="101"/>
      <c r="S81" s="101"/>
      <c r="T81" s="101"/>
      <c r="U81" s="101"/>
    </row>
    <row r="82" spans="1:27" s="2" customFormat="1" ht="14.25" x14ac:dyDescent="0.2">
      <c r="A82" s="87" t="s">
        <v>219</v>
      </c>
      <c r="B82" s="86"/>
      <c r="C82" s="86"/>
      <c r="D82" s="86"/>
      <c r="E82" s="86"/>
      <c r="F82" s="86"/>
      <c r="G82" s="86"/>
      <c r="H82" s="86"/>
      <c r="I82" s="86"/>
      <c r="J82" s="86"/>
      <c r="K82" s="86"/>
      <c r="L82" s="86"/>
      <c r="M82" s="86"/>
      <c r="N82" s="86"/>
      <c r="O82" s="86"/>
      <c r="P82" s="86"/>
      <c r="Q82" s="86"/>
      <c r="R82" s="86"/>
      <c r="S82" s="86"/>
      <c r="T82" s="86"/>
      <c r="U82" s="86"/>
    </row>
    <row r="83" spans="1:27"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spans="1:27" ht="18" x14ac:dyDescent="0.25">
      <c r="A84" s="102" t="s">
        <v>85</v>
      </c>
      <c r="B84" s="102"/>
      <c r="C84" s="102"/>
      <c r="D84" s="80"/>
      <c r="E84" s="80"/>
      <c r="F84" s="80"/>
      <c r="G84" s="2"/>
      <c r="H84" s="2"/>
      <c r="I84" s="2"/>
      <c r="J84" s="2"/>
      <c r="K84" s="2"/>
      <c r="L84" s="2"/>
      <c r="M84" s="2"/>
      <c r="N84" s="2"/>
      <c r="O84" s="2"/>
      <c r="P84" s="2"/>
      <c r="Q84" s="2"/>
      <c r="R84" s="2"/>
      <c r="S84" s="2"/>
      <c r="T84" s="2"/>
      <c r="U84" s="2"/>
      <c r="V84" s="2"/>
      <c r="W84" s="2"/>
      <c r="X84" s="2"/>
      <c r="Y84" s="2"/>
      <c r="Z84" s="2"/>
      <c r="AA84" s="2"/>
    </row>
    <row r="85" spans="1:27" x14ac:dyDescent="0.25">
      <c r="A85" s="28" t="s">
        <v>86</v>
      </c>
      <c r="B85" s="103" t="s">
        <v>91</v>
      </c>
      <c r="C85" s="103"/>
      <c r="D85" s="71"/>
      <c r="E85" s="71"/>
      <c r="F85" s="71"/>
      <c r="G85" s="2"/>
      <c r="H85" s="2"/>
      <c r="I85" s="2"/>
      <c r="J85" s="2"/>
      <c r="K85" s="2"/>
      <c r="L85" s="2"/>
      <c r="M85" s="2"/>
      <c r="N85" s="2"/>
      <c r="O85" s="2"/>
      <c r="P85" s="2"/>
      <c r="Q85" s="2"/>
      <c r="R85" s="2"/>
      <c r="S85" s="2"/>
      <c r="T85" s="2"/>
      <c r="U85" s="2"/>
      <c r="V85" s="2"/>
      <c r="W85" s="2"/>
      <c r="X85" s="2"/>
      <c r="Y85" s="2"/>
      <c r="Z85" s="2"/>
      <c r="AA85" s="2"/>
    </row>
    <row r="86" spans="1:27" x14ac:dyDescent="0.25">
      <c r="A86" s="28" t="s">
        <v>87</v>
      </c>
      <c r="B86" s="103" t="s">
        <v>84</v>
      </c>
      <c r="C86" s="103"/>
      <c r="D86" s="71"/>
      <c r="E86" s="71"/>
      <c r="F86" s="71"/>
      <c r="G86" s="2"/>
      <c r="H86" s="2"/>
      <c r="I86" s="2"/>
      <c r="J86" s="2"/>
      <c r="K86" s="2"/>
      <c r="L86" s="2"/>
      <c r="M86" s="2"/>
      <c r="N86" s="2"/>
      <c r="O86" s="2"/>
      <c r="P86" s="2"/>
      <c r="Q86" s="2"/>
      <c r="R86" s="2"/>
      <c r="S86" s="2"/>
      <c r="T86" s="2"/>
      <c r="U86" s="2"/>
      <c r="V86" s="2"/>
      <c r="W86" s="2"/>
      <c r="X86" s="2"/>
      <c r="Y86" s="2"/>
      <c r="Z86" s="2"/>
      <c r="AA86" s="2"/>
    </row>
    <row r="87" spans="1:27" x14ac:dyDescent="0.25">
      <c r="A87" s="28" t="s">
        <v>88</v>
      </c>
      <c r="B87" s="110" t="s">
        <v>92</v>
      </c>
      <c r="C87" s="110"/>
      <c r="D87" s="74"/>
      <c r="E87" s="74"/>
      <c r="F87" s="74"/>
      <c r="G87" s="2"/>
      <c r="H87" s="2"/>
      <c r="I87" s="2"/>
      <c r="J87" s="2"/>
      <c r="K87" s="2"/>
      <c r="L87" s="2"/>
      <c r="M87" s="2"/>
      <c r="N87" s="2"/>
      <c r="O87" s="2"/>
      <c r="P87" s="2"/>
      <c r="Q87" s="2"/>
      <c r="R87" s="2"/>
      <c r="S87" s="2"/>
      <c r="T87" s="2"/>
      <c r="U87" s="2"/>
      <c r="V87" s="2"/>
      <c r="W87" s="2"/>
      <c r="X87" s="2"/>
      <c r="Y87" s="2"/>
      <c r="Z87" s="2"/>
      <c r="AA87" s="2"/>
    </row>
    <row r="88" spans="1:27" x14ac:dyDescent="0.25">
      <c r="A88" s="44" t="s">
        <v>89</v>
      </c>
      <c r="B88" s="98" t="s">
        <v>193</v>
      </c>
      <c r="C88" s="98"/>
      <c r="D88" s="74"/>
      <c r="E88" s="74"/>
      <c r="F88" s="74"/>
      <c r="G88" s="2"/>
      <c r="H88" s="2"/>
      <c r="I88" s="2"/>
      <c r="J88" s="2"/>
      <c r="K88" s="2"/>
      <c r="L88" s="2"/>
      <c r="M88" s="2"/>
      <c r="N88" s="2"/>
      <c r="O88" s="2"/>
      <c r="P88" s="2"/>
      <c r="Q88" s="2"/>
      <c r="R88" s="2"/>
      <c r="S88" s="2"/>
      <c r="T88" s="2"/>
      <c r="U88" s="2"/>
      <c r="V88" s="2"/>
      <c r="W88" s="2"/>
      <c r="X88" s="2"/>
      <c r="Y88" s="2"/>
      <c r="Z88" s="2"/>
      <c r="AA88" s="2"/>
    </row>
    <row r="89" spans="1:27" x14ac:dyDescent="0.25">
      <c r="A89" s="44" t="s">
        <v>90</v>
      </c>
      <c r="B89" s="98" t="s">
        <v>194</v>
      </c>
      <c r="C89" s="98"/>
      <c r="D89" s="74"/>
      <c r="E89" s="74"/>
      <c r="F89" s="74"/>
      <c r="G89" s="2"/>
      <c r="H89" s="2"/>
      <c r="I89" s="2"/>
      <c r="J89" s="2"/>
      <c r="K89" s="2"/>
      <c r="L89" s="2"/>
      <c r="M89" s="2"/>
      <c r="N89" s="2"/>
      <c r="O89" s="2"/>
      <c r="P89" s="2"/>
      <c r="Q89" s="2"/>
      <c r="R89" s="2"/>
      <c r="S89" s="2"/>
      <c r="T89" s="2"/>
      <c r="U89" s="2"/>
      <c r="V89" s="2"/>
      <c r="W89" s="2"/>
      <c r="X89" s="2"/>
      <c r="Y89" s="2"/>
      <c r="Z89" s="2"/>
      <c r="AA89" s="2"/>
    </row>
    <row r="90" spans="1:27" x14ac:dyDescent="0.25">
      <c r="A90" s="44" t="s">
        <v>93</v>
      </c>
      <c r="B90" s="104" t="s">
        <v>195</v>
      </c>
      <c r="C90" s="104"/>
      <c r="D90" s="74"/>
      <c r="E90" s="74"/>
      <c r="F90" s="74"/>
      <c r="G90" s="2"/>
      <c r="H90" s="2"/>
      <c r="I90" s="2"/>
      <c r="J90" s="2"/>
      <c r="K90" s="2"/>
      <c r="L90" s="2"/>
      <c r="M90" s="2"/>
      <c r="N90" s="2"/>
      <c r="O90" s="2"/>
      <c r="P90" s="2"/>
      <c r="Q90" s="2"/>
      <c r="R90" s="2"/>
      <c r="S90" s="2"/>
      <c r="T90" s="2"/>
      <c r="U90" s="2"/>
      <c r="V90" s="2"/>
      <c r="W90" s="2"/>
      <c r="X90" s="2"/>
      <c r="Y90" s="2"/>
      <c r="Z90" s="2"/>
      <c r="AA90" s="2"/>
    </row>
    <row r="91" spans="1:27" ht="17.25" customHeight="1" x14ac:dyDescent="0.25">
      <c r="A91" s="28" t="s">
        <v>202</v>
      </c>
      <c r="B91" s="98" t="s">
        <v>300</v>
      </c>
      <c r="C91" s="98"/>
      <c r="D91" s="72"/>
      <c r="E91" s="72"/>
      <c r="F91" s="72"/>
      <c r="G91" s="2"/>
      <c r="H91" s="2"/>
      <c r="I91" s="2"/>
      <c r="J91" s="2"/>
      <c r="K91" s="2"/>
      <c r="L91" s="2"/>
      <c r="M91" s="2"/>
      <c r="N91" s="2"/>
      <c r="O91" s="2"/>
      <c r="P91" s="2"/>
      <c r="Q91" s="2"/>
      <c r="R91" s="2"/>
      <c r="S91" s="2"/>
      <c r="T91" s="2"/>
      <c r="U91" s="2"/>
      <c r="V91" s="2"/>
      <c r="W91" s="2"/>
      <c r="X91" s="2"/>
      <c r="Y91" s="2"/>
      <c r="Z91" s="2"/>
      <c r="AA91" s="2"/>
    </row>
    <row r="92" spans="1:27" x14ac:dyDescent="0.25">
      <c r="A92" s="29" t="s">
        <v>205</v>
      </c>
      <c r="B92" s="98" t="s">
        <v>106</v>
      </c>
      <c r="C92" s="98"/>
      <c r="D92" s="72"/>
      <c r="E92" s="72"/>
      <c r="F92" s="72"/>
      <c r="G92" s="2"/>
      <c r="H92" s="2"/>
      <c r="I92" s="2"/>
      <c r="J92" s="2"/>
      <c r="K92" s="2"/>
      <c r="L92" s="2"/>
      <c r="M92" s="2"/>
      <c r="N92" s="2"/>
      <c r="O92" s="2"/>
      <c r="P92" s="2"/>
      <c r="Q92" s="2"/>
      <c r="R92" s="2"/>
      <c r="S92" s="2"/>
      <c r="T92" s="2"/>
      <c r="U92" s="2"/>
      <c r="V92" s="2"/>
      <c r="W92" s="2"/>
      <c r="X92" s="2"/>
      <c r="Y92" s="2"/>
      <c r="Z92" s="2"/>
      <c r="AA92" s="2"/>
    </row>
    <row r="93" spans="1:27" x14ac:dyDescent="0.25">
      <c r="A93" s="28" t="s">
        <v>213</v>
      </c>
      <c r="B93" s="98" t="s">
        <v>224</v>
      </c>
      <c r="C93" s="98"/>
      <c r="D93" s="72"/>
      <c r="E93" s="72"/>
      <c r="F93" s="72"/>
      <c r="G93" s="2"/>
      <c r="H93" s="2"/>
      <c r="I93" s="2"/>
      <c r="J93" s="2"/>
      <c r="K93" s="2"/>
      <c r="L93" s="2"/>
      <c r="M93" s="2"/>
      <c r="N93" s="2"/>
      <c r="O93" s="2"/>
      <c r="P93" s="2"/>
      <c r="Q93" s="2"/>
      <c r="R93" s="2"/>
      <c r="S93" s="2"/>
      <c r="T93" s="2"/>
      <c r="U93" s="2"/>
      <c r="V93" s="2"/>
      <c r="W93" s="2"/>
      <c r="X93" s="2"/>
      <c r="Y93" s="2"/>
      <c r="Z93" s="2"/>
      <c r="AA93" s="2"/>
    </row>
    <row r="94" spans="1:27" x14ac:dyDescent="0.25">
      <c r="A94" s="28" t="s">
        <v>211</v>
      </c>
      <c r="B94" s="98" t="s">
        <v>225</v>
      </c>
      <c r="C94" s="98"/>
      <c r="D94" s="72"/>
      <c r="E94" s="72"/>
      <c r="F94" s="72"/>
      <c r="G94" s="2"/>
      <c r="H94" s="2"/>
      <c r="I94" s="2"/>
      <c r="J94" s="2"/>
      <c r="K94" s="2"/>
      <c r="L94" s="2"/>
      <c r="M94" s="2"/>
      <c r="N94" s="2"/>
      <c r="O94" s="2"/>
      <c r="P94" s="2"/>
      <c r="Q94" s="2"/>
      <c r="R94" s="2"/>
      <c r="S94" s="2"/>
      <c r="T94" s="2"/>
      <c r="U94" s="2"/>
      <c r="V94" s="2"/>
      <c r="W94" s="2"/>
      <c r="X94" s="2"/>
      <c r="Y94" s="2"/>
      <c r="Z94" s="2"/>
      <c r="AA94" s="2"/>
    </row>
    <row r="95" spans="1:27" x14ac:dyDescent="0.25">
      <c r="A95" s="28" t="s">
        <v>214</v>
      </c>
      <c r="B95" s="98" t="s">
        <v>299</v>
      </c>
      <c r="C95" s="98"/>
      <c r="D95" s="72"/>
      <c r="E95" s="72"/>
      <c r="F95" s="72"/>
      <c r="G95" s="2"/>
      <c r="H95" s="2"/>
      <c r="I95" s="2"/>
      <c r="J95" s="2"/>
      <c r="K95" s="2"/>
      <c r="L95" s="2"/>
      <c r="M95" s="2"/>
      <c r="N95" s="2"/>
      <c r="O95" s="2"/>
      <c r="P95" s="2"/>
      <c r="Q95" s="2"/>
      <c r="R95" s="2"/>
      <c r="S95" s="2"/>
      <c r="T95" s="2"/>
      <c r="U95" s="2"/>
      <c r="V95" s="2"/>
      <c r="W95" s="2"/>
      <c r="X95" s="2"/>
      <c r="Y95" s="2"/>
      <c r="Z95" s="2"/>
      <c r="AA95" s="2"/>
    </row>
    <row r="96" spans="1:27" x14ac:dyDescent="0.25">
      <c r="A96" s="28" t="s">
        <v>215</v>
      </c>
      <c r="B96" s="98" t="s">
        <v>298</v>
      </c>
      <c r="C96" s="98"/>
      <c r="D96" s="72"/>
      <c r="E96" s="72"/>
      <c r="F96" s="72"/>
      <c r="G96" s="2"/>
      <c r="H96" s="2"/>
      <c r="I96" s="2"/>
      <c r="J96" s="2"/>
      <c r="K96" s="2"/>
      <c r="L96" s="2"/>
      <c r="M96" s="2"/>
      <c r="N96" s="2"/>
      <c r="O96" s="2"/>
      <c r="P96" s="2"/>
      <c r="Q96" s="2"/>
      <c r="R96" s="2"/>
      <c r="S96" s="2"/>
      <c r="T96" s="2"/>
      <c r="U96" s="2"/>
      <c r="V96" s="2"/>
      <c r="W96" s="2"/>
      <c r="X96" s="2"/>
      <c r="Y96" s="2"/>
      <c r="Z96" s="2"/>
      <c r="AA96" s="2"/>
    </row>
  </sheetData>
  <sheetProtection algorithmName="SHA-512" hashValue="R+K0HJdPZXzZd2qs8XalwuXPheE+hLwgZkumZg3jSEqW5XJKKy6bTeDWZW37pIyLaN1RJ5zkcyrVbbVZr9lYvA==" saltValue="b71cjCivU42anP6jLsrlrw==" spinCount="100000" sheet="1" objects="1" scenarios="1" selectLockedCells="1" selectUnlockedCells="1"/>
  <mergeCells count="17">
    <mergeCell ref="B91:C91"/>
    <mergeCell ref="A1:AA1"/>
    <mergeCell ref="A84:C84"/>
    <mergeCell ref="B85:C85"/>
    <mergeCell ref="B86:C86"/>
    <mergeCell ref="B87:C87"/>
    <mergeCell ref="A79:C79"/>
    <mergeCell ref="B88:C88"/>
    <mergeCell ref="B89:C89"/>
    <mergeCell ref="B90:C90"/>
    <mergeCell ref="A80:I80"/>
    <mergeCell ref="A81:U81"/>
    <mergeCell ref="B92:C92"/>
    <mergeCell ref="B93:C93"/>
    <mergeCell ref="B94:C94"/>
    <mergeCell ref="B95:C95"/>
    <mergeCell ref="B96:C96"/>
  </mergeCells>
  <phoneticPr fontId="11" type="noConversion"/>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07114-F514-4570-8A6B-EF19B22BAB4B}">
  <dimension ref="A1:X157"/>
  <sheetViews>
    <sheetView zoomScale="70" zoomScaleNormal="70" workbookViewId="0">
      <selection activeCell="S79" sqref="S79"/>
    </sheetView>
  </sheetViews>
  <sheetFormatPr defaultRowHeight="15" x14ac:dyDescent="0.25"/>
  <cols>
    <col min="1" max="1" width="28" customWidth="1"/>
    <col min="2" max="2" width="76.140625" customWidth="1"/>
    <col min="3" max="3" width="40.85546875" customWidth="1"/>
    <col min="4" max="4" width="19.85546875" customWidth="1"/>
    <col min="5" max="5" width="15" customWidth="1"/>
    <col min="6" max="6" width="18.5703125" customWidth="1"/>
    <col min="7" max="8" width="20.5703125" bestFit="1" customWidth="1"/>
    <col min="9" max="9" width="22.5703125" bestFit="1" customWidth="1"/>
    <col min="10" max="10" width="21" bestFit="1" customWidth="1"/>
    <col min="11" max="11" width="18.28515625" bestFit="1" customWidth="1"/>
    <col min="12" max="12" width="21.7109375" bestFit="1" customWidth="1"/>
    <col min="13" max="14" width="22.140625" bestFit="1" customWidth="1"/>
    <col min="15" max="15" width="21" bestFit="1" customWidth="1"/>
    <col min="16" max="16" width="20.5703125" bestFit="1" customWidth="1"/>
    <col min="17" max="17" width="21" bestFit="1" customWidth="1"/>
    <col min="18" max="18" width="20.5703125" bestFit="1" customWidth="1"/>
    <col min="19" max="19" width="21" bestFit="1" customWidth="1"/>
    <col min="20" max="20" width="20.5703125" bestFit="1" customWidth="1"/>
    <col min="21" max="21" width="22.140625" bestFit="1" customWidth="1"/>
    <col min="22" max="22" width="21" bestFit="1" customWidth="1"/>
    <col min="23" max="23" width="18.7109375" bestFit="1" customWidth="1"/>
    <col min="24" max="24" width="22.140625" bestFit="1" customWidth="1"/>
  </cols>
  <sheetData>
    <row r="1" spans="1:24" ht="24" thickBot="1" x14ac:dyDescent="0.4">
      <c r="A1" s="99" t="s">
        <v>303</v>
      </c>
      <c r="B1" s="100"/>
      <c r="C1" s="100"/>
      <c r="D1" s="100"/>
      <c r="E1" s="100"/>
      <c r="F1" s="100"/>
      <c r="G1" s="100"/>
      <c r="H1" s="100"/>
      <c r="I1" s="100"/>
      <c r="J1" s="100"/>
      <c r="K1" s="100"/>
      <c r="L1" s="100"/>
      <c r="M1" s="100"/>
      <c r="N1" s="100"/>
      <c r="O1" s="100"/>
      <c r="P1" s="100"/>
      <c r="Q1" s="100"/>
      <c r="R1" s="100"/>
      <c r="S1" s="100"/>
      <c r="T1" s="100"/>
      <c r="U1" s="100"/>
      <c r="V1" s="100"/>
      <c r="W1" s="100"/>
      <c r="X1" s="100"/>
    </row>
    <row r="2" spans="1:24" x14ac:dyDescent="0.25">
      <c r="A2" s="2"/>
      <c r="B2" s="2"/>
      <c r="C2" s="2"/>
      <c r="D2" s="2"/>
      <c r="E2" s="2"/>
      <c r="F2" s="2"/>
      <c r="G2" s="2"/>
      <c r="H2" s="2"/>
      <c r="I2" s="2"/>
      <c r="J2" s="2"/>
      <c r="K2" s="2"/>
      <c r="L2" s="2"/>
      <c r="M2" s="2"/>
      <c r="N2" s="2"/>
      <c r="O2" s="2"/>
      <c r="P2" s="2"/>
      <c r="Q2" s="2"/>
      <c r="R2" s="2"/>
      <c r="S2" s="2"/>
      <c r="T2" s="2"/>
      <c r="U2" s="2"/>
      <c r="V2" s="2"/>
      <c r="W2" s="2"/>
      <c r="X2" s="2"/>
    </row>
    <row r="3" spans="1:24" ht="25.5" x14ac:dyDescent="0.25">
      <c r="A3" s="7" t="s">
        <v>83</v>
      </c>
      <c r="B3" s="8" t="s">
        <v>84</v>
      </c>
      <c r="C3" s="8" t="s">
        <v>92</v>
      </c>
      <c r="D3" s="8" t="s">
        <v>163</v>
      </c>
      <c r="E3" s="8" t="s">
        <v>164</v>
      </c>
      <c r="F3" s="8" t="s">
        <v>165</v>
      </c>
      <c r="G3" s="8" t="s">
        <v>100</v>
      </c>
      <c r="H3" s="8" t="s">
        <v>101</v>
      </c>
      <c r="I3" s="8" t="s">
        <v>105</v>
      </c>
      <c r="J3" s="8" t="s">
        <v>102</v>
      </c>
      <c r="K3" s="8" t="s">
        <v>103</v>
      </c>
      <c r="L3" s="8" t="s">
        <v>104</v>
      </c>
      <c r="M3" s="8" t="s">
        <v>228</v>
      </c>
      <c r="N3" s="8" t="s">
        <v>229</v>
      </c>
      <c r="O3" s="8" t="s">
        <v>230</v>
      </c>
      <c r="P3" s="8" t="s">
        <v>231</v>
      </c>
      <c r="Q3" s="8" t="s">
        <v>232</v>
      </c>
      <c r="R3" s="8" t="s">
        <v>233</v>
      </c>
      <c r="S3" s="8" t="s">
        <v>260</v>
      </c>
      <c r="T3" s="8" t="s">
        <v>261</v>
      </c>
      <c r="U3" s="8" t="s">
        <v>262</v>
      </c>
      <c r="V3" s="8" t="s">
        <v>263</v>
      </c>
      <c r="W3" s="8" t="s">
        <v>304</v>
      </c>
      <c r="X3" s="8" t="s">
        <v>264</v>
      </c>
    </row>
    <row r="4" spans="1:24" x14ac:dyDescent="0.25">
      <c r="A4" s="10">
        <v>1</v>
      </c>
      <c r="B4" s="11" t="s">
        <v>18</v>
      </c>
      <c r="C4" s="11" t="s">
        <v>72</v>
      </c>
      <c r="D4" s="11" t="s">
        <v>169</v>
      </c>
      <c r="E4" s="11" t="s">
        <v>170</v>
      </c>
      <c r="F4" s="11" t="s">
        <v>171</v>
      </c>
      <c r="G4" s="46">
        <v>0.38899011396991967</v>
      </c>
      <c r="H4" s="46">
        <v>0.15258920021259609</v>
      </c>
      <c r="I4" s="46">
        <v>0</v>
      </c>
      <c r="J4" s="46">
        <v>0.41609080756074091</v>
      </c>
      <c r="K4" s="46">
        <v>4.2329878256743329E-2</v>
      </c>
      <c r="L4" s="46">
        <v>0</v>
      </c>
      <c r="M4" s="46">
        <v>0.39165547388251226</v>
      </c>
      <c r="N4" s="46">
        <v>0.18422575449512057</v>
      </c>
      <c r="O4" s="46">
        <v>0</v>
      </c>
      <c r="P4" s="46">
        <v>0.3823528044541008</v>
      </c>
      <c r="Q4" s="46">
        <v>4.1765967168266346E-2</v>
      </c>
      <c r="R4" s="46">
        <v>0</v>
      </c>
      <c r="S4" s="46">
        <v>0.4156394404806753</v>
      </c>
      <c r="T4" s="46">
        <v>0.18556076125014137</v>
      </c>
      <c r="U4" s="46">
        <v>0</v>
      </c>
      <c r="V4" s="46">
        <v>0.35362468182241075</v>
      </c>
      <c r="W4" s="46">
        <v>4.5175116446772558E-2</v>
      </c>
      <c r="X4" s="46">
        <v>0</v>
      </c>
    </row>
    <row r="5" spans="1:24" x14ac:dyDescent="0.25">
      <c r="A5" s="10">
        <v>2</v>
      </c>
      <c r="B5" s="11" t="s">
        <v>36</v>
      </c>
      <c r="C5" s="11" t="s">
        <v>69</v>
      </c>
      <c r="D5" s="11" t="s">
        <v>176</v>
      </c>
      <c r="E5" s="11" t="s">
        <v>170</v>
      </c>
      <c r="F5" s="11" t="s">
        <v>171</v>
      </c>
      <c r="G5" s="46">
        <v>0.32781256713191465</v>
      </c>
      <c r="H5" s="46">
        <v>0.36146878349566214</v>
      </c>
      <c r="I5" s="46">
        <v>6.1672320900018479E-4</v>
      </c>
      <c r="J5" s="46">
        <v>0.21578114086670419</v>
      </c>
      <c r="K5" s="46">
        <v>7.0632615547498376E-2</v>
      </c>
      <c r="L5" s="46">
        <v>2.3688169749220472E-2</v>
      </c>
      <c r="M5" s="46">
        <v>0.30594050209929263</v>
      </c>
      <c r="N5" s="46">
        <v>0.38225279747367175</v>
      </c>
      <c r="O5" s="46">
        <v>6.8815424787484886E-4</v>
      </c>
      <c r="P5" s="46">
        <v>0.2183788549479205</v>
      </c>
      <c r="Q5" s="46">
        <v>6.6152872973621463E-2</v>
      </c>
      <c r="R5" s="46">
        <v>2.6586818257618775E-2</v>
      </c>
      <c r="S5" s="46">
        <v>0.3290513162416398</v>
      </c>
      <c r="T5" s="46">
        <v>0.39130137902009454</v>
      </c>
      <c r="U5" s="46">
        <v>1.7517342647837278E-4</v>
      </c>
      <c r="V5" s="46">
        <v>0.19427945490113868</v>
      </c>
      <c r="W5" s="46">
        <v>6.3429691480987621E-2</v>
      </c>
      <c r="X5" s="46">
        <v>2.176298492966101E-2</v>
      </c>
    </row>
    <row r="6" spans="1:24" x14ac:dyDescent="0.25">
      <c r="A6" s="10">
        <v>3</v>
      </c>
      <c r="B6" s="11" t="s">
        <v>15</v>
      </c>
      <c r="C6" s="11" t="s">
        <v>72</v>
      </c>
      <c r="D6" s="11" t="s">
        <v>178</v>
      </c>
      <c r="E6" s="11" t="s">
        <v>170</v>
      </c>
      <c r="F6" s="11" t="s">
        <v>171</v>
      </c>
      <c r="G6" s="46">
        <v>0.33734300045494597</v>
      </c>
      <c r="H6" s="46">
        <v>0.24666478545555062</v>
      </c>
      <c r="I6" s="46">
        <v>3.1788628654684503E-4</v>
      </c>
      <c r="J6" s="46">
        <v>0.26766140503435132</v>
      </c>
      <c r="K6" s="46">
        <v>0.13285343253842566</v>
      </c>
      <c r="L6" s="46">
        <v>1.5159490230179618E-2</v>
      </c>
      <c r="M6" s="46">
        <v>0.30961894287939229</v>
      </c>
      <c r="N6" s="46">
        <v>0.26127477456958353</v>
      </c>
      <c r="O6" s="46">
        <v>2.6246889960456133E-4</v>
      </c>
      <c r="P6" s="46">
        <v>0.27575611650148479</v>
      </c>
      <c r="Q6" s="46">
        <v>0.13784172474604506</v>
      </c>
      <c r="R6" s="46">
        <v>1.5245972403889746E-2</v>
      </c>
      <c r="S6" s="46">
        <v>0.30693454035310624</v>
      </c>
      <c r="T6" s="46">
        <v>0.27104581910585246</v>
      </c>
      <c r="U6" s="46">
        <v>0</v>
      </c>
      <c r="V6" s="46">
        <v>0.27639270494189894</v>
      </c>
      <c r="W6" s="46">
        <v>0.13304534265067894</v>
      </c>
      <c r="X6" s="46">
        <v>1.2581592948463432E-2</v>
      </c>
    </row>
    <row r="7" spans="1:24" x14ac:dyDescent="0.25">
      <c r="A7" s="10">
        <v>5</v>
      </c>
      <c r="B7" s="11" t="s">
        <v>23</v>
      </c>
      <c r="C7" s="11" t="s">
        <v>73</v>
      </c>
      <c r="D7" s="11" t="s">
        <v>179</v>
      </c>
      <c r="E7" s="11" t="s">
        <v>170</v>
      </c>
      <c r="F7" s="11" t="s">
        <v>168</v>
      </c>
      <c r="G7" s="46">
        <v>0.46633535795844949</v>
      </c>
      <c r="H7" s="46">
        <v>0.10787931018054349</v>
      </c>
      <c r="I7" s="46">
        <v>5.5392218621398634E-3</v>
      </c>
      <c r="J7" s="46">
        <v>0.37564648076253232</v>
      </c>
      <c r="K7" s="46">
        <v>1.9362925962667425E-2</v>
      </c>
      <c r="L7" s="46">
        <v>2.5236703273667414E-2</v>
      </c>
      <c r="M7" s="46">
        <v>0.48647736805631542</v>
      </c>
      <c r="N7" s="46">
        <v>0.10284981337612917</v>
      </c>
      <c r="O7" s="46">
        <v>4.9735970788602367E-3</v>
      </c>
      <c r="P7" s="46">
        <v>0.35989532042163619</v>
      </c>
      <c r="Q7" s="46">
        <v>2.1088902667850035E-2</v>
      </c>
      <c r="R7" s="46">
        <v>2.4714998399208925E-2</v>
      </c>
      <c r="S7" s="46">
        <v>0.48674078961362638</v>
      </c>
      <c r="T7" s="46">
        <v>0.10431927896249209</v>
      </c>
      <c r="U7" s="46">
        <v>5.4194522381358894E-3</v>
      </c>
      <c r="V7" s="46">
        <v>0.35859681553061784</v>
      </c>
      <c r="W7" s="46">
        <v>1.9776577010717489E-2</v>
      </c>
      <c r="X7" s="46">
        <v>2.514708664441033E-2</v>
      </c>
    </row>
    <row r="8" spans="1:24" x14ac:dyDescent="0.25">
      <c r="A8" s="10">
        <v>6</v>
      </c>
      <c r="B8" s="11" t="s">
        <v>59</v>
      </c>
      <c r="C8" s="11" t="s">
        <v>76</v>
      </c>
      <c r="D8" s="11" t="s">
        <v>186</v>
      </c>
      <c r="E8" s="11" t="s">
        <v>170</v>
      </c>
      <c r="F8" s="11" t="s">
        <v>171</v>
      </c>
      <c r="G8" s="46">
        <v>0.4475447743607871</v>
      </c>
      <c r="H8" s="46">
        <v>0.23425778641844389</v>
      </c>
      <c r="I8" s="46">
        <v>4.8849220376261733E-4</v>
      </c>
      <c r="J8" s="46">
        <v>0.22595464632182555</v>
      </c>
      <c r="K8" s="46">
        <v>6.4123806998939561E-2</v>
      </c>
      <c r="L8" s="46">
        <v>2.763049369624131E-2</v>
      </c>
      <c r="M8" s="46">
        <v>0.44258481232597746</v>
      </c>
      <c r="N8" s="46">
        <v>0.26324606290949748</v>
      </c>
      <c r="O8" s="46">
        <v>8.2296989100418862E-4</v>
      </c>
      <c r="P8" s="46">
        <v>0.21032541018116785</v>
      </c>
      <c r="Q8" s="46">
        <v>8.3020744692352988E-2</v>
      </c>
      <c r="R8" s="46">
        <v>0</v>
      </c>
      <c r="S8" s="46">
        <v>0.4314610464590885</v>
      </c>
      <c r="T8" s="46">
        <v>0.26412247848744391</v>
      </c>
      <c r="U8" s="46">
        <v>5.5475786450854983E-4</v>
      </c>
      <c r="V8" s="46">
        <v>0.2267804966212485</v>
      </c>
      <c r="W8" s="46">
        <v>7.7081220567710579E-2</v>
      </c>
      <c r="X8" s="46">
        <v>0</v>
      </c>
    </row>
    <row r="9" spans="1:24" x14ac:dyDescent="0.25">
      <c r="A9" s="10">
        <v>8</v>
      </c>
      <c r="B9" s="11" t="s">
        <v>21</v>
      </c>
      <c r="C9" s="11" t="s">
        <v>73</v>
      </c>
      <c r="D9" s="11" t="s">
        <v>169</v>
      </c>
      <c r="E9" s="11" t="s">
        <v>170</v>
      </c>
      <c r="F9" s="11" t="s">
        <v>171</v>
      </c>
      <c r="G9" s="46">
        <v>0.47413309130117004</v>
      </c>
      <c r="H9" s="46">
        <v>0.16273392276639195</v>
      </c>
      <c r="I9" s="46">
        <v>1.0124318378592642E-3</v>
      </c>
      <c r="J9" s="46">
        <v>0.28802905277969965</v>
      </c>
      <c r="K9" s="46">
        <v>6.130453180323811E-2</v>
      </c>
      <c r="L9" s="46">
        <v>1.2786969511641015E-2</v>
      </c>
      <c r="M9" s="46">
        <v>0.46339149489405984</v>
      </c>
      <c r="N9" s="46">
        <v>0.17092561205007517</v>
      </c>
      <c r="O9" s="46">
        <v>8.6241176354463084E-4</v>
      </c>
      <c r="P9" s="46">
        <v>0.30790976544543369</v>
      </c>
      <c r="Q9" s="46">
        <v>2.2730105728636412E-2</v>
      </c>
      <c r="R9" s="46">
        <v>3.4180610118250243E-2</v>
      </c>
      <c r="S9" s="46">
        <v>0.47020067003356647</v>
      </c>
      <c r="T9" s="46">
        <v>0.16249528401942417</v>
      </c>
      <c r="U9" s="46">
        <v>7.470005284057206E-4</v>
      </c>
      <c r="V9" s="46">
        <v>0.30354614752288905</v>
      </c>
      <c r="W9" s="46">
        <v>5.0480827616134566E-2</v>
      </c>
      <c r="X9" s="46">
        <v>1.2530070279580061E-2</v>
      </c>
    </row>
    <row r="10" spans="1:24" x14ac:dyDescent="0.25">
      <c r="A10" s="10">
        <v>9</v>
      </c>
      <c r="B10" s="11" t="s">
        <v>10</v>
      </c>
      <c r="C10" s="11" t="s">
        <v>69</v>
      </c>
      <c r="D10" s="11" t="s">
        <v>176</v>
      </c>
      <c r="E10" s="11" t="s">
        <v>170</v>
      </c>
      <c r="F10" s="11" t="s">
        <v>171</v>
      </c>
      <c r="G10" s="46">
        <v>0.41176740326801398</v>
      </c>
      <c r="H10" s="46">
        <v>0.2566758563680045</v>
      </c>
      <c r="I10" s="46">
        <v>3.4267733242117956E-4</v>
      </c>
      <c r="J10" s="46">
        <v>0.22465008802407788</v>
      </c>
      <c r="K10" s="46">
        <v>8.1373163221613087E-2</v>
      </c>
      <c r="L10" s="46">
        <v>2.5190811785869426E-2</v>
      </c>
      <c r="M10" s="46">
        <v>0.41282577565914552</v>
      </c>
      <c r="N10" s="46">
        <v>0.27375822731471439</v>
      </c>
      <c r="O10" s="46">
        <v>6.3413189825285731E-4</v>
      </c>
      <c r="P10" s="46">
        <v>0.21577150448827093</v>
      </c>
      <c r="Q10" s="46">
        <v>7.0409916333594752E-2</v>
      </c>
      <c r="R10" s="46">
        <v>2.6600444306021535E-2</v>
      </c>
      <c r="S10" s="46">
        <v>0.40874837094875494</v>
      </c>
      <c r="T10" s="46">
        <v>0.26109386711443539</v>
      </c>
      <c r="U10" s="46">
        <v>7.7935612241912143E-4</v>
      </c>
      <c r="V10" s="46">
        <v>0.22641111288678009</v>
      </c>
      <c r="W10" s="46">
        <v>8.1614060597330049E-2</v>
      </c>
      <c r="X10" s="46">
        <v>2.1353232330280435E-2</v>
      </c>
    </row>
    <row r="11" spans="1:24" x14ac:dyDescent="0.25">
      <c r="A11" s="10">
        <v>10</v>
      </c>
      <c r="B11" s="11" t="s">
        <v>40</v>
      </c>
      <c r="C11" s="11" t="s">
        <v>78</v>
      </c>
      <c r="D11" s="11" t="s">
        <v>182</v>
      </c>
      <c r="E11" s="11" t="s">
        <v>181</v>
      </c>
      <c r="F11" s="11" t="s">
        <v>171</v>
      </c>
      <c r="G11" s="46">
        <v>0.41451858588618656</v>
      </c>
      <c r="H11" s="46">
        <v>7.6846608577913089E-2</v>
      </c>
      <c r="I11" s="46">
        <v>0</v>
      </c>
      <c r="J11" s="46">
        <v>0.4531626287981827</v>
      </c>
      <c r="K11" s="46">
        <v>3.817350769475468E-2</v>
      </c>
      <c r="L11" s="46">
        <v>1.7298669042962976E-2</v>
      </c>
      <c r="M11" s="46">
        <v>0.42790250868140073</v>
      </c>
      <c r="N11" s="46">
        <v>7.5026341695604667E-2</v>
      </c>
      <c r="O11" s="46">
        <v>0</v>
      </c>
      <c r="P11" s="46">
        <v>0.45004987072555958</v>
      </c>
      <c r="Q11" s="46">
        <v>3.0376789017622433E-2</v>
      </c>
      <c r="R11" s="46">
        <v>1.6644489879812634E-2</v>
      </c>
      <c r="S11" s="46">
        <v>0.43608595524849841</v>
      </c>
      <c r="T11" s="46">
        <v>7.4175339696766263E-2</v>
      </c>
      <c r="U11" s="46">
        <v>0</v>
      </c>
      <c r="V11" s="46">
        <v>0.44599899524743142</v>
      </c>
      <c r="W11" s="46">
        <v>2.694233639056718E-2</v>
      </c>
      <c r="X11" s="46">
        <v>1.6797373416736688E-2</v>
      </c>
    </row>
    <row r="12" spans="1:24" x14ac:dyDescent="0.25">
      <c r="A12" s="10">
        <v>11</v>
      </c>
      <c r="B12" s="11" t="s">
        <v>4</v>
      </c>
      <c r="C12" s="11" t="s">
        <v>73</v>
      </c>
      <c r="D12" s="11" t="s">
        <v>174</v>
      </c>
      <c r="E12" s="11" t="s">
        <v>167</v>
      </c>
      <c r="F12" s="11" t="s">
        <v>168</v>
      </c>
      <c r="G12" s="46">
        <v>0.5256139566142124</v>
      </c>
      <c r="H12" s="46">
        <v>0.16591138829870272</v>
      </c>
      <c r="I12" s="46">
        <v>1.9040100797277235E-2</v>
      </c>
      <c r="J12" s="46">
        <v>0.25117831175632394</v>
      </c>
      <c r="K12" s="46">
        <v>2.5931162457000063E-2</v>
      </c>
      <c r="L12" s="46">
        <v>1.2325080076483698E-2</v>
      </c>
      <c r="M12" s="46">
        <v>0.54450796662387091</v>
      </c>
      <c r="N12" s="46">
        <v>0.16261171174663697</v>
      </c>
      <c r="O12" s="46">
        <v>2.2743702068562906E-2</v>
      </c>
      <c r="P12" s="46">
        <v>0.23533181153752306</v>
      </c>
      <c r="Q12" s="46">
        <v>2.1258012802240277E-2</v>
      </c>
      <c r="R12" s="46">
        <v>1.3546795221165885E-2</v>
      </c>
      <c r="S12" s="46">
        <v>0.57650153065274246</v>
      </c>
      <c r="T12" s="46">
        <v>0.14975618965077089</v>
      </c>
      <c r="U12" s="46">
        <v>2.4485080694467982E-2</v>
      </c>
      <c r="V12" s="46">
        <v>0.21426671329061378</v>
      </c>
      <c r="W12" s="46">
        <v>2.3301962281798854E-2</v>
      </c>
      <c r="X12" s="46">
        <v>1.1688523429606064E-2</v>
      </c>
    </row>
    <row r="13" spans="1:24" x14ac:dyDescent="0.25">
      <c r="A13" s="10">
        <v>12</v>
      </c>
      <c r="B13" s="11" t="s">
        <v>62</v>
      </c>
      <c r="C13" s="11" t="s">
        <v>73</v>
      </c>
      <c r="D13" s="11" t="s">
        <v>169</v>
      </c>
      <c r="E13" s="11" t="s">
        <v>170</v>
      </c>
      <c r="F13" s="11" t="s">
        <v>171</v>
      </c>
      <c r="G13" s="46">
        <v>0.50883990822821534</v>
      </c>
      <c r="H13" s="46">
        <v>3.7724631082782074E-2</v>
      </c>
      <c r="I13" s="46">
        <v>0</v>
      </c>
      <c r="J13" s="46">
        <v>0.41547158020657576</v>
      </c>
      <c r="K13" s="46">
        <v>1.5170554469410893E-2</v>
      </c>
      <c r="L13" s="46">
        <v>2.2793326013015883E-2</v>
      </c>
      <c r="M13" s="46">
        <v>0.51700809327783337</v>
      </c>
      <c r="N13" s="46">
        <v>4.1811111337219035E-2</v>
      </c>
      <c r="O13" s="46">
        <v>0</v>
      </c>
      <c r="P13" s="46">
        <v>0.40575621174992432</v>
      </c>
      <c r="Q13" s="46">
        <v>1.5787110491721278E-2</v>
      </c>
      <c r="R13" s="46">
        <v>1.9637473143302022E-2</v>
      </c>
      <c r="S13" s="46">
        <v>0.52622371462666995</v>
      </c>
      <c r="T13" s="46">
        <v>4.3711654797047125E-2</v>
      </c>
      <c r="U13" s="46">
        <v>0</v>
      </c>
      <c r="V13" s="46">
        <v>0.38880400498171686</v>
      </c>
      <c r="W13" s="46">
        <v>1.5335783341273647E-2</v>
      </c>
      <c r="X13" s="46">
        <v>2.5924842253292422E-2</v>
      </c>
    </row>
    <row r="14" spans="1:24" x14ac:dyDescent="0.25">
      <c r="A14" s="10">
        <v>14</v>
      </c>
      <c r="B14" s="11" t="s">
        <v>12</v>
      </c>
      <c r="C14" s="11" t="s">
        <v>73</v>
      </c>
      <c r="D14" s="11" t="s">
        <v>173</v>
      </c>
      <c r="E14" s="11" t="s">
        <v>167</v>
      </c>
      <c r="F14" s="11" t="s">
        <v>171</v>
      </c>
      <c r="G14" s="46">
        <v>0.42436241908908456</v>
      </c>
      <c r="H14" s="46">
        <v>0.26551722139698936</v>
      </c>
      <c r="I14" s="46">
        <v>7.5069946752140456E-3</v>
      </c>
      <c r="J14" s="46">
        <v>0.25846538766208305</v>
      </c>
      <c r="K14" s="46">
        <v>2.0561263310428367E-2</v>
      </c>
      <c r="L14" s="46">
        <v>2.3586713866200596E-2</v>
      </c>
      <c r="M14" s="46">
        <v>0.43004317254352226</v>
      </c>
      <c r="N14" s="46">
        <v>0.2638688451522419</v>
      </c>
      <c r="O14" s="46">
        <v>1.0509146096740772E-2</v>
      </c>
      <c r="P14" s="46">
        <v>0.25086949644902695</v>
      </c>
      <c r="Q14" s="46">
        <v>2.2271267989829882E-2</v>
      </c>
      <c r="R14" s="46">
        <v>2.2438071768638247E-2</v>
      </c>
      <c r="S14" s="46">
        <v>0.42362641587794475</v>
      </c>
      <c r="T14" s="46">
        <v>0.27167344374454594</v>
      </c>
      <c r="U14" s="46">
        <v>1.0645683617300212E-2</v>
      </c>
      <c r="V14" s="46">
        <v>0.2503333537771637</v>
      </c>
      <c r="W14" s="46">
        <v>2.1855803749190938E-2</v>
      </c>
      <c r="X14" s="46">
        <v>2.1865299233854486E-2</v>
      </c>
    </row>
    <row r="15" spans="1:24" x14ac:dyDescent="0.25">
      <c r="A15" s="10">
        <v>15</v>
      </c>
      <c r="B15" s="11" t="s">
        <v>34</v>
      </c>
      <c r="C15" s="11" t="s">
        <v>67</v>
      </c>
      <c r="D15" s="11" t="s">
        <v>184</v>
      </c>
      <c r="E15" s="11" t="s">
        <v>170</v>
      </c>
      <c r="F15" s="11" t="s">
        <v>171</v>
      </c>
      <c r="G15" s="46">
        <v>0.47500726966504547</v>
      </c>
      <c r="H15" s="46">
        <v>9.6037809132624122E-2</v>
      </c>
      <c r="I15" s="46">
        <v>0</v>
      </c>
      <c r="J15" s="46">
        <v>0.36861718253218073</v>
      </c>
      <c r="K15" s="46">
        <v>1.744348393971162E-2</v>
      </c>
      <c r="L15" s="46">
        <v>4.2894254730438071E-2</v>
      </c>
      <c r="M15" s="46">
        <v>0.48580631044704903</v>
      </c>
      <c r="N15" s="46">
        <v>9.5934334912614327E-2</v>
      </c>
      <c r="O15" s="46">
        <v>0</v>
      </c>
      <c r="P15" s="46">
        <v>0.36280496634645132</v>
      </c>
      <c r="Q15" s="46">
        <v>1.4917666661775936E-2</v>
      </c>
      <c r="R15" s="46">
        <v>4.0536721632109397E-2</v>
      </c>
      <c r="S15" s="46">
        <v>0.49937928955255645</v>
      </c>
      <c r="T15" s="46">
        <v>9.418906771133348E-2</v>
      </c>
      <c r="U15" s="46">
        <v>0</v>
      </c>
      <c r="V15" s="46">
        <v>0.34885113290596825</v>
      </c>
      <c r="W15" s="46">
        <v>1.5428397307199158E-2</v>
      </c>
      <c r="X15" s="46">
        <v>4.2152112522942681E-2</v>
      </c>
    </row>
    <row r="16" spans="1:24" x14ac:dyDescent="0.25">
      <c r="A16" s="10">
        <v>16</v>
      </c>
      <c r="B16" s="11" t="s">
        <v>9</v>
      </c>
      <c r="C16" s="11" t="s">
        <v>71</v>
      </c>
      <c r="D16" s="11" t="s">
        <v>178</v>
      </c>
      <c r="E16" s="11" t="s">
        <v>170</v>
      </c>
      <c r="F16" s="11" t="s">
        <v>171</v>
      </c>
      <c r="G16" s="46">
        <v>0.37486557790978103</v>
      </c>
      <c r="H16" s="46">
        <v>0.32792807082854508</v>
      </c>
      <c r="I16" s="46">
        <v>1.297444280789214E-3</v>
      </c>
      <c r="J16" s="46">
        <v>0.15101629898192059</v>
      </c>
      <c r="K16" s="46">
        <v>0.13749672239936553</v>
      </c>
      <c r="L16" s="46">
        <v>7.3958855995985952E-3</v>
      </c>
      <c r="M16" s="46">
        <v>0.40234172057946921</v>
      </c>
      <c r="N16" s="46">
        <v>0.32046778508767931</v>
      </c>
      <c r="O16" s="46">
        <v>3.3821206978373506E-3</v>
      </c>
      <c r="P16" s="46">
        <v>0.15022181874968479</v>
      </c>
      <c r="Q16" s="46">
        <v>0.11852431134711824</v>
      </c>
      <c r="R16" s="46">
        <v>5.0622435382110973E-3</v>
      </c>
      <c r="S16" s="46">
        <v>0.39091189750816863</v>
      </c>
      <c r="T16" s="46">
        <v>0.30740638597583542</v>
      </c>
      <c r="U16" s="46">
        <v>1.6285614083584631E-3</v>
      </c>
      <c r="V16" s="46">
        <v>0.15641875374200978</v>
      </c>
      <c r="W16" s="46">
        <v>0.13939813950664567</v>
      </c>
      <c r="X16" s="46">
        <v>4.2362618589820182E-3</v>
      </c>
    </row>
    <row r="17" spans="1:24" x14ac:dyDescent="0.25">
      <c r="A17" s="10">
        <v>17</v>
      </c>
      <c r="B17" s="11" t="s">
        <v>8</v>
      </c>
      <c r="C17" s="11" t="s">
        <v>67</v>
      </c>
      <c r="D17" s="11" t="s">
        <v>184</v>
      </c>
      <c r="E17" s="11" t="s">
        <v>170</v>
      </c>
      <c r="F17" s="11" t="s">
        <v>171</v>
      </c>
      <c r="G17" s="46">
        <v>0.53731551161536217</v>
      </c>
      <c r="H17" s="46">
        <v>0.12416764677272446</v>
      </c>
      <c r="I17" s="46">
        <v>0</v>
      </c>
      <c r="J17" s="46">
        <v>0.28228307231561478</v>
      </c>
      <c r="K17" s="46">
        <v>2.5511497454671937E-2</v>
      </c>
      <c r="L17" s="46">
        <v>3.0722271841626653E-2</v>
      </c>
      <c r="M17" s="46">
        <v>0.56207974710903141</v>
      </c>
      <c r="N17" s="46">
        <v>0.11335341751540458</v>
      </c>
      <c r="O17" s="46">
        <v>0</v>
      </c>
      <c r="P17" s="46">
        <v>0.28662125626028462</v>
      </c>
      <c r="Q17" s="46">
        <v>1.3256488353251768E-2</v>
      </c>
      <c r="R17" s="46">
        <v>2.4689090762027636E-2</v>
      </c>
      <c r="S17" s="46">
        <v>0.56211434686582118</v>
      </c>
      <c r="T17" s="46">
        <v>0.11469259797641831</v>
      </c>
      <c r="U17" s="46">
        <v>0</v>
      </c>
      <c r="V17" s="46">
        <v>0.28331102352296872</v>
      </c>
      <c r="W17" s="46">
        <v>1.4414694036030443E-2</v>
      </c>
      <c r="X17" s="46">
        <v>2.5467337598761356E-2</v>
      </c>
    </row>
    <row r="18" spans="1:24" x14ac:dyDescent="0.25">
      <c r="A18" s="10">
        <v>19</v>
      </c>
      <c r="B18" s="11" t="s">
        <v>56</v>
      </c>
      <c r="C18" s="11" t="s">
        <v>77</v>
      </c>
      <c r="D18" s="11" t="s">
        <v>186</v>
      </c>
      <c r="E18" s="11" t="s">
        <v>170</v>
      </c>
      <c r="F18" s="11" t="s">
        <v>171</v>
      </c>
      <c r="G18" s="46">
        <v>0.34629463090774004</v>
      </c>
      <c r="H18" s="46">
        <v>0.3362246123211699</v>
      </c>
      <c r="I18" s="46">
        <v>7.0262488399028397E-4</v>
      </c>
      <c r="J18" s="46">
        <v>0.19539882326748401</v>
      </c>
      <c r="K18" s="46">
        <v>0.10064515160687527</v>
      </c>
      <c r="L18" s="46">
        <v>2.073415701274043E-2</v>
      </c>
      <c r="M18" s="46">
        <v>0.35158425788855147</v>
      </c>
      <c r="N18" s="46">
        <v>0.34327308230990444</v>
      </c>
      <c r="O18" s="46">
        <v>8.8499051817626177E-4</v>
      </c>
      <c r="P18" s="46">
        <v>0.18270607930014487</v>
      </c>
      <c r="Q18" s="46">
        <v>9.995428868658697E-2</v>
      </c>
      <c r="R18" s="46">
        <v>2.1597301296635969E-2</v>
      </c>
      <c r="S18" s="46">
        <v>0.34988271053611358</v>
      </c>
      <c r="T18" s="46">
        <v>0.34020919987688314</v>
      </c>
      <c r="U18" s="46">
        <v>7.0568409940845189E-4</v>
      </c>
      <c r="V18" s="46">
        <v>0.18981943148252081</v>
      </c>
      <c r="W18" s="46">
        <v>0.10017749640836439</v>
      </c>
      <c r="X18" s="46">
        <v>1.9205477596709677E-2</v>
      </c>
    </row>
    <row r="19" spans="1:24" x14ac:dyDescent="0.25">
      <c r="A19" s="10">
        <v>21</v>
      </c>
      <c r="B19" s="11" t="s">
        <v>55</v>
      </c>
      <c r="C19" s="11" t="s">
        <v>73</v>
      </c>
      <c r="D19" s="11" t="s">
        <v>180</v>
      </c>
      <c r="E19" s="11" t="s">
        <v>181</v>
      </c>
      <c r="F19" s="11" t="s">
        <v>171</v>
      </c>
      <c r="G19" s="46">
        <v>0.44475181698209759</v>
      </c>
      <c r="H19" s="46">
        <v>0.29523538366633451</v>
      </c>
      <c r="I19" s="46">
        <v>4.8735005970038233E-3</v>
      </c>
      <c r="J19" s="46">
        <v>0.18329876995409933</v>
      </c>
      <c r="K19" s="46">
        <v>7.1840528800464779E-2</v>
      </c>
      <c r="L19" s="46">
        <v>0</v>
      </c>
      <c r="M19" s="46">
        <v>0.38709255697277373</v>
      </c>
      <c r="N19" s="46">
        <v>0.32263947747883021</v>
      </c>
      <c r="O19" s="46">
        <v>5.0144842744012782E-3</v>
      </c>
      <c r="P19" s="46">
        <v>0.15359802837830491</v>
      </c>
      <c r="Q19" s="46">
        <v>0.11718153365037369</v>
      </c>
      <c r="R19" s="46">
        <v>1.4473919245316234E-2</v>
      </c>
      <c r="S19" s="46">
        <v>0</v>
      </c>
      <c r="T19" s="46">
        <v>0</v>
      </c>
      <c r="U19" s="46">
        <v>0</v>
      </c>
      <c r="V19" s="46">
        <v>0</v>
      </c>
      <c r="W19" s="46">
        <v>0</v>
      </c>
      <c r="X19" s="46">
        <v>0</v>
      </c>
    </row>
    <row r="20" spans="1:24" x14ac:dyDescent="0.25">
      <c r="A20" s="10">
        <v>24</v>
      </c>
      <c r="B20" s="11" t="s">
        <v>45</v>
      </c>
      <c r="C20" s="11" t="s">
        <v>69</v>
      </c>
      <c r="D20" s="11" t="s">
        <v>190</v>
      </c>
      <c r="E20" s="11" t="s">
        <v>170</v>
      </c>
      <c r="F20" s="11" t="s">
        <v>171</v>
      </c>
      <c r="G20" s="46">
        <v>0.51827762743487349</v>
      </c>
      <c r="H20" s="46">
        <v>0.16568578293487524</v>
      </c>
      <c r="I20" s="46">
        <v>0</v>
      </c>
      <c r="J20" s="46">
        <v>0.24089082023216421</v>
      </c>
      <c r="K20" s="46">
        <v>4.8444395449647772E-2</v>
      </c>
      <c r="L20" s="46">
        <v>2.67013739484393E-2</v>
      </c>
      <c r="M20" s="46">
        <v>0.51536104971274943</v>
      </c>
      <c r="N20" s="46">
        <v>0.17286249709936691</v>
      </c>
      <c r="O20" s="46">
        <v>0</v>
      </c>
      <c r="P20" s="46">
        <v>0.23402776638359613</v>
      </c>
      <c r="Q20" s="46">
        <v>5.4262348493194355E-2</v>
      </c>
      <c r="R20" s="46">
        <v>2.3486338311093192E-2</v>
      </c>
      <c r="S20" s="46">
        <v>0.49959583659746365</v>
      </c>
      <c r="T20" s="46">
        <v>0.18404084440020696</v>
      </c>
      <c r="U20" s="46">
        <v>5.2468513696879524E-4</v>
      </c>
      <c r="V20" s="46">
        <v>0.23345891143938277</v>
      </c>
      <c r="W20" s="46">
        <v>5.7649909297005038E-2</v>
      </c>
      <c r="X20" s="46">
        <v>2.4729813128972801E-2</v>
      </c>
    </row>
    <row r="21" spans="1:24" x14ac:dyDescent="0.25">
      <c r="A21" s="10">
        <v>25</v>
      </c>
      <c r="B21" s="11" t="s">
        <v>2</v>
      </c>
      <c r="C21" s="11" t="s">
        <v>71</v>
      </c>
      <c r="D21" s="11" t="s">
        <v>178</v>
      </c>
      <c r="E21" s="11" t="s">
        <v>170</v>
      </c>
      <c r="F21" s="11" t="s">
        <v>171</v>
      </c>
      <c r="G21" s="46">
        <v>0.5027907510926688</v>
      </c>
      <c r="H21" s="46">
        <v>0.21545119312988081</v>
      </c>
      <c r="I21" s="46">
        <v>1.342754101804243E-3</v>
      </c>
      <c r="J21" s="46">
        <v>0.19308334340221014</v>
      </c>
      <c r="K21" s="46">
        <v>5.9136683828586875E-2</v>
      </c>
      <c r="L21" s="46">
        <v>2.8195274444849098E-2</v>
      </c>
      <c r="M21" s="46">
        <v>0.50290830496692307</v>
      </c>
      <c r="N21" s="46">
        <v>0.19202849477981901</v>
      </c>
      <c r="O21" s="46">
        <v>2.2547624564712948E-3</v>
      </c>
      <c r="P21" s="46">
        <v>0.19351426370807456</v>
      </c>
      <c r="Q21" s="46">
        <v>5.174775706821319E-2</v>
      </c>
      <c r="R21" s="46">
        <v>5.7546417020498876E-2</v>
      </c>
      <c r="S21" s="46">
        <v>0.51153765820890129</v>
      </c>
      <c r="T21" s="46">
        <v>0.21141640642245987</v>
      </c>
      <c r="U21" s="46">
        <v>2.6156199540312676E-3</v>
      </c>
      <c r="V21" s="46">
        <v>0.19704992072701713</v>
      </c>
      <c r="W21" s="46">
        <v>5.0652442471671735E-2</v>
      </c>
      <c r="X21" s="46">
        <v>2.6727952215918675E-2</v>
      </c>
    </row>
    <row r="22" spans="1:24" x14ac:dyDescent="0.25">
      <c r="A22" s="10">
        <v>27</v>
      </c>
      <c r="B22" s="11" t="s">
        <v>60</v>
      </c>
      <c r="C22" s="11" t="s">
        <v>73</v>
      </c>
      <c r="D22" s="11" t="s">
        <v>190</v>
      </c>
      <c r="E22" s="11" t="s">
        <v>170</v>
      </c>
      <c r="F22" s="11" t="s">
        <v>171</v>
      </c>
      <c r="G22" s="46">
        <v>0.34917992982878254</v>
      </c>
      <c r="H22" s="46">
        <v>0.30966515726905885</v>
      </c>
      <c r="I22" s="46">
        <v>7.5408751376319742E-4</v>
      </c>
      <c r="J22" s="46">
        <v>0.18615838625272055</v>
      </c>
      <c r="K22" s="46">
        <v>0.12776575166313708</v>
      </c>
      <c r="L22" s="46">
        <v>2.6476687472537789E-2</v>
      </c>
      <c r="M22" s="46">
        <v>0.25253441369762364</v>
      </c>
      <c r="N22" s="46">
        <v>0.41060273772116757</v>
      </c>
      <c r="O22" s="46">
        <v>5.1002419288671472E-4</v>
      </c>
      <c r="P22" s="46">
        <v>0.15583604422279335</v>
      </c>
      <c r="Q22" s="46">
        <v>0.1333077582071393</v>
      </c>
      <c r="R22" s="46">
        <v>4.720902195838942E-2</v>
      </c>
      <c r="S22" s="46">
        <v>0.34749363495392077</v>
      </c>
      <c r="T22" s="46">
        <v>0.31193208949362522</v>
      </c>
      <c r="U22" s="46">
        <v>1.8280176017938205E-4</v>
      </c>
      <c r="V22" s="46">
        <v>0.18901423977057336</v>
      </c>
      <c r="W22" s="46">
        <v>0.14135511014327348</v>
      </c>
      <c r="X22" s="46">
        <v>1.0022123878427793E-2</v>
      </c>
    </row>
    <row r="23" spans="1:24" x14ac:dyDescent="0.25">
      <c r="A23" s="10">
        <v>28</v>
      </c>
      <c r="B23" s="11" t="s">
        <v>37</v>
      </c>
      <c r="C23" s="11" t="s">
        <v>67</v>
      </c>
      <c r="D23" s="11" t="s">
        <v>189</v>
      </c>
      <c r="E23" s="11" t="s">
        <v>170</v>
      </c>
      <c r="F23" s="11" t="s">
        <v>168</v>
      </c>
      <c r="G23" s="46">
        <v>0.55437817787780275</v>
      </c>
      <c r="H23" s="46">
        <v>0.12349788836097914</v>
      </c>
      <c r="I23" s="46">
        <v>0</v>
      </c>
      <c r="J23" s="46">
        <v>0.27516311948357458</v>
      </c>
      <c r="K23" s="46">
        <v>2.1898414418419419E-2</v>
      </c>
      <c r="L23" s="46">
        <v>2.5062399859224066E-2</v>
      </c>
      <c r="M23" s="46">
        <v>0.57782045261415982</v>
      </c>
      <c r="N23" s="46">
        <v>0.12516604052059574</v>
      </c>
      <c r="O23" s="46">
        <v>0</v>
      </c>
      <c r="P23" s="46">
        <v>0.25607026253410259</v>
      </c>
      <c r="Q23" s="46">
        <v>1.4805559282615502E-2</v>
      </c>
      <c r="R23" s="46">
        <v>2.6137685048526319E-2</v>
      </c>
      <c r="S23" s="46">
        <v>0.58149928942614737</v>
      </c>
      <c r="T23" s="46">
        <v>0.12371422517486109</v>
      </c>
      <c r="U23" s="46">
        <v>0</v>
      </c>
      <c r="V23" s="46">
        <v>0.24944513171299665</v>
      </c>
      <c r="W23" s="46">
        <v>1.7005081031102588E-2</v>
      </c>
      <c r="X23" s="46">
        <v>2.8336272654892258E-2</v>
      </c>
    </row>
    <row r="24" spans="1:24" x14ac:dyDescent="0.25">
      <c r="A24" s="10">
        <v>29</v>
      </c>
      <c r="B24" s="11" t="s">
        <v>115</v>
      </c>
      <c r="C24" s="11" t="s">
        <v>74</v>
      </c>
      <c r="D24" s="11" t="s">
        <v>173</v>
      </c>
      <c r="E24" s="11" t="s">
        <v>167</v>
      </c>
      <c r="F24" s="11" t="s">
        <v>171</v>
      </c>
      <c r="G24" s="46">
        <v>0.50529748890353032</v>
      </c>
      <c r="H24" s="46">
        <v>0.19892301644921362</v>
      </c>
      <c r="I24" s="46">
        <v>7.0901300521635496E-3</v>
      </c>
      <c r="J24" s="46">
        <v>0.2455694555770514</v>
      </c>
      <c r="K24" s="46">
        <v>2.5312400768254795E-2</v>
      </c>
      <c r="L24" s="46">
        <v>1.7807508249786323E-2</v>
      </c>
      <c r="M24" s="46">
        <v>0.50049976140113706</v>
      </c>
      <c r="N24" s="46">
        <v>0.20657060622034118</v>
      </c>
      <c r="O24" s="46">
        <v>8.5652351054939825E-3</v>
      </c>
      <c r="P24" s="46">
        <v>0.24178114131229694</v>
      </c>
      <c r="Q24" s="46">
        <v>2.4780036172291742E-2</v>
      </c>
      <c r="R24" s="46">
        <v>1.7803219788439142E-2</v>
      </c>
      <c r="S24" s="46">
        <v>0.48390103804334517</v>
      </c>
      <c r="T24" s="46">
        <v>0.2109842183419825</v>
      </c>
      <c r="U24" s="46">
        <v>7.998709467410452E-3</v>
      </c>
      <c r="V24" s="46">
        <v>0.25401022919916405</v>
      </c>
      <c r="W24" s="46">
        <v>2.4523864050457519E-2</v>
      </c>
      <c r="X24" s="46">
        <v>1.8581940897640314E-2</v>
      </c>
    </row>
    <row r="25" spans="1:24" x14ac:dyDescent="0.25">
      <c r="A25" s="10">
        <v>31</v>
      </c>
      <c r="B25" s="11" t="s">
        <v>13</v>
      </c>
      <c r="C25" s="11" t="s">
        <v>73</v>
      </c>
      <c r="D25" s="11" t="s">
        <v>172</v>
      </c>
      <c r="E25" s="11" t="s">
        <v>167</v>
      </c>
      <c r="F25" s="11" t="s">
        <v>171</v>
      </c>
      <c r="G25" s="46">
        <v>0.53117156346844141</v>
      </c>
      <c r="H25" s="46">
        <v>8.5319847652822134E-2</v>
      </c>
      <c r="I25" s="46">
        <v>1.3515836326297982E-2</v>
      </c>
      <c r="J25" s="46">
        <v>0.32680057858957234</v>
      </c>
      <c r="K25" s="46">
        <v>3.5002859776464994E-2</v>
      </c>
      <c r="L25" s="46">
        <v>8.1893141864011355E-3</v>
      </c>
      <c r="M25" s="46">
        <v>0.52876889326733212</v>
      </c>
      <c r="N25" s="46">
        <v>8.8086122779391679E-2</v>
      </c>
      <c r="O25" s="46">
        <v>1.187135840233584E-2</v>
      </c>
      <c r="P25" s="46">
        <v>0.33468222617750609</v>
      </c>
      <c r="Q25" s="46">
        <v>2.7022491498410108E-2</v>
      </c>
      <c r="R25" s="46">
        <v>9.5689078750242369E-3</v>
      </c>
      <c r="S25" s="46">
        <v>0.66055240492723699</v>
      </c>
      <c r="T25" s="46">
        <v>8.8021955400931204E-2</v>
      </c>
      <c r="U25" s="46">
        <v>1.0788348489348362E-2</v>
      </c>
      <c r="V25" s="46">
        <v>0.21359452906356413</v>
      </c>
      <c r="W25" s="46">
        <v>2.1517770015132446E-2</v>
      </c>
      <c r="X25" s="46">
        <v>5.5249921037868821E-3</v>
      </c>
    </row>
    <row r="26" spans="1:24" x14ac:dyDescent="0.25">
      <c r="A26" s="10">
        <v>34</v>
      </c>
      <c r="B26" s="11" t="s">
        <v>43</v>
      </c>
      <c r="C26" s="11" t="s">
        <v>72</v>
      </c>
      <c r="D26" s="11" t="s">
        <v>183</v>
      </c>
      <c r="E26" s="11" t="s">
        <v>181</v>
      </c>
      <c r="F26" s="11" t="s">
        <v>171</v>
      </c>
      <c r="G26" s="46">
        <v>0.50919396345186885</v>
      </c>
      <c r="H26" s="46">
        <v>8.8303527193541897E-2</v>
      </c>
      <c r="I26" s="46">
        <v>9.210568229029352E-4</v>
      </c>
      <c r="J26" s="46">
        <v>0.33900177501679118</v>
      </c>
      <c r="K26" s="46">
        <v>3.0976381229417701E-2</v>
      </c>
      <c r="L26" s="46">
        <v>3.1603296285477464E-2</v>
      </c>
      <c r="M26" s="46">
        <v>0.51086651574283692</v>
      </c>
      <c r="N26" s="46">
        <v>9.6691018180303054E-2</v>
      </c>
      <c r="O26" s="46">
        <v>1.2263718559464452E-3</v>
      </c>
      <c r="P26" s="46">
        <v>0.33800294440354994</v>
      </c>
      <c r="Q26" s="46">
        <v>2.1778169747642392E-2</v>
      </c>
      <c r="R26" s="46">
        <v>3.1434980069721251E-2</v>
      </c>
      <c r="S26" s="46">
        <v>0.5191753223495702</v>
      </c>
      <c r="T26" s="46">
        <v>8.2701852230863696E-2</v>
      </c>
      <c r="U26" s="46">
        <v>3.9462239050347934E-4</v>
      </c>
      <c r="V26" s="46">
        <v>0.34346858370855504</v>
      </c>
      <c r="W26" s="46">
        <v>2.3566695661072452E-2</v>
      </c>
      <c r="X26" s="46">
        <v>3.0692923659435122E-2</v>
      </c>
    </row>
    <row r="27" spans="1:24" x14ac:dyDescent="0.25">
      <c r="A27" s="10">
        <v>37</v>
      </c>
      <c r="B27" s="11" t="s">
        <v>16</v>
      </c>
      <c r="C27" s="11" t="s">
        <v>72</v>
      </c>
      <c r="D27" s="11" t="s">
        <v>169</v>
      </c>
      <c r="E27" s="11" t="s">
        <v>170</v>
      </c>
      <c r="F27" s="11" t="s">
        <v>171</v>
      </c>
      <c r="G27" s="46">
        <v>0.41895295292311818</v>
      </c>
      <c r="H27" s="46">
        <v>9.6772871555668147E-2</v>
      </c>
      <c r="I27" s="46">
        <v>3.652966335335231E-3</v>
      </c>
      <c r="J27" s="46">
        <v>0.43757544372084706</v>
      </c>
      <c r="K27" s="46">
        <v>2.3605501989478861E-2</v>
      </c>
      <c r="L27" s="46">
        <v>1.944026347555251E-2</v>
      </c>
      <c r="M27" s="46">
        <v>0.44346253344078546</v>
      </c>
      <c r="N27" s="46">
        <v>8.4831958903252638E-2</v>
      </c>
      <c r="O27" s="46">
        <v>3.3394787101332481E-3</v>
      </c>
      <c r="P27" s="46">
        <v>0.4240254793945884</v>
      </c>
      <c r="Q27" s="46">
        <v>2.430367729044081E-2</v>
      </c>
      <c r="R27" s="46">
        <v>2.0036872260799487E-2</v>
      </c>
      <c r="S27" s="46">
        <v>0.44278118356966117</v>
      </c>
      <c r="T27" s="46">
        <v>7.9328830063591593E-2</v>
      </c>
      <c r="U27" s="46">
        <v>3.0552282889087772E-3</v>
      </c>
      <c r="V27" s="46">
        <v>0.42605639555675773</v>
      </c>
      <c r="W27" s="46">
        <v>2.6814484287267702E-2</v>
      </c>
      <c r="X27" s="46">
        <v>2.196387823381301E-2</v>
      </c>
    </row>
    <row r="28" spans="1:24" x14ac:dyDescent="0.25">
      <c r="A28" s="10">
        <v>38</v>
      </c>
      <c r="B28" s="11" t="s">
        <v>46</v>
      </c>
      <c r="C28" s="11" t="s">
        <v>69</v>
      </c>
      <c r="D28" s="11" t="s">
        <v>182</v>
      </c>
      <c r="E28" s="11" t="s">
        <v>181</v>
      </c>
      <c r="F28" s="11" t="s">
        <v>171</v>
      </c>
      <c r="G28" s="46">
        <v>0.41534219386097893</v>
      </c>
      <c r="H28" s="46">
        <v>0.19177133008061592</v>
      </c>
      <c r="I28" s="46">
        <v>1.4604887637825034E-3</v>
      </c>
      <c r="J28" s="46">
        <v>0.32052978808070559</v>
      </c>
      <c r="K28" s="46">
        <v>5.377310897717822E-2</v>
      </c>
      <c r="L28" s="46">
        <v>1.7123090236738855E-2</v>
      </c>
      <c r="M28" s="46">
        <v>0.42506153642077071</v>
      </c>
      <c r="N28" s="46">
        <v>0.20162742235830747</v>
      </c>
      <c r="O28" s="46">
        <v>5.4070352948342609E-4</v>
      </c>
      <c r="P28" s="46">
        <v>0.29228489966312121</v>
      </c>
      <c r="Q28" s="46">
        <v>4.7519555035348528E-2</v>
      </c>
      <c r="R28" s="46">
        <v>3.2965882992968688E-2</v>
      </c>
      <c r="S28" s="46">
        <v>0.42559718013255343</v>
      </c>
      <c r="T28" s="46">
        <v>0.22109123735204506</v>
      </c>
      <c r="U28" s="46">
        <v>2.198753675401136E-5</v>
      </c>
      <c r="V28" s="46">
        <v>0.27668010045982633</v>
      </c>
      <c r="W28" s="46">
        <v>4.1833542055602517E-2</v>
      </c>
      <c r="X28" s="46">
        <v>3.4775952463218678E-2</v>
      </c>
    </row>
    <row r="29" spans="1:24" x14ac:dyDescent="0.25">
      <c r="A29" s="10">
        <v>40</v>
      </c>
      <c r="B29" s="11" t="s">
        <v>20</v>
      </c>
      <c r="C29" s="11" t="s">
        <v>71</v>
      </c>
      <c r="D29" s="11" t="s">
        <v>178</v>
      </c>
      <c r="E29" s="11" t="s">
        <v>170</v>
      </c>
      <c r="F29" s="11" t="s">
        <v>171</v>
      </c>
      <c r="G29" s="46">
        <v>0.29955444801516562</v>
      </c>
      <c r="H29" s="46">
        <v>0.31056145307106009</v>
      </c>
      <c r="I29" s="46">
        <v>2.5145827293605806E-3</v>
      </c>
      <c r="J29" s="46">
        <v>0.22125531753032202</v>
      </c>
      <c r="K29" s="46">
        <v>0.15693833618100061</v>
      </c>
      <c r="L29" s="46">
        <v>9.175862473091087E-3</v>
      </c>
      <c r="M29" s="46">
        <v>0.28449039488145089</v>
      </c>
      <c r="N29" s="46">
        <v>0.33445574653085347</v>
      </c>
      <c r="O29" s="46">
        <v>1.3777030808811656E-3</v>
      </c>
      <c r="P29" s="46">
        <v>0.22391143818875356</v>
      </c>
      <c r="Q29" s="46">
        <v>0.1472441234986368</v>
      </c>
      <c r="R29" s="46">
        <v>8.5205938194240841E-3</v>
      </c>
      <c r="S29" s="46">
        <v>0.27952863876589057</v>
      </c>
      <c r="T29" s="46">
        <v>0.33022425367804598</v>
      </c>
      <c r="U29" s="46">
        <v>1.3226681902585346E-3</v>
      </c>
      <c r="V29" s="46">
        <v>0.21604709531291449</v>
      </c>
      <c r="W29" s="46">
        <v>0.16459526190136103</v>
      </c>
      <c r="X29" s="46">
        <v>8.2820821515293738E-3</v>
      </c>
    </row>
    <row r="30" spans="1:24" x14ac:dyDescent="0.25">
      <c r="A30" s="10">
        <v>41</v>
      </c>
      <c r="B30" s="11" t="s">
        <v>11</v>
      </c>
      <c r="C30" s="11" t="s">
        <v>69</v>
      </c>
      <c r="D30" s="11" t="s">
        <v>185</v>
      </c>
      <c r="E30" s="11" t="s">
        <v>181</v>
      </c>
      <c r="F30" s="11" t="s">
        <v>171</v>
      </c>
      <c r="G30" s="46">
        <v>0.65321320192868582</v>
      </c>
      <c r="H30" s="46">
        <v>0.11928401799349385</v>
      </c>
      <c r="I30" s="46">
        <v>1.3558477762654543E-3</v>
      </c>
      <c r="J30" s="46">
        <v>0.1966005492428794</v>
      </c>
      <c r="K30" s="46">
        <v>2.6235632623366634E-2</v>
      </c>
      <c r="L30" s="46">
        <v>3.3107504353088453E-3</v>
      </c>
      <c r="M30" s="46">
        <v>0.67666465611722804</v>
      </c>
      <c r="N30" s="46">
        <v>0.11482242312967049</v>
      </c>
      <c r="O30" s="46">
        <v>1.8347992091654506E-3</v>
      </c>
      <c r="P30" s="46">
        <v>0.18450248027684188</v>
      </c>
      <c r="Q30" s="46">
        <v>1.9387144707290829E-2</v>
      </c>
      <c r="R30" s="46">
        <v>2.7884965598033366E-3</v>
      </c>
      <c r="S30" s="46">
        <v>0.59494743885408619</v>
      </c>
      <c r="T30" s="46">
        <v>0.14883196409339777</v>
      </c>
      <c r="U30" s="46">
        <v>9.7660545027037087E-4</v>
      </c>
      <c r="V30" s="46">
        <v>0.22035985542630632</v>
      </c>
      <c r="W30" s="46">
        <v>2.0610209248431061E-2</v>
      </c>
      <c r="X30" s="46">
        <v>1.4273926927508285E-2</v>
      </c>
    </row>
    <row r="31" spans="1:24" x14ac:dyDescent="0.25">
      <c r="A31" s="10">
        <v>44</v>
      </c>
      <c r="B31" s="11" t="s">
        <v>6</v>
      </c>
      <c r="C31" s="11" t="s">
        <v>70</v>
      </c>
      <c r="D31" s="11" t="s">
        <v>180</v>
      </c>
      <c r="E31" s="11" t="s">
        <v>181</v>
      </c>
      <c r="F31" s="11" t="s">
        <v>171</v>
      </c>
      <c r="G31" s="46">
        <v>0.40967971599353792</v>
      </c>
      <c r="H31" s="46">
        <v>0.15938620209321416</v>
      </c>
      <c r="I31" s="46">
        <v>1.725493087423375E-2</v>
      </c>
      <c r="J31" s="46">
        <v>0.33031650044958183</v>
      </c>
      <c r="K31" s="46">
        <v>4.7269732864803377E-2</v>
      </c>
      <c r="L31" s="46">
        <v>3.609291772462897E-2</v>
      </c>
      <c r="M31" s="46">
        <v>0.4250835205987335</v>
      </c>
      <c r="N31" s="46">
        <v>0.16099516138775624</v>
      </c>
      <c r="O31" s="46">
        <v>1.7459670172599816E-2</v>
      </c>
      <c r="P31" s="46">
        <v>0.31865841572780695</v>
      </c>
      <c r="Q31" s="46">
        <v>4.4787461881815385E-2</v>
      </c>
      <c r="R31" s="46">
        <v>3.30157702312881E-2</v>
      </c>
      <c r="S31" s="46">
        <v>0.43685847538849892</v>
      </c>
      <c r="T31" s="46">
        <v>0.16642256468889305</v>
      </c>
      <c r="U31" s="46">
        <v>1.6781753992976458E-2</v>
      </c>
      <c r="V31" s="46">
        <v>0.3011046207882036</v>
      </c>
      <c r="W31" s="46">
        <v>4.4679128221212575E-2</v>
      </c>
      <c r="X31" s="46">
        <v>3.4153456920215375E-2</v>
      </c>
    </row>
    <row r="32" spans="1:24" x14ac:dyDescent="0.25">
      <c r="A32" s="10">
        <v>45</v>
      </c>
      <c r="B32" s="11" t="s">
        <v>14</v>
      </c>
      <c r="C32" s="11" t="s">
        <v>73</v>
      </c>
      <c r="D32" s="11" t="s">
        <v>169</v>
      </c>
      <c r="E32" s="11" t="s">
        <v>170</v>
      </c>
      <c r="F32" s="11" t="s">
        <v>171</v>
      </c>
      <c r="G32" s="46">
        <v>0.44006201988763449</v>
      </c>
      <c r="H32" s="46">
        <v>0.14657749969029327</v>
      </c>
      <c r="I32" s="46">
        <v>0</v>
      </c>
      <c r="J32" s="46">
        <v>0.35337323284197958</v>
      </c>
      <c r="K32" s="46">
        <v>3.5912413866721504E-2</v>
      </c>
      <c r="L32" s="46">
        <v>2.4074833713371154E-2</v>
      </c>
      <c r="M32" s="46">
        <v>0.44953367783755982</v>
      </c>
      <c r="N32" s="46">
        <v>0.15044016289685047</v>
      </c>
      <c r="O32" s="46">
        <v>0</v>
      </c>
      <c r="P32" s="46">
        <v>0.34493746953759857</v>
      </c>
      <c r="Q32" s="46">
        <v>3.396001559421595E-2</v>
      </c>
      <c r="R32" s="46">
        <v>2.1128674133775189E-2</v>
      </c>
      <c r="S32" s="46">
        <v>0.45647256213318299</v>
      </c>
      <c r="T32" s="46">
        <v>0.13626004276527301</v>
      </c>
      <c r="U32" s="46">
        <v>0</v>
      </c>
      <c r="V32" s="46">
        <v>0.35618045237107421</v>
      </c>
      <c r="W32" s="46">
        <v>3.1529600005675479E-2</v>
      </c>
      <c r="X32" s="46">
        <v>1.9557342724794296E-2</v>
      </c>
    </row>
    <row r="33" spans="1:24" x14ac:dyDescent="0.25">
      <c r="A33" s="10">
        <v>47</v>
      </c>
      <c r="B33" s="11" t="s">
        <v>53</v>
      </c>
      <c r="C33" s="11" t="s">
        <v>73</v>
      </c>
      <c r="D33" s="11" t="s">
        <v>166</v>
      </c>
      <c r="E33" s="11" t="s">
        <v>167</v>
      </c>
      <c r="F33" s="11" t="s">
        <v>168</v>
      </c>
      <c r="G33" s="46">
        <v>0.48736779860318064</v>
      </c>
      <c r="H33" s="46">
        <v>0.18964483105669622</v>
      </c>
      <c r="I33" s="46">
        <v>5.9598643167208289E-3</v>
      </c>
      <c r="J33" s="46">
        <v>0.24410028498910535</v>
      </c>
      <c r="K33" s="46">
        <v>3.5124653082524847E-2</v>
      </c>
      <c r="L33" s="46">
        <v>3.7802567951772115E-2</v>
      </c>
      <c r="M33" s="46">
        <v>0.4815126732223412</v>
      </c>
      <c r="N33" s="46">
        <v>0.19867912893908415</v>
      </c>
      <c r="O33" s="46">
        <v>7.0067828513938925E-3</v>
      </c>
      <c r="P33" s="46">
        <v>0.24864910914224517</v>
      </c>
      <c r="Q33" s="46">
        <v>3.0363807483854217E-2</v>
      </c>
      <c r="R33" s="46">
        <v>3.3788498361081359E-2</v>
      </c>
      <c r="S33" s="46">
        <v>0.48270240736636411</v>
      </c>
      <c r="T33" s="46">
        <v>0.20432941130625179</v>
      </c>
      <c r="U33" s="46">
        <v>5.2331580558241412E-3</v>
      </c>
      <c r="V33" s="46">
        <v>0.24181963871238008</v>
      </c>
      <c r="W33" s="46">
        <v>3.2633765803593395E-2</v>
      </c>
      <c r="X33" s="46">
        <v>3.3281618755586516E-2</v>
      </c>
    </row>
    <row r="34" spans="1:24" x14ac:dyDescent="0.25">
      <c r="A34" s="10">
        <v>48</v>
      </c>
      <c r="B34" s="11" t="s">
        <v>47</v>
      </c>
      <c r="C34" s="11" t="s">
        <v>69</v>
      </c>
      <c r="D34" s="11" t="s">
        <v>188</v>
      </c>
      <c r="E34" s="11" t="s">
        <v>181</v>
      </c>
      <c r="F34" s="11" t="s">
        <v>171</v>
      </c>
      <c r="G34" s="46">
        <v>0.50986277978700401</v>
      </c>
      <c r="H34" s="46">
        <v>0.12453770144196259</v>
      </c>
      <c r="I34" s="46">
        <v>3.4535371166561485E-4</v>
      </c>
      <c r="J34" s="46">
        <v>0.29122629141842832</v>
      </c>
      <c r="K34" s="46">
        <v>5.01634887720631E-2</v>
      </c>
      <c r="L34" s="46">
        <v>2.3864384868876438E-2</v>
      </c>
      <c r="M34" s="46">
        <v>0.5212333316352179</v>
      </c>
      <c r="N34" s="46">
        <v>0.13077427335877942</v>
      </c>
      <c r="O34" s="46">
        <v>3.8447896851982326E-6</v>
      </c>
      <c r="P34" s="46">
        <v>0.28330332795383179</v>
      </c>
      <c r="Q34" s="46">
        <v>4.0823976877434831E-2</v>
      </c>
      <c r="R34" s="46">
        <v>2.386124538505088E-2</v>
      </c>
      <c r="S34" s="46">
        <v>0.52885156060136496</v>
      </c>
      <c r="T34" s="46">
        <v>0.12991685859718671</v>
      </c>
      <c r="U34" s="46">
        <v>4.6687609946645918E-4</v>
      </c>
      <c r="V34" s="46">
        <v>0.27236579541730116</v>
      </c>
      <c r="W34" s="46">
        <v>4.261950043811439E-2</v>
      </c>
      <c r="X34" s="46">
        <v>2.5779408846566321E-2</v>
      </c>
    </row>
    <row r="35" spans="1:24" x14ac:dyDescent="0.25">
      <c r="A35" s="10">
        <v>50</v>
      </c>
      <c r="B35" s="11" t="s">
        <v>48</v>
      </c>
      <c r="C35" s="11" t="s">
        <v>76</v>
      </c>
      <c r="D35" s="11" t="s">
        <v>184</v>
      </c>
      <c r="E35" s="11" t="s">
        <v>170</v>
      </c>
      <c r="F35" s="11" t="s">
        <v>171</v>
      </c>
      <c r="G35" s="46">
        <v>0.40326506484926455</v>
      </c>
      <c r="H35" s="46">
        <v>9.0295957042019148E-2</v>
      </c>
      <c r="I35" s="46">
        <v>4.262019839752028E-3</v>
      </c>
      <c r="J35" s="46">
        <v>0.46396283399482396</v>
      </c>
      <c r="K35" s="46">
        <v>3.4186813568920039E-2</v>
      </c>
      <c r="L35" s="46">
        <v>4.0273107052202295E-3</v>
      </c>
      <c r="M35" s="46">
        <v>0.38774770529978342</v>
      </c>
      <c r="N35" s="46">
        <v>0.25784683272473563</v>
      </c>
      <c r="O35" s="46">
        <v>1.8042731712621077E-3</v>
      </c>
      <c r="P35" s="46">
        <v>0.31622690575645823</v>
      </c>
      <c r="Q35" s="46">
        <v>3.1655763253989111E-2</v>
      </c>
      <c r="R35" s="46">
        <v>4.7185197937714635E-3</v>
      </c>
      <c r="S35" s="46">
        <v>0.45827209842400235</v>
      </c>
      <c r="T35" s="46">
        <v>0.1504613625110392</v>
      </c>
      <c r="U35" s="46">
        <v>1.3263960713411601E-3</v>
      </c>
      <c r="V35" s="46">
        <v>0.35428648124942902</v>
      </c>
      <c r="W35" s="46">
        <v>3.238729862972909E-2</v>
      </c>
      <c r="X35" s="46">
        <v>3.2663631144591834E-3</v>
      </c>
    </row>
    <row r="36" spans="1:24" x14ac:dyDescent="0.25">
      <c r="A36" s="10">
        <v>51</v>
      </c>
      <c r="B36" s="11" t="s">
        <v>39</v>
      </c>
      <c r="C36" s="11" t="s">
        <v>67</v>
      </c>
      <c r="D36" s="11" t="s">
        <v>190</v>
      </c>
      <c r="E36" s="11" t="s">
        <v>170</v>
      </c>
      <c r="F36" s="11" t="s">
        <v>171</v>
      </c>
      <c r="G36" s="46">
        <v>0.45145944164910523</v>
      </c>
      <c r="H36" s="46">
        <v>0.11272592480728176</v>
      </c>
      <c r="I36" s="46">
        <v>0</v>
      </c>
      <c r="J36" s="46">
        <v>0.38618634120223233</v>
      </c>
      <c r="K36" s="46">
        <v>2.6402158169674422E-2</v>
      </c>
      <c r="L36" s="46">
        <v>2.3226134171706287E-2</v>
      </c>
      <c r="M36" s="46">
        <v>0.47622328845191919</v>
      </c>
      <c r="N36" s="46">
        <v>0.11810609384096891</v>
      </c>
      <c r="O36" s="46">
        <v>0</v>
      </c>
      <c r="P36" s="46">
        <v>0.35744146214463185</v>
      </c>
      <c r="Q36" s="46">
        <v>2.3036660215988387E-2</v>
      </c>
      <c r="R36" s="46">
        <v>2.5192495346491622E-2</v>
      </c>
      <c r="S36" s="46">
        <v>0.48144557484615697</v>
      </c>
      <c r="T36" s="46">
        <v>0.11958139101119529</v>
      </c>
      <c r="U36" s="46">
        <v>0</v>
      </c>
      <c r="V36" s="46">
        <v>0.35371629035842655</v>
      </c>
      <c r="W36" s="46">
        <v>2.1745656366849612E-2</v>
      </c>
      <c r="X36" s="46">
        <v>2.3511087417371564E-2</v>
      </c>
    </row>
    <row r="37" spans="1:24" x14ac:dyDescent="0.25">
      <c r="A37" s="10">
        <v>52</v>
      </c>
      <c r="B37" s="11" t="s">
        <v>38</v>
      </c>
      <c r="C37" s="11" t="s">
        <v>72</v>
      </c>
      <c r="D37" s="11" t="s">
        <v>185</v>
      </c>
      <c r="E37" s="11" t="s">
        <v>181</v>
      </c>
      <c r="F37" s="11" t="s">
        <v>171</v>
      </c>
      <c r="G37" s="46">
        <v>0.5904267136297362</v>
      </c>
      <c r="H37" s="46">
        <v>8.8266147601161124E-2</v>
      </c>
      <c r="I37" s="46">
        <v>3.2932018798959711E-3</v>
      </c>
      <c r="J37" s="46">
        <v>0.25157266941598755</v>
      </c>
      <c r="K37" s="46">
        <v>3.4259598469678756E-2</v>
      </c>
      <c r="L37" s="46">
        <v>3.2181669003540379E-2</v>
      </c>
      <c r="M37" s="46">
        <v>0.6089689058021629</v>
      </c>
      <c r="N37" s="46">
        <v>9.7498012957922875E-2</v>
      </c>
      <c r="O37" s="46">
        <v>5.1494496495580334E-4</v>
      </c>
      <c r="P37" s="46">
        <v>0.24304101736554348</v>
      </c>
      <c r="Q37" s="46">
        <v>2.3483706254967606E-2</v>
      </c>
      <c r="R37" s="46">
        <v>2.6493412654447362E-2</v>
      </c>
      <c r="S37" s="46">
        <v>0.60140892378400646</v>
      </c>
      <c r="T37" s="46">
        <v>9.9123789979613602E-2</v>
      </c>
      <c r="U37" s="46">
        <v>7.5932474101748698E-4</v>
      </c>
      <c r="V37" s="46">
        <v>0.23524338689927532</v>
      </c>
      <c r="W37" s="46">
        <v>3.5348694112819455E-2</v>
      </c>
      <c r="X37" s="46">
        <v>2.8115880483267651E-2</v>
      </c>
    </row>
    <row r="38" spans="1:24" x14ac:dyDescent="0.25">
      <c r="A38" s="10">
        <v>54</v>
      </c>
      <c r="B38" s="11" t="s">
        <v>17</v>
      </c>
      <c r="C38" s="11" t="s">
        <v>72</v>
      </c>
      <c r="D38" s="11" t="s">
        <v>176</v>
      </c>
      <c r="E38" s="11" t="s">
        <v>170</v>
      </c>
      <c r="F38" s="11" t="s">
        <v>171</v>
      </c>
      <c r="G38" s="46">
        <v>0.48820585961706775</v>
      </c>
      <c r="H38" s="46">
        <v>0.16206501670616946</v>
      </c>
      <c r="I38" s="46">
        <v>1.4062889304857246E-3</v>
      </c>
      <c r="J38" s="46">
        <v>0.30205265477962551</v>
      </c>
      <c r="K38" s="46">
        <v>3.2305515271930443E-2</v>
      </c>
      <c r="L38" s="46">
        <v>1.3964664694721105E-2</v>
      </c>
      <c r="M38" s="46">
        <v>0.47651923801331997</v>
      </c>
      <c r="N38" s="46">
        <v>0.16672385684459676</v>
      </c>
      <c r="O38" s="46">
        <v>2.026819905842091E-3</v>
      </c>
      <c r="P38" s="46">
        <v>0.30970463941974086</v>
      </c>
      <c r="Q38" s="46">
        <v>3.125481350664245E-2</v>
      </c>
      <c r="R38" s="46">
        <v>1.377063230985791E-2</v>
      </c>
      <c r="S38" s="46">
        <v>0.48969310261905419</v>
      </c>
      <c r="T38" s="46">
        <v>0.15973557700783692</v>
      </c>
      <c r="U38" s="46">
        <v>1.282059419011291E-3</v>
      </c>
      <c r="V38" s="46">
        <v>0.30614492913060432</v>
      </c>
      <c r="W38" s="46">
        <v>3.1811011183817559E-2</v>
      </c>
      <c r="X38" s="46">
        <v>1.133332063967572E-2</v>
      </c>
    </row>
    <row r="39" spans="1:24" x14ac:dyDescent="0.25">
      <c r="A39" s="10">
        <v>57</v>
      </c>
      <c r="B39" s="11" t="s">
        <v>66</v>
      </c>
      <c r="C39" s="11" t="s">
        <v>74</v>
      </c>
      <c r="D39" s="11" t="s">
        <v>172</v>
      </c>
      <c r="E39" s="11" t="s">
        <v>167</v>
      </c>
      <c r="F39" s="11" t="s">
        <v>171</v>
      </c>
      <c r="G39" s="46">
        <v>0.43948444068930664</v>
      </c>
      <c r="H39" s="46">
        <v>0.17274119920825476</v>
      </c>
      <c r="I39" s="46">
        <v>3.2986330270757376E-2</v>
      </c>
      <c r="J39" s="46">
        <v>0.30322418297631054</v>
      </c>
      <c r="K39" s="46">
        <v>2.3256162751893853E-2</v>
      </c>
      <c r="L39" s="46">
        <v>2.830768410347682E-2</v>
      </c>
      <c r="M39" s="46">
        <v>0.45689406303951996</v>
      </c>
      <c r="N39" s="46">
        <v>0.17687179825844127</v>
      </c>
      <c r="O39" s="46">
        <v>3.0931818825061085E-2</v>
      </c>
      <c r="P39" s="46">
        <v>0.29210373878505996</v>
      </c>
      <c r="Q39" s="46">
        <v>1.774087945885261E-2</v>
      </c>
      <c r="R39" s="46">
        <v>2.5457701633065086E-2</v>
      </c>
      <c r="S39" s="46">
        <v>0.43178900040353729</v>
      </c>
      <c r="T39" s="46">
        <v>0.18520612457816299</v>
      </c>
      <c r="U39" s="46">
        <v>3.099659993273236E-2</v>
      </c>
      <c r="V39" s="46">
        <v>0.30369865742428021</v>
      </c>
      <c r="W39" s="46">
        <v>1.877974030301981E-2</v>
      </c>
      <c r="X39" s="46">
        <v>2.9529877358267387E-2</v>
      </c>
    </row>
    <row r="40" spans="1:24" x14ac:dyDescent="0.25">
      <c r="A40" s="10">
        <v>58</v>
      </c>
      <c r="B40" s="11" t="s">
        <v>35</v>
      </c>
      <c r="C40" s="11" t="s">
        <v>73</v>
      </c>
      <c r="D40" s="11" t="s">
        <v>169</v>
      </c>
      <c r="E40" s="11" t="s">
        <v>170</v>
      </c>
      <c r="F40" s="11" t="s">
        <v>171</v>
      </c>
      <c r="G40" s="46">
        <v>0.19990726799549302</v>
      </c>
      <c r="H40" s="46">
        <v>0.34953733709579315</v>
      </c>
      <c r="I40" s="46">
        <v>0</v>
      </c>
      <c r="J40" s="46">
        <v>0.26056696148131897</v>
      </c>
      <c r="K40" s="46">
        <v>0.17075900647129794</v>
      </c>
      <c r="L40" s="46">
        <v>1.922942695609688E-2</v>
      </c>
      <c r="M40" s="46">
        <v>0.25516104031865616</v>
      </c>
      <c r="N40" s="46">
        <v>0.42462195627489502</v>
      </c>
      <c r="O40" s="46">
        <v>0</v>
      </c>
      <c r="P40" s="46">
        <v>0.13564515256925544</v>
      </c>
      <c r="Q40" s="46">
        <v>0.15485824486779734</v>
      </c>
      <c r="R40" s="46">
        <v>2.9713605969396033E-2</v>
      </c>
      <c r="S40" s="46">
        <v>0.23920111701524055</v>
      </c>
      <c r="T40" s="46">
        <v>0.44579630917902996</v>
      </c>
      <c r="U40" s="46">
        <v>0</v>
      </c>
      <c r="V40" s="46">
        <v>0.11097625355851255</v>
      </c>
      <c r="W40" s="46">
        <v>0.18073214494226617</v>
      </c>
      <c r="X40" s="46">
        <v>2.3294175304950752E-2</v>
      </c>
    </row>
    <row r="41" spans="1:24" x14ac:dyDescent="0.25">
      <c r="A41" s="10">
        <v>60</v>
      </c>
      <c r="B41" s="11" t="s">
        <v>58</v>
      </c>
      <c r="C41" s="11" t="s">
        <v>75</v>
      </c>
      <c r="D41" s="11" t="s">
        <v>191</v>
      </c>
      <c r="E41" s="11" t="s">
        <v>170</v>
      </c>
      <c r="F41" s="11" t="s">
        <v>168</v>
      </c>
      <c r="G41" s="46">
        <v>0.5246611310989453</v>
      </c>
      <c r="H41" s="46">
        <v>0.14220152959580024</v>
      </c>
      <c r="I41" s="46">
        <v>1.3157994492511652E-3</v>
      </c>
      <c r="J41" s="46">
        <v>0.27301322285784563</v>
      </c>
      <c r="K41" s="46">
        <v>2.4021342570324088E-2</v>
      </c>
      <c r="L41" s="46">
        <v>3.4786974427833621E-2</v>
      </c>
      <c r="M41" s="46">
        <v>0.51766189891510173</v>
      </c>
      <c r="N41" s="46">
        <v>0.14032066621018499</v>
      </c>
      <c r="O41" s="46">
        <v>1.7694748076134135E-3</v>
      </c>
      <c r="P41" s="46">
        <v>0.27832437159554946</v>
      </c>
      <c r="Q41" s="46">
        <v>2.46682599726403E-2</v>
      </c>
      <c r="R41" s="46">
        <v>3.725532849891014E-2</v>
      </c>
      <c r="S41" s="46">
        <v>0.51910730746412925</v>
      </c>
      <c r="T41" s="46">
        <v>0.14380813002390705</v>
      </c>
      <c r="U41" s="46">
        <v>2.814949165289851E-3</v>
      </c>
      <c r="V41" s="46">
        <v>0.27685062374168989</v>
      </c>
      <c r="W41" s="46">
        <v>2.0684819366741651E-2</v>
      </c>
      <c r="X41" s="46">
        <v>3.6734170238242311E-2</v>
      </c>
    </row>
    <row r="42" spans="1:24" x14ac:dyDescent="0.25">
      <c r="A42" s="10">
        <v>61</v>
      </c>
      <c r="B42" s="11" t="s">
        <v>116</v>
      </c>
      <c r="C42" s="11" t="s">
        <v>74</v>
      </c>
      <c r="D42" s="11" t="s">
        <v>172</v>
      </c>
      <c r="E42" s="11" t="s">
        <v>167</v>
      </c>
      <c r="F42" s="11" t="s">
        <v>171</v>
      </c>
      <c r="G42" s="46">
        <v>0.3934722245443637</v>
      </c>
      <c r="H42" s="46">
        <v>0.24974438581215863</v>
      </c>
      <c r="I42" s="46">
        <v>2.6412823022382157E-2</v>
      </c>
      <c r="J42" s="46">
        <v>0.26198171410051457</v>
      </c>
      <c r="K42" s="46">
        <v>4.2054482154592891E-2</v>
      </c>
      <c r="L42" s="46">
        <v>2.6334370365988072E-2</v>
      </c>
      <c r="M42" s="46">
        <v>0.42721663936929183</v>
      </c>
      <c r="N42" s="46">
        <v>0.24632295107755231</v>
      </c>
      <c r="O42" s="46">
        <v>2.2625591057565075E-2</v>
      </c>
      <c r="P42" s="46">
        <v>0.24468857859330612</v>
      </c>
      <c r="Q42" s="46">
        <v>3.4210782000388643E-2</v>
      </c>
      <c r="R42" s="46">
        <v>2.493545790189601E-2</v>
      </c>
      <c r="S42" s="46">
        <v>0.38259842638467156</v>
      </c>
      <c r="T42" s="46">
        <v>0.25492158861445563</v>
      </c>
      <c r="U42" s="46">
        <v>1.8563574964387847E-2</v>
      </c>
      <c r="V42" s="46">
        <v>0.27310156521064505</v>
      </c>
      <c r="W42" s="46">
        <v>3.9939486279893195E-2</v>
      </c>
      <c r="X42" s="46">
        <v>3.0875358545946679E-2</v>
      </c>
    </row>
    <row r="43" spans="1:24" x14ac:dyDescent="0.25">
      <c r="A43" s="10">
        <v>69</v>
      </c>
      <c r="B43" s="11" t="s">
        <v>24</v>
      </c>
      <c r="C43" s="11" t="s">
        <v>80</v>
      </c>
      <c r="D43" s="11" t="s">
        <v>187</v>
      </c>
      <c r="E43" s="11" t="s">
        <v>167</v>
      </c>
      <c r="F43" s="11" t="s">
        <v>168</v>
      </c>
      <c r="G43" s="46">
        <v>0.45073747774470208</v>
      </c>
      <c r="H43" s="46">
        <v>0.19112124226152763</v>
      </c>
      <c r="I43" s="46">
        <v>2.3011004647507938E-2</v>
      </c>
      <c r="J43" s="46">
        <v>0.28271573038082665</v>
      </c>
      <c r="K43" s="46">
        <v>2.2780929997132916E-2</v>
      </c>
      <c r="L43" s="46">
        <v>2.9633614968302791E-2</v>
      </c>
      <c r="M43" s="46">
        <v>0.45891246495182403</v>
      </c>
      <c r="N43" s="46">
        <v>0.20700850915287575</v>
      </c>
      <c r="O43" s="46">
        <v>1.318599649424403E-2</v>
      </c>
      <c r="P43" s="46">
        <v>0.27493159271673567</v>
      </c>
      <c r="Q43" s="46">
        <v>2.6255634920932816E-2</v>
      </c>
      <c r="R43" s="46">
        <v>1.9705801763387747E-2</v>
      </c>
      <c r="S43" s="46">
        <v>0.45498356333539142</v>
      </c>
      <c r="T43" s="46">
        <v>0.20772940410833179</v>
      </c>
      <c r="U43" s="46">
        <v>1.5241877617768285E-2</v>
      </c>
      <c r="V43" s="46">
        <v>0.26545964256512089</v>
      </c>
      <c r="W43" s="46">
        <v>3.3410649623708849E-2</v>
      </c>
      <c r="X43" s="46">
        <v>2.3174862749678775E-2</v>
      </c>
    </row>
    <row r="44" spans="1:24" x14ac:dyDescent="0.25">
      <c r="A44" s="10">
        <v>70</v>
      </c>
      <c r="B44" s="11" t="s">
        <v>51</v>
      </c>
      <c r="C44" s="11" t="s">
        <v>73</v>
      </c>
      <c r="D44" s="11" t="s">
        <v>182</v>
      </c>
      <c r="E44" s="11" t="s">
        <v>181</v>
      </c>
      <c r="F44" s="11" t="s">
        <v>171</v>
      </c>
      <c r="G44" s="46">
        <v>0.27572812871323138</v>
      </c>
      <c r="H44" s="46">
        <v>0.25503568577440011</v>
      </c>
      <c r="I44" s="46">
        <v>1.5337341014822221E-3</v>
      </c>
      <c r="J44" s="46">
        <v>0.37201234857170451</v>
      </c>
      <c r="K44" s="46">
        <v>9.0853698162321236E-2</v>
      </c>
      <c r="L44" s="46">
        <v>4.8364046768605579E-3</v>
      </c>
      <c r="M44" s="46">
        <v>0.2694612434259181</v>
      </c>
      <c r="N44" s="46">
        <v>0.26724709800788987</v>
      </c>
      <c r="O44" s="46">
        <v>1.9105363356020305E-3</v>
      </c>
      <c r="P44" s="46">
        <v>0.37006335441196764</v>
      </c>
      <c r="Q44" s="46">
        <v>8.810222032482222E-2</v>
      </c>
      <c r="R44" s="46">
        <v>3.2155474938001388E-3</v>
      </c>
      <c r="S44" s="46">
        <v>0.26884488731352668</v>
      </c>
      <c r="T44" s="46">
        <v>0.26848865619181883</v>
      </c>
      <c r="U44" s="46">
        <v>1.3241880670664459E-3</v>
      </c>
      <c r="V44" s="46">
        <v>0.36774404180613618</v>
      </c>
      <c r="W44" s="46">
        <v>8.9881679072556842E-2</v>
      </c>
      <c r="X44" s="46">
        <v>3.7165475488950051E-3</v>
      </c>
    </row>
    <row r="45" spans="1:24" x14ac:dyDescent="0.25">
      <c r="A45" s="10">
        <v>73</v>
      </c>
      <c r="B45" s="11" t="s">
        <v>30</v>
      </c>
      <c r="C45" s="11" t="s">
        <v>72</v>
      </c>
      <c r="D45" s="11" t="s">
        <v>183</v>
      </c>
      <c r="E45" s="11" t="s">
        <v>181</v>
      </c>
      <c r="F45" s="11" t="s">
        <v>171</v>
      </c>
      <c r="G45" s="46">
        <v>0.48029837715301021</v>
      </c>
      <c r="H45" s="46">
        <v>0.14785306033451651</v>
      </c>
      <c r="I45" s="46">
        <v>2.1680457314614634E-3</v>
      </c>
      <c r="J45" s="46">
        <v>0.30239946912725402</v>
      </c>
      <c r="K45" s="46">
        <v>3.5809808441615486E-2</v>
      </c>
      <c r="L45" s="46">
        <v>3.1471239212142316E-2</v>
      </c>
      <c r="M45" s="46">
        <v>0.48953363288484841</v>
      </c>
      <c r="N45" s="46">
        <v>0.13708904069302622</v>
      </c>
      <c r="O45" s="46">
        <v>1.5780697966938958E-3</v>
      </c>
      <c r="P45" s="46">
        <v>0.2949119230536304</v>
      </c>
      <c r="Q45" s="46">
        <v>4.9603325884483719E-2</v>
      </c>
      <c r="R45" s="46">
        <v>2.7284007687317365E-2</v>
      </c>
      <c r="S45" s="46">
        <v>0.47493502804115129</v>
      </c>
      <c r="T45" s="46">
        <v>0.1469743374297347</v>
      </c>
      <c r="U45" s="46">
        <v>1.317846504153264E-3</v>
      </c>
      <c r="V45" s="46">
        <v>0.29918600239905552</v>
      </c>
      <c r="W45" s="46">
        <v>4.4962898900068687E-2</v>
      </c>
      <c r="X45" s="46">
        <v>3.2623886725836541E-2</v>
      </c>
    </row>
    <row r="46" spans="1:24" x14ac:dyDescent="0.25">
      <c r="A46" s="10">
        <v>74</v>
      </c>
      <c r="B46" s="11" t="s">
        <v>29</v>
      </c>
      <c r="C46" s="11" t="s">
        <v>69</v>
      </c>
      <c r="D46" s="11" t="s">
        <v>178</v>
      </c>
      <c r="E46" s="11" t="s">
        <v>170</v>
      </c>
      <c r="F46" s="11" t="s">
        <v>171</v>
      </c>
      <c r="G46" s="46">
        <v>0.3316009261436258</v>
      </c>
      <c r="H46" s="46">
        <v>0.33452487728983982</v>
      </c>
      <c r="I46" s="46">
        <v>0</v>
      </c>
      <c r="J46" s="46">
        <v>0.24163331020876933</v>
      </c>
      <c r="K46" s="46">
        <v>7.6912396604656069E-2</v>
      </c>
      <c r="L46" s="46">
        <v>1.5328489753108996E-2</v>
      </c>
      <c r="M46" s="46">
        <v>0.34381436941671528</v>
      </c>
      <c r="N46" s="46">
        <v>0.34550235526487755</v>
      </c>
      <c r="O46" s="46">
        <v>0</v>
      </c>
      <c r="P46" s="46">
        <v>0.22199821077181633</v>
      </c>
      <c r="Q46" s="46">
        <v>7.4996180402797236E-2</v>
      </c>
      <c r="R46" s="46">
        <v>1.3688884143793569E-2</v>
      </c>
      <c r="S46" s="46">
        <v>0.32826309181764496</v>
      </c>
      <c r="T46" s="46">
        <v>0.34360945287210304</v>
      </c>
      <c r="U46" s="46">
        <v>5.8762035672401444E-4</v>
      </c>
      <c r="V46" s="46">
        <v>0.23103983578057982</v>
      </c>
      <c r="W46" s="46">
        <v>7.7278486561234094E-2</v>
      </c>
      <c r="X46" s="46">
        <v>1.9221512611714033E-2</v>
      </c>
    </row>
    <row r="47" spans="1:24" x14ac:dyDescent="0.25">
      <c r="A47" s="10">
        <v>75</v>
      </c>
      <c r="B47" s="11" t="s">
        <v>32</v>
      </c>
      <c r="C47" s="11" t="s">
        <v>69</v>
      </c>
      <c r="D47" s="11" t="s">
        <v>183</v>
      </c>
      <c r="E47" s="11" t="s">
        <v>181</v>
      </c>
      <c r="F47" s="11" t="s">
        <v>171</v>
      </c>
      <c r="G47" s="46">
        <v>0.35887878816270891</v>
      </c>
      <c r="H47" s="46">
        <v>0.22866882006549205</v>
      </c>
      <c r="I47" s="46">
        <v>1.3491925925578911E-3</v>
      </c>
      <c r="J47" s="46">
        <v>0.34714772253479559</v>
      </c>
      <c r="K47" s="46">
        <v>5.600086198415636E-2</v>
      </c>
      <c r="L47" s="46">
        <v>7.9546146602892335E-3</v>
      </c>
      <c r="M47" s="46">
        <v>0.35840638750790615</v>
      </c>
      <c r="N47" s="46">
        <v>0.24551133388194807</v>
      </c>
      <c r="O47" s="46">
        <v>1.2321161793743525E-3</v>
      </c>
      <c r="P47" s="46">
        <v>0.33487886268988987</v>
      </c>
      <c r="Q47" s="46">
        <v>5.116285923497714E-2</v>
      </c>
      <c r="R47" s="46">
        <v>8.8084405059044094E-3</v>
      </c>
      <c r="S47" s="46">
        <v>0.27627517424822107</v>
      </c>
      <c r="T47" s="46">
        <v>0.18753637220148769</v>
      </c>
      <c r="U47" s="46">
        <v>3.440719167564585E-4</v>
      </c>
      <c r="V47" s="46">
        <v>0.40278536887528565</v>
      </c>
      <c r="W47" s="46">
        <v>0.12234177116354608</v>
      </c>
      <c r="X47" s="46">
        <v>1.0717241594703062E-2</v>
      </c>
    </row>
    <row r="48" spans="1:24" x14ac:dyDescent="0.25">
      <c r="A48" s="10">
        <v>76</v>
      </c>
      <c r="B48" s="11" t="s">
        <v>222</v>
      </c>
      <c r="C48" s="11" t="s">
        <v>69</v>
      </c>
      <c r="D48" s="11" t="s">
        <v>176</v>
      </c>
      <c r="E48" s="11" t="s">
        <v>170</v>
      </c>
      <c r="F48" s="11" t="s">
        <v>171</v>
      </c>
      <c r="G48" s="46">
        <v>0.4205773371362076</v>
      </c>
      <c r="H48" s="46">
        <v>0.12798771492804142</v>
      </c>
      <c r="I48" s="46">
        <v>2.9976145798904542E-3</v>
      </c>
      <c r="J48" s="46">
        <v>0.38418991280914633</v>
      </c>
      <c r="K48" s="46">
        <v>3.0689976694899593E-2</v>
      </c>
      <c r="L48" s="46">
        <v>3.3557443851814618E-2</v>
      </c>
      <c r="M48" s="46">
        <v>0.42796524878881864</v>
      </c>
      <c r="N48" s="46">
        <v>0.12926064986161001</v>
      </c>
      <c r="O48" s="46">
        <v>2.4202112019155145E-3</v>
      </c>
      <c r="P48" s="46">
        <v>0.37841881128520288</v>
      </c>
      <c r="Q48" s="46">
        <v>2.7224507339761412E-2</v>
      </c>
      <c r="R48" s="46">
        <v>3.4710571522691511E-2</v>
      </c>
      <c r="S48" s="46">
        <v>0.4281176821111205</v>
      </c>
      <c r="T48" s="46">
        <v>0.14647430890102864</v>
      </c>
      <c r="U48" s="46">
        <v>6.6632006071580107E-4</v>
      </c>
      <c r="V48" s="46">
        <v>0.36035643214420171</v>
      </c>
      <c r="W48" s="46">
        <v>2.9518064060633845E-2</v>
      </c>
      <c r="X48" s="46">
        <v>3.4867192722299482E-2</v>
      </c>
    </row>
    <row r="49" spans="1:24" x14ac:dyDescent="0.25">
      <c r="A49" s="10">
        <v>81</v>
      </c>
      <c r="B49" s="11" t="s">
        <v>107</v>
      </c>
      <c r="C49" s="15" t="s">
        <v>80</v>
      </c>
      <c r="D49" s="15" t="s">
        <v>177</v>
      </c>
      <c r="E49" s="15" t="s">
        <v>167</v>
      </c>
      <c r="F49" s="15" t="s">
        <v>171</v>
      </c>
      <c r="G49" s="46">
        <v>0</v>
      </c>
      <c r="H49" s="46">
        <v>0</v>
      </c>
      <c r="I49" s="46">
        <v>0</v>
      </c>
      <c r="J49" s="46">
        <v>0</v>
      </c>
      <c r="K49" s="46">
        <v>0</v>
      </c>
      <c r="L49" s="46">
        <v>0</v>
      </c>
      <c r="M49" s="46">
        <v>0</v>
      </c>
      <c r="N49" s="46">
        <v>0</v>
      </c>
      <c r="O49" s="46">
        <v>0</v>
      </c>
      <c r="P49" s="46">
        <v>0</v>
      </c>
      <c r="Q49" s="46">
        <v>0</v>
      </c>
      <c r="R49" s="46">
        <v>0</v>
      </c>
      <c r="S49" s="46">
        <v>0</v>
      </c>
      <c r="T49" s="46">
        <v>0</v>
      </c>
      <c r="U49" s="46">
        <v>0</v>
      </c>
      <c r="V49" s="46">
        <v>0</v>
      </c>
      <c r="W49" s="46">
        <v>0</v>
      </c>
      <c r="X49" s="46">
        <v>0</v>
      </c>
    </row>
    <row r="50" spans="1:24" x14ac:dyDescent="0.25">
      <c r="A50" s="10">
        <v>83</v>
      </c>
      <c r="B50" s="11" t="s">
        <v>221</v>
      </c>
      <c r="C50" s="11" t="s">
        <v>73</v>
      </c>
      <c r="D50" s="11" t="s">
        <v>176</v>
      </c>
      <c r="E50" s="11" t="s">
        <v>170</v>
      </c>
      <c r="F50" s="11" t="s">
        <v>171</v>
      </c>
      <c r="G50" s="46">
        <v>0.46081684185800692</v>
      </c>
      <c r="H50" s="46">
        <v>0.37888552860806074</v>
      </c>
      <c r="I50" s="46">
        <v>2.6670190067923345E-4</v>
      </c>
      <c r="J50" s="46">
        <v>0.10600544169749643</v>
      </c>
      <c r="K50" s="46">
        <v>5.1896764343179282E-2</v>
      </c>
      <c r="L50" s="46">
        <v>2.1287215925773679E-3</v>
      </c>
      <c r="M50" s="46">
        <v>0.43002438561665068</v>
      </c>
      <c r="N50" s="46">
        <v>0.38021202067456078</v>
      </c>
      <c r="O50" s="46">
        <v>1.2262217101396966E-4</v>
      </c>
      <c r="P50" s="46">
        <v>0.14503426479910786</v>
      </c>
      <c r="Q50" s="46">
        <v>4.2778942302798099E-2</v>
      </c>
      <c r="R50" s="46">
        <v>1.8277644358686046E-3</v>
      </c>
      <c r="S50" s="46">
        <v>0.35874488344334043</v>
      </c>
      <c r="T50" s="46">
        <v>0.34324396505207849</v>
      </c>
      <c r="U50" s="46">
        <v>1.6351179737618068E-4</v>
      </c>
      <c r="V50" s="46">
        <v>0.13292964087358902</v>
      </c>
      <c r="W50" s="46">
        <v>5.5149804058362811E-2</v>
      </c>
      <c r="X50" s="46">
        <v>0.10976819477525303</v>
      </c>
    </row>
    <row r="51" spans="1:24" x14ac:dyDescent="0.25">
      <c r="A51" s="10">
        <v>84</v>
      </c>
      <c r="B51" s="11" t="s">
        <v>33</v>
      </c>
      <c r="C51" s="11" t="s">
        <v>69</v>
      </c>
      <c r="D51" s="11" t="s">
        <v>185</v>
      </c>
      <c r="E51" s="11" t="s">
        <v>181</v>
      </c>
      <c r="F51" s="11" t="s">
        <v>171</v>
      </c>
      <c r="G51" s="46">
        <v>0.53682928162333043</v>
      </c>
      <c r="H51" s="46">
        <v>0.23561477543717332</v>
      </c>
      <c r="I51" s="46">
        <v>1.1492070615106247E-3</v>
      </c>
      <c r="J51" s="46">
        <v>0.15813175464788815</v>
      </c>
      <c r="K51" s="46">
        <v>6.3108583526785583E-2</v>
      </c>
      <c r="L51" s="46">
        <v>5.1663977033118451E-3</v>
      </c>
      <c r="M51" s="46">
        <v>0.52026009196310197</v>
      </c>
      <c r="N51" s="46">
        <v>0.25889305763209119</v>
      </c>
      <c r="O51" s="46">
        <v>8.4205478292758611E-4</v>
      </c>
      <c r="P51" s="46">
        <v>0.15864340319896189</v>
      </c>
      <c r="Q51" s="46">
        <v>5.7137013738046208E-2</v>
      </c>
      <c r="R51" s="46">
        <v>4.2243786848712231E-3</v>
      </c>
      <c r="S51" s="46">
        <v>0.51561771561771563</v>
      </c>
      <c r="T51" s="46">
        <v>0.25767811036932847</v>
      </c>
      <c r="U51" s="46">
        <v>3.4998051995219134E-4</v>
      </c>
      <c r="V51" s="46">
        <v>0.14839438182214387</v>
      </c>
      <c r="W51" s="46">
        <v>6.6587425794224664E-2</v>
      </c>
      <c r="X51" s="46">
        <v>1.1372385876635168E-2</v>
      </c>
    </row>
    <row r="52" spans="1:24" x14ac:dyDescent="0.25">
      <c r="A52" s="10">
        <v>91</v>
      </c>
      <c r="B52" s="11" t="s">
        <v>52</v>
      </c>
      <c r="C52" s="11" t="s">
        <v>73</v>
      </c>
      <c r="D52" s="11" t="s">
        <v>187</v>
      </c>
      <c r="E52" s="11" t="s">
        <v>167</v>
      </c>
      <c r="F52" s="11" t="s">
        <v>168</v>
      </c>
      <c r="G52" s="46">
        <v>0.38844906938373808</v>
      </c>
      <c r="H52" s="46">
        <v>0.2673483466967706</v>
      </c>
      <c r="I52" s="46">
        <v>0</v>
      </c>
      <c r="J52" s="46">
        <v>0.28054051967850563</v>
      </c>
      <c r="K52" s="46">
        <v>6.3662064240985708E-2</v>
      </c>
      <c r="L52" s="46">
        <v>0</v>
      </c>
      <c r="M52" s="46">
        <v>0.40757172521555224</v>
      </c>
      <c r="N52" s="46">
        <v>0.29108637154444406</v>
      </c>
      <c r="O52" s="46">
        <v>0</v>
      </c>
      <c r="P52" s="46">
        <v>0.2419561127045125</v>
      </c>
      <c r="Q52" s="46">
        <v>5.9385790535491173E-2</v>
      </c>
      <c r="R52" s="46">
        <v>0</v>
      </c>
      <c r="S52" s="46">
        <v>0.43729796898482826</v>
      </c>
      <c r="T52" s="46">
        <v>0.28485848383332074</v>
      </c>
      <c r="U52" s="46">
        <v>8.1232210775547212E-3</v>
      </c>
      <c r="V52" s="46">
        <v>0.22475924200062131</v>
      </c>
      <c r="W52" s="46">
        <v>4.496108410367497E-2</v>
      </c>
      <c r="X52" s="46">
        <v>0</v>
      </c>
    </row>
    <row r="53" spans="1:24" x14ac:dyDescent="0.25">
      <c r="A53" s="10">
        <v>92</v>
      </c>
      <c r="B53" s="11" t="s">
        <v>5</v>
      </c>
      <c r="C53" s="11" t="s">
        <v>70</v>
      </c>
      <c r="D53" s="11" t="s">
        <v>180</v>
      </c>
      <c r="E53" s="11" t="s">
        <v>181</v>
      </c>
      <c r="F53" s="11" t="s">
        <v>171</v>
      </c>
      <c r="G53" s="46">
        <v>0.42533074114259301</v>
      </c>
      <c r="H53" s="46">
        <v>0.25955735112372608</v>
      </c>
      <c r="I53" s="46">
        <v>2.349154585028739E-3</v>
      </c>
      <c r="J53" s="46">
        <v>0.13480173951026717</v>
      </c>
      <c r="K53" s="46">
        <v>0.12242882366407594</v>
      </c>
      <c r="L53" s="46">
        <v>5.5532189974309067E-2</v>
      </c>
      <c r="M53" s="46">
        <v>0.40393975245648756</v>
      </c>
      <c r="N53" s="46">
        <v>0.2763993803703334</v>
      </c>
      <c r="O53" s="46">
        <v>2.9107014327921718E-3</v>
      </c>
      <c r="P53" s="46">
        <v>0.12157452961782741</v>
      </c>
      <c r="Q53" s="46">
        <v>0.13542470517686142</v>
      </c>
      <c r="R53" s="46">
        <v>5.9750930945698014E-2</v>
      </c>
      <c r="S53" s="46">
        <v>0.38428604754420254</v>
      </c>
      <c r="T53" s="46">
        <v>0.28902670937898939</v>
      </c>
      <c r="U53" s="46">
        <v>3.5668784883394972E-3</v>
      </c>
      <c r="V53" s="46">
        <v>0.12966859928971752</v>
      </c>
      <c r="W53" s="46">
        <v>0.14457393040365982</v>
      </c>
      <c r="X53" s="46">
        <v>4.8877834895091239E-2</v>
      </c>
    </row>
    <row r="54" spans="1:24" x14ac:dyDescent="0.25">
      <c r="A54" s="10">
        <v>96</v>
      </c>
      <c r="B54" s="11" t="s">
        <v>50</v>
      </c>
      <c r="C54" s="11" t="s">
        <v>76</v>
      </c>
      <c r="D54" s="11" t="s">
        <v>176</v>
      </c>
      <c r="E54" s="11" t="s">
        <v>170</v>
      </c>
      <c r="F54" s="11" t="s">
        <v>171</v>
      </c>
      <c r="G54" s="46">
        <v>0.48972995355875198</v>
      </c>
      <c r="H54" s="46">
        <v>0.29329900256489605</v>
      </c>
      <c r="I54" s="46">
        <v>3.1166405478239131E-4</v>
      </c>
      <c r="J54" s="46">
        <v>0.18054159063201725</v>
      </c>
      <c r="K54" s="46">
        <v>3.6117789189552316E-2</v>
      </c>
      <c r="L54" s="46">
        <v>0</v>
      </c>
      <c r="M54" s="46">
        <v>0.40494113994965247</v>
      </c>
      <c r="N54" s="46">
        <v>0.33937172292364925</v>
      </c>
      <c r="O54" s="46">
        <v>3.56507103464667E-4</v>
      </c>
      <c r="P54" s="46">
        <v>0.17939825481284591</v>
      </c>
      <c r="Q54" s="46">
        <v>7.593237521038769E-2</v>
      </c>
      <c r="R54" s="46">
        <v>0</v>
      </c>
      <c r="S54" s="46">
        <v>0.42896497715498466</v>
      </c>
      <c r="T54" s="46">
        <v>0.32341336039517704</v>
      </c>
      <c r="U54" s="46">
        <v>4.6454620439106216E-4</v>
      </c>
      <c r="V54" s="46">
        <v>0.17079892679400563</v>
      </c>
      <c r="W54" s="46">
        <v>7.635355557409107E-2</v>
      </c>
      <c r="X54" s="46">
        <v>4.6338773505342864E-6</v>
      </c>
    </row>
    <row r="55" spans="1:24" x14ac:dyDescent="0.25">
      <c r="A55" s="10">
        <v>108</v>
      </c>
      <c r="B55" s="11" t="s">
        <v>31</v>
      </c>
      <c r="C55" s="11" t="s">
        <v>72</v>
      </c>
      <c r="D55" s="11" t="s">
        <v>182</v>
      </c>
      <c r="E55" s="11" t="s">
        <v>181</v>
      </c>
      <c r="F55" s="11" t="s">
        <v>171</v>
      </c>
      <c r="G55" s="46">
        <v>0.4516092871035744</v>
      </c>
      <c r="H55" s="46">
        <v>0.12951310839612862</v>
      </c>
      <c r="I55" s="46">
        <v>7.1481813629005019E-4</v>
      </c>
      <c r="J55" s="46">
        <v>0.31014262878373183</v>
      </c>
      <c r="K55" s="46">
        <v>7.6431310490210916E-2</v>
      </c>
      <c r="L55" s="46">
        <v>3.1588847090064175E-2</v>
      </c>
      <c r="M55" s="46">
        <v>0.46041376019123176</v>
      </c>
      <c r="N55" s="46">
        <v>0.15510201617814207</v>
      </c>
      <c r="O55" s="46">
        <v>6.1890394703062815E-4</v>
      </c>
      <c r="P55" s="46">
        <v>0.30568990391187773</v>
      </c>
      <c r="Q55" s="46">
        <v>5.0244135059541541E-2</v>
      </c>
      <c r="R55" s="46">
        <v>2.7931280712176286E-2</v>
      </c>
      <c r="S55" s="46">
        <v>0.44404167737175509</v>
      </c>
      <c r="T55" s="46">
        <v>0.16907030894729738</v>
      </c>
      <c r="U55" s="46">
        <v>5.6858794232751534E-4</v>
      </c>
      <c r="V55" s="46">
        <v>0.31091496002154911</v>
      </c>
      <c r="W55" s="46">
        <v>4.8506025850222491E-2</v>
      </c>
      <c r="X55" s="46">
        <v>2.6898439866848398E-2</v>
      </c>
    </row>
    <row r="56" spans="1:24" x14ac:dyDescent="0.25">
      <c r="A56" s="10">
        <v>110</v>
      </c>
      <c r="B56" s="11" t="s">
        <v>44</v>
      </c>
      <c r="C56" s="11" t="s">
        <v>69</v>
      </c>
      <c r="D56" s="11" t="s">
        <v>180</v>
      </c>
      <c r="E56" s="11" t="s">
        <v>181</v>
      </c>
      <c r="F56" s="11" t="s">
        <v>171</v>
      </c>
      <c r="G56" s="46">
        <v>0.54723684431476249</v>
      </c>
      <c r="H56" s="46">
        <v>0.11910863830491587</v>
      </c>
      <c r="I56" s="46">
        <v>3.7990342088997033E-3</v>
      </c>
      <c r="J56" s="46">
        <v>0.2044793579944042</v>
      </c>
      <c r="K56" s="46">
        <v>3.3696337942124503E-2</v>
      </c>
      <c r="L56" s="46">
        <v>9.1679787234893229E-2</v>
      </c>
      <c r="M56" s="46">
        <v>0.57166784499882162</v>
      </c>
      <c r="N56" s="46">
        <v>0.11665151668181666</v>
      </c>
      <c r="O56" s="46">
        <v>3.450829882503451E-5</v>
      </c>
      <c r="P56" s="46">
        <v>0.24963387536612464</v>
      </c>
      <c r="Q56" s="46">
        <v>3.2762683903982764E-2</v>
      </c>
      <c r="R56" s="46">
        <v>2.9249570750429249E-2</v>
      </c>
      <c r="S56" s="46">
        <v>0.57140296803400381</v>
      </c>
      <c r="T56" s="46">
        <v>0.12959943120425829</v>
      </c>
      <c r="U56" s="46">
        <v>2.2768055687699277E-3</v>
      </c>
      <c r="V56" s="46">
        <v>0.23493580027834998</v>
      </c>
      <c r="W56" s="46">
        <v>3.1330968759749438E-2</v>
      </c>
      <c r="X56" s="46">
        <v>3.0454026154868506E-2</v>
      </c>
    </row>
    <row r="57" spans="1:24" x14ac:dyDescent="0.25">
      <c r="A57" s="10">
        <v>111</v>
      </c>
      <c r="B57" s="11" t="s">
        <v>7</v>
      </c>
      <c r="C57" s="11" t="s">
        <v>73</v>
      </c>
      <c r="D57" s="11" t="s">
        <v>183</v>
      </c>
      <c r="E57" s="11" t="s">
        <v>181</v>
      </c>
      <c r="F57" s="11" t="s">
        <v>171</v>
      </c>
      <c r="G57" s="46">
        <v>0.546648692625465</v>
      </c>
      <c r="H57" s="46">
        <v>9.3420254673206832E-2</v>
      </c>
      <c r="I57" s="46">
        <v>4.1977460482122064E-3</v>
      </c>
      <c r="J57" s="46">
        <v>0.28330704805335344</v>
      </c>
      <c r="K57" s="46">
        <v>3.6582615205442065E-2</v>
      </c>
      <c r="L57" s="46">
        <v>3.5843643394320446E-2</v>
      </c>
      <c r="M57" s="46">
        <v>0.56976098292972088</v>
      </c>
      <c r="N57" s="46">
        <v>0.10515590412787372</v>
      </c>
      <c r="O57" s="46">
        <v>4.6518376043575222E-3</v>
      </c>
      <c r="P57" s="46">
        <v>0.25313839444863578</v>
      </c>
      <c r="Q57" s="46">
        <v>3.8989711405334151E-2</v>
      </c>
      <c r="R57" s="46">
        <v>2.8303169484077965E-2</v>
      </c>
      <c r="S57" s="46">
        <v>0.56554733792973555</v>
      </c>
      <c r="T57" s="46">
        <v>9.9988455830640963E-2</v>
      </c>
      <c r="U57" s="46">
        <v>5.8814504945005706E-3</v>
      </c>
      <c r="V57" s="46">
        <v>0.26420730290229533</v>
      </c>
      <c r="W57" s="46">
        <v>3.3260118996082576E-2</v>
      </c>
      <c r="X57" s="46">
        <v>3.1115333846745075E-2</v>
      </c>
    </row>
    <row r="58" spans="1:24" x14ac:dyDescent="0.25">
      <c r="A58" s="10">
        <v>112</v>
      </c>
      <c r="B58" s="11" t="s">
        <v>3</v>
      </c>
      <c r="C58" s="11" t="s">
        <v>72</v>
      </c>
      <c r="D58" s="11" t="s">
        <v>183</v>
      </c>
      <c r="E58" s="11" t="s">
        <v>181</v>
      </c>
      <c r="F58" s="11" t="s">
        <v>171</v>
      </c>
      <c r="G58" s="46">
        <v>0.5249253258862947</v>
      </c>
      <c r="H58" s="46">
        <v>0.13136479936980167</v>
      </c>
      <c r="I58" s="46">
        <v>7.3028619069558977E-4</v>
      </c>
      <c r="J58" s="46">
        <v>0.28936989570175908</v>
      </c>
      <c r="K58" s="46">
        <v>2.8064302796087171E-2</v>
      </c>
      <c r="L58" s="46">
        <v>2.5545390055361755E-2</v>
      </c>
      <c r="M58" s="46">
        <v>0.52077244030845182</v>
      </c>
      <c r="N58" s="46">
        <v>0.13813487122354021</v>
      </c>
      <c r="O58" s="46">
        <v>9.8411866221028029E-4</v>
      </c>
      <c r="P58" s="46">
        <v>0.29426021801341284</v>
      </c>
      <c r="Q58" s="46">
        <v>2.0986521615658518E-2</v>
      </c>
      <c r="R58" s="46">
        <v>2.4861830176726305E-2</v>
      </c>
      <c r="S58" s="46">
        <v>0.52180092431545988</v>
      </c>
      <c r="T58" s="46">
        <v>0.13928241315907172</v>
      </c>
      <c r="U58" s="46">
        <v>2.6238632410674354E-4</v>
      </c>
      <c r="V58" s="46">
        <v>0.29001441137007405</v>
      </c>
      <c r="W58" s="46">
        <v>2.6084579834020773E-2</v>
      </c>
      <c r="X58" s="46">
        <v>2.2555284997266809E-2</v>
      </c>
    </row>
    <row r="59" spans="1:24" x14ac:dyDescent="0.25">
      <c r="A59" s="10">
        <v>113</v>
      </c>
      <c r="B59" s="11" t="s">
        <v>54</v>
      </c>
      <c r="C59" s="11" t="s">
        <v>72</v>
      </c>
      <c r="D59" s="11" t="s">
        <v>185</v>
      </c>
      <c r="E59" s="11" t="s">
        <v>181</v>
      </c>
      <c r="F59" s="11" t="s">
        <v>171</v>
      </c>
      <c r="G59" s="46">
        <v>0.59451927718468933</v>
      </c>
      <c r="H59" s="46">
        <v>0.11449834354037426</v>
      </c>
      <c r="I59" s="46">
        <v>2.3068573744335586E-3</v>
      </c>
      <c r="J59" s="46">
        <v>0.24948917562439601</v>
      </c>
      <c r="K59" s="46">
        <v>1.8923409879055303E-2</v>
      </c>
      <c r="L59" s="46">
        <v>2.0262936397051529E-2</v>
      </c>
      <c r="M59" s="46">
        <v>0.59699174620740536</v>
      </c>
      <c r="N59" s="46">
        <v>0.11883248028772998</v>
      </c>
      <c r="O59" s="46">
        <v>2.7758565038963436E-3</v>
      </c>
      <c r="P59" s="46">
        <v>0.24457877991423432</v>
      </c>
      <c r="Q59" s="46">
        <v>1.8367685710333381E-2</v>
      </c>
      <c r="R59" s="46">
        <v>1.8453451376400608E-2</v>
      </c>
      <c r="S59" s="46">
        <v>0.6005144956446572</v>
      </c>
      <c r="T59" s="46">
        <v>0.12305838154132588</v>
      </c>
      <c r="U59" s="46">
        <v>2.3596981182259459E-3</v>
      </c>
      <c r="V59" s="46">
        <v>0.23597064299487999</v>
      </c>
      <c r="W59" s="46">
        <v>1.5847130793270828E-2</v>
      </c>
      <c r="X59" s="46">
        <v>2.2249650907640136E-2</v>
      </c>
    </row>
    <row r="60" spans="1:24" x14ac:dyDescent="0.25">
      <c r="A60" s="10">
        <v>115</v>
      </c>
      <c r="B60" s="11" t="s">
        <v>19</v>
      </c>
      <c r="C60" s="11" t="s">
        <v>67</v>
      </c>
      <c r="D60" s="11" t="s">
        <v>191</v>
      </c>
      <c r="E60" s="11" t="s">
        <v>170</v>
      </c>
      <c r="F60" s="11" t="s">
        <v>168</v>
      </c>
      <c r="G60" s="46">
        <v>0.54736782289439001</v>
      </c>
      <c r="H60" s="46">
        <v>0.1143624577796935</v>
      </c>
      <c r="I60" s="46">
        <v>0</v>
      </c>
      <c r="J60" s="46">
        <v>0.28757070212179131</v>
      </c>
      <c r="K60" s="46">
        <v>2.2369659313137807E-2</v>
      </c>
      <c r="L60" s="46">
        <v>2.8329357890987412E-2</v>
      </c>
      <c r="M60" s="46">
        <v>0.58342206325495816</v>
      </c>
      <c r="N60" s="46">
        <v>0.10958231466214574</v>
      </c>
      <c r="O60" s="46">
        <v>0</v>
      </c>
      <c r="P60" s="46">
        <v>0.26252254859901486</v>
      </c>
      <c r="Q60" s="46">
        <v>1.7135643067953336E-2</v>
      </c>
      <c r="R60" s="46">
        <v>2.7337430415927969E-2</v>
      </c>
      <c r="S60" s="46">
        <v>0.58009940079327715</v>
      </c>
      <c r="T60" s="46">
        <v>0.1070039893525398</v>
      </c>
      <c r="U60" s="46">
        <v>0</v>
      </c>
      <c r="V60" s="46">
        <v>0.26166087517713232</v>
      </c>
      <c r="W60" s="46">
        <v>1.9697571708439651E-2</v>
      </c>
      <c r="X60" s="46">
        <v>3.1538162968611123E-2</v>
      </c>
    </row>
    <row r="61" spans="1:24" x14ac:dyDescent="0.25">
      <c r="A61" s="10">
        <v>116</v>
      </c>
      <c r="B61" s="11" t="s">
        <v>57</v>
      </c>
      <c r="C61" s="11" t="s">
        <v>77</v>
      </c>
      <c r="D61" s="11" t="s">
        <v>186</v>
      </c>
      <c r="E61" s="11" t="s">
        <v>170</v>
      </c>
      <c r="F61" s="11" t="s">
        <v>171</v>
      </c>
      <c r="G61" s="46">
        <v>0.50483070119528184</v>
      </c>
      <c r="H61" s="46">
        <v>0.21378154434503435</v>
      </c>
      <c r="I61" s="46">
        <v>3.100336000881314E-4</v>
      </c>
      <c r="J61" s="46">
        <v>0.21396882352478303</v>
      </c>
      <c r="K61" s="46">
        <v>4.2570603463877935E-2</v>
      </c>
      <c r="L61" s="46">
        <v>2.4538293870934744E-2</v>
      </c>
      <c r="M61" s="46">
        <v>0.48265863606042653</v>
      </c>
      <c r="N61" s="46">
        <v>0.22538326197614397</v>
      </c>
      <c r="O61" s="46">
        <v>5.8796931218036634E-4</v>
      </c>
      <c r="P61" s="46">
        <v>0.22309704627497565</v>
      </c>
      <c r="Q61" s="46">
        <v>4.1241421094966001E-2</v>
      </c>
      <c r="R61" s="46">
        <v>2.7031665281307501E-2</v>
      </c>
      <c r="S61" s="46">
        <v>0.47953681159176509</v>
      </c>
      <c r="T61" s="46">
        <v>0.23472427225565354</v>
      </c>
      <c r="U61" s="46">
        <v>6.3218124958824113E-4</v>
      </c>
      <c r="V61" s="46">
        <v>0.21054298902583812</v>
      </c>
      <c r="W61" s="46">
        <v>4.9828778404352098E-2</v>
      </c>
      <c r="X61" s="46">
        <v>2.4734967472802891E-2</v>
      </c>
    </row>
    <row r="62" spans="1:24" x14ac:dyDescent="0.25">
      <c r="A62" s="10">
        <v>118</v>
      </c>
      <c r="B62" s="11" t="s">
        <v>22</v>
      </c>
      <c r="C62" s="11" t="s">
        <v>73</v>
      </c>
      <c r="D62" s="11" t="s">
        <v>178</v>
      </c>
      <c r="E62" s="11" t="s">
        <v>170</v>
      </c>
      <c r="F62" s="11" t="s">
        <v>171</v>
      </c>
      <c r="G62" s="46">
        <v>0.15777948019833812</v>
      </c>
      <c r="H62" s="46">
        <v>0.13271256221030528</v>
      </c>
      <c r="I62" s="46">
        <v>9.7552372396536612E-4</v>
      </c>
      <c r="J62" s="46">
        <v>0.50733847366361517</v>
      </c>
      <c r="K62" s="46">
        <v>3.4799190921566789E-2</v>
      </c>
      <c r="L62" s="46">
        <v>0.16639476928220928</v>
      </c>
      <c r="M62" s="46">
        <v>0.17286796573729651</v>
      </c>
      <c r="N62" s="46">
        <v>0.12093812920178822</v>
      </c>
      <c r="O62" s="46">
        <v>6.9446814319352968E-4</v>
      </c>
      <c r="P62" s="46">
        <v>0.50743353922806533</v>
      </c>
      <c r="Q62" s="46">
        <v>2.557417329283691E-2</v>
      </c>
      <c r="R62" s="46">
        <v>0.17249172439681945</v>
      </c>
      <c r="S62" s="46">
        <v>0.13914293374642517</v>
      </c>
      <c r="T62" s="46">
        <v>9.9246306005719737E-2</v>
      </c>
      <c r="U62" s="46">
        <v>6.6879170638703531E-4</v>
      </c>
      <c r="V62" s="46">
        <v>0.53342841396568164</v>
      </c>
      <c r="W62" s="46">
        <v>2.0602955195424214E-2</v>
      </c>
      <c r="X62" s="46">
        <v>0.20691059938036224</v>
      </c>
    </row>
    <row r="63" spans="1:24" x14ac:dyDescent="0.25">
      <c r="A63" s="10">
        <v>119</v>
      </c>
      <c r="B63" s="11" t="s">
        <v>61</v>
      </c>
      <c r="C63" s="11" t="s">
        <v>73</v>
      </c>
      <c r="D63" s="11" t="s">
        <v>176</v>
      </c>
      <c r="E63" s="11" t="s">
        <v>170</v>
      </c>
      <c r="F63" s="11" t="s">
        <v>171</v>
      </c>
      <c r="G63" s="46">
        <v>0.24489242110575341</v>
      </c>
      <c r="H63" s="46">
        <v>0.4288421021297717</v>
      </c>
      <c r="I63" s="46">
        <v>1.9999383888831394E-3</v>
      </c>
      <c r="J63" s="46">
        <v>0.13280587756209655</v>
      </c>
      <c r="K63" s="46">
        <v>0.12789498696647975</v>
      </c>
      <c r="L63" s="46">
        <v>6.3564673847015446E-2</v>
      </c>
      <c r="M63" s="46">
        <v>0.25410519736267284</v>
      </c>
      <c r="N63" s="46">
        <v>0.41179168879001526</v>
      </c>
      <c r="O63" s="46">
        <v>8.5356919623354188E-4</v>
      </c>
      <c r="P63" s="46">
        <v>0.14411608541068777</v>
      </c>
      <c r="Q63" s="46">
        <v>0.12822222371578162</v>
      </c>
      <c r="R63" s="46">
        <v>6.0911235524609003E-2</v>
      </c>
      <c r="S63" s="46">
        <v>0.25257464981741451</v>
      </c>
      <c r="T63" s="46">
        <v>0.40474550933171383</v>
      </c>
      <c r="U63" s="46">
        <v>4.7589015284233804E-4</v>
      </c>
      <c r="V63" s="46">
        <v>0.14454042185419635</v>
      </c>
      <c r="W63" s="46">
        <v>0.1463589575887817</v>
      </c>
      <c r="X63" s="46">
        <v>5.1304571255051272E-2</v>
      </c>
    </row>
    <row r="64" spans="1:24" x14ac:dyDescent="0.25">
      <c r="A64" s="10">
        <v>221</v>
      </c>
      <c r="B64" s="11" t="s">
        <v>64</v>
      </c>
      <c r="C64" s="11" t="s">
        <v>74</v>
      </c>
      <c r="D64" s="11" t="s">
        <v>173</v>
      </c>
      <c r="E64" s="11" t="s">
        <v>167</v>
      </c>
      <c r="F64" s="11" t="s">
        <v>171</v>
      </c>
      <c r="G64" s="46">
        <v>0.37910220816604334</v>
      </c>
      <c r="H64" s="46">
        <v>0.17661184608020938</v>
      </c>
      <c r="I64" s="46">
        <v>1.1876401458298234E-2</v>
      </c>
      <c r="J64" s="46">
        <v>0.38057732948205503</v>
      </c>
      <c r="K64" s="46">
        <v>1.5340517302341808E-2</v>
      </c>
      <c r="L64" s="46">
        <v>3.6491697511052246E-2</v>
      </c>
      <c r="M64" s="46">
        <v>0.3842335082540298</v>
      </c>
      <c r="N64" s="46">
        <v>0.18713141124344962</v>
      </c>
      <c r="O64" s="46">
        <v>1.1933821224621942E-2</v>
      </c>
      <c r="P64" s="46">
        <v>0.37140146211691211</v>
      </c>
      <c r="Q64" s="46">
        <v>1.2242922328845567E-2</v>
      </c>
      <c r="R64" s="46">
        <v>3.3056874832140926E-2</v>
      </c>
      <c r="S64" s="46">
        <v>0.35558262702960025</v>
      </c>
      <c r="T64" s="46">
        <v>0.19040729470071796</v>
      </c>
      <c r="U64" s="46">
        <v>1.4093955190878835E-2</v>
      </c>
      <c r="V64" s="46">
        <v>0.39289465380985777</v>
      </c>
      <c r="W64" s="46">
        <v>1.3587766008156022E-2</v>
      </c>
      <c r="X64" s="46">
        <v>3.3433703260789115E-2</v>
      </c>
    </row>
    <row r="65" spans="1:24" x14ac:dyDescent="0.25">
      <c r="A65" s="10">
        <v>224</v>
      </c>
      <c r="B65" s="11" t="s">
        <v>63</v>
      </c>
      <c r="C65" s="11" t="s">
        <v>74</v>
      </c>
      <c r="D65" s="11" t="s">
        <v>172</v>
      </c>
      <c r="E65" s="11" t="s">
        <v>167</v>
      </c>
      <c r="F65" s="11" t="s">
        <v>171</v>
      </c>
      <c r="G65" s="46">
        <v>0.58028667005800627</v>
      </c>
      <c r="H65" s="46">
        <v>0.10423695757290331</v>
      </c>
      <c r="I65" s="46">
        <v>8.7827307713739776E-3</v>
      </c>
      <c r="J65" s="46">
        <v>0.27383659375286479</v>
      </c>
      <c r="K65" s="46">
        <v>1.0079648546966758E-2</v>
      </c>
      <c r="L65" s="46">
        <v>2.2777399297884846E-2</v>
      </c>
      <c r="M65" s="46">
        <v>0.55517549848519021</v>
      </c>
      <c r="N65" s="46">
        <v>0.10515126762452225</v>
      </c>
      <c r="O65" s="46">
        <v>1.1420507537474017E-2</v>
      </c>
      <c r="P65" s="46">
        <v>0.29536352386815973</v>
      </c>
      <c r="Q65" s="46">
        <v>9.3776478692082152E-3</v>
      </c>
      <c r="R65" s="46">
        <v>2.3511554615445573E-2</v>
      </c>
      <c r="S65" s="46">
        <v>0.56250459804093356</v>
      </c>
      <c r="T65" s="46">
        <v>0.10632208892176442</v>
      </c>
      <c r="U65" s="46">
        <v>1.2071278663351172E-2</v>
      </c>
      <c r="V65" s="46">
        <v>0.28863992958810919</v>
      </c>
      <c r="W65" s="46">
        <v>6.7221686434341312E-3</v>
      </c>
      <c r="X65" s="46">
        <v>2.3739936142407513E-2</v>
      </c>
    </row>
    <row r="66" spans="1:24" x14ac:dyDescent="0.25">
      <c r="A66" s="10">
        <v>324</v>
      </c>
      <c r="B66" s="11" t="s">
        <v>25</v>
      </c>
      <c r="C66" s="11" t="s">
        <v>80</v>
      </c>
      <c r="D66" s="11" t="s">
        <v>175</v>
      </c>
      <c r="E66" s="11" t="s">
        <v>167</v>
      </c>
      <c r="F66" s="11" t="s">
        <v>168</v>
      </c>
      <c r="G66" s="46">
        <v>0.41749271320874209</v>
      </c>
      <c r="H66" s="46">
        <v>0.27662736085955986</v>
      </c>
      <c r="I66" s="46">
        <v>1.3519582111360999E-2</v>
      </c>
      <c r="J66" s="46">
        <v>0.24590550120647012</v>
      </c>
      <c r="K66" s="46">
        <v>2.3520424410829539E-2</v>
      </c>
      <c r="L66" s="46">
        <v>2.2934418203037411E-2</v>
      </c>
      <c r="M66" s="46">
        <v>0.42081907383674727</v>
      </c>
      <c r="N66" s="46">
        <v>0.28794532586827803</v>
      </c>
      <c r="O66" s="46">
        <v>1.3711937883484997E-2</v>
      </c>
      <c r="P66" s="46">
        <v>0.23517743228827331</v>
      </c>
      <c r="Q66" s="46">
        <v>2.2326254895362739E-2</v>
      </c>
      <c r="R66" s="46">
        <v>2.0019975227853631E-2</v>
      </c>
      <c r="S66" s="46">
        <v>0.43193133984651461</v>
      </c>
      <c r="T66" s="46">
        <v>0.29018539145852057</v>
      </c>
      <c r="U66" s="46">
        <v>1.5929578804701403E-2</v>
      </c>
      <c r="V66" s="46">
        <v>0.21697929282738079</v>
      </c>
      <c r="W66" s="46">
        <v>2.4209205624241968E-2</v>
      </c>
      <c r="X66" s="46">
        <v>2.0765191438640619E-2</v>
      </c>
    </row>
    <row r="67" spans="1:24" x14ac:dyDescent="0.25">
      <c r="A67" s="10">
        <v>391</v>
      </c>
      <c r="B67" s="11" t="s">
        <v>42</v>
      </c>
      <c r="C67" s="11" t="s">
        <v>72</v>
      </c>
      <c r="D67" s="11" t="s">
        <v>182</v>
      </c>
      <c r="E67" s="11" t="s">
        <v>181</v>
      </c>
      <c r="F67" s="11" t="s">
        <v>171</v>
      </c>
      <c r="G67" s="46">
        <v>0.28571306038426347</v>
      </c>
      <c r="H67" s="46">
        <v>0.34297661253430922</v>
      </c>
      <c r="I67" s="46">
        <v>2.3015782250686184E-4</v>
      </c>
      <c r="J67" s="46">
        <v>0.26857416514181154</v>
      </c>
      <c r="K67" s="46">
        <v>8.1112763037511443E-2</v>
      </c>
      <c r="L67" s="46">
        <v>2.1393241079597437E-2</v>
      </c>
      <c r="M67" s="46">
        <v>0.26618825401993235</v>
      </c>
      <c r="N67" s="46">
        <v>0.36717040172192378</v>
      </c>
      <c r="O67" s="46">
        <v>5.7427605042776784E-4</v>
      </c>
      <c r="P67" s="46">
        <v>0.27664128396669502</v>
      </c>
      <c r="Q67" s="46">
        <v>6.8516709775052601E-2</v>
      </c>
      <c r="R67" s="46">
        <v>2.0909074465968493E-2</v>
      </c>
      <c r="S67" s="46">
        <v>0.26874024717044487</v>
      </c>
      <c r="T67" s="46">
        <v>0.37140486834914638</v>
      </c>
      <c r="U67" s="46">
        <v>9.2837061081518844E-4</v>
      </c>
      <c r="V67" s="46">
        <v>0.2717571224461578</v>
      </c>
      <c r="W67" s="46">
        <v>6.6256691181796029E-2</v>
      </c>
      <c r="X67" s="46">
        <v>2.0912700241639725E-2</v>
      </c>
    </row>
    <row r="68" spans="1:24" x14ac:dyDescent="0.25">
      <c r="A68" s="10">
        <v>392</v>
      </c>
      <c r="B68" s="11" t="s">
        <v>41</v>
      </c>
      <c r="C68" s="11" t="s">
        <v>72</v>
      </c>
      <c r="D68" s="11" t="s">
        <v>182</v>
      </c>
      <c r="E68" s="11" t="s">
        <v>181</v>
      </c>
      <c r="F68" s="11" t="s">
        <v>171</v>
      </c>
      <c r="G68" s="46">
        <v>0.5196117524307009</v>
      </c>
      <c r="H68" s="46">
        <v>0.11149158309574603</v>
      </c>
      <c r="I68" s="46">
        <v>3.7881053492035008E-4</v>
      </c>
      <c r="J68" s="46">
        <v>0.31433299439759155</v>
      </c>
      <c r="K68" s="46">
        <v>3.32190255929714E-2</v>
      </c>
      <c r="L68" s="46">
        <v>2.0965833948069727E-2</v>
      </c>
      <c r="M68" s="46">
        <v>0.51804109880853455</v>
      </c>
      <c r="N68" s="46">
        <v>0.11741633967903448</v>
      </c>
      <c r="O68" s="46">
        <v>1.287894925986695E-3</v>
      </c>
      <c r="P68" s="46">
        <v>0.31040381685223517</v>
      </c>
      <c r="Q68" s="46">
        <v>2.8789004759682383E-2</v>
      </c>
      <c r="R68" s="46">
        <v>2.4061844974526674E-2</v>
      </c>
      <c r="S68" s="46">
        <v>0.52109516838305303</v>
      </c>
      <c r="T68" s="46">
        <v>0.1314255498975512</v>
      </c>
      <c r="U68" s="46">
        <v>1.0251910103826957E-3</v>
      </c>
      <c r="V68" s="46">
        <v>0.30021502291562074</v>
      </c>
      <c r="W68" s="46">
        <v>2.4047690367001506E-2</v>
      </c>
      <c r="X68" s="46">
        <v>2.2191377426390862E-2</v>
      </c>
    </row>
    <row r="69" spans="1:24" x14ac:dyDescent="0.25">
      <c r="A69" s="10">
        <v>502</v>
      </c>
      <c r="B69" s="11" t="s">
        <v>49</v>
      </c>
      <c r="C69" s="11" t="s">
        <v>76</v>
      </c>
      <c r="D69" s="11" t="s">
        <v>184</v>
      </c>
      <c r="E69" s="11" t="s">
        <v>170</v>
      </c>
      <c r="F69" s="11" t="s">
        <v>171</v>
      </c>
      <c r="G69" s="46">
        <v>0.43570257582494321</v>
      </c>
      <c r="H69" s="46">
        <v>0.13764283239816585</v>
      </c>
      <c r="I69" s="46">
        <v>1.8087784812370944E-2</v>
      </c>
      <c r="J69" s="46">
        <v>0.34655933835423253</v>
      </c>
      <c r="K69" s="46">
        <v>5.5016216540598635E-2</v>
      </c>
      <c r="L69" s="46">
        <v>6.991252069688844E-3</v>
      </c>
      <c r="M69" s="46">
        <v>0.52306874752467802</v>
      </c>
      <c r="N69" s="46">
        <v>0.22311737663496584</v>
      </c>
      <c r="O69" s="46">
        <v>1.3360472053301515E-3</v>
      </c>
      <c r="P69" s="46">
        <v>0.16420095353162648</v>
      </c>
      <c r="Q69" s="46">
        <v>8.0210458768029111E-2</v>
      </c>
      <c r="R69" s="46">
        <v>8.0664163353704084E-3</v>
      </c>
      <c r="S69" s="46">
        <v>0.51168777247249331</v>
      </c>
      <c r="T69" s="46">
        <v>0.18049356445920697</v>
      </c>
      <c r="U69" s="46">
        <v>9.6273614282748601E-4</v>
      </c>
      <c r="V69" s="46">
        <v>0.2389921112725763</v>
      </c>
      <c r="W69" s="46">
        <v>6.3421216524807977E-2</v>
      </c>
      <c r="X69" s="46">
        <v>4.4425991280880213E-3</v>
      </c>
    </row>
    <row r="70" spans="1:24" x14ac:dyDescent="0.25">
      <c r="A70" s="10">
        <v>641</v>
      </c>
      <c r="B70" s="11" t="s">
        <v>1</v>
      </c>
      <c r="C70" s="11" t="s">
        <v>68</v>
      </c>
      <c r="D70" s="11" t="s">
        <v>166</v>
      </c>
      <c r="E70" s="11" t="s">
        <v>167</v>
      </c>
      <c r="F70" s="11" t="s">
        <v>168</v>
      </c>
      <c r="G70" s="46">
        <v>0.50452854365003541</v>
      </c>
      <c r="H70" s="46">
        <v>0.17681349683597658</v>
      </c>
      <c r="I70" s="46">
        <v>1.7793613505827872E-2</v>
      </c>
      <c r="J70" s="46">
        <v>0.24355854286324449</v>
      </c>
      <c r="K70" s="46">
        <v>3.0259528599849386E-2</v>
      </c>
      <c r="L70" s="46">
        <v>2.7046274545066258E-2</v>
      </c>
      <c r="M70" s="46">
        <v>0.51333870835982365</v>
      </c>
      <c r="N70" s="46">
        <v>0.17154118821235381</v>
      </c>
      <c r="O70" s="46">
        <v>1.8758724058689606E-2</v>
      </c>
      <c r="P70" s="46">
        <v>0.2433732671755183</v>
      </c>
      <c r="Q70" s="46">
        <v>2.926622008957588E-2</v>
      </c>
      <c r="R70" s="46">
        <v>2.3721892104038727E-2</v>
      </c>
      <c r="S70" s="46">
        <v>0.51333895711336364</v>
      </c>
      <c r="T70" s="46">
        <v>0.17154094445038034</v>
      </c>
      <c r="U70" s="46">
        <v>1.875881049297401E-2</v>
      </c>
      <c r="V70" s="46">
        <v>0.24337425078497399</v>
      </c>
      <c r="W70" s="46">
        <v>2.9265484926086643E-2</v>
      </c>
      <c r="X70" s="46">
        <v>2.3721552232221329E-2</v>
      </c>
    </row>
    <row r="71" spans="1:24" x14ac:dyDescent="0.25">
      <c r="A71" s="10">
        <v>642</v>
      </c>
      <c r="B71" s="11" t="s">
        <v>0</v>
      </c>
      <c r="C71" s="11" t="s">
        <v>68</v>
      </c>
      <c r="D71" s="11" t="s">
        <v>166</v>
      </c>
      <c r="E71" s="11" t="s">
        <v>167</v>
      </c>
      <c r="F71" s="11" t="s">
        <v>168</v>
      </c>
      <c r="G71" s="46">
        <v>0.39917987141193745</v>
      </c>
      <c r="H71" s="46">
        <v>0.27037243287939383</v>
      </c>
      <c r="I71" s="46">
        <v>1.5672724818171078E-2</v>
      </c>
      <c r="J71" s="46">
        <v>0.18815144816258572</v>
      </c>
      <c r="K71" s="46">
        <v>6.4945127884934492E-2</v>
      </c>
      <c r="L71" s="46">
        <v>6.1678394842977435E-2</v>
      </c>
      <c r="M71" s="46">
        <v>0.40421352159348772</v>
      </c>
      <c r="N71" s="46">
        <v>0.2722566005114721</v>
      </c>
      <c r="O71" s="46">
        <v>1.5167669200014408E-2</v>
      </c>
      <c r="P71" s="46">
        <v>0.18201347116666067</v>
      </c>
      <c r="Q71" s="46">
        <v>6.3988762021395376E-2</v>
      </c>
      <c r="R71" s="46">
        <v>6.2359975506969707E-2</v>
      </c>
      <c r="S71" s="46">
        <v>0.40421449108803748</v>
      </c>
      <c r="T71" s="46">
        <v>0.27225648779826256</v>
      </c>
      <c r="U71" s="46">
        <v>1.5168197257868441E-2</v>
      </c>
      <c r="V71" s="46">
        <v>0.18201347367655765</v>
      </c>
      <c r="W71" s="46">
        <v>6.398842916393159E-2</v>
      </c>
      <c r="X71" s="46">
        <v>6.235892101534226E-2</v>
      </c>
    </row>
    <row r="72" spans="1:24" x14ac:dyDescent="0.25">
      <c r="A72" s="10">
        <v>861</v>
      </c>
      <c r="B72" s="11" t="s">
        <v>28</v>
      </c>
      <c r="C72" s="11" t="s">
        <v>79</v>
      </c>
      <c r="D72" s="11" t="s">
        <v>177</v>
      </c>
      <c r="E72" s="11" t="s">
        <v>167</v>
      </c>
      <c r="F72" s="11" t="s">
        <v>171</v>
      </c>
      <c r="G72" s="46">
        <v>0.53883374820690233</v>
      </c>
      <c r="H72" s="46">
        <v>0.16017899333389587</v>
      </c>
      <c r="I72" s="46">
        <v>1.9971943295924396E-3</v>
      </c>
      <c r="J72" s="46">
        <v>0.25072514977639015</v>
      </c>
      <c r="K72" s="46">
        <v>1.6801852164374315E-2</v>
      </c>
      <c r="L72" s="46">
        <v>3.1463062188844822E-2</v>
      </c>
      <c r="M72" s="46">
        <v>0.54696455685476197</v>
      </c>
      <c r="N72" s="46">
        <v>0.15875565207366688</v>
      </c>
      <c r="O72" s="46">
        <v>1.9312380714026011E-3</v>
      </c>
      <c r="P72" s="46">
        <v>0.25235123308565532</v>
      </c>
      <c r="Q72" s="46">
        <v>1.2849630453653735E-2</v>
      </c>
      <c r="R72" s="46">
        <v>2.7147689460859419E-2</v>
      </c>
      <c r="S72" s="46">
        <v>0.56064009039467244</v>
      </c>
      <c r="T72" s="46">
        <v>0.1589696159120042</v>
      </c>
      <c r="U72" s="46">
        <v>2.1605756504315689E-3</v>
      </c>
      <c r="V72" s="46">
        <v>0.23779289651180224</v>
      </c>
      <c r="W72" s="46">
        <v>1.194820178743947E-2</v>
      </c>
      <c r="X72" s="46">
        <v>2.8488619743650082E-2</v>
      </c>
    </row>
    <row r="73" spans="1:24" x14ac:dyDescent="0.25">
      <c r="A73" s="10">
        <v>862</v>
      </c>
      <c r="B73" s="11" t="s">
        <v>26</v>
      </c>
      <c r="C73" s="11" t="s">
        <v>79</v>
      </c>
      <c r="D73" s="11" t="s">
        <v>173</v>
      </c>
      <c r="E73" s="11" t="s">
        <v>167</v>
      </c>
      <c r="F73" s="11" t="s">
        <v>171</v>
      </c>
      <c r="G73" s="46">
        <v>0.46763288755280152</v>
      </c>
      <c r="H73" s="46">
        <v>0.16246333846248295</v>
      </c>
      <c r="I73" s="46">
        <v>2.9081684183009642E-3</v>
      </c>
      <c r="J73" s="46">
        <v>0.23037110090562166</v>
      </c>
      <c r="K73" s="46">
        <v>5.4693766003837949E-2</v>
      </c>
      <c r="L73" s="46">
        <v>8.1930738656954952E-2</v>
      </c>
      <c r="M73" s="46">
        <v>0.48592837153385016</v>
      </c>
      <c r="N73" s="46">
        <v>0.20975597796773612</v>
      </c>
      <c r="O73" s="46">
        <v>3.5249442928046463E-3</v>
      </c>
      <c r="P73" s="46">
        <v>0.24433439208785301</v>
      </c>
      <c r="Q73" s="46">
        <v>2.5365615357933486E-2</v>
      </c>
      <c r="R73" s="46">
        <v>3.1090698759822535E-2</v>
      </c>
      <c r="S73" s="46">
        <v>0.48969726519986417</v>
      </c>
      <c r="T73" s="46">
        <v>0.21125003265043141</v>
      </c>
      <c r="U73" s="46">
        <v>2.5023290641080337E-3</v>
      </c>
      <c r="V73" s="46">
        <v>0.23910738073885748</v>
      </c>
      <c r="W73" s="46">
        <v>2.389053834031327E-2</v>
      </c>
      <c r="X73" s="46">
        <v>3.3552454006425605E-2</v>
      </c>
    </row>
    <row r="74" spans="1:24" x14ac:dyDescent="0.25">
      <c r="A74" s="10">
        <v>863</v>
      </c>
      <c r="B74" s="11" t="s">
        <v>27</v>
      </c>
      <c r="C74" s="11" t="s">
        <v>79</v>
      </c>
      <c r="D74" s="11" t="s">
        <v>173</v>
      </c>
      <c r="E74" s="11" t="s">
        <v>167</v>
      </c>
      <c r="F74" s="11" t="s">
        <v>171</v>
      </c>
      <c r="G74" s="46">
        <v>0.52170594115467694</v>
      </c>
      <c r="H74" s="46">
        <v>0.21290430819346676</v>
      </c>
      <c r="I74" s="46">
        <v>1.0639413364277575E-3</v>
      </c>
      <c r="J74" s="46">
        <v>0.20120095349276143</v>
      </c>
      <c r="K74" s="46">
        <v>4.2519905209957146E-2</v>
      </c>
      <c r="L74" s="46">
        <v>2.0604950612709973E-2</v>
      </c>
      <c r="M74" s="46">
        <v>0.49882036844309369</v>
      </c>
      <c r="N74" s="46">
        <v>0.23705687800522715</v>
      </c>
      <c r="O74" s="46">
        <v>1.4954438717898748E-3</v>
      </c>
      <c r="P74" s="46">
        <v>0.20536231343232011</v>
      </c>
      <c r="Q74" s="46">
        <v>3.7416503232066078E-2</v>
      </c>
      <c r="R74" s="46">
        <v>1.9848493015503135E-2</v>
      </c>
      <c r="S74" s="46">
        <v>0.50479406023444751</v>
      </c>
      <c r="T74" s="46">
        <v>0.24118124711168257</v>
      </c>
      <c r="U74" s="46">
        <v>1.3470310648105628E-3</v>
      </c>
      <c r="V74" s="46">
        <v>0.20096566382827977</v>
      </c>
      <c r="W74" s="46">
        <v>3.115373793831356E-2</v>
      </c>
      <c r="X74" s="46">
        <v>2.0558259822465969E-2</v>
      </c>
    </row>
    <row r="75" spans="1:24" x14ac:dyDescent="0.25">
      <c r="A75" s="10">
        <v>1069</v>
      </c>
      <c r="B75" s="11" t="s">
        <v>121</v>
      </c>
      <c r="C75" s="11" t="s">
        <v>80</v>
      </c>
      <c r="D75" s="11" t="s">
        <v>177</v>
      </c>
      <c r="E75" s="11" t="s">
        <v>167</v>
      </c>
      <c r="F75" s="11" t="s">
        <v>171</v>
      </c>
      <c r="G75" s="46">
        <v>0.47891511501551065</v>
      </c>
      <c r="H75" s="46">
        <v>0.16410763439147696</v>
      </c>
      <c r="I75" s="46">
        <v>9.6094081433321168E-3</v>
      </c>
      <c r="J75" s="46">
        <v>0.31633035617388267</v>
      </c>
      <c r="K75" s="46">
        <v>1.0443783271060573E-2</v>
      </c>
      <c r="L75" s="46">
        <v>2.0593703004737052E-2</v>
      </c>
      <c r="M75" s="46">
        <v>0.5031472773681579</v>
      </c>
      <c r="N75" s="46">
        <v>0.16656067673945057</v>
      </c>
      <c r="O75" s="46">
        <v>1.0964969705584922E-2</v>
      </c>
      <c r="P75" s="46">
        <v>0.29074658057790698</v>
      </c>
      <c r="Q75" s="46">
        <v>1.0052832861366422E-2</v>
      </c>
      <c r="R75" s="46">
        <v>1.852766274753324E-2</v>
      </c>
      <c r="S75" s="46">
        <v>0.5159965724660428</v>
      </c>
      <c r="T75" s="46">
        <v>0.15776610757139989</v>
      </c>
      <c r="U75" s="46">
        <v>1.3783663784936385E-2</v>
      </c>
      <c r="V75" s="46">
        <v>0.2843563617236084</v>
      </c>
      <c r="W75" s="46">
        <v>1.0461331365046506E-2</v>
      </c>
      <c r="X75" s="46">
        <v>1.7635963088965999E-2</v>
      </c>
    </row>
    <row r="76" spans="1:24" x14ac:dyDescent="0.25">
      <c r="A76" s="18">
        <v>1169</v>
      </c>
      <c r="B76" s="19" t="s">
        <v>252</v>
      </c>
      <c r="C76" s="19" t="s">
        <v>80</v>
      </c>
      <c r="D76" s="11" t="s">
        <v>187</v>
      </c>
      <c r="E76" s="11" t="s">
        <v>167</v>
      </c>
      <c r="F76" s="11" t="s">
        <v>168</v>
      </c>
      <c r="G76" s="47"/>
      <c r="H76" s="47"/>
      <c r="I76" s="47"/>
      <c r="J76" s="47"/>
      <c r="K76" s="47"/>
      <c r="L76" s="47"/>
      <c r="M76" s="47"/>
      <c r="N76" s="47"/>
      <c r="O76" s="47"/>
      <c r="P76" s="47"/>
      <c r="Q76" s="47"/>
      <c r="R76" s="47"/>
      <c r="S76" s="47">
        <v>0.53933022566363054</v>
      </c>
      <c r="T76" s="47">
        <v>0.26804626396988551</v>
      </c>
      <c r="U76" s="47">
        <v>4.8760507889450177E-3</v>
      </c>
      <c r="V76" s="47">
        <v>0.15786702034288388</v>
      </c>
      <c r="W76" s="47">
        <v>2.9724405609408828E-2</v>
      </c>
      <c r="X76" s="47">
        <v>1.5603362524624055E-4</v>
      </c>
    </row>
    <row r="77" spans="1:24" x14ac:dyDescent="0.25">
      <c r="A77" s="4"/>
      <c r="B77" s="2"/>
      <c r="C77" s="2"/>
      <c r="D77" s="2"/>
      <c r="E77" s="2"/>
      <c r="F77" s="2"/>
      <c r="G77" s="5"/>
      <c r="H77" s="5"/>
      <c r="I77" s="5"/>
      <c r="J77" s="5"/>
      <c r="K77" s="5"/>
      <c r="L77" s="5"/>
      <c r="M77" s="5"/>
      <c r="N77" s="5"/>
      <c r="O77" s="5"/>
      <c r="P77" s="5"/>
      <c r="Q77" s="5"/>
      <c r="R77" s="5"/>
      <c r="S77" s="5"/>
      <c r="T77" s="5"/>
      <c r="U77" s="5"/>
      <c r="V77" s="5"/>
      <c r="W77" s="5"/>
      <c r="X77" s="5"/>
    </row>
    <row r="78" spans="1:24" x14ac:dyDescent="0.25">
      <c r="A78" s="67"/>
      <c r="B78" s="67"/>
      <c r="C78" s="67"/>
      <c r="D78" s="67"/>
      <c r="E78" s="67"/>
      <c r="F78" s="67"/>
      <c r="G78" s="2"/>
      <c r="H78" s="2"/>
      <c r="I78" s="2"/>
      <c r="J78" s="2"/>
      <c r="K78" s="2"/>
      <c r="L78" s="2"/>
      <c r="M78" s="2"/>
      <c r="N78" s="2"/>
      <c r="O78" s="2"/>
      <c r="P78" s="2"/>
      <c r="Q78" s="2"/>
      <c r="R78" s="2"/>
      <c r="S78" s="2"/>
      <c r="T78" s="2"/>
      <c r="U78" s="2"/>
      <c r="V78" s="2"/>
      <c r="W78" s="2"/>
      <c r="X78" s="2"/>
    </row>
    <row r="79" spans="1:24" ht="58.5" customHeight="1" x14ac:dyDescent="0.25">
      <c r="A79" s="101" t="s">
        <v>125</v>
      </c>
      <c r="B79" s="101"/>
      <c r="C79" s="101"/>
      <c r="D79" s="70"/>
      <c r="E79" s="70"/>
      <c r="F79" s="70"/>
      <c r="G79" s="45"/>
      <c r="H79" s="45"/>
      <c r="I79" s="45"/>
      <c r="J79" s="45"/>
      <c r="K79" s="45"/>
      <c r="L79" s="45"/>
      <c r="M79" s="45"/>
      <c r="N79" s="45"/>
      <c r="O79" s="45"/>
      <c r="P79" s="45"/>
      <c r="Q79" s="45"/>
      <c r="R79" s="45"/>
      <c r="S79" s="45"/>
      <c r="T79" s="45"/>
      <c r="U79" s="45"/>
      <c r="V79" s="45"/>
      <c r="W79" s="45"/>
      <c r="X79" s="45"/>
    </row>
    <row r="80" spans="1:24" ht="58.5" customHeight="1" x14ac:dyDescent="0.25">
      <c r="A80" s="101" t="s">
        <v>217</v>
      </c>
      <c r="B80" s="101"/>
      <c r="C80" s="101"/>
      <c r="D80" s="101"/>
      <c r="E80" s="101"/>
      <c r="F80" s="101"/>
      <c r="G80" s="101"/>
      <c r="H80" s="101"/>
      <c r="I80" s="101"/>
      <c r="J80" s="45"/>
      <c r="K80" s="45"/>
      <c r="L80" s="45"/>
      <c r="M80" s="45"/>
      <c r="N80" s="45"/>
      <c r="O80" s="45"/>
      <c r="P80" s="45"/>
      <c r="Q80" s="45"/>
      <c r="R80" s="45"/>
      <c r="S80" s="45"/>
      <c r="T80" s="45"/>
      <c r="U80" s="45"/>
      <c r="V80" s="45"/>
      <c r="W80" s="45"/>
      <c r="X80" s="45"/>
    </row>
    <row r="81" spans="1:24" s="2" customFormat="1" ht="14.25" x14ac:dyDescent="0.2">
      <c r="A81" s="101" t="s">
        <v>282</v>
      </c>
      <c r="B81" s="101"/>
      <c r="C81" s="101"/>
      <c r="D81" s="101"/>
      <c r="E81" s="101"/>
      <c r="F81" s="101"/>
      <c r="G81" s="101"/>
      <c r="H81" s="101"/>
      <c r="I81" s="101"/>
      <c r="J81" s="101"/>
      <c r="K81" s="101"/>
      <c r="L81" s="101"/>
      <c r="M81" s="101"/>
      <c r="N81" s="101"/>
      <c r="O81" s="101"/>
      <c r="P81" s="101"/>
      <c r="Q81" s="101"/>
      <c r="R81" s="101"/>
      <c r="S81" s="101"/>
      <c r="T81" s="101"/>
      <c r="U81" s="101"/>
    </row>
    <row r="82" spans="1:24" s="2" customFormat="1" ht="14.25" x14ac:dyDescent="0.2">
      <c r="A82" s="87" t="s">
        <v>219</v>
      </c>
      <c r="B82" s="86"/>
      <c r="C82" s="86"/>
      <c r="D82" s="86"/>
      <c r="E82" s="86"/>
      <c r="F82" s="86"/>
      <c r="G82" s="86"/>
      <c r="H82" s="86"/>
      <c r="I82" s="86"/>
      <c r="J82" s="86"/>
      <c r="K82" s="86"/>
      <c r="L82" s="86"/>
      <c r="M82" s="86"/>
      <c r="N82" s="86"/>
      <c r="O82" s="86"/>
      <c r="P82" s="86"/>
      <c r="Q82" s="86"/>
      <c r="R82" s="86"/>
      <c r="S82" s="86"/>
      <c r="T82" s="86"/>
      <c r="U82" s="86"/>
    </row>
    <row r="83" spans="1:24" x14ac:dyDescent="0.25">
      <c r="A83" s="54"/>
      <c r="B83" s="2"/>
      <c r="C83" s="2"/>
      <c r="D83" s="2"/>
      <c r="E83" s="2"/>
      <c r="F83" s="2"/>
      <c r="G83" s="45"/>
      <c r="H83" s="45"/>
      <c r="I83" s="45"/>
      <c r="J83" s="45"/>
      <c r="K83" s="45"/>
      <c r="L83" s="45"/>
      <c r="M83" s="45"/>
      <c r="N83" s="45"/>
      <c r="O83" s="45"/>
      <c r="P83" s="45"/>
      <c r="Q83" s="45"/>
      <c r="R83" s="45"/>
      <c r="S83" s="45"/>
      <c r="T83" s="45"/>
      <c r="U83" s="45"/>
      <c r="V83" s="45"/>
      <c r="W83" s="45"/>
      <c r="X83" s="45"/>
    </row>
    <row r="84" spans="1:24" ht="18" x14ac:dyDescent="0.25">
      <c r="A84" s="102" t="s">
        <v>85</v>
      </c>
      <c r="B84" s="102"/>
      <c r="C84" s="102"/>
      <c r="D84" s="80"/>
      <c r="E84" s="80"/>
      <c r="F84" s="80"/>
      <c r="G84" s="45"/>
      <c r="H84" s="45"/>
      <c r="I84" s="45"/>
      <c r="J84" s="45"/>
      <c r="K84" s="45"/>
      <c r="L84" s="45"/>
      <c r="M84" s="45"/>
      <c r="N84" s="45"/>
      <c r="O84" s="45"/>
      <c r="P84" s="45"/>
      <c r="Q84" s="45"/>
      <c r="R84" s="45"/>
      <c r="S84" s="45"/>
      <c r="T84" s="45"/>
      <c r="U84" s="45"/>
      <c r="V84" s="45"/>
      <c r="W84" s="45"/>
      <c r="X84" s="45"/>
    </row>
    <row r="85" spans="1:24" x14ac:dyDescent="0.25">
      <c r="A85" s="28" t="s">
        <v>86</v>
      </c>
      <c r="B85" s="103" t="s">
        <v>91</v>
      </c>
      <c r="C85" s="103"/>
      <c r="D85" s="71"/>
      <c r="E85" s="71"/>
      <c r="F85" s="71"/>
      <c r="G85" s="45"/>
      <c r="H85" s="45"/>
      <c r="I85" s="45"/>
      <c r="J85" s="45"/>
      <c r="K85" s="45"/>
      <c r="L85" s="45"/>
      <c r="M85" s="45"/>
      <c r="N85" s="45"/>
      <c r="O85" s="45"/>
      <c r="P85" s="45"/>
      <c r="Q85" s="45"/>
      <c r="R85" s="45"/>
      <c r="S85" s="45"/>
      <c r="T85" s="45"/>
      <c r="U85" s="45"/>
      <c r="V85" s="45"/>
      <c r="W85" s="45"/>
      <c r="X85" s="45"/>
    </row>
    <row r="86" spans="1:24" x14ac:dyDescent="0.25">
      <c r="A86" s="28" t="s">
        <v>87</v>
      </c>
      <c r="B86" s="103" t="s">
        <v>84</v>
      </c>
      <c r="C86" s="103"/>
      <c r="D86" s="71"/>
      <c r="E86" s="71"/>
      <c r="F86" s="71"/>
      <c r="G86" s="45"/>
      <c r="H86" s="45"/>
      <c r="I86" s="45"/>
      <c r="J86" s="45"/>
      <c r="K86" s="45"/>
      <c r="L86" s="45"/>
      <c r="M86" s="45"/>
      <c r="N86" s="45"/>
      <c r="O86" s="45"/>
      <c r="P86" s="45"/>
      <c r="Q86" s="45"/>
      <c r="R86" s="45"/>
      <c r="S86" s="45"/>
      <c r="T86" s="45"/>
      <c r="U86" s="45"/>
      <c r="V86" s="45"/>
      <c r="W86" s="45"/>
      <c r="X86" s="45"/>
    </row>
    <row r="87" spans="1:24" x14ac:dyDescent="0.25">
      <c r="A87" s="28" t="s">
        <v>88</v>
      </c>
      <c r="B87" s="110" t="s">
        <v>92</v>
      </c>
      <c r="C87" s="110"/>
      <c r="D87" s="74"/>
      <c r="E87" s="74"/>
      <c r="F87" s="74"/>
      <c r="G87" s="45"/>
      <c r="H87" s="45"/>
      <c r="I87" s="45"/>
      <c r="J87" s="45"/>
      <c r="K87" s="45"/>
      <c r="L87" s="45"/>
      <c r="M87" s="45"/>
      <c r="N87" s="45"/>
      <c r="O87" s="45"/>
      <c r="P87" s="45"/>
      <c r="Q87" s="45"/>
      <c r="R87" s="45"/>
      <c r="S87" s="45"/>
      <c r="T87" s="45"/>
      <c r="U87" s="45"/>
      <c r="V87" s="45"/>
      <c r="W87" s="45"/>
      <c r="X87" s="45"/>
    </row>
    <row r="88" spans="1:24" x14ac:dyDescent="0.25">
      <c r="A88" s="44" t="s">
        <v>89</v>
      </c>
      <c r="B88" s="98" t="s">
        <v>193</v>
      </c>
      <c r="C88" s="98"/>
      <c r="D88" s="74"/>
      <c r="E88" s="74"/>
      <c r="F88" s="74"/>
      <c r="G88" s="45"/>
      <c r="H88" s="45"/>
      <c r="I88" s="45"/>
      <c r="J88" s="45"/>
      <c r="K88" s="45"/>
      <c r="L88" s="45"/>
      <c r="M88" s="45"/>
      <c r="N88" s="45"/>
      <c r="O88" s="45"/>
      <c r="P88" s="45"/>
      <c r="Q88" s="45"/>
      <c r="R88" s="45"/>
      <c r="S88" s="45"/>
      <c r="T88" s="45"/>
      <c r="U88" s="45"/>
      <c r="V88" s="45"/>
      <c r="W88" s="45"/>
      <c r="X88" s="45"/>
    </row>
    <row r="89" spans="1:24" x14ac:dyDescent="0.25">
      <c r="A89" s="44" t="s">
        <v>90</v>
      </c>
      <c r="B89" s="98" t="s">
        <v>194</v>
      </c>
      <c r="C89" s="98"/>
      <c r="D89" s="74"/>
      <c r="E89" s="74"/>
      <c r="F89" s="74"/>
      <c r="G89" s="45"/>
      <c r="H89" s="45"/>
      <c r="I89" s="45"/>
      <c r="J89" s="45"/>
      <c r="K89" s="45"/>
      <c r="L89" s="45"/>
      <c r="M89" s="45"/>
      <c r="N89" s="45"/>
      <c r="O89" s="45"/>
      <c r="P89" s="45"/>
      <c r="Q89" s="45"/>
      <c r="R89" s="45"/>
      <c r="S89" s="45"/>
      <c r="T89" s="45"/>
      <c r="U89" s="45"/>
      <c r="V89" s="45"/>
      <c r="W89" s="45"/>
      <c r="X89" s="45"/>
    </row>
    <row r="90" spans="1:24" x14ac:dyDescent="0.25">
      <c r="A90" s="44" t="s">
        <v>93</v>
      </c>
      <c r="B90" s="104" t="s">
        <v>195</v>
      </c>
      <c r="C90" s="104"/>
      <c r="D90" s="74"/>
      <c r="E90" s="74"/>
      <c r="F90" s="74"/>
      <c r="G90" s="45"/>
      <c r="H90" s="45"/>
      <c r="I90" s="45"/>
      <c r="J90" s="45"/>
      <c r="K90" s="45"/>
      <c r="L90" s="45"/>
      <c r="M90" s="45"/>
      <c r="N90" s="45"/>
      <c r="O90" s="45"/>
      <c r="P90" s="45"/>
      <c r="Q90" s="45"/>
      <c r="R90" s="45"/>
      <c r="S90" s="45"/>
      <c r="T90" s="45"/>
      <c r="U90" s="45"/>
      <c r="V90" s="45"/>
      <c r="W90" s="45"/>
      <c r="X90" s="45"/>
    </row>
    <row r="91" spans="1:24" ht="27" customHeight="1" x14ac:dyDescent="0.25">
      <c r="A91" s="28" t="s">
        <v>202</v>
      </c>
      <c r="B91" s="98" t="s">
        <v>301</v>
      </c>
      <c r="C91" s="98"/>
      <c r="D91" s="72"/>
      <c r="E91" s="72"/>
      <c r="F91" s="72"/>
      <c r="G91" s="45"/>
      <c r="H91" s="45"/>
      <c r="I91" s="45"/>
      <c r="J91" s="45"/>
      <c r="K91" s="45"/>
      <c r="L91" s="45"/>
      <c r="M91" s="45"/>
      <c r="N91" s="45"/>
      <c r="O91" s="45"/>
      <c r="P91" s="45"/>
      <c r="Q91" s="45"/>
      <c r="R91" s="45"/>
      <c r="S91" s="45"/>
      <c r="T91" s="45"/>
      <c r="U91" s="45"/>
      <c r="V91" s="45"/>
      <c r="W91" s="45"/>
      <c r="X91" s="45"/>
    </row>
    <row r="92" spans="1:24" x14ac:dyDescent="0.25">
      <c r="A92" s="28" t="s">
        <v>203</v>
      </c>
      <c r="B92" s="98" t="s">
        <v>227</v>
      </c>
      <c r="C92" s="98"/>
      <c r="D92" s="72"/>
      <c r="E92" s="72"/>
      <c r="F92" s="72"/>
      <c r="G92" s="45"/>
      <c r="H92" s="45"/>
      <c r="I92" s="45"/>
      <c r="J92" s="45"/>
      <c r="K92" s="45"/>
      <c r="L92" s="45"/>
      <c r="M92" s="45"/>
      <c r="N92" s="45"/>
      <c r="O92" s="45"/>
      <c r="P92" s="45"/>
      <c r="Q92" s="45"/>
      <c r="R92" s="45"/>
      <c r="S92" s="45"/>
      <c r="T92" s="45"/>
      <c r="U92" s="45"/>
      <c r="V92" s="45"/>
      <c r="W92" s="45"/>
      <c r="X92" s="45"/>
    </row>
    <row r="93" spans="1:24" x14ac:dyDescent="0.25">
      <c r="A93" s="28" t="s">
        <v>204</v>
      </c>
      <c r="B93" s="98" t="s">
        <v>302</v>
      </c>
      <c r="C93" s="98"/>
      <c r="D93" s="72"/>
      <c r="E93" s="72"/>
      <c r="F93" s="72"/>
      <c r="G93" s="45"/>
      <c r="H93" s="45"/>
      <c r="I93" s="45"/>
      <c r="J93" s="45"/>
      <c r="K93" s="45"/>
      <c r="L93" s="45"/>
      <c r="M93" s="45"/>
      <c r="N93" s="45"/>
      <c r="O93" s="45"/>
      <c r="P93" s="45"/>
      <c r="Q93" s="45"/>
      <c r="R93" s="45"/>
      <c r="S93" s="45"/>
      <c r="T93" s="45"/>
      <c r="U93" s="45"/>
      <c r="V93" s="45"/>
      <c r="W93" s="45"/>
      <c r="X93" s="45"/>
    </row>
    <row r="94" spans="1:24" x14ac:dyDescent="0.25">
      <c r="G94" s="45"/>
      <c r="H94" s="45"/>
      <c r="I94" s="45"/>
      <c r="J94" s="45"/>
      <c r="K94" s="45"/>
      <c r="L94" s="45"/>
      <c r="M94" s="45"/>
      <c r="N94" s="45"/>
      <c r="O94" s="45"/>
      <c r="P94" s="45"/>
      <c r="Q94" s="45"/>
      <c r="R94" s="45"/>
      <c r="S94" s="45"/>
      <c r="T94" s="45"/>
      <c r="U94" s="45"/>
      <c r="V94" s="45"/>
      <c r="W94" s="45"/>
      <c r="X94" s="45"/>
    </row>
    <row r="95" spans="1:24" x14ac:dyDescent="0.25">
      <c r="G95" s="45"/>
      <c r="H95" s="45"/>
      <c r="I95" s="45"/>
      <c r="J95" s="45"/>
      <c r="K95" s="45"/>
      <c r="L95" s="45"/>
      <c r="M95" s="45"/>
      <c r="N95" s="45"/>
      <c r="O95" s="45"/>
      <c r="P95" s="45"/>
      <c r="Q95" s="45"/>
      <c r="R95" s="45"/>
      <c r="S95" s="45"/>
      <c r="T95" s="45"/>
      <c r="U95" s="45"/>
      <c r="V95" s="45"/>
      <c r="W95" s="45"/>
      <c r="X95" s="45"/>
    </row>
    <row r="96" spans="1:24" x14ac:dyDescent="0.25">
      <c r="G96" s="45"/>
      <c r="H96" s="45"/>
      <c r="I96" s="45"/>
      <c r="J96" s="45"/>
      <c r="K96" s="45"/>
      <c r="L96" s="45"/>
      <c r="M96" s="45"/>
      <c r="N96" s="45"/>
      <c r="O96" s="45"/>
      <c r="P96" s="45"/>
      <c r="Q96" s="45"/>
      <c r="R96" s="45"/>
      <c r="S96" s="45"/>
      <c r="T96" s="45"/>
      <c r="U96" s="45"/>
      <c r="V96" s="45"/>
      <c r="W96" s="45"/>
      <c r="X96" s="45"/>
    </row>
    <row r="97" spans="7:24" x14ac:dyDescent="0.25">
      <c r="G97" s="45"/>
      <c r="H97" s="45"/>
      <c r="I97" s="45"/>
      <c r="J97" s="45"/>
      <c r="K97" s="45"/>
      <c r="L97" s="45"/>
      <c r="M97" s="45"/>
      <c r="N97" s="45"/>
      <c r="O97" s="45"/>
      <c r="P97" s="45"/>
      <c r="Q97" s="45"/>
      <c r="R97" s="45"/>
      <c r="S97" s="45"/>
      <c r="T97" s="45"/>
      <c r="U97" s="45"/>
      <c r="V97" s="45"/>
      <c r="W97" s="45"/>
      <c r="X97" s="45"/>
    </row>
    <row r="98" spans="7:24" x14ac:dyDescent="0.25">
      <c r="G98" s="45"/>
      <c r="H98" s="45"/>
      <c r="I98" s="45"/>
      <c r="J98" s="45"/>
      <c r="K98" s="45"/>
      <c r="L98" s="45"/>
      <c r="M98" s="45"/>
      <c r="N98" s="45"/>
      <c r="O98" s="45"/>
      <c r="P98" s="45"/>
      <c r="Q98" s="45"/>
      <c r="R98" s="45"/>
      <c r="S98" s="45"/>
      <c r="T98" s="45"/>
      <c r="U98" s="45"/>
      <c r="V98" s="45"/>
      <c r="W98" s="45"/>
      <c r="X98" s="45"/>
    </row>
    <row r="99" spans="7:24" x14ac:dyDescent="0.25">
      <c r="G99" s="45"/>
      <c r="H99" s="45"/>
      <c r="I99" s="45"/>
      <c r="J99" s="45"/>
      <c r="K99" s="45"/>
      <c r="L99" s="45"/>
      <c r="M99" s="45"/>
      <c r="N99" s="45"/>
      <c r="O99" s="45"/>
      <c r="P99" s="45"/>
      <c r="Q99" s="45"/>
      <c r="R99" s="45"/>
      <c r="S99" s="45"/>
      <c r="T99" s="45"/>
      <c r="U99" s="45"/>
      <c r="V99" s="45"/>
      <c r="W99" s="45"/>
      <c r="X99" s="45"/>
    </row>
    <row r="100" spans="7:24" x14ac:dyDescent="0.25">
      <c r="G100" s="45"/>
      <c r="H100" s="45"/>
      <c r="I100" s="45"/>
      <c r="J100" s="45"/>
      <c r="K100" s="45"/>
      <c r="L100" s="45"/>
      <c r="M100" s="45"/>
      <c r="N100" s="45"/>
      <c r="O100" s="45"/>
      <c r="P100" s="45"/>
      <c r="Q100" s="45"/>
      <c r="R100" s="45"/>
      <c r="S100" s="45"/>
      <c r="T100" s="45"/>
      <c r="U100" s="45"/>
      <c r="V100" s="45"/>
      <c r="W100" s="45"/>
      <c r="X100" s="45"/>
    </row>
    <row r="101" spans="7:24" x14ac:dyDescent="0.25">
      <c r="G101" s="45"/>
      <c r="H101" s="45"/>
      <c r="I101" s="45"/>
      <c r="J101" s="45"/>
      <c r="K101" s="45"/>
      <c r="L101" s="45"/>
      <c r="M101" s="45"/>
      <c r="N101" s="45"/>
      <c r="O101" s="45"/>
      <c r="P101" s="45"/>
      <c r="Q101" s="45"/>
      <c r="R101" s="45"/>
      <c r="S101" s="45"/>
      <c r="T101" s="45"/>
      <c r="U101" s="45"/>
      <c r="V101" s="45"/>
      <c r="W101" s="45"/>
      <c r="X101" s="45"/>
    </row>
    <row r="102" spans="7:24" x14ac:dyDescent="0.25">
      <c r="G102" s="45"/>
      <c r="H102" s="45"/>
      <c r="I102" s="45"/>
      <c r="J102" s="45"/>
      <c r="K102" s="45"/>
      <c r="L102" s="45"/>
      <c r="M102" s="45"/>
      <c r="N102" s="45"/>
      <c r="O102" s="45"/>
      <c r="P102" s="45"/>
      <c r="Q102" s="45"/>
      <c r="R102" s="45"/>
      <c r="S102" s="45"/>
      <c r="T102" s="45"/>
      <c r="U102" s="45"/>
      <c r="V102" s="45"/>
      <c r="W102" s="45"/>
      <c r="X102" s="45"/>
    </row>
    <row r="103" spans="7:24" x14ac:dyDescent="0.25">
      <c r="G103" s="45"/>
      <c r="H103" s="45"/>
      <c r="I103" s="45"/>
      <c r="J103" s="45"/>
      <c r="K103" s="45"/>
      <c r="L103" s="45"/>
      <c r="M103" s="45"/>
      <c r="N103" s="45"/>
      <c r="O103" s="45"/>
      <c r="P103" s="45"/>
      <c r="Q103" s="45"/>
      <c r="R103" s="45"/>
      <c r="S103" s="45"/>
      <c r="T103" s="45"/>
      <c r="U103" s="45"/>
      <c r="V103" s="45"/>
      <c r="W103" s="45"/>
      <c r="X103" s="45"/>
    </row>
    <row r="104" spans="7:24" x14ac:dyDescent="0.25">
      <c r="G104" s="45"/>
      <c r="H104" s="45"/>
      <c r="I104" s="45"/>
      <c r="J104" s="45"/>
      <c r="K104" s="45"/>
      <c r="L104" s="45"/>
      <c r="M104" s="45"/>
      <c r="N104" s="45"/>
      <c r="O104" s="45"/>
      <c r="P104" s="45"/>
      <c r="Q104" s="45"/>
      <c r="R104" s="45"/>
      <c r="S104" s="45"/>
      <c r="T104" s="45"/>
      <c r="U104" s="45"/>
      <c r="V104" s="45"/>
      <c r="W104" s="45"/>
      <c r="X104" s="45"/>
    </row>
    <row r="105" spans="7:24" x14ac:dyDescent="0.25">
      <c r="G105" s="45"/>
      <c r="H105" s="45"/>
      <c r="I105" s="45"/>
      <c r="J105" s="45"/>
      <c r="K105" s="45"/>
      <c r="L105" s="45"/>
      <c r="M105" s="45"/>
      <c r="N105" s="45"/>
      <c r="O105" s="45"/>
      <c r="P105" s="45"/>
      <c r="Q105" s="45"/>
      <c r="R105" s="45"/>
      <c r="S105" s="45"/>
      <c r="T105" s="45"/>
      <c r="U105" s="45"/>
      <c r="V105" s="45"/>
      <c r="W105" s="45"/>
      <c r="X105" s="45"/>
    </row>
    <row r="106" spans="7:24" x14ac:dyDescent="0.25">
      <c r="G106" s="45"/>
      <c r="H106" s="45"/>
      <c r="I106" s="45"/>
      <c r="J106" s="45"/>
      <c r="K106" s="45"/>
      <c r="L106" s="45"/>
      <c r="M106" s="45"/>
      <c r="N106" s="45"/>
      <c r="O106" s="45"/>
      <c r="P106" s="45"/>
      <c r="Q106" s="45"/>
      <c r="R106" s="45"/>
      <c r="S106" s="45"/>
      <c r="T106" s="45"/>
      <c r="U106" s="45"/>
      <c r="V106" s="45"/>
      <c r="W106" s="45"/>
      <c r="X106" s="45"/>
    </row>
    <row r="107" spans="7:24" x14ac:dyDescent="0.25">
      <c r="G107" s="45"/>
      <c r="H107" s="45"/>
      <c r="I107" s="45"/>
      <c r="J107" s="45"/>
      <c r="K107" s="45"/>
      <c r="L107" s="45"/>
      <c r="M107" s="45"/>
      <c r="N107" s="45"/>
      <c r="O107" s="45"/>
      <c r="P107" s="45"/>
      <c r="Q107" s="45"/>
      <c r="R107" s="45"/>
      <c r="S107" s="45"/>
      <c r="T107" s="45"/>
      <c r="U107" s="45"/>
      <c r="V107" s="45"/>
      <c r="W107" s="45"/>
      <c r="X107" s="45"/>
    </row>
    <row r="108" spans="7:24" x14ac:dyDescent="0.25">
      <c r="G108" s="45"/>
      <c r="H108" s="45"/>
      <c r="I108" s="45"/>
      <c r="J108" s="45"/>
      <c r="K108" s="45"/>
      <c r="L108" s="45"/>
      <c r="M108" s="45"/>
      <c r="N108" s="45"/>
      <c r="O108" s="45"/>
      <c r="P108" s="45"/>
      <c r="Q108" s="45"/>
      <c r="R108" s="45"/>
      <c r="S108" s="45"/>
      <c r="T108" s="45"/>
      <c r="U108" s="45"/>
      <c r="V108" s="45"/>
      <c r="W108" s="45"/>
      <c r="X108" s="45"/>
    </row>
    <row r="109" spans="7:24" x14ac:dyDescent="0.25">
      <c r="G109" s="45"/>
      <c r="H109" s="45"/>
      <c r="I109" s="45"/>
      <c r="J109" s="45"/>
      <c r="K109" s="45"/>
      <c r="L109" s="45"/>
      <c r="M109" s="45"/>
      <c r="N109" s="45"/>
      <c r="O109" s="45"/>
      <c r="P109" s="45"/>
      <c r="Q109" s="45"/>
      <c r="R109" s="45"/>
      <c r="S109" s="45"/>
      <c r="T109" s="45"/>
      <c r="U109" s="45"/>
      <c r="V109" s="45"/>
      <c r="W109" s="45"/>
      <c r="X109" s="45"/>
    </row>
    <row r="110" spans="7:24" x14ac:dyDescent="0.25">
      <c r="G110" s="45"/>
      <c r="H110" s="45"/>
      <c r="I110" s="45"/>
      <c r="J110" s="45"/>
      <c r="K110" s="45"/>
      <c r="L110" s="45"/>
      <c r="M110" s="45"/>
      <c r="N110" s="45"/>
      <c r="O110" s="45"/>
      <c r="P110" s="45"/>
      <c r="Q110" s="45"/>
      <c r="R110" s="45"/>
      <c r="S110" s="45"/>
      <c r="T110" s="45"/>
      <c r="U110" s="45"/>
      <c r="V110" s="45"/>
      <c r="W110" s="45"/>
      <c r="X110" s="45"/>
    </row>
    <row r="111" spans="7:24" x14ac:dyDescent="0.25">
      <c r="G111" s="45"/>
      <c r="H111" s="45"/>
      <c r="I111" s="45"/>
      <c r="J111" s="45"/>
      <c r="K111" s="45"/>
      <c r="L111" s="45"/>
      <c r="M111" s="45"/>
      <c r="N111" s="45"/>
      <c r="O111" s="45"/>
      <c r="P111" s="45"/>
      <c r="Q111" s="45"/>
      <c r="R111" s="45"/>
      <c r="S111" s="45"/>
      <c r="T111" s="45"/>
      <c r="U111" s="45"/>
      <c r="V111" s="45"/>
      <c r="W111" s="45"/>
      <c r="X111" s="45"/>
    </row>
    <row r="112" spans="7:24" x14ac:dyDescent="0.25">
      <c r="G112" s="45"/>
      <c r="H112" s="45"/>
      <c r="I112" s="45"/>
      <c r="J112" s="45"/>
      <c r="K112" s="45"/>
      <c r="L112" s="45"/>
      <c r="M112" s="45"/>
      <c r="N112" s="45"/>
      <c r="O112" s="45"/>
      <c r="P112" s="45"/>
      <c r="Q112" s="45"/>
      <c r="R112" s="45"/>
      <c r="S112" s="45"/>
      <c r="T112" s="45"/>
      <c r="U112" s="45"/>
      <c r="V112" s="45"/>
      <c r="W112" s="45"/>
      <c r="X112" s="45"/>
    </row>
    <row r="113" spans="7:24" x14ac:dyDescent="0.25">
      <c r="G113" s="45"/>
      <c r="H113" s="45"/>
      <c r="I113" s="45"/>
      <c r="J113" s="45"/>
      <c r="K113" s="45"/>
      <c r="L113" s="45"/>
      <c r="M113" s="45"/>
      <c r="N113" s="45"/>
      <c r="O113" s="45"/>
      <c r="P113" s="45"/>
      <c r="Q113" s="45"/>
      <c r="R113" s="45"/>
      <c r="S113" s="45"/>
      <c r="T113" s="45"/>
      <c r="U113" s="45"/>
      <c r="V113" s="45"/>
      <c r="W113" s="45"/>
      <c r="X113" s="45"/>
    </row>
    <row r="114" spans="7:24" x14ac:dyDescent="0.25">
      <c r="G114" s="45"/>
      <c r="H114" s="45"/>
      <c r="I114" s="45"/>
      <c r="J114" s="45"/>
      <c r="K114" s="45"/>
      <c r="L114" s="45"/>
      <c r="M114" s="45"/>
      <c r="N114" s="45"/>
      <c r="O114" s="45"/>
      <c r="P114" s="45"/>
      <c r="Q114" s="45"/>
      <c r="R114" s="45"/>
      <c r="S114" s="45"/>
      <c r="T114" s="45"/>
      <c r="U114" s="45"/>
      <c r="V114" s="45"/>
      <c r="W114" s="45"/>
      <c r="X114" s="45"/>
    </row>
    <row r="115" spans="7:24" x14ac:dyDescent="0.25">
      <c r="G115" s="45"/>
      <c r="H115" s="45"/>
      <c r="I115" s="45"/>
      <c r="J115" s="45"/>
      <c r="K115" s="45"/>
      <c r="L115" s="45"/>
      <c r="M115" s="45"/>
      <c r="N115" s="45"/>
      <c r="O115" s="45"/>
      <c r="P115" s="45"/>
      <c r="Q115" s="45"/>
      <c r="R115" s="45"/>
      <c r="S115" s="45"/>
      <c r="T115" s="45"/>
      <c r="U115" s="45"/>
      <c r="V115" s="45"/>
      <c r="W115" s="45"/>
      <c r="X115" s="45"/>
    </row>
    <row r="116" spans="7:24" x14ac:dyDescent="0.25">
      <c r="G116" s="45"/>
      <c r="H116" s="45"/>
      <c r="I116" s="45"/>
      <c r="J116" s="45"/>
      <c r="K116" s="45"/>
      <c r="L116" s="45"/>
      <c r="M116" s="45"/>
      <c r="N116" s="45"/>
      <c r="O116" s="45"/>
      <c r="P116" s="45"/>
      <c r="Q116" s="45"/>
      <c r="R116" s="45"/>
      <c r="S116" s="45"/>
      <c r="T116" s="45"/>
      <c r="U116" s="45"/>
      <c r="V116" s="45"/>
      <c r="W116" s="45"/>
      <c r="X116" s="45"/>
    </row>
    <row r="117" spans="7:24" x14ac:dyDescent="0.25">
      <c r="G117" s="45"/>
      <c r="H117" s="45"/>
      <c r="I117" s="45"/>
      <c r="J117" s="45"/>
      <c r="K117" s="45"/>
      <c r="L117" s="45"/>
      <c r="M117" s="45"/>
      <c r="N117" s="45"/>
      <c r="O117" s="45"/>
      <c r="P117" s="45"/>
      <c r="Q117" s="45"/>
      <c r="R117" s="45"/>
      <c r="S117" s="45"/>
      <c r="T117" s="45"/>
      <c r="U117" s="45"/>
      <c r="V117" s="45"/>
      <c r="W117" s="45"/>
      <c r="X117" s="45"/>
    </row>
    <row r="118" spans="7:24" x14ac:dyDescent="0.25">
      <c r="G118" s="45"/>
      <c r="H118" s="45"/>
      <c r="I118" s="45"/>
      <c r="J118" s="45"/>
      <c r="K118" s="45"/>
      <c r="L118" s="45"/>
      <c r="M118" s="45"/>
      <c r="N118" s="45"/>
      <c r="O118" s="45"/>
      <c r="P118" s="45"/>
      <c r="Q118" s="45"/>
      <c r="R118" s="45"/>
      <c r="S118" s="45"/>
      <c r="T118" s="45"/>
      <c r="U118" s="45"/>
      <c r="V118" s="45"/>
      <c r="W118" s="45"/>
      <c r="X118" s="45"/>
    </row>
    <row r="119" spans="7:24" x14ac:dyDescent="0.25">
      <c r="G119" s="45"/>
      <c r="H119" s="45"/>
      <c r="I119" s="45"/>
      <c r="J119" s="45"/>
      <c r="K119" s="45"/>
      <c r="L119" s="45"/>
      <c r="M119" s="45"/>
      <c r="N119" s="45"/>
      <c r="O119" s="45"/>
      <c r="P119" s="45"/>
      <c r="Q119" s="45"/>
      <c r="R119" s="45"/>
      <c r="S119" s="45"/>
      <c r="T119" s="45"/>
      <c r="U119" s="45"/>
      <c r="V119" s="45"/>
      <c r="W119" s="45"/>
      <c r="X119" s="45"/>
    </row>
    <row r="120" spans="7:24" x14ac:dyDescent="0.25">
      <c r="G120" s="45"/>
      <c r="H120" s="45"/>
      <c r="I120" s="45"/>
      <c r="J120" s="45"/>
      <c r="K120" s="45"/>
      <c r="L120" s="45"/>
      <c r="M120" s="45"/>
      <c r="N120" s="45"/>
      <c r="O120" s="45"/>
      <c r="P120" s="45"/>
      <c r="Q120" s="45"/>
      <c r="R120" s="45"/>
      <c r="S120" s="45"/>
      <c r="T120" s="45"/>
      <c r="U120" s="45"/>
      <c r="V120" s="45"/>
      <c r="W120" s="45"/>
      <c r="X120" s="45"/>
    </row>
    <row r="121" spans="7:24" x14ac:dyDescent="0.25">
      <c r="G121" s="45"/>
      <c r="H121" s="45"/>
      <c r="I121" s="45"/>
      <c r="J121" s="45"/>
      <c r="K121" s="45"/>
      <c r="L121" s="45"/>
      <c r="M121" s="45"/>
      <c r="N121" s="45"/>
      <c r="O121" s="45"/>
      <c r="P121" s="45"/>
      <c r="Q121" s="45"/>
      <c r="R121" s="45"/>
      <c r="S121" s="45"/>
      <c r="T121" s="45"/>
      <c r="U121" s="45"/>
      <c r="V121" s="45"/>
      <c r="W121" s="45"/>
      <c r="X121" s="45"/>
    </row>
    <row r="122" spans="7:24" x14ac:dyDescent="0.25">
      <c r="G122" s="45"/>
      <c r="H122" s="45"/>
      <c r="I122" s="45"/>
      <c r="J122" s="45"/>
      <c r="K122" s="45"/>
      <c r="L122" s="45"/>
      <c r="M122" s="45"/>
      <c r="N122" s="45"/>
      <c r="O122" s="45"/>
      <c r="P122" s="45"/>
      <c r="Q122" s="45"/>
      <c r="R122" s="45"/>
      <c r="S122" s="45"/>
      <c r="T122" s="45"/>
      <c r="U122" s="45"/>
      <c r="V122" s="45"/>
      <c r="W122" s="45"/>
      <c r="X122" s="45"/>
    </row>
    <row r="123" spans="7:24" x14ac:dyDescent="0.25">
      <c r="G123" s="45"/>
      <c r="H123" s="45"/>
      <c r="I123" s="45"/>
      <c r="J123" s="45"/>
      <c r="K123" s="45"/>
      <c r="L123" s="45"/>
      <c r="M123" s="45"/>
      <c r="N123" s="45"/>
      <c r="O123" s="45"/>
      <c r="P123" s="45"/>
      <c r="Q123" s="45"/>
      <c r="R123" s="45"/>
      <c r="S123" s="45"/>
      <c r="T123" s="45"/>
      <c r="U123" s="45"/>
      <c r="V123" s="45"/>
      <c r="W123" s="45"/>
      <c r="X123" s="45"/>
    </row>
    <row r="124" spans="7:24" x14ac:dyDescent="0.25">
      <c r="G124" s="45"/>
      <c r="H124" s="45"/>
      <c r="I124" s="45"/>
      <c r="J124" s="45"/>
      <c r="K124" s="45"/>
      <c r="L124" s="45"/>
      <c r="M124" s="45"/>
      <c r="N124" s="45"/>
      <c r="O124" s="45"/>
      <c r="P124" s="45"/>
      <c r="Q124" s="45"/>
      <c r="R124" s="45"/>
      <c r="S124" s="45"/>
      <c r="T124" s="45"/>
      <c r="U124" s="45"/>
      <c r="V124" s="45"/>
      <c r="W124" s="45"/>
      <c r="X124" s="45"/>
    </row>
    <row r="125" spans="7:24" x14ac:dyDescent="0.25">
      <c r="G125" s="45"/>
      <c r="H125" s="45"/>
      <c r="I125" s="45"/>
      <c r="J125" s="45"/>
      <c r="K125" s="45"/>
      <c r="L125" s="45"/>
      <c r="M125" s="45"/>
      <c r="N125" s="45"/>
      <c r="O125" s="45"/>
      <c r="P125" s="45"/>
      <c r="Q125" s="45"/>
      <c r="R125" s="45"/>
      <c r="S125" s="45"/>
      <c r="T125" s="45"/>
      <c r="U125" s="45"/>
      <c r="V125" s="45"/>
      <c r="W125" s="45"/>
      <c r="X125" s="45"/>
    </row>
    <row r="126" spans="7:24" x14ac:dyDescent="0.25">
      <c r="G126" s="45"/>
      <c r="H126" s="45"/>
      <c r="I126" s="45"/>
      <c r="J126" s="45"/>
      <c r="K126" s="45"/>
      <c r="L126" s="45"/>
      <c r="M126" s="45"/>
      <c r="N126" s="45"/>
      <c r="O126" s="45"/>
      <c r="P126" s="45"/>
      <c r="Q126" s="45"/>
      <c r="R126" s="45"/>
      <c r="S126" s="45"/>
      <c r="T126" s="45"/>
      <c r="U126" s="45"/>
      <c r="V126" s="45"/>
      <c r="W126" s="45"/>
      <c r="X126" s="45"/>
    </row>
    <row r="127" spans="7:24" x14ac:dyDescent="0.25">
      <c r="G127" s="45"/>
      <c r="H127" s="45"/>
      <c r="I127" s="45"/>
      <c r="J127" s="45"/>
      <c r="K127" s="45"/>
      <c r="L127" s="45"/>
      <c r="M127" s="45"/>
      <c r="N127" s="45"/>
      <c r="O127" s="45"/>
      <c r="P127" s="45"/>
      <c r="Q127" s="45"/>
      <c r="R127" s="45"/>
      <c r="S127" s="45"/>
      <c r="T127" s="45"/>
      <c r="U127" s="45"/>
      <c r="V127" s="45"/>
      <c r="W127" s="45"/>
      <c r="X127" s="45"/>
    </row>
    <row r="128" spans="7:24" x14ac:dyDescent="0.25">
      <c r="G128" s="45"/>
      <c r="H128" s="45"/>
      <c r="I128" s="45"/>
      <c r="J128" s="45"/>
      <c r="K128" s="45"/>
      <c r="L128" s="45"/>
      <c r="M128" s="45"/>
      <c r="N128" s="45"/>
      <c r="O128" s="45"/>
      <c r="P128" s="45"/>
      <c r="Q128" s="45"/>
      <c r="R128" s="45"/>
      <c r="S128" s="45"/>
      <c r="T128" s="45"/>
      <c r="U128" s="45"/>
      <c r="V128" s="45"/>
      <c r="W128" s="45"/>
      <c r="X128" s="45"/>
    </row>
    <row r="129" spans="7:24" x14ac:dyDescent="0.25">
      <c r="G129" s="45"/>
      <c r="H129" s="45"/>
      <c r="I129" s="45"/>
      <c r="J129" s="45"/>
      <c r="K129" s="45"/>
      <c r="L129" s="45"/>
      <c r="M129" s="45"/>
      <c r="N129" s="45"/>
      <c r="O129" s="45"/>
      <c r="P129" s="45"/>
      <c r="Q129" s="45"/>
      <c r="R129" s="45"/>
      <c r="S129" s="45"/>
      <c r="T129" s="45"/>
      <c r="U129" s="45"/>
      <c r="V129" s="45"/>
      <c r="W129" s="45"/>
      <c r="X129" s="45"/>
    </row>
    <row r="130" spans="7:24" x14ac:dyDescent="0.25">
      <c r="G130" s="45"/>
      <c r="H130" s="45"/>
      <c r="I130" s="45"/>
      <c r="J130" s="45"/>
      <c r="K130" s="45"/>
      <c r="L130" s="45"/>
      <c r="M130" s="45"/>
      <c r="N130" s="45"/>
      <c r="O130" s="45"/>
      <c r="P130" s="45"/>
      <c r="Q130" s="45"/>
      <c r="R130" s="45"/>
      <c r="S130" s="45"/>
      <c r="T130" s="45"/>
      <c r="U130" s="45"/>
      <c r="V130" s="45"/>
      <c r="W130" s="45"/>
      <c r="X130" s="45"/>
    </row>
    <row r="131" spans="7:24" x14ac:dyDescent="0.25">
      <c r="G131" s="45"/>
      <c r="H131" s="45"/>
      <c r="I131" s="45"/>
      <c r="J131" s="45"/>
      <c r="K131" s="45"/>
      <c r="L131" s="45"/>
      <c r="M131" s="45"/>
      <c r="N131" s="45"/>
      <c r="O131" s="45"/>
      <c r="P131" s="45"/>
      <c r="Q131" s="45"/>
      <c r="R131" s="45"/>
      <c r="S131" s="45"/>
      <c r="T131" s="45"/>
      <c r="U131" s="45"/>
      <c r="V131" s="45"/>
      <c r="W131" s="45"/>
      <c r="X131" s="45"/>
    </row>
    <row r="132" spans="7:24" x14ac:dyDescent="0.25">
      <c r="G132" s="45"/>
      <c r="H132" s="45"/>
      <c r="I132" s="45"/>
      <c r="J132" s="45"/>
      <c r="K132" s="45"/>
      <c r="L132" s="45"/>
      <c r="M132" s="45"/>
      <c r="N132" s="45"/>
      <c r="O132" s="45"/>
      <c r="P132" s="45"/>
      <c r="Q132" s="45"/>
      <c r="R132" s="45"/>
      <c r="S132" s="45"/>
      <c r="T132" s="45"/>
      <c r="U132" s="45"/>
      <c r="V132" s="45"/>
      <c r="W132" s="45"/>
      <c r="X132" s="45"/>
    </row>
    <row r="133" spans="7:24" x14ac:dyDescent="0.25">
      <c r="G133" s="45"/>
      <c r="H133" s="45"/>
      <c r="I133" s="45"/>
      <c r="J133" s="45"/>
      <c r="K133" s="45"/>
      <c r="L133" s="45"/>
      <c r="M133" s="45"/>
      <c r="N133" s="45"/>
      <c r="O133" s="45"/>
      <c r="P133" s="45"/>
      <c r="Q133" s="45"/>
      <c r="R133" s="45"/>
      <c r="S133" s="45"/>
      <c r="T133" s="45"/>
      <c r="U133" s="45"/>
      <c r="V133" s="45"/>
      <c r="W133" s="45"/>
      <c r="X133" s="45"/>
    </row>
    <row r="134" spans="7:24" x14ac:dyDescent="0.25">
      <c r="G134" s="45"/>
      <c r="H134" s="45"/>
      <c r="I134" s="45"/>
      <c r="J134" s="45"/>
      <c r="K134" s="45"/>
      <c r="L134" s="45"/>
      <c r="M134" s="45"/>
      <c r="N134" s="45"/>
      <c r="O134" s="45"/>
      <c r="P134" s="45"/>
      <c r="Q134" s="45"/>
      <c r="R134" s="45"/>
      <c r="S134" s="45"/>
      <c r="T134" s="45"/>
      <c r="U134" s="45"/>
      <c r="V134" s="45"/>
      <c r="W134" s="45"/>
      <c r="X134" s="45"/>
    </row>
    <row r="135" spans="7:24" x14ac:dyDescent="0.25">
      <c r="G135" s="45"/>
      <c r="H135" s="45"/>
      <c r="I135" s="45"/>
      <c r="J135" s="45"/>
      <c r="K135" s="45"/>
      <c r="L135" s="45"/>
      <c r="M135" s="45"/>
      <c r="N135" s="45"/>
      <c r="O135" s="45"/>
      <c r="P135" s="45"/>
      <c r="Q135" s="45"/>
      <c r="R135" s="45"/>
      <c r="S135" s="45"/>
      <c r="T135" s="45"/>
      <c r="U135" s="45"/>
      <c r="V135" s="45"/>
      <c r="W135" s="45"/>
      <c r="X135" s="45"/>
    </row>
    <row r="136" spans="7:24" x14ac:dyDescent="0.25">
      <c r="G136" s="45"/>
      <c r="H136" s="45"/>
      <c r="I136" s="45"/>
      <c r="J136" s="45"/>
      <c r="K136" s="45"/>
      <c r="L136" s="45"/>
      <c r="M136" s="45"/>
      <c r="N136" s="45"/>
      <c r="O136" s="45"/>
      <c r="P136" s="45"/>
      <c r="Q136" s="45"/>
      <c r="R136" s="45"/>
      <c r="S136" s="45"/>
      <c r="T136" s="45"/>
      <c r="U136" s="45"/>
      <c r="V136" s="45"/>
      <c r="W136" s="45"/>
      <c r="X136" s="45"/>
    </row>
    <row r="137" spans="7:24" x14ac:dyDescent="0.25">
      <c r="G137" s="45"/>
      <c r="H137" s="45"/>
      <c r="I137" s="45"/>
      <c r="J137" s="45"/>
      <c r="K137" s="45"/>
      <c r="L137" s="45"/>
      <c r="M137" s="45"/>
      <c r="N137" s="45"/>
      <c r="O137" s="45"/>
      <c r="P137" s="45"/>
      <c r="Q137" s="45"/>
      <c r="R137" s="45"/>
      <c r="S137" s="45"/>
      <c r="T137" s="45"/>
      <c r="U137" s="45"/>
      <c r="V137" s="45"/>
      <c r="W137" s="45"/>
      <c r="X137" s="45"/>
    </row>
    <row r="138" spans="7:24" x14ac:dyDescent="0.25">
      <c r="G138" s="45"/>
      <c r="H138" s="45"/>
      <c r="I138" s="45"/>
      <c r="J138" s="45"/>
      <c r="K138" s="45"/>
      <c r="L138" s="45"/>
      <c r="M138" s="45"/>
      <c r="N138" s="45"/>
      <c r="O138" s="45"/>
      <c r="P138" s="45"/>
      <c r="Q138" s="45"/>
      <c r="R138" s="45"/>
      <c r="S138" s="45"/>
      <c r="T138" s="45"/>
      <c r="U138" s="45"/>
      <c r="V138" s="45"/>
      <c r="W138" s="45"/>
      <c r="X138" s="45"/>
    </row>
    <row r="139" spans="7:24" x14ac:dyDescent="0.25">
      <c r="G139" s="45"/>
      <c r="H139" s="45"/>
      <c r="I139" s="45"/>
      <c r="J139" s="45"/>
      <c r="K139" s="45"/>
      <c r="L139" s="45"/>
      <c r="M139" s="45"/>
      <c r="N139" s="45"/>
      <c r="O139" s="45"/>
      <c r="P139" s="45"/>
      <c r="Q139" s="45"/>
      <c r="R139" s="45"/>
      <c r="S139" s="45"/>
      <c r="T139" s="45"/>
      <c r="U139" s="45"/>
      <c r="V139" s="45"/>
      <c r="W139" s="45"/>
      <c r="X139" s="45"/>
    </row>
    <row r="140" spans="7:24" x14ac:dyDescent="0.25">
      <c r="G140" s="45"/>
      <c r="H140" s="45"/>
      <c r="I140" s="45"/>
      <c r="J140" s="45"/>
      <c r="K140" s="45"/>
      <c r="L140" s="45"/>
      <c r="M140" s="45"/>
      <c r="N140" s="45"/>
      <c r="O140" s="45"/>
      <c r="P140" s="45"/>
      <c r="Q140" s="45"/>
      <c r="R140" s="45"/>
      <c r="S140" s="45"/>
      <c r="T140" s="45"/>
      <c r="U140" s="45"/>
      <c r="V140" s="45"/>
      <c r="W140" s="45"/>
      <c r="X140" s="45"/>
    </row>
    <row r="141" spans="7:24" x14ac:dyDescent="0.25">
      <c r="G141" s="45"/>
      <c r="H141" s="45"/>
      <c r="I141" s="45"/>
      <c r="J141" s="45"/>
      <c r="K141" s="45"/>
      <c r="L141" s="45"/>
      <c r="M141" s="45"/>
      <c r="N141" s="45"/>
      <c r="O141" s="45"/>
      <c r="P141" s="45"/>
      <c r="Q141" s="45"/>
      <c r="R141" s="45"/>
      <c r="S141" s="45"/>
      <c r="T141" s="45"/>
      <c r="U141" s="45"/>
      <c r="V141" s="45"/>
      <c r="W141" s="45"/>
      <c r="X141" s="45"/>
    </row>
    <row r="142" spans="7:24" x14ac:dyDescent="0.25">
      <c r="G142" s="45"/>
      <c r="H142" s="45"/>
      <c r="I142" s="45"/>
      <c r="J142" s="45"/>
      <c r="K142" s="45"/>
      <c r="L142" s="45"/>
      <c r="M142" s="45"/>
      <c r="N142" s="45"/>
      <c r="O142" s="45"/>
      <c r="P142" s="45"/>
      <c r="Q142" s="45"/>
      <c r="R142" s="45"/>
      <c r="S142" s="45"/>
      <c r="T142" s="45"/>
      <c r="U142" s="45"/>
      <c r="V142" s="45"/>
      <c r="W142" s="45"/>
      <c r="X142" s="45"/>
    </row>
    <row r="143" spans="7:24" x14ac:dyDescent="0.25">
      <c r="G143" s="45"/>
      <c r="H143" s="45"/>
      <c r="I143" s="45"/>
      <c r="J143" s="45"/>
      <c r="K143" s="45"/>
      <c r="L143" s="45"/>
      <c r="M143" s="45"/>
      <c r="N143" s="45"/>
      <c r="O143" s="45"/>
      <c r="P143" s="45"/>
      <c r="Q143" s="45"/>
      <c r="R143" s="45"/>
      <c r="S143" s="45"/>
      <c r="T143" s="45"/>
      <c r="U143" s="45"/>
      <c r="V143" s="45"/>
      <c r="W143" s="45"/>
      <c r="X143" s="45"/>
    </row>
    <row r="144" spans="7:24" x14ac:dyDescent="0.25">
      <c r="G144" s="45"/>
      <c r="H144" s="45"/>
      <c r="I144" s="45"/>
      <c r="J144" s="45"/>
      <c r="K144" s="45"/>
      <c r="L144" s="45"/>
      <c r="M144" s="45"/>
      <c r="N144" s="45"/>
      <c r="O144" s="45"/>
      <c r="P144" s="45"/>
      <c r="Q144" s="45"/>
      <c r="R144" s="45"/>
      <c r="S144" s="45"/>
      <c r="T144" s="45"/>
      <c r="U144" s="45"/>
      <c r="V144" s="45"/>
      <c r="W144" s="45"/>
      <c r="X144" s="45"/>
    </row>
    <row r="145" spans="7:24" x14ac:dyDescent="0.25">
      <c r="G145" s="45"/>
      <c r="H145" s="45"/>
      <c r="I145" s="45"/>
      <c r="J145" s="45"/>
      <c r="K145" s="45"/>
      <c r="L145" s="45"/>
      <c r="M145" s="45"/>
      <c r="N145" s="45"/>
      <c r="O145" s="45"/>
      <c r="P145" s="45"/>
      <c r="Q145" s="45"/>
      <c r="R145" s="45"/>
      <c r="S145" s="45"/>
      <c r="T145" s="45"/>
      <c r="U145" s="45"/>
      <c r="V145" s="45"/>
      <c r="W145" s="45"/>
      <c r="X145" s="45"/>
    </row>
    <row r="146" spans="7:24" x14ac:dyDescent="0.25">
      <c r="G146" s="45"/>
      <c r="H146" s="45"/>
      <c r="I146" s="45"/>
      <c r="J146" s="45"/>
      <c r="K146" s="45"/>
      <c r="L146" s="45"/>
      <c r="M146" s="45"/>
      <c r="N146" s="45"/>
      <c r="O146" s="45"/>
      <c r="P146" s="45"/>
      <c r="Q146" s="45"/>
      <c r="R146" s="45"/>
      <c r="S146" s="45"/>
      <c r="T146" s="45"/>
      <c r="U146" s="45"/>
      <c r="V146" s="45"/>
      <c r="W146" s="45"/>
      <c r="X146" s="45"/>
    </row>
    <row r="147" spans="7:24" x14ac:dyDescent="0.25">
      <c r="G147" s="45"/>
      <c r="H147" s="45"/>
      <c r="I147" s="45"/>
      <c r="J147" s="45"/>
      <c r="K147" s="45"/>
      <c r="L147" s="45"/>
      <c r="M147" s="45"/>
      <c r="N147" s="45"/>
      <c r="O147" s="45"/>
      <c r="P147" s="45"/>
      <c r="Q147" s="45"/>
      <c r="R147" s="45"/>
      <c r="S147" s="45"/>
      <c r="T147" s="45"/>
      <c r="U147" s="45"/>
      <c r="V147" s="45"/>
      <c r="W147" s="45"/>
      <c r="X147" s="45"/>
    </row>
    <row r="148" spans="7:24" x14ac:dyDescent="0.25">
      <c r="G148" s="45"/>
      <c r="H148" s="45"/>
      <c r="I148" s="45"/>
      <c r="J148" s="45"/>
      <c r="K148" s="45"/>
      <c r="L148" s="45"/>
      <c r="M148" s="45"/>
      <c r="N148" s="45"/>
      <c r="O148" s="45"/>
      <c r="P148" s="45"/>
      <c r="Q148" s="45"/>
      <c r="R148" s="45"/>
      <c r="S148" s="45"/>
      <c r="T148" s="45"/>
      <c r="U148" s="45"/>
      <c r="V148" s="45"/>
      <c r="W148" s="45"/>
      <c r="X148" s="45"/>
    </row>
    <row r="149" spans="7:24" x14ac:dyDescent="0.25">
      <c r="G149" s="45"/>
      <c r="H149" s="45"/>
      <c r="I149" s="45"/>
      <c r="J149" s="45"/>
      <c r="K149" s="45"/>
      <c r="L149" s="45"/>
      <c r="M149" s="45"/>
      <c r="N149" s="45"/>
      <c r="O149" s="45"/>
      <c r="P149" s="45"/>
      <c r="Q149" s="45"/>
      <c r="R149" s="45"/>
      <c r="S149" s="45"/>
      <c r="T149" s="45"/>
      <c r="U149" s="45"/>
      <c r="V149" s="45"/>
      <c r="W149" s="45"/>
      <c r="X149" s="45"/>
    </row>
    <row r="150" spans="7:24" x14ac:dyDescent="0.25">
      <c r="G150" s="45"/>
      <c r="H150" s="45"/>
      <c r="I150" s="45"/>
      <c r="J150" s="45"/>
      <c r="K150" s="45"/>
      <c r="L150" s="45"/>
      <c r="M150" s="45"/>
      <c r="N150" s="45"/>
      <c r="O150" s="45"/>
      <c r="P150" s="45"/>
      <c r="Q150" s="45"/>
      <c r="R150" s="45"/>
      <c r="S150" s="45"/>
      <c r="T150" s="45"/>
      <c r="U150" s="45"/>
      <c r="V150" s="45"/>
      <c r="W150" s="45"/>
      <c r="X150" s="45"/>
    </row>
    <row r="151" spans="7:24" x14ac:dyDescent="0.25">
      <c r="G151" s="45"/>
      <c r="H151" s="45"/>
      <c r="I151" s="45"/>
      <c r="J151" s="45"/>
      <c r="K151" s="45"/>
      <c r="L151" s="45"/>
      <c r="M151" s="45"/>
      <c r="N151" s="45"/>
      <c r="O151" s="45"/>
      <c r="P151" s="45"/>
      <c r="Q151" s="45"/>
      <c r="R151" s="45"/>
      <c r="S151" s="45"/>
      <c r="T151" s="45"/>
      <c r="U151" s="45"/>
      <c r="V151" s="45"/>
      <c r="W151" s="45"/>
      <c r="X151" s="45"/>
    </row>
    <row r="152" spans="7:24" x14ac:dyDescent="0.25">
      <c r="G152" s="45"/>
      <c r="H152" s="45"/>
      <c r="I152" s="45"/>
      <c r="J152" s="45"/>
      <c r="K152" s="45"/>
      <c r="L152" s="45"/>
      <c r="M152" s="45"/>
      <c r="N152" s="45"/>
      <c r="O152" s="45"/>
      <c r="P152" s="45"/>
      <c r="Q152" s="45"/>
      <c r="R152" s="45"/>
      <c r="S152" s="45"/>
      <c r="T152" s="45"/>
      <c r="U152" s="45"/>
      <c r="V152" s="45"/>
      <c r="W152" s="45"/>
      <c r="X152" s="45"/>
    </row>
    <row r="153" spans="7:24" x14ac:dyDescent="0.25">
      <c r="G153" s="45"/>
      <c r="H153" s="45"/>
      <c r="I153" s="45"/>
      <c r="J153" s="45"/>
      <c r="K153" s="45"/>
      <c r="L153" s="45"/>
      <c r="M153" s="45"/>
      <c r="N153" s="45"/>
      <c r="O153" s="45"/>
      <c r="P153" s="45"/>
      <c r="Q153" s="45"/>
      <c r="R153" s="45"/>
      <c r="S153" s="45"/>
      <c r="T153" s="45"/>
      <c r="U153" s="45"/>
      <c r="V153" s="45"/>
      <c r="W153" s="45"/>
      <c r="X153" s="45"/>
    </row>
    <row r="154" spans="7:24" x14ac:dyDescent="0.25">
      <c r="G154" s="45"/>
      <c r="H154" s="45"/>
      <c r="I154" s="45"/>
      <c r="J154" s="45"/>
      <c r="K154" s="45"/>
      <c r="L154" s="45"/>
      <c r="M154" s="45"/>
      <c r="N154" s="45"/>
      <c r="O154" s="45"/>
      <c r="P154" s="45"/>
      <c r="Q154" s="45"/>
      <c r="R154" s="45"/>
      <c r="S154" s="45"/>
      <c r="T154" s="45"/>
      <c r="U154" s="45"/>
      <c r="V154" s="45"/>
      <c r="W154" s="45"/>
      <c r="X154" s="45"/>
    </row>
    <row r="155" spans="7:24" x14ac:dyDescent="0.25">
      <c r="G155" s="45"/>
    </row>
    <row r="156" spans="7:24" x14ac:dyDescent="0.25">
      <c r="G156" s="2"/>
    </row>
    <row r="157" spans="7:24" x14ac:dyDescent="0.25">
      <c r="G157" s="2"/>
    </row>
  </sheetData>
  <sheetProtection algorithmName="SHA-512" hashValue="x6vWQFvAL6iM6LUMFcY8lBfJFr3TLntw9bIDS1gajyISY2RpC/7pNzuyorO9TrhZnxtp/9r8bI0iKctD8JcXXw==" saltValue="yRgSXoRi2o6qieUHBoKJ4w==" spinCount="100000" sheet="1" objects="1" scenarios="1" selectLockedCells="1" selectUnlockedCells="1"/>
  <mergeCells count="14">
    <mergeCell ref="B92:C92"/>
    <mergeCell ref="B93:C93"/>
    <mergeCell ref="B88:C88"/>
    <mergeCell ref="B89:C89"/>
    <mergeCell ref="B90:C90"/>
    <mergeCell ref="B91:C91"/>
    <mergeCell ref="A1:X1"/>
    <mergeCell ref="A84:C84"/>
    <mergeCell ref="B85:C85"/>
    <mergeCell ref="B86:C86"/>
    <mergeCell ref="B87:C87"/>
    <mergeCell ref="A79:C79"/>
    <mergeCell ref="A80:I80"/>
    <mergeCell ref="A81:U81"/>
  </mergeCells>
  <phoneticPr fontId="11" type="noConversion"/>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2AC33-061D-4165-8011-695C272D0DCD}">
  <dimension ref="A1:Q102"/>
  <sheetViews>
    <sheetView topLeftCell="B38" zoomScale="80" zoomScaleNormal="80" workbookViewId="0">
      <selection sqref="A1:O1"/>
    </sheetView>
  </sheetViews>
  <sheetFormatPr defaultColWidth="9.140625" defaultRowHeight="14.25" x14ac:dyDescent="0.2"/>
  <cols>
    <col min="1" max="1" width="11.42578125" style="2" customWidth="1"/>
    <col min="2" max="2" width="78.7109375" style="2" customWidth="1"/>
    <col min="3" max="3" width="34.5703125" style="2" customWidth="1"/>
    <col min="4" max="4" width="16.5703125" style="2" customWidth="1"/>
    <col min="5" max="5" width="14.85546875" style="2" customWidth="1"/>
    <col min="6" max="6" width="15.85546875" style="2" bestFit="1" customWidth="1"/>
    <col min="7" max="7" width="19.140625" style="2" bestFit="1" customWidth="1"/>
    <col min="8" max="8" width="26" style="2" bestFit="1" customWidth="1"/>
    <col min="9" max="9" width="21" style="2" bestFit="1" customWidth="1"/>
    <col min="10" max="10" width="19.140625" style="2" bestFit="1" customWidth="1"/>
    <col min="11" max="11" width="26" style="2" bestFit="1" customWidth="1"/>
    <col min="12" max="12" width="27.5703125" style="2" bestFit="1" customWidth="1"/>
    <col min="13" max="13" width="20.28515625" style="2" bestFit="1" customWidth="1"/>
    <col min="14" max="14" width="24.28515625" style="2" customWidth="1"/>
    <col min="15" max="15" width="20" style="2" customWidth="1"/>
    <col min="16" max="16384" width="9.140625" style="2"/>
  </cols>
  <sheetData>
    <row r="1" spans="1:15" ht="24" thickBot="1" x14ac:dyDescent="0.4">
      <c r="A1" s="99" t="s">
        <v>275</v>
      </c>
      <c r="B1" s="100"/>
      <c r="C1" s="100"/>
      <c r="D1" s="100"/>
      <c r="E1" s="100"/>
      <c r="F1" s="100"/>
      <c r="G1" s="100"/>
      <c r="H1" s="100"/>
      <c r="I1" s="100"/>
      <c r="J1" s="100"/>
      <c r="K1" s="100"/>
      <c r="L1" s="100"/>
      <c r="M1" s="100"/>
      <c r="N1" s="100"/>
      <c r="O1" s="109"/>
    </row>
    <row r="3" spans="1:15" s="3" customFormat="1" ht="69.75" customHeight="1" x14ac:dyDescent="0.2">
      <c r="A3" s="1" t="s">
        <v>83</v>
      </c>
      <c r="B3" s="1" t="s">
        <v>84</v>
      </c>
      <c r="C3" s="1" t="s">
        <v>92</v>
      </c>
      <c r="D3" s="1" t="s">
        <v>163</v>
      </c>
      <c r="E3" s="1" t="s">
        <v>164</v>
      </c>
      <c r="F3" s="1" t="s">
        <v>165</v>
      </c>
      <c r="G3" s="33" t="s">
        <v>81</v>
      </c>
      <c r="H3" s="33" t="s">
        <v>82</v>
      </c>
      <c r="I3" s="33" t="s">
        <v>247</v>
      </c>
      <c r="J3" s="33" t="s">
        <v>245</v>
      </c>
      <c r="K3" s="33" t="s">
        <v>246</v>
      </c>
      <c r="L3" s="33" t="s">
        <v>274</v>
      </c>
      <c r="M3" s="33" t="s">
        <v>273</v>
      </c>
      <c r="N3" s="33" t="s">
        <v>272</v>
      </c>
      <c r="O3" s="33" t="s">
        <v>271</v>
      </c>
    </row>
    <row r="4" spans="1:15" x14ac:dyDescent="0.2">
      <c r="A4" s="34">
        <v>1</v>
      </c>
      <c r="B4" s="11" t="s">
        <v>18</v>
      </c>
      <c r="C4" s="11" t="s">
        <v>72</v>
      </c>
      <c r="D4" s="11" t="s">
        <v>169</v>
      </c>
      <c r="E4" s="11" t="s">
        <v>170</v>
      </c>
      <c r="F4" s="11" t="s">
        <v>171</v>
      </c>
      <c r="G4" s="35">
        <v>33090000</v>
      </c>
      <c r="H4" s="35">
        <v>2117773000</v>
      </c>
      <c r="I4" s="36">
        <v>1.5624904085565355E-2</v>
      </c>
      <c r="J4" s="35">
        <v>282214000</v>
      </c>
      <c r="K4" s="35">
        <v>2328444000</v>
      </c>
      <c r="L4" s="36">
        <v>0.12120282901371045</v>
      </c>
      <c r="M4" s="35">
        <v>170113000</v>
      </c>
      <c r="N4" s="35">
        <v>2785268000</v>
      </c>
      <c r="O4" s="36">
        <v>6.3899999999999998E-2</v>
      </c>
    </row>
    <row r="5" spans="1:15" x14ac:dyDescent="0.2">
      <c r="A5" s="34">
        <v>2</v>
      </c>
      <c r="B5" s="11" t="s">
        <v>36</v>
      </c>
      <c r="C5" s="11" t="s">
        <v>69</v>
      </c>
      <c r="D5" s="11" t="s">
        <v>176</v>
      </c>
      <c r="E5" s="11" t="s">
        <v>170</v>
      </c>
      <c r="F5" s="11" t="s">
        <v>171</v>
      </c>
      <c r="G5" s="35">
        <v>4346000</v>
      </c>
      <c r="H5" s="35">
        <v>693697000</v>
      </c>
      <c r="I5" s="36">
        <v>6.2649831266388643E-3</v>
      </c>
      <c r="J5" s="35">
        <v>-2907000</v>
      </c>
      <c r="K5" s="35">
        <v>724536000</v>
      </c>
      <c r="L5" s="36">
        <v>-4.0122229951306768E-3</v>
      </c>
      <c r="M5" s="35">
        <v>1831000</v>
      </c>
      <c r="N5" s="35">
        <v>844894000</v>
      </c>
      <c r="O5" s="36">
        <v>2.2000000000000001E-3</v>
      </c>
    </row>
    <row r="6" spans="1:15" x14ac:dyDescent="0.2">
      <c r="A6" s="34">
        <v>3</v>
      </c>
      <c r="B6" s="11" t="s">
        <v>15</v>
      </c>
      <c r="C6" s="11" t="s">
        <v>72</v>
      </c>
      <c r="D6" s="11" t="s">
        <v>178</v>
      </c>
      <c r="E6" s="11" t="s">
        <v>170</v>
      </c>
      <c r="F6" s="11" t="s">
        <v>171</v>
      </c>
      <c r="G6" s="35">
        <v>75685000</v>
      </c>
      <c r="H6" s="35">
        <v>275470000</v>
      </c>
      <c r="I6" s="36">
        <v>0.27474861146404328</v>
      </c>
      <c r="J6" s="35">
        <v>1304000</v>
      </c>
      <c r="K6" s="35">
        <v>201261000</v>
      </c>
      <c r="L6" s="36">
        <v>6.4791489657708154E-3</v>
      </c>
      <c r="M6" s="35">
        <v>21754000</v>
      </c>
      <c r="N6" s="35">
        <v>247903000</v>
      </c>
      <c r="O6" s="36">
        <v>9.4799999999999995E-2</v>
      </c>
    </row>
    <row r="7" spans="1:15" x14ac:dyDescent="0.2">
      <c r="A7" s="34">
        <v>5</v>
      </c>
      <c r="B7" s="11" t="s">
        <v>23</v>
      </c>
      <c r="C7" s="11" t="s">
        <v>73</v>
      </c>
      <c r="D7" s="11" t="s">
        <v>179</v>
      </c>
      <c r="E7" s="11" t="s">
        <v>170</v>
      </c>
      <c r="F7" s="11" t="s">
        <v>168</v>
      </c>
      <c r="G7" s="35">
        <v>27445000</v>
      </c>
      <c r="H7" s="35">
        <v>414621000</v>
      </c>
      <c r="I7" s="36">
        <v>6.6192981059811251E-2</v>
      </c>
      <c r="J7" s="35">
        <v>-20080000</v>
      </c>
      <c r="K7" s="35">
        <v>395910000</v>
      </c>
      <c r="L7" s="36">
        <v>-5.0718597661084587E-2</v>
      </c>
      <c r="M7" s="35">
        <v>5516000</v>
      </c>
      <c r="N7" s="35">
        <v>441108000</v>
      </c>
      <c r="O7" s="36">
        <v>1.2699999999999999E-2</v>
      </c>
    </row>
    <row r="8" spans="1:15" x14ac:dyDescent="0.2">
      <c r="A8" s="34">
        <v>6</v>
      </c>
      <c r="B8" s="11" t="s">
        <v>59</v>
      </c>
      <c r="C8" s="11" t="s">
        <v>76</v>
      </c>
      <c r="D8" s="11" t="s">
        <v>186</v>
      </c>
      <c r="E8" s="11" t="s">
        <v>170</v>
      </c>
      <c r="F8" s="11" t="s">
        <v>171</v>
      </c>
      <c r="G8" s="35">
        <v>11321000</v>
      </c>
      <c r="H8" s="35">
        <v>157430000</v>
      </c>
      <c r="I8" s="36">
        <v>7.1911325668551102E-2</v>
      </c>
      <c r="J8" s="35">
        <v>6755000</v>
      </c>
      <c r="K8" s="35">
        <v>160360000</v>
      </c>
      <c r="L8" s="36">
        <v>4.2123971065103516E-2</v>
      </c>
      <c r="M8" s="35">
        <v>9002000</v>
      </c>
      <c r="N8" s="35">
        <v>195469000</v>
      </c>
      <c r="O8" s="36">
        <v>5.2600000000000001E-2</v>
      </c>
    </row>
    <row r="9" spans="1:15" x14ac:dyDescent="0.2">
      <c r="A9" s="34">
        <v>8</v>
      </c>
      <c r="B9" s="11" t="s">
        <v>21</v>
      </c>
      <c r="C9" s="11" t="s">
        <v>73</v>
      </c>
      <c r="D9" s="11" t="s">
        <v>169</v>
      </c>
      <c r="E9" s="11" t="s">
        <v>170</v>
      </c>
      <c r="F9" s="11" t="s">
        <v>171</v>
      </c>
      <c r="G9" s="35">
        <v>62407000</v>
      </c>
      <c r="H9" s="35">
        <v>502287000</v>
      </c>
      <c r="I9" s="36">
        <v>0.12424570016743415</v>
      </c>
      <c r="J9" s="35">
        <v>61385000</v>
      </c>
      <c r="K9" s="35">
        <v>516959000</v>
      </c>
      <c r="L9" s="36">
        <v>0.11874249215121509</v>
      </c>
      <c r="M9" s="35">
        <v>79331000</v>
      </c>
      <c r="N9" s="35">
        <v>563284000</v>
      </c>
      <c r="O9" s="36">
        <v>0.1449</v>
      </c>
    </row>
    <row r="10" spans="1:15" x14ac:dyDescent="0.2">
      <c r="A10" s="34">
        <v>9</v>
      </c>
      <c r="B10" s="11" t="s">
        <v>10</v>
      </c>
      <c r="C10" s="11" t="s">
        <v>69</v>
      </c>
      <c r="D10" s="11" t="s">
        <v>176</v>
      </c>
      <c r="E10" s="11" t="s">
        <v>170</v>
      </c>
      <c r="F10" s="11" t="s">
        <v>171</v>
      </c>
      <c r="G10" s="35">
        <v>3033000</v>
      </c>
      <c r="H10" s="35">
        <v>347115000</v>
      </c>
      <c r="I10" s="36">
        <v>8.7377382135603466E-3</v>
      </c>
      <c r="J10" s="35">
        <v>-589000</v>
      </c>
      <c r="K10" s="35">
        <v>371137000</v>
      </c>
      <c r="L10" s="36">
        <v>-1.5870150375737262E-3</v>
      </c>
      <c r="M10" s="35">
        <v>-12263000</v>
      </c>
      <c r="N10" s="35">
        <v>383839000</v>
      </c>
      <c r="O10" s="36">
        <v>-3.3799999999999997E-2</v>
      </c>
    </row>
    <row r="11" spans="1:15" x14ac:dyDescent="0.2">
      <c r="A11" s="34">
        <v>10</v>
      </c>
      <c r="B11" s="11" t="s">
        <v>40</v>
      </c>
      <c r="C11" s="11" t="s">
        <v>78</v>
      </c>
      <c r="D11" s="11" t="s">
        <v>182</v>
      </c>
      <c r="E11" s="11" t="s">
        <v>181</v>
      </c>
      <c r="F11" s="11" t="s">
        <v>171</v>
      </c>
      <c r="G11" s="35">
        <v>-15031000</v>
      </c>
      <c r="H11" s="35">
        <v>413581000</v>
      </c>
      <c r="I11" s="36">
        <v>-3.6343545762498763E-2</v>
      </c>
      <c r="J11" s="35">
        <v>-13478000</v>
      </c>
      <c r="K11" s="35">
        <v>460297000</v>
      </c>
      <c r="L11" s="36">
        <v>-2.9281094597618493E-2</v>
      </c>
      <c r="M11" s="35">
        <v>-4806000</v>
      </c>
      <c r="N11" s="35">
        <v>530572000</v>
      </c>
      <c r="O11" s="36">
        <v>-9.4000000000000004E-3</v>
      </c>
    </row>
    <row r="12" spans="1:15" x14ac:dyDescent="0.2">
      <c r="A12" s="34">
        <v>11</v>
      </c>
      <c r="B12" s="11" t="s">
        <v>4</v>
      </c>
      <c r="C12" s="11" t="s">
        <v>73</v>
      </c>
      <c r="D12" s="11" t="s">
        <v>174</v>
      </c>
      <c r="E12" s="11" t="s">
        <v>167</v>
      </c>
      <c r="F12" s="11" t="s">
        <v>168</v>
      </c>
      <c r="G12" s="35">
        <v>12373000</v>
      </c>
      <c r="H12" s="35">
        <v>150891000</v>
      </c>
      <c r="I12" s="36">
        <v>8.1999589107368889E-2</v>
      </c>
      <c r="J12" s="35">
        <v>-24409000</v>
      </c>
      <c r="K12" s="35">
        <v>134308000</v>
      </c>
      <c r="L12" s="36">
        <v>-0.18173898799773655</v>
      </c>
      <c r="M12" s="35">
        <v>-695000</v>
      </c>
      <c r="N12" s="35">
        <v>154508000</v>
      </c>
      <c r="O12" s="36">
        <v>-4.7000000000000002E-3</v>
      </c>
    </row>
    <row r="13" spans="1:15" x14ac:dyDescent="0.2">
      <c r="A13" s="34">
        <v>12</v>
      </c>
      <c r="B13" s="11" t="s">
        <v>62</v>
      </c>
      <c r="C13" s="11" t="s">
        <v>73</v>
      </c>
      <c r="D13" s="11" t="s">
        <v>169</v>
      </c>
      <c r="E13" s="11" t="s">
        <v>170</v>
      </c>
      <c r="F13" s="11" t="s">
        <v>171</v>
      </c>
      <c r="G13" s="35">
        <v>157635000</v>
      </c>
      <c r="H13" s="35">
        <v>920465000</v>
      </c>
      <c r="I13" s="36">
        <v>0.17125583264980201</v>
      </c>
      <c r="J13" s="35">
        <v>185970000</v>
      </c>
      <c r="K13" s="35">
        <v>992016000</v>
      </c>
      <c r="L13" s="36">
        <v>0.18746673440750955</v>
      </c>
      <c r="M13" s="35">
        <v>192831000</v>
      </c>
      <c r="N13" s="35">
        <v>1101150000</v>
      </c>
      <c r="O13" s="36">
        <v>0.18049999999999999</v>
      </c>
    </row>
    <row r="14" spans="1:15" x14ac:dyDescent="0.2">
      <c r="A14" s="34">
        <v>14</v>
      </c>
      <c r="B14" s="11" t="s">
        <v>12</v>
      </c>
      <c r="C14" s="11" t="s">
        <v>73</v>
      </c>
      <c r="D14" s="11" t="s">
        <v>173</v>
      </c>
      <c r="E14" s="11" t="s">
        <v>167</v>
      </c>
      <c r="F14" s="11" t="s">
        <v>171</v>
      </c>
      <c r="G14" s="35">
        <v>205583000</v>
      </c>
      <c r="H14" s="35">
        <v>1488911000</v>
      </c>
      <c r="I14" s="36">
        <v>0.13807608379547198</v>
      </c>
      <c r="J14" s="35">
        <v>158911000</v>
      </c>
      <c r="K14" s="35">
        <v>1561427000</v>
      </c>
      <c r="L14" s="36">
        <v>0.10177292950615047</v>
      </c>
      <c r="M14" s="35">
        <v>226006000</v>
      </c>
      <c r="N14" s="35">
        <v>1769560000</v>
      </c>
      <c r="O14" s="36">
        <v>0.12770000000000001</v>
      </c>
    </row>
    <row r="15" spans="1:15" x14ac:dyDescent="0.2">
      <c r="A15" s="34">
        <v>15</v>
      </c>
      <c r="B15" s="11" t="s">
        <v>34</v>
      </c>
      <c r="C15" s="11" t="s">
        <v>67</v>
      </c>
      <c r="D15" s="11" t="s">
        <v>184</v>
      </c>
      <c r="E15" s="11" t="s">
        <v>170</v>
      </c>
      <c r="F15" s="11" t="s">
        <v>171</v>
      </c>
      <c r="G15" s="35">
        <v>535347000</v>
      </c>
      <c r="H15" s="35">
        <v>1917003000</v>
      </c>
      <c r="I15" s="36">
        <v>0.27926247376764668</v>
      </c>
      <c r="J15" s="35">
        <v>-183708000</v>
      </c>
      <c r="K15" s="35">
        <v>1786013000</v>
      </c>
      <c r="L15" s="36">
        <v>-0.10285927370069535</v>
      </c>
      <c r="M15" s="35">
        <v>596365000</v>
      </c>
      <c r="N15" s="35">
        <v>2286222000</v>
      </c>
      <c r="O15" s="36">
        <v>0.26490000000000002</v>
      </c>
    </row>
    <row r="16" spans="1:15" x14ac:dyDescent="0.2">
      <c r="A16" s="34">
        <v>16</v>
      </c>
      <c r="B16" s="11" t="s">
        <v>9</v>
      </c>
      <c r="C16" s="11" t="s">
        <v>71</v>
      </c>
      <c r="D16" s="11" t="s">
        <v>178</v>
      </c>
      <c r="E16" s="11" t="s">
        <v>170</v>
      </c>
      <c r="F16" s="11" t="s">
        <v>171</v>
      </c>
      <c r="G16" s="35">
        <v>-3506000</v>
      </c>
      <c r="H16" s="35">
        <v>178960000</v>
      </c>
      <c r="I16" s="36">
        <v>-1.9590970049172998E-2</v>
      </c>
      <c r="J16" s="35">
        <v>-23329000</v>
      </c>
      <c r="K16" s="35">
        <v>155512000</v>
      </c>
      <c r="L16" s="36">
        <v>-0.15001414681825198</v>
      </c>
      <c r="M16" s="35">
        <v>-30166000</v>
      </c>
      <c r="N16" s="35">
        <v>161052000</v>
      </c>
      <c r="O16" s="36">
        <v>-0.19700000000000001</v>
      </c>
    </row>
    <row r="17" spans="1:15" x14ac:dyDescent="0.2">
      <c r="A17" s="34">
        <v>17</v>
      </c>
      <c r="B17" s="11" t="s">
        <v>8</v>
      </c>
      <c r="C17" s="11" t="s">
        <v>67</v>
      </c>
      <c r="D17" s="11" t="s">
        <v>184</v>
      </c>
      <c r="E17" s="11" t="s">
        <v>170</v>
      </c>
      <c r="F17" s="11" t="s">
        <v>171</v>
      </c>
      <c r="G17" s="35">
        <v>24844000</v>
      </c>
      <c r="H17" s="35">
        <v>238036000</v>
      </c>
      <c r="I17" s="36">
        <v>0.10437076744694079</v>
      </c>
      <c r="J17" s="35">
        <v>17071000</v>
      </c>
      <c r="K17" s="35">
        <v>258198000</v>
      </c>
      <c r="L17" s="36">
        <v>6.6115926536998743E-2</v>
      </c>
      <c r="M17" s="35">
        <v>21888000</v>
      </c>
      <c r="N17" s="35">
        <v>289445000</v>
      </c>
      <c r="O17" s="36">
        <v>7.7700000000000005E-2</v>
      </c>
    </row>
    <row r="18" spans="1:15" x14ac:dyDescent="0.2">
      <c r="A18" s="34">
        <v>19</v>
      </c>
      <c r="B18" s="11" t="s">
        <v>56</v>
      </c>
      <c r="C18" s="11" t="s">
        <v>77</v>
      </c>
      <c r="D18" s="11" t="s">
        <v>186</v>
      </c>
      <c r="E18" s="11" t="s">
        <v>170</v>
      </c>
      <c r="F18" s="11" t="s">
        <v>171</v>
      </c>
      <c r="G18" s="35">
        <v>78275000</v>
      </c>
      <c r="H18" s="35">
        <v>849450000</v>
      </c>
      <c r="I18" s="36">
        <v>9.2147860380246041E-2</v>
      </c>
      <c r="J18" s="35">
        <v>34407000</v>
      </c>
      <c r="K18" s="35">
        <v>817394000</v>
      </c>
      <c r="L18" s="36">
        <v>4.2093531393673063E-2</v>
      </c>
      <c r="M18" s="35">
        <v>51400000</v>
      </c>
      <c r="N18" s="35">
        <v>984250000</v>
      </c>
      <c r="O18" s="36">
        <v>5.8099999999999999E-2</v>
      </c>
    </row>
    <row r="19" spans="1:15" x14ac:dyDescent="0.2">
      <c r="A19" s="34">
        <v>21</v>
      </c>
      <c r="B19" s="11" t="s">
        <v>55</v>
      </c>
      <c r="C19" s="11" t="s">
        <v>73</v>
      </c>
      <c r="D19" s="11" t="s">
        <v>180</v>
      </c>
      <c r="E19" s="11" t="s">
        <v>181</v>
      </c>
      <c r="F19" s="11" t="s">
        <v>171</v>
      </c>
      <c r="G19" s="35">
        <v>-5344000</v>
      </c>
      <c r="H19" s="35">
        <v>138446000</v>
      </c>
      <c r="I19" s="36">
        <v>-3.8599887320688211E-2</v>
      </c>
      <c r="J19" s="35">
        <v>-69914000</v>
      </c>
      <c r="K19" s="35">
        <v>123717000</v>
      </c>
      <c r="L19" s="36">
        <v>-0.56511231277835705</v>
      </c>
      <c r="M19" s="35">
        <v>0</v>
      </c>
      <c r="N19" s="35">
        <v>0</v>
      </c>
      <c r="O19" s="36">
        <v>0</v>
      </c>
    </row>
    <row r="20" spans="1:15" x14ac:dyDescent="0.2">
      <c r="A20" s="34">
        <v>24</v>
      </c>
      <c r="B20" s="11" t="s">
        <v>45</v>
      </c>
      <c r="C20" s="11" t="s">
        <v>69</v>
      </c>
      <c r="D20" s="11" t="s">
        <v>190</v>
      </c>
      <c r="E20" s="11" t="s">
        <v>170</v>
      </c>
      <c r="F20" s="11" t="s">
        <v>171</v>
      </c>
      <c r="G20" s="35">
        <v>-625000</v>
      </c>
      <c r="H20" s="35">
        <v>137300000</v>
      </c>
      <c r="I20" s="36">
        <v>-4.5520757465404224E-3</v>
      </c>
      <c r="J20" s="35">
        <v>-20229000</v>
      </c>
      <c r="K20" s="35">
        <v>128172000</v>
      </c>
      <c r="L20" s="36">
        <v>-0.157826982492276</v>
      </c>
      <c r="M20" s="35">
        <v>-3060000</v>
      </c>
      <c r="N20" s="35">
        <v>143431000</v>
      </c>
      <c r="O20" s="36">
        <v>-2.2499999999999999E-2</v>
      </c>
    </row>
    <row r="21" spans="1:15" x14ac:dyDescent="0.2">
      <c r="A21" s="34">
        <v>25</v>
      </c>
      <c r="B21" s="11" t="s">
        <v>2</v>
      </c>
      <c r="C21" s="11" t="s">
        <v>71</v>
      </c>
      <c r="D21" s="11" t="s">
        <v>178</v>
      </c>
      <c r="E21" s="11" t="s">
        <v>170</v>
      </c>
      <c r="F21" s="11" t="s">
        <v>171</v>
      </c>
      <c r="G21" s="35">
        <v>-1975000</v>
      </c>
      <c r="H21" s="35">
        <v>156392000</v>
      </c>
      <c r="I21" s="36">
        <v>-1.2628523198117551E-2</v>
      </c>
      <c r="J21" s="35">
        <v>-15214000</v>
      </c>
      <c r="K21" s="35">
        <v>162770000</v>
      </c>
      <c r="L21" s="36">
        <v>-9.3469312526878415E-2</v>
      </c>
      <c r="M21" s="35">
        <v>-27634000</v>
      </c>
      <c r="N21" s="35">
        <v>138913000</v>
      </c>
      <c r="O21" s="36">
        <v>-0.20419999999999999</v>
      </c>
    </row>
    <row r="22" spans="1:15" x14ac:dyDescent="0.2">
      <c r="A22" s="34">
        <v>27</v>
      </c>
      <c r="B22" s="11" t="s">
        <v>60</v>
      </c>
      <c r="C22" s="11" t="s">
        <v>73</v>
      </c>
      <c r="D22" s="11" t="s">
        <v>190</v>
      </c>
      <c r="E22" s="11" t="s">
        <v>170</v>
      </c>
      <c r="F22" s="11" t="s">
        <v>171</v>
      </c>
      <c r="G22" s="35">
        <v>21512000</v>
      </c>
      <c r="H22" s="35">
        <v>337175000</v>
      </c>
      <c r="I22" s="36">
        <v>6.3800696967450138E-2</v>
      </c>
      <c r="J22" s="35">
        <v>-43187000</v>
      </c>
      <c r="K22" s="35">
        <v>537313000</v>
      </c>
      <c r="L22" s="36">
        <v>-8.0375870302784411E-2</v>
      </c>
      <c r="M22" s="35">
        <v>-42193000</v>
      </c>
      <c r="N22" s="35">
        <v>335919000</v>
      </c>
      <c r="O22" s="36">
        <v>-0.1331</v>
      </c>
    </row>
    <row r="23" spans="1:15" x14ac:dyDescent="0.2">
      <c r="A23" s="34">
        <v>28</v>
      </c>
      <c r="B23" s="11" t="s">
        <v>37</v>
      </c>
      <c r="C23" s="11" t="s">
        <v>67</v>
      </c>
      <c r="D23" s="11" t="s">
        <v>189</v>
      </c>
      <c r="E23" s="11" t="s">
        <v>170</v>
      </c>
      <c r="F23" s="11" t="s">
        <v>168</v>
      </c>
      <c r="G23" s="35">
        <v>6191000</v>
      </c>
      <c r="H23" s="35">
        <v>197905000</v>
      </c>
      <c r="I23" s="36">
        <v>3.1282686137288095E-2</v>
      </c>
      <c r="J23" s="35">
        <v>-4504000</v>
      </c>
      <c r="K23" s="35">
        <v>197584000</v>
      </c>
      <c r="L23" s="36">
        <v>-2.2795368045995627E-2</v>
      </c>
      <c r="M23" s="35">
        <v>-10128000</v>
      </c>
      <c r="N23" s="35">
        <v>207150000</v>
      </c>
      <c r="O23" s="36">
        <v>-5.0200000000000002E-2</v>
      </c>
    </row>
    <row r="24" spans="1:15" x14ac:dyDescent="0.2">
      <c r="A24" s="34">
        <v>29</v>
      </c>
      <c r="B24" s="11" t="s">
        <v>65</v>
      </c>
      <c r="C24" s="11" t="s">
        <v>74</v>
      </c>
      <c r="D24" s="11" t="s">
        <v>173</v>
      </c>
      <c r="E24" s="11" t="s">
        <v>167</v>
      </c>
      <c r="F24" s="11" t="s">
        <v>171</v>
      </c>
      <c r="G24" s="35">
        <v>33751000</v>
      </c>
      <c r="H24" s="35">
        <v>412610000</v>
      </c>
      <c r="I24" s="36">
        <v>8.1798793049126295E-2</v>
      </c>
      <c r="J24" s="35">
        <v>24531000</v>
      </c>
      <c r="K24" s="35">
        <v>459210000</v>
      </c>
      <c r="L24" s="36">
        <v>5.3420003919775264E-2</v>
      </c>
      <c r="M24" s="35">
        <v>10983000</v>
      </c>
      <c r="N24" s="35">
        <v>510089000</v>
      </c>
      <c r="O24" s="36">
        <v>2.2499999999999999E-2</v>
      </c>
    </row>
    <row r="25" spans="1:15" x14ac:dyDescent="0.2">
      <c r="A25" s="34">
        <v>31</v>
      </c>
      <c r="B25" s="11" t="s">
        <v>13</v>
      </c>
      <c r="C25" s="11" t="s">
        <v>73</v>
      </c>
      <c r="D25" s="11" t="s">
        <v>172</v>
      </c>
      <c r="E25" s="11" t="s">
        <v>167</v>
      </c>
      <c r="F25" s="11" t="s">
        <v>171</v>
      </c>
      <c r="G25" s="35">
        <v>15794000</v>
      </c>
      <c r="H25" s="35">
        <v>235524000</v>
      </c>
      <c r="I25" s="36">
        <v>6.7058983373244341E-2</v>
      </c>
      <c r="J25" s="35">
        <v>-558000</v>
      </c>
      <c r="K25" s="35">
        <v>227656000</v>
      </c>
      <c r="L25" s="36">
        <v>-2.4510665214182801E-3</v>
      </c>
      <c r="M25" s="35">
        <v>18605000</v>
      </c>
      <c r="N25" s="35">
        <v>266306000</v>
      </c>
      <c r="O25" s="36">
        <v>6.9900000000000004E-2</v>
      </c>
    </row>
    <row r="26" spans="1:15" x14ac:dyDescent="0.2">
      <c r="A26" s="34">
        <v>34</v>
      </c>
      <c r="B26" s="11" t="s">
        <v>43</v>
      </c>
      <c r="C26" s="11" t="s">
        <v>72</v>
      </c>
      <c r="D26" s="11" t="s">
        <v>183</v>
      </c>
      <c r="E26" s="11" t="s">
        <v>181</v>
      </c>
      <c r="F26" s="11" t="s">
        <v>171</v>
      </c>
      <c r="G26" s="35">
        <v>-251848000</v>
      </c>
      <c r="H26" s="35">
        <v>361397000</v>
      </c>
      <c r="I26" s="36">
        <v>-0.69687352136293323</v>
      </c>
      <c r="J26" s="35">
        <v>23233000</v>
      </c>
      <c r="K26" s="35">
        <v>382441000</v>
      </c>
      <c r="L26" s="36">
        <v>6.0749239752014038E-2</v>
      </c>
      <c r="M26" s="35">
        <v>25001000</v>
      </c>
      <c r="N26" s="35">
        <v>421272000</v>
      </c>
      <c r="O26" s="36">
        <v>6.1100000000000002E-2</v>
      </c>
    </row>
    <row r="27" spans="1:15" x14ac:dyDescent="0.2">
      <c r="A27" s="34">
        <v>37</v>
      </c>
      <c r="B27" s="11" t="s">
        <v>16</v>
      </c>
      <c r="C27" s="11" t="s">
        <v>72</v>
      </c>
      <c r="D27" s="11" t="s">
        <v>169</v>
      </c>
      <c r="E27" s="11" t="s">
        <v>170</v>
      </c>
      <c r="F27" s="11" t="s">
        <v>171</v>
      </c>
      <c r="G27" s="35">
        <v>27380000</v>
      </c>
      <c r="H27" s="35">
        <v>140489000</v>
      </c>
      <c r="I27" s="36">
        <v>0.19489070318672636</v>
      </c>
      <c r="J27" s="35">
        <v>17265000</v>
      </c>
      <c r="K27" s="35">
        <v>143510000</v>
      </c>
      <c r="L27" s="36">
        <v>0.12030520521218034</v>
      </c>
      <c r="M27" s="35">
        <v>27337000</v>
      </c>
      <c r="N27" s="35">
        <v>158992000</v>
      </c>
      <c r="O27" s="36">
        <v>0.18010000000000001</v>
      </c>
    </row>
    <row r="28" spans="1:15" x14ac:dyDescent="0.2">
      <c r="A28" s="34">
        <v>38</v>
      </c>
      <c r="B28" s="11" t="s">
        <v>46</v>
      </c>
      <c r="C28" s="11" t="s">
        <v>69</v>
      </c>
      <c r="D28" s="11" t="s">
        <v>182</v>
      </c>
      <c r="E28" s="11" t="s">
        <v>181</v>
      </c>
      <c r="F28" s="11" t="s">
        <v>171</v>
      </c>
      <c r="G28" s="35">
        <v>90851000</v>
      </c>
      <c r="H28" s="35">
        <v>1419829000</v>
      </c>
      <c r="I28" s="36">
        <v>6.3987282975625934E-2</v>
      </c>
      <c r="J28" s="35">
        <v>111105000</v>
      </c>
      <c r="K28" s="35">
        <v>1578767000</v>
      </c>
      <c r="L28" s="36">
        <v>7.0374539118185267E-2</v>
      </c>
      <c r="M28" s="35">
        <v>-204025000</v>
      </c>
      <c r="N28" s="35">
        <v>1628429000</v>
      </c>
      <c r="O28" s="36">
        <v>-0.1283</v>
      </c>
    </row>
    <row r="29" spans="1:15" x14ac:dyDescent="0.2">
      <c r="A29" s="34">
        <v>40</v>
      </c>
      <c r="B29" s="11" t="s">
        <v>20</v>
      </c>
      <c r="C29" s="11" t="s">
        <v>71</v>
      </c>
      <c r="D29" s="11" t="s">
        <v>178</v>
      </c>
      <c r="E29" s="11" t="s">
        <v>170</v>
      </c>
      <c r="F29" s="11" t="s">
        <v>171</v>
      </c>
      <c r="G29" s="35">
        <v>4662000</v>
      </c>
      <c r="H29" s="35">
        <v>188960000</v>
      </c>
      <c r="I29" s="36">
        <v>2.4671888230313292E-2</v>
      </c>
      <c r="J29" s="35">
        <v>-25528000</v>
      </c>
      <c r="K29" s="35">
        <v>173505000</v>
      </c>
      <c r="L29" s="36">
        <v>-0.14713120659346993</v>
      </c>
      <c r="M29" s="35">
        <v>-13734000</v>
      </c>
      <c r="N29" s="35">
        <v>181501000</v>
      </c>
      <c r="O29" s="36">
        <v>-7.9399999999999998E-2</v>
      </c>
    </row>
    <row r="30" spans="1:15" x14ac:dyDescent="0.2">
      <c r="A30" s="34">
        <v>41</v>
      </c>
      <c r="B30" s="11" t="s">
        <v>11</v>
      </c>
      <c r="C30" s="11" t="s">
        <v>69</v>
      </c>
      <c r="D30" s="11" t="s">
        <v>185</v>
      </c>
      <c r="E30" s="11" t="s">
        <v>181</v>
      </c>
      <c r="F30" s="11" t="s">
        <v>171</v>
      </c>
      <c r="G30" s="35">
        <v>-4585000</v>
      </c>
      <c r="H30" s="35">
        <v>459320000</v>
      </c>
      <c r="I30" s="36">
        <v>-9.9821475224244529E-3</v>
      </c>
      <c r="J30" s="35">
        <v>-29411000</v>
      </c>
      <c r="K30" s="35">
        <v>469579000</v>
      </c>
      <c r="L30" s="36">
        <v>-6.2632698651345145E-2</v>
      </c>
      <c r="M30" s="35">
        <v>-4556000</v>
      </c>
      <c r="N30" s="35">
        <v>537586000</v>
      </c>
      <c r="O30" s="36">
        <v>-8.6999999999999994E-3</v>
      </c>
    </row>
    <row r="31" spans="1:15" ht="14.25" customHeight="1" x14ac:dyDescent="0.2">
      <c r="A31" s="34">
        <v>44</v>
      </c>
      <c r="B31" s="11" t="s">
        <v>6</v>
      </c>
      <c r="C31" s="11" t="s">
        <v>70</v>
      </c>
      <c r="D31" s="11" t="s">
        <v>180</v>
      </c>
      <c r="E31" s="11" t="s">
        <v>181</v>
      </c>
      <c r="F31" s="11" t="s">
        <v>171</v>
      </c>
      <c r="G31" s="35">
        <v>16016000</v>
      </c>
      <c r="H31" s="35">
        <v>609974000</v>
      </c>
      <c r="I31" s="36">
        <v>2.6256856849636214E-2</v>
      </c>
      <c r="J31" s="35">
        <v>3889000</v>
      </c>
      <c r="K31" s="35">
        <v>713206000</v>
      </c>
      <c r="L31" s="36">
        <v>5.4528425167483172E-3</v>
      </c>
      <c r="M31" s="35">
        <v>47221000</v>
      </c>
      <c r="N31" s="35">
        <v>840094000</v>
      </c>
      <c r="O31" s="36">
        <v>6.1100000000000002E-2</v>
      </c>
    </row>
    <row r="32" spans="1:15" x14ac:dyDescent="0.2">
      <c r="A32" s="34">
        <v>45</v>
      </c>
      <c r="B32" s="11" t="s">
        <v>14</v>
      </c>
      <c r="C32" s="11" t="s">
        <v>73</v>
      </c>
      <c r="D32" s="11" t="s">
        <v>169</v>
      </c>
      <c r="E32" s="11" t="s">
        <v>170</v>
      </c>
      <c r="F32" s="11" t="s">
        <v>171</v>
      </c>
      <c r="G32" s="35">
        <v>9978000</v>
      </c>
      <c r="H32" s="35">
        <v>908739000</v>
      </c>
      <c r="I32" s="36">
        <v>1.0980050377501131E-2</v>
      </c>
      <c r="J32" s="35">
        <v>28867000</v>
      </c>
      <c r="K32" s="35">
        <v>999121000</v>
      </c>
      <c r="L32" s="36">
        <v>2.8892396416450059E-2</v>
      </c>
      <c r="M32" s="35">
        <v>72667000</v>
      </c>
      <c r="N32" s="35">
        <v>1156416000</v>
      </c>
      <c r="O32" s="36">
        <v>6.4199999999999993E-2</v>
      </c>
    </row>
    <row r="33" spans="1:15" x14ac:dyDescent="0.2">
      <c r="A33" s="34">
        <v>47</v>
      </c>
      <c r="B33" s="11" t="s">
        <v>53</v>
      </c>
      <c r="C33" s="11" t="s">
        <v>73</v>
      </c>
      <c r="D33" s="11" t="s">
        <v>166</v>
      </c>
      <c r="E33" s="11" t="s">
        <v>167</v>
      </c>
      <c r="F33" s="11" t="s">
        <v>168</v>
      </c>
      <c r="G33" s="35">
        <v>38143000</v>
      </c>
      <c r="H33" s="35">
        <v>230368000</v>
      </c>
      <c r="I33" s="36">
        <v>0.1655742116960689</v>
      </c>
      <c r="J33" s="35">
        <v>37077000</v>
      </c>
      <c r="K33" s="35">
        <v>249118000</v>
      </c>
      <c r="L33" s="36">
        <v>0.14883308311723761</v>
      </c>
      <c r="M33" s="35">
        <v>33067000</v>
      </c>
      <c r="N33" s="35">
        <v>249199000</v>
      </c>
      <c r="O33" s="36">
        <v>0.13569999999999999</v>
      </c>
    </row>
    <row r="34" spans="1:15" x14ac:dyDescent="0.2">
      <c r="A34" s="34">
        <v>48</v>
      </c>
      <c r="B34" s="11" t="s">
        <v>47</v>
      </c>
      <c r="C34" s="11" t="s">
        <v>69</v>
      </c>
      <c r="D34" s="11" t="s">
        <v>188</v>
      </c>
      <c r="E34" s="11" t="s">
        <v>181</v>
      </c>
      <c r="F34" s="11" t="s">
        <v>171</v>
      </c>
      <c r="G34" s="35">
        <v>-6847000</v>
      </c>
      <c r="H34" s="35">
        <v>347927000</v>
      </c>
      <c r="I34" s="36">
        <v>-1.9679415509575283E-2</v>
      </c>
      <c r="J34" s="35">
        <v>-23878000</v>
      </c>
      <c r="K34" s="35">
        <v>358923000</v>
      </c>
      <c r="L34" s="36">
        <v>-6.6526803799143552E-2</v>
      </c>
      <c r="M34" s="35">
        <v>-17171000</v>
      </c>
      <c r="N34" s="35">
        <v>396927000</v>
      </c>
      <c r="O34" s="36">
        <v>-4.4499999999999998E-2</v>
      </c>
    </row>
    <row r="35" spans="1:15" x14ac:dyDescent="0.2">
      <c r="A35" s="34">
        <v>50</v>
      </c>
      <c r="B35" s="11" t="s">
        <v>48</v>
      </c>
      <c r="C35" s="11" t="s">
        <v>76</v>
      </c>
      <c r="D35" s="11" t="s">
        <v>184</v>
      </c>
      <c r="E35" s="11" t="s">
        <v>170</v>
      </c>
      <c r="F35" s="11" t="s">
        <v>171</v>
      </c>
      <c r="G35" s="35">
        <v>57176000</v>
      </c>
      <c r="H35" s="35">
        <v>227082000</v>
      </c>
      <c r="I35" s="36">
        <v>0.25178569855823008</v>
      </c>
      <c r="J35" s="35">
        <v>4167000</v>
      </c>
      <c r="K35" s="35">
        <v>209824000</v>
      </c>
      <c r="L35" s="36">
        <v>1.9859501296324539E-2</v>
      </c>
      <c r="M35" s="35">
        <v>13822000</v>
      </c>
      <c r="N35" s="35">
        <v>231541000</v>
      </c>
      <c r="O35" s="36">
        <v>5.9299999999999999E-2</v>
      </c>
    </row>
    <row r="36" spans="1:15" x14ac:dyDescent="0.2">
      <c r="A36" s="34">
        <v>51</v>
      </c>
      <c r="B36" s="11" t="s">
        <v>39</v>
      </c>
      <c r="C36" s="11" t="s">
        <v>67</v>
      </c>
      <c r="D36" s="11" t="s">
        <v>190</v>
      </c>
      <c r="E36" s="11" t="s">
        <v>170</v>
      </c>
      <c r="F36" s="11" t="s">
        <v>171</v>
      </c>
      <c r="G36" s="35">
        <v>131474000</v>
      </c>
      <c r="H36" s="35">
        <v>863083000</v>
      </c>
      <c r="I36" s="36">
        <v>0.15233065649537761</v>
      </c>
      <c r="J36" s="35">
        <v>102002000</v>
      </c>
      <c r="K36" s="35">
        <v>904647000</v>
      </c>
      <c r="L36" s="36">
        <v>0.11275337230986229</v>
      </c>
      <c r="M36" s="35">
        <v>107833000</v>
      </c>
      <c r="N36" s="35">
        <v>996478000</v>
      </c>
      <c r="O36" s="36">
        <v>0.1106</v>
      </c>
    </row>
    <row r="37" spans="1:15" x14ac:dyDescent="0.2">
      <c r="A37" s="34">
        <v>52</v>
      </c>
      <c r="B37" s="11" t="s">
        <v>38</v>
      </c>
      <c r="C37" s="11" t="s">
        <v>72</v>
      </c>
      <c r="D37" s="11" t="s">
        <v>185</v>
      </c>
      <c r="E37" s="11" t="s">
        <v>181</v>
      </c>
      <c r="F37" s="11" t="s">
        <v>171</v>
      </c>
      <c r="G37" s="35">
        <v>27809000</v>
      </c>
      <c r="H37" s="35">
        <v>477681000</v>
      </c>
      <c r="I37" s="36">
        <v>5.8216675982507154E-2</v>
      </c>
      <c r="J37" s="35">
        <v>13012000</v>
      </c>
      <c r="K37" s="35">
        <v>497913000</v>
      </c>
      <c r="L37" s="36">
        <v>2.6133079473723321E-2</v>
      </c>
      <c r="M37" s="35">
        <v>15788000</v>
      </c>
      <c r="N37" s="35">
        <v>565945000</v>
      </c>
      <c r="O37" s="36">
        <v>2.8799999999999999E-2</v>
      </c>
    </row>
    <row r="38" spans="1:15" x14ac:dyDescent="0.2">
      <c r="A38" s="34">
        <v>54</v>
      </c>
      <c r="B38" s="11" t="s">
        <v>17</v>
      </c>
      <c r="C38" s="11" t="s">
        <v>72</v>
      </c>
      <c r="D38" s="11" t="s">
        <v>176</v>
      </c>
      <c r="E38" s="11" t="s">
        <v>170</v>
      </c>
      <c r="F38" s="11" t="s">
        <v>171</v>
      </c>
      <c r="G38" s="35">
        <v>57034000</v>
      </c>
      <c r="H38" s="35">
        <v>288236000</v>
      </c>
      <c r="I38" s="36">
        <v>0.19787257663858782</v>
      </c>
      <c r="J38" s="35">
        <v>43482000</v>
      </c>
      <c r="K38" s="35">
        <v>315257000</v>
      </c>
      <c r="L38" s="36">
        <v>0.13792556549101209</v>
      </c>
      <c r="M38" s="35">
        <v>59961000</v>
      </c>
      <c r="N38" s="35">
        <v>374536000</v>
      </c>
      <c r="O38" s="36">
        <v>0.1736</v>
      </c>
    </row>
    <row r="39" spans="1:15" x14ac:dyDescent="0.2">
      <c r="A39" s="34">
        <v>57</v>
      </c>
      <c r="B39" s="11" t="s">
        <v>122</v>
      </c>
      <c r="C39" s="11" t="s">
        <v>74</v>
      </c>
      <c r="D39" s="11" t="s">
        <v>172</v>
      </c>
      <c r="E39" s="11" t="s">
        <v>167</v>
      </c>
      <c r="F39" s="11" t="s">
        <v>171</v>
      </c>
      <c r="G39" s="35">
        <v>69882000</v>
      </c>
      <c r="H39" s="35">
        <v>409773000</v>
      </c>
      <c r="I39" s="36">
        <v>0.17053832243705661</v>
      </c>
      <c r="J39" s="35">
        <v>39883000</v>
      </c>
      <c r="K39" s="35">
        <v>424829000</v>
      </c>
      <c r="L39" s="36">
        <v>9.3880125885944701E-2</v>
      </c>
      <c r="M39" s="35">
        <v>80764000</v>
      </c>
      <c r="N39" s="35">
        <v>489344000</v>
      </c>
      <c r="O39" s="36">
        <v>0.17369999999999999</v>
      </c>
    </row>
    <row r="40" spans="1:15" x14ac:dyDescent="0.2">
      <c r="A40" s="34">
        <v>58</v>
      </c>
      <c r="B40" s="11" t="s">
        <v>35</v>
      </c>
      <c r="C40" s="11" t="s">
        <v>73</v>
      </c>
      <c r="D40" s="11" t="s">
        <v>169</v>
      </c>
      <c r="E40" s="11" t="s">
        <v>170</v>
      </c>
      <c r="F40" s="11" t="s">
        <v>171</v>
      </c>
      <c r="G40" s="35">
        <v>2580000</v>
      </c>
      <c r="H40" s="35">
        <v>267269000</v>
      </c>
      <c r="I40" s="36">
        <v>9.6531958438876193E-3</v>
      </c>
      <c r="J40" s="35">
        <v>6004000</v>
      </c>
      <c r="K40" s="35">
        <v>254704000</v>
      </c>
      <c r="L40" s="36">
        <v>2.3572460581694831E-2</v>
      </c>
      <c r="M40" s="35">
        <v>2632000</v>
      </c>
      <c r="N40" s="35">
        <v>311856000</v>
      </c>
      <c r="O40" s="36">
        <v>8.6999999999999994E-3</v>
      </c>
    </row>
    <row r="41" spans="1:15" x14ac:dyDescent="0.2">
      <c r="A41" s="34">
        <v>60</v>
      </c>
      <c r="B41" s="11" t="s">
        <v>58</v>
      </c>
      <c r="C41" s="11" t="s">
        <v>75</v>
      </c>
      <c r="D41" s="11" t="s">
        <v>191</v>
      </c>
      <c r="E41" s="11" t="s">
        <v>170</v>
      </c>
      <c r="F41" s="11" t="s">
        <v>168</v>
      </c>
      <c r="G41" s="35">
        <v>26731000</v>
      </c>
      <c r="H41" s="35">
        <v>146800000</v>
      </c>
      <c r="I41" s="36">
        <v>0.18209128065395094</v>
      </c>
      <c r="J41" s="35">
        <v>34287000</v>
      </c>
      <c r="K41" s="35">
        <v>170376000</v>
      </c>
      <c r="L41" s="36">
        <v>0.20124313283561066</v>
      </c>
      <c r="M41" s="35">
        <v>59208000</v>
      </c>
      <c r="N41" s="35">
        <v>206955000</v>
      </c>
      <c r="O41" s="36">
        <v>0.29189999999999999</v>
      </c>
    </row>
    <row r="42" spans="1:15" x14ac:dyDescent="0.2">
      <c r="A42" s="34">
        <v>61</v>
      </c>
      <c r="B42" s="11" t="s">
        <v>116</v>
      </c>
      <c r="C42" s="11" t="s">
        <v>74</v>
      </c>
      <c r="D42" s="11" t="s">
        <v>172</v>
      </c>
      <c r="E42" s="11" t="s">
        <v>167</v>
      </c>
      <c r="F42" s="11" t="s">
        <v>171</v>
      </c>
      <c r="G42" s="35">
        <v>6468000</v>
      </c>
      <c r="H42" s="35">
        <v>111505000</v>
      </c>
      <c r="I42" s="36">
        <v>5.8006367427469618E-2</v>
      </c>
      <c r="J42" s="35">
        <v>2999000</v>
      </c>
      <c r="K42" s="35">
        <v>116744000</v>
      </c>
      <c r="L42" s="36">
        <v>2.5688686356472281E-2</v>
      </c>
      <c r="M42" s="35">
        <v>-1596000</v>
      </c>
      <c r="N42" s="35">
        <v>137866000</v>
      </c>
      <c r="O42" s="36">
        <v>-1.29E-2</v>
      </c>
    </row>
    <row r="43" spans="1:15" x14ac:dyDescent="0.2">
      <c r="A43" s="34">
        <v>69</v>
      </c>
      <c r="B43" s="11" t="s">
        <v>24</v>
      </c>
      <c r="C43" s="11" t="s">
        <v>80</v>
      </c>
      <c r="D43" s="11" t="s">
        <v>187</v>
      </c>
      <c r="E43" s="11" t="s">
        <v>167</v>
      </c>
      <c r="F43" s="11" t="s">
        <v>168</v>
      </c>
      <c r="G43" s="35">
        <v>12913000</v>
      </c>
      <c r="H43" s="35">
        <v>70892000</v>
      </c>
      <c r="I43" s="36">
        <v>0.18215031315240082</v>
      </c>
      <c r="J43" s="35">
        <v>-30000</v>
      </c>
      <c r="K43" s="35">
        <v>65223000</v>
      </c>
      <c r="L43" s="36">
        <v>-4.5996044340186745E-4</v>
      </c>
      <c r="M43" s="35">
        <v>9278000</v>
      </c>
      <c r="N43" s="35">
        <v>75657000</v>
      </c>
      <c r="O43" s="36">
        <v>0.1298</v>
      </c>
    </row>
    <row r="44" spans="1:15" x14ac:dyDescent="0.2">
      <c r="A44" s="34">
        <v>70</v>
      </c>
      <c r="B44" s="11" t="s">
        <v>51</v>
      </c>
      <c r="C44" s="11" t="s">
        <v>73</v>
      </c>
      <c r="D44" s="11" t="s">
        <v>182</v>
      </c>
      <c r="E44" s="11" t="s">
        <v>181</v>
      </c>
      <c r="F44" s="11" t="s">
        <v>171</v>
      </c>
      <c r="G44" s="35">
        <v>106329000</v>
      </c>
      <c r="H44" s="35">
        <v>617011000</v>
      </c>
      <c r="I44" s="36">
        <v>0.17232918051704102</v>
      </c>
      <c r="J44" s="35">
        <v>76061000</v>
      </c>
      <c r="K44" s="35">
        <v>627966000</v>
      </c>
      <c r="L44" s="36">
        <v>0.12112279964201883</v>
      </c>
      <c r="M44" s="35">
        <v>59555000</v>
      </c>
      <c r="N44" s="35">
        <v>655460000</v>
      </c>
      <c r="O44" s="36">
        <v>9.4700000000000006E-2</v>
      </c>
    </row>
    <row r="45" spans="1:15" x14ac:dyDescent="0.2">
      <c r="A45" s="34">
        <v>73</v>
      </c>
      <c r="B45" s="11" t="s">
        <v>30</v>
      </c>
      <c r="C45" s="11" t="s">
        <v>72</v>
      </c>
      <c r="D45" s="11" t="s">
        <v>183</v>
      </c>
      <c r="E45" s="11" t="s">
        <v>181</v>
      </c>
      <c r="F45" s="11" t="s">
        <v>171</v>
      </c>
      <c r="G45" s="35">
        <v>-268403000</v>
      </c>
      <c r="H45" s="35">
        <v>1096326000</v>
      </c>
      <c r="I45" s="36">
        <v>-0.2448204275005792</v>
      </c>
      <c r="J45" s="35">
        <v>161949000</v>
      </c>
      <c r="K45" s="35">
        <v>1233895000</v>
      </c>
      <c r="L45" s="36">
        <v>0.13125022793673691</v>
      </c>
      <c r="M45" s="35">
        <v>120342000</v>
      </c>
      <c r="N45" s="35">
        <v>1463076000</v>
      </c>
      <c r="O45" s="36">
        <v>8.48E-2</v>
      </c>
    </row>
    <row r="46" spans="1:15" x14ac:dyDescent="0.2">
      <c r="A46" s="34">
        <v>74</v>
      </c>
      <c r="B46" s="11" t="s">
        <v>29</v>
      </c>
      <c r="C46" s="11" t="s">
        <v>69</v>
      </c>
      <c r="D46" s="11" t="s">
        <v>178</v>
      </c>
      <c r="E46" s="11" t="s">
        <v>170</v>
      </c>
      <c r="F46" s="11" t="s">
        <v>171</v>
      </c>
      <c r="G46" s="35">
        <v>-15765000</v>
      </c>
      <c r="H46" s="35">
        <v>444940000</v>
      </c>
      <c r="I46" s="36">
        <v>-3.5431743605879445E-2</v>
      </c>
      <c r="J46" s="35">
        <v>-34089000</v>
      </c>
      <c r="K46" s="35">
        <v>485710000</v>
      </c>
      <c r="L46" s="36">
        <v>-7.0183854563422618E-2</v>
      </c>
      <c r="M46" s="35">
        <v>-8086000</v>
      </c>
      <c r="N46" s="35">
        <v>560843000</v>
      </c>
      <c r="O46" s="36">
        <v>-1.4999999999999999E-2</v>
      </c>
    </row>
    <row r="47" spans="1:15" x14ac:dyDescent="0.2">
      <c r="A47" s="34">
        <v>75</v>
      </c>
      <c r="B47" s="11" t="s">
        <v>32</v>
      </c>
      <c r="C47" s="11" t="s">
        <v>69</v>
      </c>
      <c r="D47" s="11" t="s">
        <v>183</v>
      </c>
      <c r="E47" s="11" t="s">
        <v>181</v>
      </c>
      <c r="F47" s="11" t="s">
        <v>171</v>
      </c>
      <c r="G47" s="35">
        <v>3318000</v>
      </c>
      <c r="H47" s="35">
        <v>461536000</v>
      </c>
      <c r="I47" s="36">
        <v>7.1890383415378215E-3</v>
      </c>
      <c r="J47" s="35">
        <v>-28904000</v>
      </c>
      <c r="K47" s="35">
        <v>468232000</v>
      </c>
      <c r="L47" s="36">
        <v>-6.1730082523193633E-2</v>
      </c>
      <c r="M47" s="35">
        <v>134407000</v>
      </c>
      <c r="N47" s="35">
        <v>653420000</v>
      </c>
      <c r="O47" s="36">
        <v>0.2114</v>
      </c>
    </row>
    <row r="48" spans="1:15" x14ac:dyDescent="0.2">
      <c r="A48" s="34">
        <v>76</v>
      </c>
      <c r="B48" s="11" t="s">
        <v>222</v>
      </c>
      <c r="C48" s="11" t="s">
        <v>69</v>
      </c>
      <c r="D48" s="11" t="s">
        <v>176</v>
      </c>
      <c r="E48" s="11" t="s">
        <v>170</v>
      </c>
      <c r="F48" s="11" t="s">
        <v>171</v>
      </c>
      <c r="G48" s="35">
        <v>28098000</v>
      </c>
      <c r="H48" s="35">
        <v>1045104000</v>
      </c>
      <c r="I48" s="36">
        <v>2.6885362605061313E-2</v>
      </c>
      <c r="J48" s="35">
        <v>-13751000</v>
      </c>
      <c r="K48" s="35">
        <v>1104113000</v>
      </c>
      <c r="L48" s="36">
        <v>-1.2454341177035321E-2</v>
      </c>
      <c r="M48" s="35">
        <v>42102000</v>
      </c>
      <c r="N48" s="35">
        <v>1248902000</v>
      </c>
      <c r="O48" s="36">
        <v>3.4700000000000002E-2</v>
      </c>
    </row>
    <row r="49" spans="1:15" x14ac:dyDescent="0.2">
      <c r="A49" s="37">
        <v>81</v>
      </c>
      <c r="B49" s="15" t="s">
        <v>107</v>
      </c>
      <c r="C49" s="15" t="s">
        <v>80</v>
      </c>
      <c r="D49" s="15" t="s">
        <v>177</v>
      </c>
      <c r="E49" s="15" t="s">
        <v>167</v>
      </c>
      <c r="F49" s="15" t="s">
        <v>171</v>
      </c>
      <c r="G49" s="35">
        <v>0</v>
      </c>
      <c r="H49" s="35">
        <v>0</v>
      </c>
      <c r="I49" s="38">
        <v>0</v>
      </c>
      <c r="J49" s="35">
        <v>0</v>
      </c>
      <c r="K49" s="35">
        <v>0</v>
      </c>
      <c r="L49" s="38">
        <v>0</v>
      </c>
      <c r="M49" s="35">
        <v>0</v>
      </c>
      <c r="N49" s="35">
        <v>0</v>
      </c>
      <c r="O49" s="36">
        <v>0</v>
      </c>
    </row>
    <row r="50" spans="1:15" x14ac:dyDescent="0.2">
      <c r="A50" s="34">
        <v>83</v>
      </c>
      <c r="B50" s="11" t="s">
        <v>221</v>
      </c>
      <c r="C50" s="11" t="s">
        <v>73</v>
      </c>
      <c r="D50" s="11" t="s">
        <v>176</v>
      </c>
      <c r="E50" s="11" t="s">
        <v>170</v>
      </c>
      <c r="F50" s="11" t="s">
        <v>171</v>
      </c>
      <c r="G50" s="35">
        <v>-9290000</v>
      </c>
      <c r="H50" s="35">
        <v>98610000</v>
      </c>
      <c r="I50" s="36">
        <v>-9.4209512219856004E-2</v>
      </c>
      <c r="J50" s="35">
        <v>-14018000</v>
      </c>
      <c r="K50" s="35">
        <v>103003000</v>
      </c>
      <c r="L50" s="36">
        <v>-0.13609312350125724</v>
      </c>
      <c r="M50" s="35">
        <v>-8964000</v>
      </c>
      <c r="N50" s="35">
        <v>99631000</v>
      </c>
      <c r="O50" s="36">
        <v>-9.2399999999999996E-2</v>
      </c>
    </row>
    <row r="51" spans="1:15" x14ac:dyDescent="0.2">
      <c r="A51" s="34">
        <v>84</v>
      </c>
      <c r="B51" s="11" t="s">
        <v>33</v>
      </c>
      <c r="C51" s="11" t="s">
        <v>69</v>
      </c>
      <c r="D51" s="11" t="s">
        <v>185</v>
      </c>
      <c r="E51" s="11" t="s">
        <v>181</v>
      </c>
      <c r="F51" s="11" t="s">
        <v>171</v>
      </c>
      <c r="G51" s="35">
        <v>-9663000</v>
      </c>
      <c r="H51" s="35">
        <v>125034000</v>
      </c>
      <c r="I51" s="36">
        <v>-7.7282979029703922E-2</v>
      </c>
      <c r="J51" s="35">
        <v>-15652000</v>
      </c>
      <c r="K51" s="35">
        <v>136627000</v>
      </c>
      <c r="L51" s="36">
        <v>-0.11456007963286906</v>
      </c>
      <c r="M51" s="35">
        <v>3279000</v>
      </c>
      <c r="N51" s="35">
        <v>165166000</v>
      </c>
      <c r="O51" s="36">
        <v>2.0899999999999998E-2</v>
      </c>
    </row>
    <row r="52" spans="1:15" x14ac:dyDescent="0.2">
      <c r="A52" s="34">
        <v>91</v>
      </c>
      <c r="B52" s="11" t="s">
        <v>52</v>
      </c>
      <c r="C52" s="11" t="s">
        <v>73</v>
      </c>
      <c r="D52" s="11" t="s">
        <v>187</v>
      </c>
      <c r="E52" s="11" t="s">
        <v>167</v>
      </c>
      <c r="F52" s="11" t="s">
        <v>168</v>
      </c>
      <c r="G52" s="35">
        <v>-14444000</v>
      </c>
      <c r="H52" s="35">
        <v>52858000</v>
      </c>
      <c r="I52" s="36">
        <v>-0.27326043361459001</v>
      </c>
      <c r="J52" s="35">
        <v>32574000</v>
      </c>
      <c r="K52" s="35">
        <v>85729000</v>
      </c>
      <c r="L52" s="36">
        <v>0.37996477271401741</v>
      </c>
      <c r="M52" s="35">
        <v>-17741000</v>
      </c>
      <c r="N52" s="35">
        <v>27736000</v>
      </c>
      <c r="O52" s="36">
        <v>-0.66220000000000001</v>
      </c>
    </row>
    <row r="53" spans="1:15" x14ac:dyDescent="0.2">
      <c r="A53" s="34">
        <v>92</v>
      </c>
      <c r="B53" s="11" t="s">
        <v>5</v>
      </c>
      <c r="C53" s="11" t="s">
        <v>70</v>
      </c>
      <c r="D53" s="11" t="s">
        <v>180</v>
      </c>
      <c r="E53" s="11" t="s">
        <v>181</v>
      </c>
      <c r="F53" s="11" t="s">
        <v>171</v>
      </c>
      <c r="G53" s="35">
        <v>16125000</v>
      </c>
      <c r="H53" s="35">
        <v>331475000</v>
      </c>
      <c r="I53" s="36">
        <v>4.8646202579380043E-2</v>
      </c>
      <c r="J53" s="35">
        <v>30017000</v>
      </c>
      <c r="K53" s="35">
        <v>382533000</v>
      </c>
      <c r="L53" s="36">
        <v>7.8469047114889431E-2</v>
      </c>
      <c r="M53" s="35">
        <v>-50384000</v>
      </c>
      <c r="N53" s="35">
        <v>528751000</v>
      </c>
      <c r="O53" s="36">
        <v>-0.1394</v>
      </c>
    </row>
    <row r="54" spans="1:15" x14ac:dyDescent="0.2">
      <c r="A54" s="34">
        <v>96</v>
      </c>
      <c r="B54" s="11" t="s">
        <v>50</v>
      </c>
      <c r="C54" s="11" t="s">
        <v>76</v>
      </c>
      <c r="D54" s="11" t="s">
        <v>176</v>
      </c>
      <c r="E54" s="11" t="s">
        <v>170</v>
      </c>
      <c r="F54" s="11" t="s">
        <v>171</v>
      </c>
      <c r="G54" s="35">
        <v>10402000</v>
      </c>
      <c r="H54" s="35">
        <v>190816000</v>
      </c>
      <c r="I54" s="36">
        <v>5.4513248364916986E-2</v>
      </c>
      <c r="J54" s="35">
        <v>-21113000</v>
      </c>
      <c r="K54" s="35">
        <v>168541000</v>
      </c>
      <c r="L54" s="36">
        <v>-0.1252692223257249</v>
      </c>
      <c r="M54" s="35">
        <v>-26656000</v>
      </c>
      <c r="N54" s="35">
        <v>185531000</v>
      </c>
      <c r="O54" s="36">
        <v>-0.1636</v>
      </c>
    </row>
    <row r="55" spans="1:15" x14ac:dyDescent="0.2">
      <c r="A55" s="34">
        <v>108</v>
      </c>
      <c r="B55" s="11" t="s">
        <v>31</v>
      </c>
      <c r="C55" s="11" t="s">
        <v>72</v>
      </c>
      <c r="D55" s="11" t="s">
        <v>182</v>
      </c>
      <c r="E55" s="11" t="s">
        <v>181</v>
      </c>
      <c r="F55" s="11" t="s">
        <v>171</v>
      </c>
      <c r="G55" s="35">
        <v>124972000</v>
      </c>
      <c r="H55" s="35">
        <v>866820000</v>
      </c>
      <c r="I55" s="36">
        <v>0.14417295401582797</v>
      </c>
      <c r="J55" s="35">
        <v>27718000</v>
      </c>
      <c r="K55" s="35">
        <v>765674000</v>
      </c>
      <c r="L55" s="36">
        <v>3.6200785190564133E-2</v>
      </c>
      <c r="M55" s="35">
        <v>64164000</v>
      </c>
      <c r="N55" s="35">
        <v>1000750000</v>
      </c>
      <c r="O55" s="36">
        <v>6.7500000000000004E-2</v>
      </c>
    </row>
    <row r="56" spans="1:15" x14ac:dyDescent="0.2">
      <c r="A56" s="34">
        <v>110</v>
      </c>
      <c r="B56" s="11" t="s">
        <v>44</v>
      </c>
      <c r="C56" s="11" t="s">
        <v>69</v>
      </c>
      <c r="D56" s="11" t="s">
        <v>180</v>
      </c>
      <c r="E56" s="11" t="s">
        <v>181</v>
      </c>
      <c r="F56" s="11" t="s">
        <v>171</v>
      </c>
      <c r="G56" s="35">
        <v>-12459000</v>
      </c>
      <c r="H56" s="35">
        <v>203459000</v>
      </c>
      <c r="I56" s="36">
        <v>-6.1235924682614185E-2</v>
      </c>
      <c r="J56" s="35">
        <v>-24495000</v>
      </c>
      <c r="K56" s="35">
        <v>199498000</v>
      </c>
      <c r="L56" s="36">
        <v>-0.12278318579634884</v>
      </c>
      <c r="M56" s="35">
        <v>8083000</v>
      </c>
      <c r="N56" s="35">
        <v>235892000</v>
      </c>
      <c r="O56" s="36">
        <v>3.5299999999999998E-2</v>
      </c>
    </row>
    <row r="57" spans="1:15" x14ac:dyDescent="0.2">
      <c r="A57" s="34">
        <v>111</v>
      </c>
      <c r="B57" s="11" t="s">
        <v>7</v>
      </c>
      <c r="C57" s="11" t="s">
        <v>73</v>
      </c>
      <c r="D57" s="11" t="s">
        <v>183</v>
      </c>
      <c r="E57" s="11" t="s">
        <v>181</v>
      </c>
      <c r="F57" s="11" t="s">
        <v>171</v>
      </c>
      <c r="G57" s="35">
        <v>3692000</v>
      </c>
      <c r="H57" s="35">
        <v>348739000</v>
      </c>
      <c r="I57" s="36">
        <v>1.0586713846171492E-2</v>
      </c>
      <c r="J57" s="35">
        <v>-52566000</v>
      </c>
      <c r="K57" s="35">
        <v>350843000</v>
      </c>
      <c r="L57" s="36">
        <v>-0.14982770070943413</v>
      </c>
      <c r="M57" s="35">
        <v>-1632000</v>
      </c>
      <c r="N57" s="35">
        <v>391880000</v>
      </c>
      <c r="O57" s="36">
        <v>-4.1999999999999997E-3</v>
      </c>
    </row>
    <row r="58" spans="1:15" x14ac:dyDescent="0.2">
      <c r="A58" s="34">
        <v>112</v>
      </c>
      <c r="B58" s="11" t="s">
        <v>3</v>
      </c>
      <c r="C58" s="11" t="s">
        <v>72</v>
      </c>
      <c r="D58" s="11" t="s">
        <v>183</v>
      </c>
      <c r="E58" s="11" t="s">
        <v>181</v>
      </c>
      <c r="F58" s="11" t="s">
        <v>171</v>
      </c>
      <c r="G58" s="35">
        <v>-34152000</v>
      </c>
      <c r="H58" s="35">
        <v>191399000</v>
      </c>
      <c r="I58" s="36">
        <v>-0.17843353413549706</v>
      </c>
      <c r="J58" s="35">
        <v>17394000</v>
      </c>
      <c r="K58" s="35">
        <v>200282000</v>
      </c>
      <c r="L58" s="36">
        <v>8.6847544961604142E-2</v>
      </c>
      <c r="M58" s="35">
        <v>8270000</v>
      </c>
      <c r="N58" s="35">
        <v>217295000</v>
      </c>
      <c r="O58" s="36">
        <v>0.04</v>
      </c>
    </row>
    <row r="59" spans="1:15" x14ac:dyDescent="0.2">
      <c r="A59" s="34">
        <v>113</v>
      </c>
      <c r="B59" s="11" t="s">
        <v>54</v>
      </c>
      <c r="C59" s="11" t="s">
        <v>72</v>
      </c>
      <c r="D59" s="11" t="s">
        <v>185</v>
      </c>
      <c r="E59" s="11" t="s">
        <v>181</v>
      </c>
      <c r="F59" s="11" t="s">
        <v>171</v>
      </c>
      <c r="G59" s="35">
        <v>25397000</v>
      </c>
      <c r="H59" s="35">
        <v>236240000</v>
      </c>
      <c r="I59" s="36">
        <v>0.10750507958008805</v>
      </c>
      <c r="J59" s="35">
        <v>30070000</v>
      </c>
      <c r="K59" s="35">
        <v>238718000</v>
      </c>
      <c r="L59" s="36">
        <v>0.12596452718270093</v>
      </c>
      <c r="M59" s="35">
        <v>25575000</v>
      </c>
      <c r="N59" s="35">
        <v>263214000</v>
      </c>
      <c r="O59" s="36">
        <v>0.1009</v>
      </c>
    </row>
    <row r="60" spans="1:15" ht="14.25" customHeight="1" x14ac:dyDescent="0.2">
      <c r="A60" s="34">
        <v>115</v>
      </c>
      <c r="B60" s="11" t="s">
        <v>19</v>
      </c>
      <c r="C60" s="11" t="s">
        <v>67</v>
      </c>
      <c r="D60" s="11" t="s">
        <v>191</v>
      </c>
      <c r="E60" s="11" t="s">
        <v>170</v>
      </c>
      <c r="F60" s="11" t="s">
        <v>168</v>
      </c>
      <c r="G60" s="35">
        <v>5904000</v>
      </c>
      <c r="H60" s="35">
        <v>109120000</v>
      </c>
      <c r="I60" s="36">
        <v>5.4105571847507333E-2</v>
      </c>
      <c r="J60" s="35">
        <v>4992000</v>
      </c>
      <c r="K60" s="35">
        <v>121599000</v>
      </c>
      <c r="L60" s="36">
        <v>4.1052969185601855E-2</v>
      </c>
      <c r="M60" s="35">
        <v>4469000</v>
      </c>
      <c r="N60" s="35">
        <v>139311000</v>
      </c>
      <c r="O60" s="36">
        <v>3.32E-2</v>
      </c>
    </row>
    <row r="61" spans="1:15" x14ac:dyDescent="0.2">
      <c r="A61" s="34">
        <v>116</v>
      </c>
      <c r="B61" s="11" t="s">
        <v>57</v>
      </c>
      <c r="C61" s="11" t="s">
        <v>77</v>
      </c>
      <c r="D61" s="11" t="s">
        <v>186</v>
      </c>
      <c r="E61" s="11" t="s">
        <v>170</v>
      </c>
      <c r="F61" s="11" t="s">
        <v>171</v>
      </c>
      <c r="G61" s="35">
        <v>72344000</v>
      </c>
      <c r="H61" s="35">
        <v>194623000</v>
      </c>
      <c r="I61" s="36">
        <v>0.37171351792953555</v>
      </c>
      <c r="J61" s="35">
        <v>45112000</v>
      </c>
      <c r="K61" s="35">
        <v>170769000</v>
      </c>
      <c r="L61" s="36">
        <v>0.26416972635548608</v>
      </c>
      <c r="M61" s="35">
        <v>36925000</v>
      </c>
      <c r="N61" s="35">
        <v>191071000</v>
      </c>
      <c r="O61" s="36">
        <v>0.2147</v>
      </c>
    </row>
    <row r="62" spans="1:15" x14ac:dyDescent="0.2">
      <c r="A62" s="34">
        <v>118</v>
      </c>
      <c r="B62" s="11" t="s">
        <v>22</v>
      </c>
      <c r="C62" s="11" t="s">
        <v>73</v>
      </c>
      <c r="D62" s="11" t="s">
        <v>178</v>
      </c>
      <c r="E62" s="11" t="s">
        <v>170</v>
      </c>
      <c r="F62" s="11" t="s">
        <v>171</v>
      </c>
      <c r="G62" s="35">
        <v>26798000</v>
      </c>
      <c r="H62" s="35">
        <v>162915000</v>
      </c>
      <c r="I62" s="36">
        <v>0.16449068532670411</v>
      </c>
      <c r="J62" s="35">
        <v>8619000</v>
      </c>
      <c r="K62" s="35">
        <v>161949000</v>
      </c>
      <c r="L62" s="36">
        <v>5.3220458292425395E-2</v>
      </c>
      <c r="M62" s="35">
        <v>9905000</v>
      </c>
      <c r="N62" s="35">
        <v>181151000</v>
      </c>
      <c r="O62" s="36">
        <v>5.4699999999999999E-2</v>
      </c>
    </row>
    <row r="63" spans="1:15" x14ac:dyDescent="0.2">
      <c r="A63" s="34">
        <v>119</v>
      </c>
      <c r="B63" s="11" t="s">
        <v>61</v>
      </c>
      <c r="C63" s="11" t="s">
        <v>73</v>
      </c>
      <c r="D63" s="11" t="s">
        <v>176</v>
      </c>
      <c r="E63" s="11" t="s">
        <v>170</v>
      </c>
      <c r="F63" s="11" t="s">
        <v>171</v>
      </c>
      <c r="G63" s="35">
        <v>-7445000</v>
      </c>
      <c r="H63" s="35">
        <v>877788000</v>
      </c>
      <c r="I63" s="36">
        <v>-8.4815467971765396E-3</v>
      </c>
      <c r="J63" s="35">
        <v>95866000</v>
      </c>
      <c r="K63" s="35">
        <v>969523000</v>
      </c>
      <c r="L63" s="36">
        <v>9.8879552109645677E-2</v>
      </c>
      <c r="M63" s="35">
        <v>32464000</v>
      </c>
      <c r="N63" s="35">
        <v>1104038000</v>
      </c>
      <c r="O63" s="36">
        <v>3.44E-2</v>
      </c>
    </row>
    <row r="64" spans="1:15" x14ac:dyDescent="0.2">
      <c r="A64" s="34">
        <v>221</v>
      </c>
      <c r="B64" s="11" t="s">
        <v>64</v>
      </c>
      <c r="C64" s="11" t="s">
        <v>74</v>
      </c>
      <c r="D64" s="11" t="s">
        <v>173</v>
      </c>
      <c r="E64" s="11" t="s">
        <v>167</v>
      </c>
      <c r="F64" s="11" t="s">
        <v>171</v>
      </c>
      <c r="G64" s="35">
        <v>288986000</v>
      </c>
      <c r="H64" s="35">
        <v>972098000</v>
      </c>
      <c r="I64" s="36">
        <v>0.29728072684029799</v>
      </c>
      <c r="J64" s="35">
        <v>-59286000</v>
      </c>
      <c r="K64" s="35">
        <v>860247000</v>
      </c>
      <c r="L64" s="36">
        <v>-6.8917415579478919E-2</v>
      </c>
      <c r="M64" s="35">
        <v>293928000</v>
      </c>
      <c r="N64" s="35">
        <v>1097960000</v>
      </c>
      <c r="O64" s="36">
        <v>0.27739999999999998</v>
      </c>
    </row>
    <row r="65" spans="1:15" x14ac:dyDescent="0.2">
      <c r="A65" s="34">
        <v>224</v>
      </c>
      <c r="B65" s="11" t="s">
        <v>63</v>
      </c>
      <c r="C65" s="11" t="s">
        <v>74</v>
      </c>
      <c r="D65" s="11" t="s">
        <v>172</v>
      </c>
      <c r="E65" s="11" t="s">
        <v>167</v>
      </c>
      <c r="F65" s="11" t="s">
        <v>171</v>
      </c>
      <c r="G65" s="35">
        <v>9195000</v>
      </c>
      <c r="H65" s="35">
        <v>166072000</v>
      </c>
      <c r="I65" s="36">
        <v>5.5367551423478975E-2</v>
      </c>
      <c r="J65" s="35">
        <v>-15680000</v>
      </c>
      <c r="K65" s="35">
        <v>177517000</v>
      </c>
      <c r="L65" s="36">
        <v>-8.8329568435699113E-2</v>
      </c>
      <c r="M65" s="35">
        <v>50655000</v>
      </c>
      <c r="N65" s="35">
        <v>220717000</v>
      </c>
      <c r="O65" s="36">
        <v>0.23730000000000001</v>
      </c>
    </row>
    <row r="66" spans="1:15" x14ac:dyDescent="0.2">
      <c r="A66" s="34">
        <v>324</v>
      </c>
      <c r="B66" s="11" t="s">
        <v>25</v>
      </c>
      <c r="C66" s="11" t="s">
        <v>80</v>
      </c>
      <c r="D66" s="11" t="s">
        <v>175</v>
      </c>
      <c r="E66" s="11" t="s">
        <v>167</v>
      </c>
      <c r="F66" s="11" t="s">
        <v>168</v>
      </c>
      <c r="G66" s="35">
        <v>63965000</v>
      </c>
      <c r="H66" s="35">
        <v>570682000</v>
      </c>
      <c r="I66" s="36">
        <v>0.11208518929982021</v>
      </c>
      <c r="J66" s="35">
        <v>-86390000</v>
      </c>
      <c r="K66" s="35">
        <v>529352000</v>
      </c>
      <c r="L66" s="36">
        <v>-0.16319953452523084</v>
      </c>
      <c r="M66" s="35">
        <v>16380000</v>
      </c>
      <c r="N66" s="35">
        <v>652731000</v>
      </c>
      <c r="O66" s="36">
        <v>2.5899999999999999E-2</v>
      </c>
    </row>
    <row r="67" spans="1:15" x14ac:dyDescent="0.2">
      <c r="A67" s="34">
        <v>391</v>
      </c>
      <c r="B67" s="11" t="s">
        <v>42</v>
      </c>
      <c r="C67" s="11" t="s">
        <v>72</v>
      </c>
      <c r="D67" s="11" t="s">
        <v>182</v>
      </c>
      <c r="E67" s="11" t="s">
        <v>181</v>
      </c>
      <c r="F67" s="11" t="s">
        <v>171</v>
      </c>
      <c r="G67" s="35">
        <v>-24332000</v>
      </c>
      <c r="H67" s="35">
        <v>142120000</v>
      </c>
      <c r="I67" s="36">
        <v>-0.17120743034055727</v>
      </c>
      <c r="J67" s="35">
        <v>-3668000</v>
      </c>
      <c r="K67" s="35">
        <v>156132000</v>
      </c>
      <c r="L67" s="36">
        <v>-2.3492941869699996E-2</v>
      </c>
      <c r="M67" s="35">
        <v>-12521000</v>
      </c>
      <c r="N67" s="35">
        <v>182004000</v>
      </c>
      <c r="O67" s="36">
        <v>-7.5399999999999995E-2</v>
      </c>
    </row>
    <row r="68" spans="1:15" x14ac:dyDescent="0.2">
      <c r="A68" s="34">
        <v>392</v>
      </c>
      <c r="B68" s="11" t="s">
        <v>41</v>
      </c>
      <c r="C68" s="11" t="s">
        <v>72</v>
      </c>
      <c r="D68" s="11" t="s">
        <v>182</v>
      </c>
      <c r="E68" s="11" t="s">
        <v>181</v>
      </c>
      <c r="F68" s="11" t="s">
        <v>171</v>
      </c>
      <c r="G68" s="35">
        <v>30157000</v>
      </c>
      <c r="H68" s="35">
        <v>141517000</v>
      </c>
      <c r="I68" s="36">
        <v>0.21309807302302902</v>
      </c>
      <c r="J68" s="35">
        <v>23990000</v>
      </c>
      <c r="K68" s="35">
        <v>139439000</v>
      </c>
      <c r="L68" s="36">
        <v>0.17204655799310092</v>
      </c>
      <c r="M68" s="35">
        <v>22806000</v>
      </c>
      <c r="N68" s="35">
        <v>165981000</v>
      </c>
      <c r="O68" s="36">
        <v>0.14530000000000001</v>
      </c>
    </row>
    <row r="69" spans="1:15" x14ac:dyDescent="0.2">
      <c r="A69" s="34">
        <v>502</v>
      </c>
      <c r="B69" s="11" t="s">
        <v>49</v>
      </c>
      <c r="C69" s="11" t="s">
        <v>76</v>
      </c>
      <c r="D69" s="11" t="s">
        <v>184</v>
      </c>
      <c r="E69" s="11" t="s">
        <v>170</v>
      </c>
      <c r="F69" s="11" t="s">
        <v>171</v>
      </c>
      <c r="G69" s="35">
        <v>3129000</v>
      </c>
      <c r="H69" s="35">
        <v>85009000</v>
      </c>
      <c r="I69" s="36">
        <v>3.6807867402275055E-2</v>
      </c>
      <c r="J69" s="35">
        <v>7601000</v>
      </c>
      <c r="K69" s="35">
        <v>90316000</v>
      </c>
      <c r="L69" s="36">
        <v>8.4160060232959827E-2</v>
      </c>
      <c r="M69" s="35">
        <v>1516000</v>
      </c>
      <c r="N69" s="35">
        <v>96650000</v>
      </c>
      <c r="O69" s="36">
        <v>1.6400000000000001E-2</v>
      </c>
    </row>
    <row r="70" spans="1:15" x14ac:dyDescent="0.2">
      <c r="A70" s="34">
        <v>641</v>
      </c>
      <c r="B70" s="11" t="s">
        <v>1</v>
      </c>
      <c r="C70" s="11" t="s">
        <v>68</v>
      </c>
      <c r="D70" s="11" t="s">
        <v>166</v>
      </c>
      <c r="E70" s="11" t="s">
        <v>167</v>
      </c>
      <c r="F70" s="11" t="s">
        <v>168</v>
      </c>
      <c r="G70" s="35">
        <v>99313000</v>
      </c>
      <c r="H70" s="35">
        <v>557278000</v>
      </c>
      <c r="I70" s="36">
        <v>0.17821087500314026</v>
      </c>
      <c r="J70" s="35">
        <v>-69557000</v>
      </c>
      <c r="K70" s="35">
        <v>500445000</v>
      </c>
      <c r="L70" s="36">
        <v>-0.13899029863421555</v>
      </c>
      <c r="M70" s="35">
        <v>77314000</v>
      </c>
      <c r="N70" s="35">
        <v>616296000</v>
      </c>
      <c r="O70" s="36">
        <v>0.12920000000000001</v>
      </c>
    </row>
    <row r="71" spans="1:15" x14ac:dyDescent="0.2">
      <c r="A71" s="34">
        <v>642</v>
      </c>
      <c r="B71" s="11" t="s">
        <v>0</v>
      </c>
      <c r="C71" s="11" t="s">
        <v>68</v>
      </c>
      <c r="D71" s="11" t="s">
        <v>166</v>
      </c>
      <c r="E71" s="11" t="s">
        <v>167</v>
      </c>
      <c r="F71" s="11" t="s">
        <v>168</v>
      </c>
      <c r="G71" s="35">
        <v>63669000</v>
      </c>
      <c r="H71" s="35">
        <v>356464000</v>
      </c>
      <c r="I71" s="36">
        <v>0.17861270703352933</v>
      </c>
      <c r="J71" s="35">
        <v>-44484000</v>
      </c>
      <c r="K71" s="35">
        <v>319944000</v>
      </c>
      <c r="L71" s="36">
        <v>-0.13903683144550297</v>
      </c>
      <c r="M71" s="35">
        <v>49436000</v>
      </c>
      <c r="N71" s="35">
        <v>394029000</v>
      </c>
      <c r="O71" s="36">
        <v>0.12920000000000001</v>
      </c>
    </row>
    <row r="72" spans="1:15" x14ac:dyDescent="0.2">
      <c r="A72" s="34">
        <v>861</v>
      </c>
      <c r="B72" s="11" t="s">
        <v>28</v>
      </c>
      <c r="C72" s="11" t="s">
        <v>79</v>
      </c>
      <c r="D72" s="11" t="s">
        <v>177</v>
      </c>
      <c r="E72" s="11" t="s">
        <v>167</v>
      </c>
      <c r="F72" s="11" t="s">
        <v>171</v>
      </c>
      <c r="G72" s="35">
        <v>40134000</v>
      </c>
      <c r="H72" s="35">
        <v>360285000</v>
      </c>
      <c r="I72" s="36">
        <v>0.11139514550980474</v>
      </c>
      <c r="J72" s="35">
        <v>54094000</v>
      </c>
      <c r="K72" s="35">
        <v>409147000</v>
      </c>
      <c r="L72" s="36">
        <v>0.13221165009153191</v>
      </c>
      <c r="M72" s="35">
        <v>61006000</v>
      </c>
      <c r="N72" s="35">
        <v>433632000</v>
      </c>
      <c r="O72" s="36">
        <v>0.14330000000000001</v>
      </c>
    </row>
    <row r="73" spans="1:15" x14ac:dyDescent="0.2">
      <c r="A73" s="34">
        <v>862</v>
      </c>
      <c r="B73" s="11" t="s">
        <v>26</v>
      </c>
      <c r="C73" s="11" t="s">
        <v>79</v>
      </c>
      <c r="D73" s="11" t="s">
        <v>173</v>
      </c>
      <c r="E73" s="11" t="s">
        <v>167</v>
      </c>
      <c r="F73" s="11" t="s">
        <v>171</v>
      </c>
      <c r="G73" s="35">
        <v>48672000</v>
      </c>
      <c r="H73" s="35">
        <v>248990000</v>
      </c>
      <c r="I73" s="36">
        <v>0.19547773002931845</v>
      </c>
      <c r="J73" s="35">
        <v>16098000</v>
      </c>
      <c r="K73" s="35">
        <v>235292000</v>
      </c>
      <c r="L73" s="36">
        <v>6.8417115754041788E-2</v>
      </c>
      <c r="M73" s="35">
        <v>9459000</v>
      </c>
      <c r="N73" s="35">
        <v>254846000</v>
      </c>
      <c r="O73" s="36">
        <v>3.7900000000000003E-2</v>
      </c>
    </row>
    <row r="74" spans="1:15" x14ac:dyDescent="0.2">
      <c r="A74" s="34">
        <v>863</v>
      </c>
      <c r="B74" s="11" t="s">
        <v>27</v>
      </c>
      <c r="C74" s="11" t="s">
        <v>79</v>
      </c>
      <c r="D74" s="11" t="s">
        <v>173</v>
      </c>
      <c r="E74" s="11" t="s">
        <v>167</v>
      </c>
      <c r="F74" s="11" t="s">
        <v>171</v>
      </c>
      <c r="G74" s="35">
        <v>-7989000</v>
      </c>
      <c r="H74" s="35">
        <v>134599000</v>
      </c>
      <c r="I74" s="36">
        <v>-5.9354081382476838E-2</v>
      </c>
      <c r="J74" s="35">
        <v>-57715000</v>
      </c>
      <c r="K74" s="35">
        <v>93522000</v>
      </c>
      <c r="L74" s="36">
        <v>-0.61712752079724553</v>
      </c>
      <c r="M74" s="35">
        <v>-61207000</v>
      </c>
      <c r="N74" s="35">
        <v>123163000</v>
      </c>
      <c r="O74" s="36">
        <v>-0.5121</v>
      </c>
    </row>
    <row r="75" spans="1:15" x14ac:dyDescent="0.2">
      <c r="A75" s="34">
        <v>1069</v>
      </c>
      <c r="B75" s="11" t="s">
        <v>121</v>
      </c>
      <c r="C75" s="11" t="s">
        <v>80</v>
      </c>
      <c r="D75" s="11" t="s">
        <v>177</v>
      </c>
      <c r="E75" s="11" t="s">
        <v>167</v>
      </c>
      <c r="F75" s="11" t="s">
        <v>171</v>
      </c>
      <c r="G75" s="35"/>
      <c r="H75" s="35"/>
      <c r="I75" s="36" t="e">
        <v>#DIV/0!</v>
      </c>
      <c r="J75" s="35"/>
      <c r="K75" s="35"/>
      <c r="L75" s="36" t="e">
        <v>#DIV/0!</v>
      </c>
      <c r="M75" s="35">
        <v>78735000</v>
      </c>
      <c r="N75" s="35">
        <v>481211000</v>
      </c>
      <c r="O75" s="36">
        <v>0.1694</v>
      </c>
    </row>
    <row r="76" spans="1:15" x14ac:dyDescent="0.2">
      <c r="A76" s="34">
        <v>1169</v>
      </c>
      <c r="B76" s="11" t="s">
        <v>270</v>
      </c>
      <c r="C76" s="11" t="s">
        <v>80</v>
      </c>
      <c r="D76" s="11" t="s">
        <v>177</v>
      </c>
      <c r="E76" s="11" t="s">
        <v>167</v>
      </c>
      <c r="F76" s="11" t="s">
        <v>171</v>
      </c>
      <c r="G76" s="35">
        <v>42989000</v>
      </c>
      <c r="H76" s="35">
        <v>346814000</v>
      </c>
      <c r="I76" s="36">
        <v>0.12395405029785418</v>
      </c>
      <c r="J76" s="35">
        <v>-24690000</v>
      </c>
      <c r="K76" s="35">
        <v>381370000</v>
      </c>
      <c r="L76" s="36">
        <v>-6.4740278469727561E-2</v>
      </c>
      <c r="M76" s="35">
        <v>-7727000</v>
      </c>
      <c r="N76" s="35">
        <v>12967000</v>
      </c>
      <c r="O76" s="36">
        <v>-0.63080000000000003</v>
      </c>
    </row>
    <row r="77" spans="1:15" ht="15" thickBot="1" x14ac:dyDescent="0.25"/>
    <row r="78" spans="1:15" ht="15.75" thickBot="1" x14ac:dyDescent="0.3">
      <c r="C78" s="77" t="s">
        <v>108</v>
      </c>
      <c r="G78" s="30">
        <f>SUM(Table1[2021 Income])</f>
        <v>2307614000</v>
      </c>
      <c r="H78" s="31">
        <f>SUM(Table1[2021 Total Revenue])</f>
        <v>31547107000</v>
      </c>
      <c r="I78" s="48"/>
      <c r="J78" s="25">
        <f>SUM(Table1[2022 Income])</f>
        <v>804964000</v>
      </c>
      <c r="K78" s="27">
        <f>SUM(Table1[2022 Total Revenue])</f>
        <v>32595808000</v>
      </c>
      <c r="L78" s="49"/>
      <c r="M78" s="25">
        <f>SUM(Table1[2023 Income])</f>
        <v>2604034000</v>
      </c>
      <c r="N78" s="27">
        <f>SUM(Table1[2023 Total Revenue])</f>
        <v>37346231000</v>
      </c>
      <c r="O78" s="48"/>
    </row>
    <row r="80" spans="1:15" x14ac:dyDescent="0.2">
      <c r="A80" s="68" t="s">
        <v>162</v>
      </c>
      <c r="B80" s="67"/>
      <c r="C80" s="67"/>
      <c r="D80" s="67"/>
      <c r="E80" s="67"/>
      <c r="F80" s="67"/>
      <c r="G80" s="67"/>
      <c r="H80" s="67"/>
      <c r="I80" s="67"/>
      <c r="J80" s="67"/>
      <c r="K80" s="67"/>
      <c r="L80" s="67"/>
      <c r="M80" s="67"/>
      <c r="N80" s="67"/>
      <c r="O80" s="67"/>
    </row>
    <row r="81" spans="1:17" ht="30.75" customHeight="1" x14ac:dyDescent="0.2">
      <c r="A81" s="101" t="s">
        <v>134</v>
      </c>
      <c r="B81" s="101"/>
      <c r="C81" s="101"/>
      <c r="D81" s="101"/>
      <c r="E81" s="101"/>
      <c r="F81" s="101"/>
      <c r="G81" s="101"/>
      <c r="H81" s="101"/>
      <c r="I81" s="101"/>
      <c r="J81" s="101"/>
      <c r="K81" s="101"/>
      <c r="L81" s="101"/>
      <c r="M81" s="101"/>
      <c r="N81" s="101"/>
      <c r="O81" s="101"/>
    </row>
    <row r="82" spans="1:17" ht="32.25" customHeight="1" x14ac:dyDescent="0.2">
      <c r="A82" s="101" t="s">
        <v>125</v>
      </c>
      <c r="B82" s="101"/>
      <c r="C82" s="101"/>
      <c r="D82" s="101"/>
      <c r="E82" s="101"/>
      <c r="F82" s="101"/>
      <c r="G82" s="101"/>
      <c r="H82" s="101"/>
      <c r="I82" s="101"/>
      <c r="J82" s="101"/>
      <c r="K82" s="101"/>
      <c r="L82" s="101"/>
      <c r="M82" s="101"/>
      <c r="N82" s="101"/>
      <c r="O82" s="101"/>
    </row>
    <row r="83" spans="1:17" x14ac:dyDescent="0.2">
      <c r="A83" s="101" t="s">
        <v>220</v>
      </c>
      <c r="B83" s="101"/>
      <c r="C83" s="101"/>
      <c r="D83" s="101"/>
      <c r="E83" s="101"/>
      <c r="F83" s="101"/>
      <c r="G83" s="101"/>
      <c r="H83" s="101"/>
      <c r="I83" s="101"/>
      <c r="J83" s="101"/>
      <c r="K83" s="101"/>
      <c r="L83" s="101"/>
      <c r="M83" s="101"/>
      <c r="N83" s="101"/>
      <c r="O83" s="101"/>
    </row>
    <row r="84" spans="1:17" x14ac:dyDescent="0.2">
      <c r="A84" s="101" t="s">
        <v>282</v>
      </c>
      <c r="B84" s="101"/>
      <c r="C84" s="101"/>
      <c r="D84" s="101"/>
      <c r="E84" s="101"/>
      <c r="F84" s="101"/>
      <c r="G84" s="101"/>
      <c r="H84" s="101"/>
      <c r="I84" s="101"/>
      <c r="J84" s="101"/>
      <c r="K84" s="101"/>
      <c r="L84" s="101"/>
      <c r="M84" s="101"/>
      <c r="N84" s="101"/>
      <c r="O84" s="101"/>
      <c r="P84" s="101"/>
      <c r="Q84" s="101"/>
    </row>
    <row r="85" spans="1:17" x14ac:dyDescent="0.2">
      <c r="A85" s="87" t="s">
        <v>219</v>
      </c>
      <c r="B85" s="86"/>
      <c r="C85" s="86"/>
      <c r="D85" s="86"/>
      <c r="E85" s="86"/>
      <c r="F85" s="86"/>
      <c r="G85" s="86"/>
      <c r="H85" s="86"/>
      <c r="I85" s="86"/>
      <c r="J85" s="86"/>
      <c r="K85" s="86"/>
      <c r="L85" s="86"/>
      <c r="M85" s="86"/>
      <c r="N85" s="86"/>
      <c r="O85" s="86"/>
      <c r="P85" s="86"/>
      <c r="Q85" s="86"/>
    </row>
    <row r="86" spans="1:17" x14ac:dyDescent="0.2">
      <c r="A86" s="66"/>
      <c r="B86" s="66"/>
      <c r="C86" s="66"/>
      <c r="D86" s="66"/>
      <c r="E86" s="66"/>
      <c r="F86" s="66"/>
      <c r="G86" s="66"/>
      <c r="H86" s="66"/>
      <c r="I86" s="66"/>
      <c r="J86" s="66"/>
      <c r="K86" s="66"/>
      <c r="L86" s="66"/>
      <c r="M86" s="66"/>
      <c r="N86" s="66"/>
      <c r="O86" s="66"/>
    </row>
    <row r="87" spans="1:17" ht="18" x14ac:dyDescent="0.25">
      <c r="A87" s="102" t="s">
        <v>85</v>
      </c>
      <c r="B87" s="102"/>
      <c r="C87" s="102"/>
      <c r="D87" s="80"/>
      <c r="E87" s="80"/>
      <c r="F87" s="80"/>
      <c r="G87" s="32"/>
      <c r="H87" s="32"/>
      <c r="I87" s="32"/>
      <c r="J87" s="32"/>
      <c r="K87" s="32"/>
      <c r="L87" s="32"/>
      <c r="M87" s="32"/>
      <c r="N87" s="32"/>
      <c r="O87" s="32"/>
    </row>
    <row r="88" spans="1:17" ht="15" x14ac:dyDescent="0.2">
      <c r="A88" s="28" t="s">
        <v>86</v>
      </c>
      <c r="B88" s="112" t="s">
        <v>91</v>
      </c>
      <c r="C88" s="112"/>
      <c r="D88" s="75"/>
      <c r="E88" s="75"/>
      <c r="F88" s="75"/>
    </row>
    <row r="89" spans="1:17" ht="15" x14ac:dyDescent="0.2">
      <c r="A89" s="28" t="s">
        <v>87</v>
      </c>
      <c r="B89" s="112" t="s">
        <v>84</v>
      </c>
      <c r="C89" s="112"/>
      <c r="D89" s="75"/>
      <c r="E89" s="75"/>
      <c r="F89" s="75"/>
    </row>
    <row r="90" spans="1:17" ht="15" x14ac:dyDescent="0.2">
      <c r="A90" s="28" t="s">
        <v>88</v>
      </c>
      <c r="B90" s="112" t="s">
        <v>92</v>
      </c>
      <c r="C90" s="112"/>
      <c r="D90" s="75"/>
      <c r="E90" s="75"/>
      <c r="F90" s="75"/>
    </row>
    <row r="91" spans="1:17" ht="15.6" customHeight="1" x14ac:dyDescent="0.2">
      <c r="A91" s="44" t="s">
        <v>89</v>
      </c>
      <c r="B91" s="98" t="s">
        <v>193</v>
      </c>
      <c r="C91" s="98"/>
      <c r="D91" s="72"/>
      <c r="E91" s="72"/>
      <c r="F91" s="72"/>
    </row>
    <row r="92" spans="1:17" ht="15.4" customHeight="1" x14ac:dyDescent="0.2">
      <c r="A92" s="44" t="s">
        <v>90</v>
      </c>
      <c r="B92" s="98" t="s">
        <v>194</v>
      </c>
      <c r="C92" s="98"/>
      <c r="D92" s="72"/>
      <c r="E92" s="72"/>
      <c r="F92" s="72"/>
    </row>
    <row r="93" spans="1:17" ht="14.1" customHeight="1" x14ac:dyDescent="0.2">
      <c r="A93" s="44" t="s">
        <v>93</v>
      </c>
      <c r="B93" s="104" t="s">
        <v>195</v>
      </c>
      <c r="C93" s="104"/>
      <c r="D93" s="72"/>
      <c r="E93" s="72"/>
      <c r="F93" s="72"/>
      <c r="G93" s="3"/>
      <c r="H93" s="3"/>
      <c r="I93" s="3"/>
      <c r="J93" s="3"/>
      <c r="K93" s="3"/>
      <c r="L93" s="3"/>
      <c r="M93" s="3"/>
      <c r="N93" s="3"/>
      <c r="O93" s="3"/>
    </row>
    <row r="94" spans="1:17" ht="15" x14ac:dyDescent="0.2">
      <c r="A94" s="28" t="s">
        <v>94</v>
      </c>
      <c r="B94" s="98" t="s">
        <v>305</v>
      </c>
      <c r="C94" s="98"/>
      <c r="D94" s="75"/>
      <c r="E94" s="75"/>
      <c r="F94" s="75"/>
    </row>
    <row r="95" spans="1:17" ht="15" x14ac:dyDescent="0.2">
      <c r="A95" s="28" t="s">
        <v>95</v>
      </c>
      <c r="B95" s="98" t="s">
        <v>306</v>
      </c>
      <c r="C95" s="98"/>
      <c r="D95" s="75"/>
      <c r="E95" s="75"/>
      <c r="F95" s="75"/>
    </row>
    <row r="96" spans="1:17" ht="15" x14ac:dyDescent="0.2">
      <c r="A96" s="28" t="s">
        <v>96</v>
      </c>
      <c r="B96" s="98" t="s">
        <v>307</v>
      </c>
      <c r="C96" s="98"/>
      <c r="D96" s="75"/>
      <c r="E96" s="75"/>
      <c r="F96" s="75"/>
    </row>
    <row r="97" spans="1:6" ht="15" x14ac:dyDescent="0.2">
      <c r="A97" s="28" t="s">
        <v>97</v>
      </c>
      <c r="B97" s="112" t="s">
        <v>248</v>
      </c>
      <c r="C97" s="112"/>
      <c r="D97" s="75"/>
      <c r="E97" s="75"/>
      <c r="F97" s="75"/>
    </row>
    <row r="98" spans="1:6" ht="15" x14ac:dyDescent="0.2">
      <c r="A98" s="28" t="s">
        <v>98</v>
      </c>
      <c r="B98" s="112" t="s">
        <v>249</v>
      </c>
      <c r="C98" s="112"/>
      <c r="D98" s="75"/>
      <c r="E98" s="75"/>
      <c r="F98" s="75"/>
    </row>
    <row r="99" spans="1:6" ht="15" x14ac:dyDescent="0.2">
      <c r="A99" s="28" t="s">
        <v>99</v>
      </c>
      <c r="B99" s="112" t="s">
        <v>308</v>
      </c>
      <c r="C99" s="112"/>
      <c r="D99" s="76"/>
      <c r="E99" s="76"/>
      <c r="F99" s="76"/>
    </row>
    <row r="100" spans="1:6" ht="15" x14ac:dyDescent="0.2">
      <c r="A100" s="28" t="s">
        <v>205</v>
      </c>
      <c r="B100" s="112" t="s">
        <v>309</v>
      </c>
      <c r="C100" s="112"/>
    </row>
    <row r="101" spans="1:6" ht="15" x14ac:dyDescent="0.2">
      <c r="A101" s="28" t="s">
        <v>206</v>
      </c>
      <c r="B101" s="112" t="s">
        <v>310</v>
      </c>
      <c r="C101" s="112"/>
    </row>
    <row r="102" spans="1:6" ht="15" x14ac:dyDescent="0.2">
      <c r="A102" s="28" t="s">
        <v>207</v>
      </c>
      <c r="B102" s="113" t="s">
        <v>311</v>
      </c>
      <c r="C102" s="113"/>
    </row>
  </sheetData>
  <sheetProtection algorithmName="SHA-512" hashValue="tsez2ykE6kNjG/AyAryA84ydZkr2ZSt2DzX0Oy5U3SfnMyfPeRwG4o7FMNTXcVcumSzXt4BPkzIFPe6gOLQqlw==" saltValue="ceP9iwPUZuibgt6rgn5yLw==" spinCount="100000" sheet="1" objects="1" scenarios="1" selectLockedCells="1" selectUnlockedCells="1"/>
  <mergeCells count="21">
    <mergeCell ref="B102:C102"/>
    <mergeCell ref="B88:C88"/>
    <mergeCell ref="B89:C89"/>
    <mergeCell ref="B90:C90"/>
    <mergeCell ref="B94:C94"/>
    <mergeCell ref="B95:C95"/>
    <mergeCell ref="B97:C97"/>
    <mergeCell ref="B98:C98"/>
    <mergeCell ref="B99:C99"/>
    <mergeCell ref="B100:C100"/>
    <mergeCell ref="B91:C91"/>
    <mergeCell ref="B92:C92"/>
    <mergeCell ref="B93:C93"/>
    <mergeCell ref="A83:O83"/>
    <mergeCell ref="A1:O1"/>
    <mergeCell ref="B101:C101"/>
    <mergeCell ref="A87:C87"/>
    <mergeCell ref="B96:C96"/>
    <mergeCell ref="A81:O81"/>
    <mergeCell ref="A82:O82"/>
    <mergeCell ref="A84:Q84"/>
  </mergeCells>
  <phoneticPr fontId="11" type="noConversion"/>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89A33-DD4F-4E41-90E1-FC25EE69E11C}">
  <dimension ref="A1:B21"/>
  <sheetViews>
    <sheetView zoomScale="140" zoomScaleNormal="140" workbookViewId="0">
      <selection sqref="A1:B1"/>
    </sheetView>
  </sheetViews>
  <sheetFormatPr defaultRowHeight="15" x14ac:dyDescent="0.25"/>
  <cols>
    <col min="1" max="1" width="32.140625" style="55" customWidth="1"/>
    <col min="2" max="2" width="70.5703125" style="56" customWidth="1"/>
  </cols>
  <sheetData>
    <row r="1" spans="1:2" ht="24" thickBot="1" x14ac:dyDescent="0.4">
      <c r="A1" s="114" t="s">
        <v>142</v>
      </c>
      <c r="B1" s="115"/>
    </row>
    <row r="2" spans="1:2" ht="8.25" customHeight="1" x14ac:dyDescent="0.25">
      <c r="A2" s="3"/>
      <c r="B2" s="57"/>
    </row>
    <row r="3" spans="1:2" x14ac:dyDescent="0.25">
      <c r="A3" s="58" t="s">
        <v>143</v>
      </c>
      <c r="B3" s="59" t="s">
        <v>153</v>
      </c>
    </row>
    <row r="4" spans="1:2" ht="71.25" x14ac:dyDescent="0.25">
      <c r="A4" s="60" t="s">
        <v>131</v>
      </c>
      <c r="B4" s="63" t="s">
        <v>158</v>
      </c>
    </row>
    <row r="5" spans="1:2" ht="57" x14ac:dyDescent="0.25">
      <c r="A5" s="61" t="s">
        <v>130</v>
      </c>
      <c r="B5" s="64" t="s">
        <v>150</v>
      </c>
    </row>
    <row r="6" spans="1:2" ht="57" x14ac:dyDescent="0.25">
      <c r="A6" s="60" t="s">
        <v>132</v>
      </c>
      <c r="B6" s="63" t="s">
        <v>160</v>
      </c>
    </row>
    <row r="7" spans="1:2" ht="30" x14ac:dyDescent="0.25">
      <c r="A7" s="60" t="s">
        <v>133</v>
      </c>
      <c r="B7" s="63" t="s">
        <v>151</v>
      </c>
    </row>
    <row r="8" spans="1:2" ht="42.75" x14ac:dyDescent="0.25">
      <c r="A8" s="60" t="s">
        <v>128</v>
      </c>
      <c r="B8" s="63" t="s">
        <v>146</v>
      </c>
    </row>
    <row r="9" spans="1:2" ht="36.75" customHeight="1" x14ac:dyDescent="0.25">
      <c r="A9" s="61" t="s">
        <v>145</v>
      </c>
      <c r="B9" s="64" t="s">
        <v>147</v>
      </c>
    </row>
    <row r="10" spans="1:2" x14ac:dyDescent="0.25">
      <c r="A10" s="60" t="s">
        <v>135</v>
      </c>
      <c r="B10" s="64" t="s">
        <v>148</v>
      </c>
    </row>
    <row r="11" spans="1:2" ht="42.75" x14ac:dyDescent="0.25">
      <c r="A11" s="61" t="s">
        <v>156</v>
      </c>
      <c r="B11" s="64" t="s">
        <v>157</v>
      </c>
    </row>
    <row r="12" spans="1:2" ht="28.5" x14ac:dyDescent="0.25">
      <c r="A12" s="60" t="s">
        <v>127</v>
      </c>
      <c r="B12" s="64" t="s">
        <v>149</v>
      </c>
    </row>
    <row r="13" spans="1:2" ht="71.25" x14ac:dyDescent="0.25">
      <c r="A13" s="61" t="s">
        <v>129</v>
      </c>
      <c r="B13" s="64" t="s">
        <v>144</v>
      </c>
    </row>
    <row r="14" spans="1:2" ht="156.75" x14ac:dyDescent="0.25">
      <c r="A14" s="61" t="s">
        <v>152</v>
      </c>
      <c r="B14" s="64" t="s">
        <v>161</v>
      </c>
    </row>
    <row r="15" spans="1:2" ht="28.5" x14ac:dyDescent="0.25">
      <c r="A15" s="61" t="s">
        <v>138</v>
      </c>
      <c r="B15" s="64" t="s">
        <v>154</v>
      </c>
    </row>
    <row r="16" spans="1:2" ht="28.5" x14ac:dyDescent="0.25">
      <c r="A16" s="61" t="s">
        <v>137</v>
      </c>
      <c r="B16" s="64" t="s">
        <v>155</v>
      </c>
    </row>
    <row r="17" spans="1:2" x14ac:dyDescent="0.25">
      <c r="A17" s="61" t="s">
        <v>139</v>
      </c>
      <c r="B17" s="64" t="s">
        <v>140</v>
      </c>
    </row>
    <row r="18" spans="1:2" ht="71.25" x14ac:dyDescent="0.25">
      <c r="A18" s="62" t="s">
        <v>136</v>
      </c>
      <c r="B18" s="65" t="s">
        <v>159</v>
      </c>
    </row>
    <row r="21" spans="1:2" ht="107.25" customHeight="1" x14ac:dyDescent="0.25"/>
  </sheetData>
  <sheetProtection algorithmName="SHA-512" hashValue="60qDJzRUKGnvJ5jlP8BbQT0+I+0eHqCgO/X6bHahN7OCxT5ZR/r7qwwTBMslEkFTkuHBbeNzwRNRdDEI2PS6aA==" saltValue="/n35cP57wAAmrBIvP0yeYw==" spinCount="100000" sheet="1" objects="1" scenarios="1" selectLockedCells="1" selectUnlockedCells="1"/>
  <mergeCells count="1">
    <mergeCell ref="A1:B1"/>
  </mergeCells>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Total Operating Expenses</vt:lpstr>
      <vt:lpstr>OperatingMargin21,22,23</vt:lpstr>
      <vt:lpstr>Year-EndCash21,22,23</vt:lpstr>
      <vt:lpstr>NetPatRev-PayorMix$21,22,23</vt:lpstr>
      <vt:lpstr>GrossPatRev-PayorMix$21,22,23</vt:lpstr>
      <vt:lpstr>Payor Mix % Based on Gross Rev</vt:lpstr>
      <vt:lpstr>NetProfitMargins21,22,23</vt:lpstr>
      <vt:lpstr>Glossary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Garcia-Santana, Humberto</dc:creator>
  <cp:lastModifiedBy>Gelbhauer, Rivka E [DOH]</cp:lastModifiedBy>
  <dcterms:created xsi:type="dcterms:W3CDTF">2023-01-18T18:35:33Z</dcterms:created>
  <dcterms:modified xsi:type="dcterms:W3CDTF">2025-04-02T18:01:45Z</dcterms:modified>
</cp:coreProperties>
</file>