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4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- Open Text\Demographics\2019 Annual Demographic Profile\"/>
    </mc:Choice>
  </mc:AlternateContent>
  <bookViews>
    <workbookView xWindow="360" yWindow="105" windowWidth="11625" windowHeight="8775"/>
  </bookViews>
  <sheets>
    <sheet name="TOC" sheetId="6" r:id="rId1"/>
    <sheet name="T1-T6" sheetId="2" r:id="rId2"/>
    <sheet name="T7-T10" sheetId="3" r:id="rId3"/>
    <sheet name="T11-S4" sheetId="4" r:id="rId4"/>
    <sheet name="S5-S7" sheetId="5" r:id="rId5"/>
    <sheet name="HI" sheetId="1" r:id="rId6"/>
  </sheets>
  <externalReferences>
    <externalReference r:id="rId7"/>
    <externalReference r:id="rId8"/>
  </externalReferences>
  <definedNames>
    <definedName name="_xlnm.Print_Area" localSheetId="3">'T11-S4'!$T$1:$AB$39</definedName>
    <definedName name="_xlnm.Print_Area" localSheetId="1">'T1-T6'!$AT$1:$AW$52</definedName>
    <definedName name="_xlnm.Print_Area" localSheetId="2">'T7-T10'!$AK$1:$BD$40</definedName>
  </definedNames>
  <calcPr calcId="162913"/>
</workbook>
</file>

<file path=xl/calcChain.xml><?xml version="1.0" encoding="utf-8"?>
<calcChain xmlns="http://schemas.openxmlformats.org/spreadsheetml/2006/main">
  <c r="BZ8" i="3" l="1"/>
  <c r="AC61" i="2" l="1"/>
  <c r="AB61" i="2"/>
  <c r="AA61" i="2"/>
  <c r="N62" i="2"/>
  <c r="M62" i="2"/>
  <c r="L62" i="2"/>
  <c r="K62" i="2"/>
  <c r="J62" i="2"/>
  <c r="H62" i="2"/>
  <c r="I65" i="2"/>
  <c r="I62" i="2" l="1"/>
  <c r="Z61" i="2"/>
  <c r="AA62" i="2" s="1"/>
  <c r="CA99" i="3"/>
  <c r="BZ99" i="3"/>
  <c r="CA81" i="3"/>
  <c r="BZ81" i="3"/>
  <c r="CA63" i="3"/>
  <c r="BZ63" i="3"/>
  <c r="CA27" i="3"/>
  <c r="CA45" i="3"/>
  <c r="BZ45" i="3"/>
  <c r="BZ27" i="3"/>
  <c r="BW8" i="3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P123" i="2"/>
  <c r="AQ142" i="2"/>
  <c r="AP142" i="2"/>
  <c r="AN142" i="2"/>
  <c r="AM142" i="2"/>
  <c r="AQ123" i="2"/>
  <c r="AN123" i="2"/>
  <c r="AM123" i="2"/>
  <c r="AQ104" i="2"/>
  <c r="AP104" i="2"/>
  <c r="AN104" i="2"/>
  <c r="AM104" i="2"/>
  <c r="AQ85" i="2"/>
  <c r="AP85" i="2"/>
  <c r="AN85" i="2"/>
  <c r="AM85" i="2"/>
  <c r="AQ66" i="2"/>
  <c r="AP66" i="2"/>
  <c r="AN66" i="2"/>
  <c r="AM66" i="2"/>
  <c r="AQ47" i="2"/>
  <c r="AP47" i="2"/>
  <c r="AN47" i="2"/>
  <c r="AM47" i="2"/>
  <c r="AQ28" i="2"/>
  <c r="AP28" i="2"/>
  <c r="AN28" i="2"/>
  <c r="AM28" i="2"/>
  <c r="AQ9" i="2"/>
  <c r="AP9" i="2"/>
  <c r="AN9" i="2"/>
  <c r="AM9" i="2"/>
  <c r="AC62" i="2"/>
  <c r="W165" i="2"/>
  <c r="V165" i="2"/>
  <c r="U165" i="2"/>
  <c r="T165" i="2"/>
  <c r="S165" i="2"/>
  <c r="R165" i="2"/>
  <c r="Q165" i="2"/>
  <c r="Q168" i="2"/>
  <c r="S169" i="2" s="1"/>
  <c r="W113" i="2"/>
  <c r="V113" i="2"/>
  <c r="U113" i="2"/>
  <c r="T113" i="2"/>
  <c r="S113" i="2"/>
  <c r="R113" i="2"/>
  <c r="Q113" i="2"/>
  <c r="AO66" i="2" l="1"/>
  <c r="AO85" i="2"/>
  <c r="AO104" i="2"/>
  <c r="R114" i="2"/>
  <c r="T114" i="2"/>
  <c r="V114" i="2"/>
  <c r="V169" i="2"/>
  <c r="AR85" i="2"/>
  <c r="AR104" i="2"/>
  <c r="AR66" i="2"/>
  <c r="AO123" i="2"/>
  <c r="AR123" i="2"/>
  <c r="AO142" i="2"/>
  <c r="AR142" i="2"/>
  <c r="AR9" i="2"/>
  <c r="AR28" i="2"/>
  <c r="AR47" i="2"/>
  <c r="AB62" i="2"/>
  <c r="AO9" i="2"/>
  <c r="AO28" i="2"/>
  <c r="AO47" i="2"/>
  <c r="S166" i="2"/>
  <c r="U166" i="2"/>
  <c r="W166" i="2"/>
  <c r="R166" i="2"/>
  <c r="T166" i="2"/>
  <c r="V166" i="2"/>
  <c r="S114" i="2"/>
  <c r="U114" i="2"/>
  <c r="W114" i="2"/>
  <c r="T169" i="2"/>
  <c r="W169" i="2"/>
  <c r="U169" i="2"/>
  <c r="Q166" i="2" l="1"/>
  <c r="Q114" i="2"/>
  <c r="J63" i="2"/>
  <c r="L63" i="2"/>
  <c r="N63" i="2"/>
  <c r="I63" i="2"/>
  <c r="K63" i="2"/>
  <c r="M63" i="2"/>
  <c r="H63" i="2" l="1"/>
  <c r="AV13" i="2" l="1"/>
  <c r="AV14" i="2"/>
  <c r="AV15" i="2"/>
  <c r="AV16" i="2"/>
  <c r="AV17" i="2"/>
  <c r="AV18" i="2"/>
  <c r="AV19" i="2"/>
  <c r="AV20" i="2"/>
  <c r="AV21" i="2"/>
  <c r="AV22" i="2"/>
  <c r="AV23" i="2"/>
  <c r="AV24" i="2"/>
  <c r="AV25" i="2" l="1"/>
  <c r="AV12" i="2"/>
  <c r="AV10" i="2"/>
  <c r="AV11" i="2" l="1"/>
  <c r="GZ51" i="4" l="1"/>
  <c r="GZ52" i="4"/>
  <c r="GZ53" i="4"/>
  <c r="GZ54" i="4"/>
  <c r="GZ50" i="4"/>
  <c r="GZ49" i="4"/>
  <c r="GZ44" i="4"/>
  <c r="GZ45" i="4"/>
  <c r="GZ46" i="4"/>
  <c r="GZ47" i="4"/>
  <c r="GZ43" i="4"/>
  <c r="GX20" i="4"/>
  <c r="GJ42" i="4"/>
  <c r="GJ35" i="4"/>
  <c r="GJ27" i="4"/>
  <c r="GJ20" i="4"/>
  <c r="GL13" i="4"/>
  <c r="GN13" i="4"/>
  <c r="GP13" i="4"/>
  <c r="GR13" i="4"/>
  <c r="GT13" i="4"/>
  <c r="GV13" i="4"/>
  <c r="GX13" i="4"/>
  <c r="GJ13" i="4"/>
  <c r="EM117" i="4"/>
  <c r="EM116" i="4"/>
  <c r="EM115" i="4"/>
  <c r="EM112" i="4"/>
  <c r="EM110" i="4"/>
  <c r="EM109" i="4"/>
  <c r="EM108" i="4"/>
  <c r="EM105" i="4"/>
  <c r="EM103" i="4"/>
  <c r="EM102" i="4"/>
  <c r="EM101" i="4"/>
  <c r="EM98" i="4"/>
  <c r="EM96" i="4"/>
  <c r="EM95" i="4"/>
  <c r="EM94" i="4"/>
  <c r="EM91" i="4"/>
  <c r="EM88" i="4"/>
  <c r="EM87" i="4"/>
  <c r="EM86" i="4"/>
  <c r="EM83" i="4"/>
  <c r="EM81" i="4"/>
  <c r="EM80" i="4"/>
  <c r="EM79" i="4"/>
  <c r="EM78" i="4"/>
  <c r="EM76" i="4"/>
  <c r="EM68" i="4"/>
  <c r="EM73" i="4"/>
  <c r="EM72" i="4"/>
  <c r="EM71" i="4"/>
  <c r="EM62" i="4"/>
  <c r="EM61" i="4"/>
  <c r="EM60" i="4"/>
  <c r="EM59" i="4"/>
  <c r="EM58" i="4" s="1"/>
  <c r="EM57" i="4"/>
  <c r="EM55" i="4"/>
  <c r="EM54" i="4"/>
  <c r="EM53" i="4"/>
  <c r="EM50" i="4"/>
  <c r="EM47" i="4"/>
  <c r="EM46" i="4"/>
  <c r="EM45" i="4"/>
  <c r="EM42" i="4"/>
  <c r="GZ42" i="4" s="1"/>
  <c r="EM40" i="4"/>
  <c r="EM39" i="4"/>
  <c r="EM38" i="4"/>
  <c r="EM35" i="4"/>
  <c r="GZ35" i="4" s="1"/>
  <c r="EM32" i="4"/>
  <c r="EM31" i="4"/>
  <c r="EM30" i="4"/>
  <c r="EM25" i="4"/>
  <c r="EM24" i="4"/>
  <c r="EM23" i="4"/>
  <c r="EM18" i="4"/>
  <c r="EM17" i="4"/>
  <c r="EM16" i="4"/>
  <c r="EM27" i="4"/>
  <c r="GZ27" i="4" s="1"/>
  <c r="EK13" i="4"/>
  <c r="EJ13" i="4"/>
  <c r="GW13" i="4" s="1"/>
  <c r="EI13" i="4"/>
  <c r="EH13" i="4"/>
  <c r="GU13" i="4" s="1"/>
  <c r="EG13" i="4"/>
  <c r="EF13" i="4"/>
  <c r="GS13" i="4" s="1"/>
  <c r="EE13" i="4"/>
  <c r="ED13" i="4"/>
  <c r="GQ13" i="4" s="1"/>
  <c r="EC13" i="4"/>
  <c r="EB13" i="4"/>
  <c r="GO13" i="4" s="1"/>
  <c r="EA13" i="4"/>
  <c r="DZ13" i="4"/>
  <c r="GM13" i="4" s="1"/>
  <c r="DY13" i="4"/>
  <c r="DX13" i="4"/>
  <c r="GK13" i="4" s="1"/>
  <c r="EM20" i="4"/>
  <c r="EM13" i="4"/>
  <c r="GZ13" i="4" s="1"/>
  <c r="DR40" i="4"/>
  <c r="DP40" i="4"/>
  <c r="DN40" i="4"/>
  <c r="DL40" i="4"/>
  <c r="DJ40" i="4"/>
  <c r="DH40" i="4"/>
  <c r="DF40" i="4"/>
  <c r="DD40" i="4"/>
  <c r="DB40" i="4"/>
  <c r="CZ40" i="4"/>
  <c r="CX40" i="4"/>
  <c r="CV40" i="4"/>
  <c r="CT40" i="4"/>
  <c r="CR40" i="4"/>
  <c r="CP40" i="4"/>
  <c r="DR39" i="4"/>
  <c r="DP39" i="4"/>
  <c r="DN39" i="4"/>
  <c r="DL39" i="4"/>
  <c r="DJ39" i="4"/>
  <c r="DH39" i="4"/>
  <c r="DF39" i="4"/>
  <c r="DD39" i="4"/>
  <c r="DB39" i="4"/>
  <c r="CZ39" i="4"/>
  <c r="CX39" i="4"/>
  <c r="CV39" i="4"/>
  <c r="CT39" i="4"/>
  <c r="CR39" i="4"/>
  <c r="CP39" i="4"/>
  <c r="DR38" i="4"/>
  <c r="DP38" i="4"/>
  <c r="DN38" i="4"/>
  <c r="DL38" i="4"/>
  <c r="DJ38" i="4"/>
  <c r="DH38" i="4"/>
  <c r="DF38" i="4"/>
  <c r="DD38" i="4"/>
  <c r="DB38" i="4"/>
  <c r="CZ38" i="4"/>
  <c r="CX38" i="4"/>
  <c r="CV38" i="4"/>
  <c r="CT38" i="4"/>
  <c r="CR38" i="4"/>
  <c r="CP38" i="4"/>
  <c r="DR37" i="4"/>
  <c r="DP37" i="4"/>
  <c r="DN37" i="4"/>
  <c r="DL37" i="4"/>
  <c r="DJ37" i="4"/>
  <c r="DH37" i="4"/>
  <c r="DF37" i="4"/>
  <c r="DD37" i="4"/>
  <c r="DB37" i="4"/>
  <c r="CZ37" i="4"/>
  <c r="CX37" i="4"/>
  <c r="CV37" i="4"/>
  <c r="CT37" i="4"/>
  <c r="CR37" i="4"/>
  <c r="CP37" i="4"/>
  <c r="DR36" i="4"/>
  <c r="DP36" i="4"/>
  <c r="DN36" i="4"/>
  <c r="DL36" i="4"/>
  <c r="DJ36" i="4"/>
  <c r="DH36" i="4"/>
  <c r="DF36" i="4"/>
  <c r="DD36" i="4"/>
  <c r="DB36" i="4"/>
  <c r="CZ36" i="4"/>
  <c r="CX36" i="4"/>
  <c r="CV36" i="4"/>
  <c r="CT36" i="4"/>
  <c r="CR36" i="4"/>
  <c r="CP36" i="4"/>
  <c r="DR33" i="4"/>
  <c r="DP33" i="4"/>
  <c r="DN33" i="4"/>
  <c r="DL33" i="4"/>
  <c r="DJ33" i="4"/>
  <c r="DH33" i="4"/>
  <c r="DF33" i="4"/>
  <c r="DD33" i="4"/>
  <c r="DB33" i="4"/>
  <c r="CZ33" i="4"/>
  <c r="CX33" i="4"/>
  <c r="CV33" i="4"/>
  <c r="CT33" i="4"/>
  <c r="CR33" i="4"/>
  <c r="CP33" i="4"/>
  <c r="DR32" i="4"/>
  <c r="DP32" i="4"/>
  <c r="DN32" i="4"/>
  <c r="DL32" i="4"/>
  <c r="DJ32" i="4"/>
  <c r="DH32" i="4"/>
  <c r="DF32" i="4"/>
  <c r="DD32" i="4"/>
  <c r="DB32" i="4"/>
  <c r="CZ32" i="4"/>
  <c r="CX32" i="4"/>
  <c r="CV32" i="4"/>
  <c r="CT32" i="4"/>
  <c r="CR32" i="4"/>
  <c r="CP32" i="4"/>
  <c r="DR31" i="4"/>
  <c r="DP31" i="4"/>
  <c r="DN31" i="4"/>
  <c r="DL31" i="4"/>
  <c r="DJ31" i="4"/>
  <c r="DH31" i="4"/>
  <c r="DF31" i="4"/>
  <c r="DD31" i="4"/>
  <c r="DB31" i="4"/>
  <c r="CZ31" i="4"/>
  <c r="CX31" i="4"/>
  <c r="CV31" i="4"/>
  <c r="CT31" i="4"/>
  <c r="CR31" i="4"/>
  <c r="CP31" i="4"/>
  <c r="DR30" i="4"/>
  <c r="DP30" i="4"/>
  <c r="DN30" i="4"/>
  <c r="DL30" i="4"/>
  <c r="DJ30" i="4"/>
  <c r="DH30" i="4"/>
  <c r="DF30" i="4"/>
  <c r="DD30" i="4"/>
  <c r="DB30" i="4"/>
  <c r="CZ30" i="4"/>
  <c r="CX30" i="4"/>
  <c r="CV30" i="4"/>
  <c r="CT30" i="4"/>
  <c r="CR30" i="4"/>
  <c r="CP30" i="4"/>
  <c r="DR25" i="4"/>
  <c r="DP25" i="4"/>
  <c r="DN25" i="4"/>
  <c r="DL25" i="4"/>
  <c r="DJ25" i="4"/>
  <c r="DH25" i="4"/>
  <c r="DF25" i="4"/>
  <c r="DD25" i="4"/>
  <c r="DB25" i="4"/>
  <c r="CZ25" i="4"/>
  <c r="CX25" i="4"/>
  <c r="CV25" i="4"/>
  <c r="CT25" i="4"/>
  <c r="CR25" i="4"/>
  <c r="CP25" i="4"/>
  <c r="DR26" i="4"/>
  <c r="DP26" i="4"/>
  <c r="DN26" i="4"/>
  <c r="DL26" i="4"/>
  <c r="DJ26" i="4"/>
  <c r="DH26" i="4"/>
  <c r="DF26" i="4"/>
  <c r="DD26" i="4"/>
  <c r="DB26" i="4"/>
  <c r="CZ26" i="4"/>
  <c r="CX26" i="4"/>
  <c r="CV26" i="4"/>
  <c r="CT26" i="4"/>
  <c r="CR26" i="4"/>
  <c r="CP26" i="4"/>
  <c r="DM8" i="4"/>
  <c r="DK8" i="4"/>
  <c r="DI8" i="4"/>
  <c r="DG8" i="4"/>
  <c r="DE8" i="4"/>
  <c r="DC8" i="4"/>
  <c r="DA8" i="4"/>
  <c r="CY8" i="4"/>
  <c r="CW8" i="4"/>
  <c r="CU8" i="4"/>
  <c r="CS8" i="4"/>
  <c r="CQ8" i="4"/>
  <c r="CO8" i="4"/>
  <c r="CJ40" i="4"/>
  <c r="CH40" i="4"/>
  <c r="CF40" i="4"/>
  <c r="CD40" i="4"/>
  <c r="CB40" i="4"/>
  <c r="BZ40" i="4"/>
  <c r="BX40" i="4"/>
  <c r="BV40" i="4"/>
  <c r="BT40" i="4"/>
  <c r="BR40" i="4"/>
  <c r="BP40" i="4"/>
  <c r="BN40" i="4"/>
  <c r="BL40" i="4"/>
  <c r="BJ40" i="4"/>
  <c r="BH40" i="4"/>
  <c r="CJ39" i="4"/>
  <c r="CH39" i="4"/>
  <c r="CF39" i="4"/>
  <c r="CD39" i="4"/>
  <c r="CB39" i="4"/>
  <c r="BZ39" i="4"/>
  <c r="BX39" i="4"/>
  <c r="BV39" i="4"/>
  <c r="BT39" i="4"/>
  <c r="BR39" i="4"/>
  <c r="BP39" i="4"/>
  <c r="BN39" i="4"/>
  <c r="BL39" i="4"/>
  <c r="BJ39" i="4"/>
  <c r="BH39" i="4"/>
  <c r="CJ38" i="4"/>
  <c r="CH38" i="4"/>
  <c r="CF38" i="4"/>
  <c r="CD38" i="4"/>
  <c r="CB38" i="4"/>
  <c r="BZ38" i="4"/>
  <c r="BX38" i="4"/>
  <c r="BV38" i="4"/>
  <c r="BT38" i="4"/>
  <c r="BR38" i="4"/>
  <c r="BP38" i="4"/>
  <c r="BN38" i="4"/>
  <c r="BL38" i="4"/>
  <c r="BJ38" i="4"/>
  <c r="BH38" i="4"/>
  <c r="CJ37" i="4"/>
  <c r="CH37" i="4"/>
  <c r="CF37" i="4"/>
  <c r="CD37" i="4"/>
  <c r="CB37" i="4"/>
  <c r="BZ37" i="4"/>
  <c r="BX37" i="4"/>
  <c r="BV37" i="4"/>
  <c r="BT37" i="4"/>
  <c r="BR37" i="4"/>
  <c r="BP37" i="4"/>
  <c r="BN37" i="4"/>
  <c r="BL37" i="4"/>
  <c r="BJ37" i="4"/>
  <c r="BH37" i="4"/>
  <c r="CL34" i="4"/>
  <c r="CL32" i="4"/>
  <c r="CL30" i="4"/>
  <c r="CJ25" i="4"/>
  <c r="CH25" i="4"/>
  <c r="CF25" i="4"/>
  <c r="CD25" i="4"/>
  <c r="CB25" i="4"/>
  <c r="BZ25" i="4"/>
  <c r="BX25" i="4"/>
  <c r="BV25" i="4"/>
  <c r="BT25" i="4"/>
  <c r="BR25" i="4"/>
  <c r="BP25" i="4"/>
  <c r="BN25" i="4"/>
  <c r="BL25" i="4"/>
  <c r="BJ25" i="4"/>
  <c r="BH25" i="4"/>
  <c r="CJ23" i="4"/>
  <c r="CH23" i="4"/>
  <c r="CF23" i="4"/>
  <c r="CD23" i="4"/>
  <c r="CB23" i="4"/>
  <c r="BZ23" i="4"/>
  <c r="BX23" i="4"/>
  <c r="BV23" i="4"/>
  <c r="BT23" i="4"/>
  <c r="BR23" i="4"/>
  <c r="BP23" i="4"/>
  <c r="BN23" i="4"/>
  <c r="BL23" i="4"/>
  <c r="BJ23" i="4"/>
  <c r="BH23" i="4"/>
  <c r="CJ21" i="4"/>
  <c r="CH21" i="4"/>
  <c r="CF21" i="4"/>
  <c r="CD21" i="4"/>
  <c r="CB21" i="4"/>
  <c r="BZ21" i="4"/>
  <c r="BX21" i="4"/>
  <c r="BV21" i="4"/>
  <c r="BT21" i="4"/>
  <c r="BR21" i="4"/>
  <c r="BP21" i="4"/>
  <c r="BN21" i="4"/>
  <c r="BL21" i="4"/>
  <c r="BJ21" i="4"/>
  <c r="BH21" i="4"/>
  <c r="CH19" i="4"/>
  <c r="CF19" i="4"/>
  <c r="CD19" i="4"/>
  <c r="CB19" i="4"/>
  <c r="BZ19" i="4"/>
  <c r="BX19" i="4"/>
  <c r="BV19" i="4"/>
  <c r="BT19" i="4"/>
  <c r="BR19" i="4"/>
  <c r="BP19" i="4"/>
  <c r="BN19" i="4"/>
  <c r="BL19" i="4"/>
  <c r="BJ19" i="4"/>
  <c r="BH19" i="4"/>
  <c r="CJ19" i="4"/>
  <c r="CL15" i="4"/>
  <c r="CL13" i="4"/>
  <c r="CL12" i="4"/>
  <c r="CK34" i="4"/>
  <c r="CI34" i="4"/>
  <c r="CG34" i="4"/>
  <c r="CE34" i="4"/>
  <c r="CC34" i="4"/>
  <c r="CA34" i="4"/>
  <c r="BY34" i="4"/>
  <c r="BW34" i="4"/>
  <c r="BU34" i="4"/>
  <c r="BS34" i="4"/>
  <c r="BQ34" i="4"/>
  <c r="BO34" i="4"/>
  <c r="BM34" i="4"/>
  <c r="BK34" i="4"/>
  <c r="BG34" i="4"/>
  <c r="BI34" i="4"/>
  <c r="CK28" i="4"/>
  <c r="CI28" i="4"/>
  <c r="CG28" i="4"/>
  <c r="CE28" i="4"/>
  <c r="CC28" i="4"/>
  <c r="CA28" i="4"/>
  <c r="BY28" i="4"/>
  <c r="BW28" i="4"/>
  <c r="BU28" i="4"/>
  <c r="BS28" i="4"/>
  <c r="BQ28" i="4"/>
  <c r="BO28" i="4"/>
  <c r="BM28" i="4"/>
  <c r="BK28" i="4"/>
  <c r="BI28" i="4"/>
  <c r="BG28" i="4"/>
  <c r="CI9" i="4"/>
  <c r="CG9" i="4"/>
  <c r="CE9" i="4"/>
  <c r="CC9" i="4"/>
  <c r="CA9" i="4"/>
  <c r="BY9" i="4"/>
  <c r="BW9" i="4"/>
  <c r="BU9" i="4"/>
  <c r="BS9" i="4"/>
  <c r="BQ9" i="4"/>
  <c r="BO9" i="4"/>
  <c r="BM9" i="4"/>
  <c r="BK9" i="4"/>
  <c r="BI9" i="4"/>
  <c r="BG9" i="4"/>
  <c r="CK9" i="4"/>
  <c r="T212" i="1"/>
  <c r="Q212" i="1"/>
  <c r="N212" i="1"/>
  <c r="K212" i="1"/>
  <c r="C212" i="1"/>
  <c r="D212" i="1"/>
  <c r="E212" i="1"/>
  <c r="F212" i="1"/>
  <c r="G212" i="1"/>
  <c r="H212" i="1"/>
  <c r="T181" i="1"/>
  <c r="Q181" i="1"/>
  <c r="N181" i="1"/>
  <c r="K181" i="1"/>
  <c r="C181" i="1"/>
  <c r="D181" i="1"/>
  <c r="E181" i="1"/>
  <c r="F181" i="1"/>
  <c r="G181" i="1"/>
  <c r="H181" i="1"/>
  <c r="T126" i="1"/>
  <c r="Q126" i="1"/>
  <c r="N126" i="1"/>
  <c r="K126" i="1"/>
  <c r="C126" i="1"/>
  <c r="D126" i="1"/>
  <c r="E126" i="1"/>
  <c r="F126" i="1"/>
  <c r="G126" i="1"/>
  <c r="H126" i="1"/>
  <c r="T95" i="1"/>
  <c r="Q95" i="1"/>
  <c r="N95" i="1"/>
  <c r="K95" i="1"/>
  <c r="C95" i="1"/>
  <c r="D95" i="1"/>
  <c r="E95" i="1"/>
  <c r="F95" i="1"/>
  <c r="G95" i="1"/>
  <c r="H95" i="1"/>
  <c r="S212" i="1"/>
  <c r="P212" i="1"/>
  <c r="M212" i="1"/>
  <c r="J212" i="1"/>
  <c r="B212" i="1"/>
  <c r="S181" i="1"/>
  <c r="P181" i="1"/>
  <c r="M181" i="1"/>
  <c r="J181" i="1"/>
  <c r="B181" i="1"/>
  <c r="S126" i="1"/>
  <c r="P126" i="1"/>
  <c r="M126" i="1"/>
  <c r="J126" i="1"/>
  <c r="B126" i="1"/>
  <c r="S95" i="1"/>
  <c r="P95" i="1"/>
  <c r="M95" i="1"/>
  <c r="J95" i="1"/>
  <c r="B95" i="1"/>
  <c r="T41" i="1"/>
  <c r="Q41" i="1"/>
  <c r="N41" i="1"/>
  <c r="K41" i="1"/>
  <c r="S41" i="1"/>
  <c r="P41" i="1"/>
  <c r="M41" i="1"/>
  <c r="J41" i="1"/>
  <c r="C41" i="1"/>
  <c r="D41" i="1"/>
  <c r="E41" i="1"/>
  <c r="F41" i="1"/>
  <c r="G41" i="1"/>
  <c r="H41" i="1"/>
  <c r="B41" i="1"/>
  <c r="T10" i="1"/>
  <c r="S10" i="1"/>
  <c r="Q10" i="1"/>
  <c r="P10" i="1"/>
  <c r="N10" i="1"/>
  <c r="M10" i="1"/>
  <c r="K10" i="1"/>
  <c r="J10" i="1"/>
  <c r="E10" i="1"/>
  <c r="F10" i="1"/>
  <c r="G10" i="1"/>
  <c r="H10" i="1"/>
  <c r="C10" i="1"/>
  <c r="D10" i="1"/>
  <c r="B10" i="1"/>
  <c r="EM77" i="4" l="1"/>
  <c r="AG70" i="5"/>
  <c r="AG69" i="5"/>
  <c r="AG67" i="5"/>
  <c r="AG66" i="5"/>
  <c r="AG65" i="5"/>
  <c r="AG64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0" i="5"/>
  <c r="AG48" i="5"/>
  <c r="AG47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8" i="5"/>
  <c r="AG26" i="5"/>
  <c r="AG25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G6" i="5"/>
  <c r="K194" i="5"/>
  <c r="L194" i="5"/>
  <c r="M194" i="5"/>
  <c r="N194" i="5"/>
  <c r="O194" i="5"/>
  <c r="J194" i="5"/>
  <c r="G160" i="5"/>
  <c r="F160" i="5"/>
  <c r="E160" i="5"/>
  <c r="D160" i="5"/>
  <c r="C160" i="5"/>
  <c r="B160" i="5"/>
  <c r="G141" i="5"/>
  <c r="F141" i="5"/>
  <c r="E141" i="5"/>
  <c r="D141" i="5"/>
  <c r="C141" i="5"/>
  <c r="B141" i="5"/>
  <c r="G121" i="5"/>
  <c r="F121" i="5"/>
  <c r="E121" i="5"/>
  <c r="D121" i="5"/>
  <c r="C121" i="5"/>
  <c r="B121" i="5"/>
  <c r="G102" i="5"/>
  <c r="F102" i="5"/>
  <c r="E102" i="5"/>
  <c r="D102" i="5"/>
  <c r="C102" i="5"/>
  <c r="B102" i="5"/>
  <c r="G83" i="5"/>
  <c r="F83" i="5"/>
  <c r="E83" i="5"/>
  <c r="D83" i="5"/>
  <c r="C83" i="5"/>
  <c r="B83" i="5"/>
  <c r="G63" i="5"/>
  <c r="F63" i="5"/>
  <c r="E63" i="5"/>
  <c r="D63" i="5"/>
  <c r="C63" i="5"/>
  <c r="B63" i="5"/>
  <c r="G45" i="5"/>
  <c r="F45" i="5"/>
  <c r="E45" i="5"/>
  <c r="D45" i="5"/>
  <c r="C45" i="5"/>
  <c r="B45" i="5"/>
  <c r="G25" i="5"/>
  <c r="F25" i="5"/>
  <c r="E25" i="5"/>
  <c r="D25" i="5"/>
  <c r="C25" i="5"/>
  <c r="B25" i="5"/>
  <c r="GZ37" i="4"/>
  <c r="GZ38" i="4"/>
  <c r="GZ39" i="4"/>
  <c r="GZ40" i="4"/>
  <c r="GZ36" i="4"/>
  <c r="GZ29" i="4"/>
  <c r="GZ30" i="4"/>
  <c r="GZ31" i="4"/>
  <c r="GZ32" i="4"/>
  <c r="GZ28" i="4"/>
  <c r="GZ22" i="4"/>
  <c r="GZ23" i="4"/>
  <c r="GZ24" i="4"/>
  <c r="GZ25" i="4"/>
  <c r="GZ21" i="4"/>
  <c r="GZ7" i="4"/>
  <c r="GZ8" i="4"/>
  <c r="GZ9" i="4"/>
  <c r="GZ10" i="4"/>
  <c r="GZ6" i="4"/>
  <c r="GZ15" i="4"/>
  <c r="GZ16" i="4"/>
  <c r="GZ17" i="4"/>
  <c r="GZ18" i="4"/>
  <c r="GZ14" i="4"/>
  <c r="GG21" i="4"/>
  <c r="GG20" i="4"/>
  <c r="GG19" i="4"/>
  <c r="GG17" i="4"/>
  <c r="GG14" i="4"/>
  <c r="GG13" i="4"/>
  <c r="GG12" i="4"/>
  <c r="GG10" i="4"/>
  <c r="GG7" i="4"/>
  <c r="FN51" i="4"/>
  <c r="FN50" i="4"/>
  <c r="FN49" i="4"/>
  <c r="FN48" i="4"/>
  <c r="FN47" i="4"/>
  <c r="FN46" i="4"/>
  <c r="FN43" i="4"/>
  <c r="FN42" i="4"/>
  <c r="FN41" i="4"/>
  <c r="FN40" i="4"/>
  <c r="FN39" i="4"/>
  <c r="FN38" i="4"/>
  <c r="FN37" i="4"/>
  <c r="FN36" i="4"/>
  <c r="FN35" i="4"/>
  <c r="FN34" i="4"/>
  <c r="FN33" i="4"/>
  <c r="FN32" i="4"/>
  <c r="FN29" i="4"/>
  <c r="FN28" i="4"/>
  <c r="FN27" i="4"/>
  <c r="FN26" i="4"/>
  <c r="FN25" i="4"/>
  <c r="FN24" i="4"/>
  <c r="FN21" i="4"/>
  <c r="FN20" i="4"/>
  <c r="FN19" i="4"/>
  <c r="FN18" i="4"/>
  <c r="FN17" i="4"/>
  <c r="FN16" i="4"/>
  <c r="FN13" i="4"/>
  <c r="FN12" i="4"/>
  <c r="FN11" i="4"/>
  <c r="FN10" i="4"/>
  <c r="FN7" i="4"/>
  <c r="FN6" i="4"/>
  <c r="EU22" i="4"/>
  <c r="ET22" i="4"/>
  <c r="ES22" i="4"/>
  <c r="ER22" i="4"/>
  <c r="EQ22" i="4"/>
  <c r="EP22" i="4"/>
  <c r="GG11" i="4" l="1"/>
  <c r="GG18" i="4"/>
  <c r="EM5" i="4" l="1"/>
  <c r="GZ5" i="4" s="1"/>
  <c r="EM8" i="4"/>
  <c r="EM9" i="4"/>
  <c r="EM10" i="4"/>
  <c r="DS8" i="4"/>
  <c r="CK15" i="4" l="1"/>
  <c r="CK13" i="4"/>
  <c r="GZ20" i="4" s="1"/>
  <c r="CK12" i="4"/>
  <c r="BD58" i="4"/>
  <c r="BD57" i="4"/>
  <c r="BD56" i="4"/>
  <c r="BD55" i="4"/>
  <c r="BD54" i="4"/>
  <c r="BD53" i="4"/>
  <c r="BD51" i="4"/>
  <c r="BD49" i="4"/>
  <c r="BD48" i="4"/>
  <c r="BD47" i="4"/>
  <c r="BD46" i="4"/>
  <c r="BD45" i="4"/>
  <c r="BD44" i="4"/>
  <c r="BD42" i="4"/>
  <c r="BD41" i="4"/>
  <c r="BD40" i="4"/>
  <c r="BD39" i="4"/>
  <c r="BD38" i="4"/>
  <c r="BD37" i="4"/>
  <c r="BD36" i="4"/>
  <c r="BD34" i="4"/>
  <c r="BD31" i="4"/>
  <c r="BD30" i="4"/>
  <c r="BD29" i="4"/>
  <c r="BD28" i="4"/>
  <c r="BD27" i="4"/>
  <c r="BD26" i="4"/>
  <c r="BD24" i="4"/>
  <c r="BD23" i="4"/>
  <c r="BD22" i="4"/>
  <c r="BD21" i="4"/>
  <c r="BD20" i="4"/>
  <c r="BD19" i="4"/>
  <c r="BD18" i="4"/>
  <c r="BD16" i="4"/>
  <c r="BD13" i="4"/>
  <c r="BD12" i="4"/>
  <c r="BD11" i="4"/>
  <c r="BD10" i="4"/>
  <c r="BD9" i="4"/>
  <c r="BD8" i="4"/>
  <c r="BD6" i="4"/>
  <c r="AK12" i="4"/>
  <c r="AK13" i="4"/>
  <c r="AK11" i="4"/>
  <c r="AK18" i="4"/>
  <c r="AK19" i="4"/>
  <c r="AK20" i="4"/>
  <c r="AK17" i="4"/>
  <c r="AK25" i="4"/>
  <c r="AK26" i="4"/>
  <c r="AK27" i="4"/>
  <c r="AK28" i="4"/>
  <c r="AK24" i="4"/>
  <c r="AK33" i="4"/>
  <c r="AK34" i="4"/>
  <c r="AK35" i="4"/>
  <c r="AK32" i="4"/>
  <c r="AK7" i="4"/>
  <c r="AK6" i="4"/>
  <c r="R37" i="4"/>
  <c r="R36" i="4"/>
  <c r="R35" i="4"/>
  <c r="R32" i="4"/>
  <c r="R31" i="4"/>
  <c r="R30" i="4"/>
  <c r="R27" i="4"/>
  <c r="R25" i="4"/>
  <c r="R24" i="4"/>
  <c r="R23" i="4"/>
  <c r="R20" i="4"/>
  <c r="R19" i="4"/>
  <c r="R16" i="4"/>
  <c r="R15" i="4"/>
  <c r="R14" i="4"/>
  <c r="R13" i="4"/>
  <c r="R12" i="4"/>
  <c r="R10" i="4"/>
  <c r="R9" i="4"/>
  <c r="R8" i="4"/>
  <c r="R5" i="4"/>
  <c r="BT36" i="3"/>
  <c r="EM114" i="4" s="1"/>
  <c r="EM113" i="4" s="1"/>
  <c r="BS36" i="3"/>
  <c r="BT35" i="3"/>
  <c r="EM107" i="4" s="1"/>
  <c r="EM106" i="4" s="1"/>
  <c r="BS35" i="3"/>
  <c r="BT34" i="3"/>
  <c r="EM100" i="4" s="1"/>
  <c r="EM99" i="4" s="1"/>
  <c r="BS34" i="3"/>
  <c r="BT33" i="3"/>
  <c r="EM93" i="4" s="1"/>
  <c r="EM92" i="4" s="1"/>
  <c r="BS33" i="3"/>
  <c r="BT29" i="3"/>
  <c r="EM85" i="4" s="1"/>
  <c r="EM84" i="4" s="1"/>
  <c r="BS29" i="3"/>
  <c r="BT26" i="3"/>
  <c r="EM70" i="4" s="1"/>
  <c r="EM69" i="4" s="1"/>
  <c r="BS26" i="3"/>
  <c r="BT25" i="3"/>
  <c r="BS25" i="3"/>
  <c r="BT24" i="3"/>
  <c r="BS24" i="3"/>
  <c r="BT23" i="3"/>
  <c r="EM52" i="4" s="1"/>
  <c r="EM51" i="4" s="1"/>
  <c r="BS23" i="3"/>
  <c r="BT19" i="3"/>
  <c r="EM29" i="4" s="1"/>
  <c r="EM28" i="4" s="1"/>
  <c r="BS19" i="3"/>
  <c r="BT17" i="3"/>
  <c r="EM22" i="4" s="1"/>
  <c r="EM21" i="4" s="1"/>
  <c r="BS17" i="3"/>
  <c r="BW99" i="3" s="1"/>
  <c r="BT16" i="3"/>
  <c r="EM15" i="4" s="1"/>
  <c r="EM14" i="4" s="1"/>
  <c r="BS16" i="3"/>
  <c r="BW81" i="3" s="1"/>
  <c r="BT13" i="3"/>
  <c r="EM44" i="4" s="1"/>
  <c r="EM43" i="4" s="1"/>
  <c r="BS13" i="3"/>
  <c r="BW63" i="3" s="1"/>
  <c r="BT11" i="3"/>
  <c r="EM37" i="4" s="1"/>
  <c r="EM36" i="4" s="1"/>
  <c r="BS11" i="3"/>
  <c r="BW45" i="3" s="1"/>
  <c r="BT8" i="3"/>
  <c r="EM7" i="4" s="1"/>
  <c r="EM6" i="4" s="1"/>
  <c r="BS8" i="3"/>
  <c r="BW27" i="3" s="1"/>
  <c r="AF85" i="2"/>
  <c r="AH28" i="2"/>
  <c r="Z10" i="2"/>
  <c r="S62" i="2"/>
  <c r="T62" i="2"/>
  <c r="U62" i="2"/>
  <c r="V62" i="2"/>
  <c r="W62" i="2"/>
  <c r="R62" i="2"/>
  <c r="S10" i="2"/>
  <c r="T10" i="2"/>
  <c r="U10" i="2"/>
  <c r="V10" i="2"/>
  <c r="W10" i="2"/>
  <c r="R10" i="2"/>
  <c r="I9" i="2"/>
  <c r="H9" i="2"/>
  <c r="J10" i="2" s="1"/>
  <c r="D7" i="2"/>
  <c r="BX45" i="3" l="1"/>
  <c r="BX63" i="3"/>
  <c r="BX27" i="3"/>
  <c r="BX81" i="3"/>
  <c r="BX99" i="3"/>
  <c r="CK25" i="4"/>
  <c r="CK21" i="4"/>
  <c r="CK23" i="4"/>
  <c r="CK19" i="4"/>
  <c r="BD43" i="4"/>
  <c r="AK23" i="4"/>
  <c r="AK10" i="4"/>
  <c r="BD7" i="4"/>
  <c r="BD25" i="4"/>
  <c r="BD17" i="4"/>
  <c r="BD35" i="4"/>
  <c r="BD52" i="4"/>
  <c r="AK16" i="4"/>
  <c r="Q62" i="2"/>
  <c r="I10" i="2"/>
  <c r="M10" i="2"/>
  <c r="K10" i="2"/>
  <c r="N10" i="2"/>
  <c r="L10" i="2"/>
  <c r="C7" i="2"/>
  <c r="B7" i="2" s="1"/>
  <c r="H10" i="2" l="1"/>
  <c r="DS26" i="4" l="1"/>
  <c r="DS40" i="4"/>
  <c r="DS39" i="4"/>
  <c r="DS38" i="4"/>
  <c r="DS37" i="4"/>
  <c r="DS36" i="4"/>
  <c r="DS33" i="4"/>
  <c r="DS32" i="4"/>
  <c r="DS31" i="4"/>
  <c r="DS30" i="4"/>
  <c r="DS25" i="4"/>
  <c r="CK40" i="4"/>
  <c r="CK39" i="4"/>
  <c r="CK38" i="4"/>
  <c r="CK37" i="4"/>
  <c r="DS22" i="4"/>
  <c r="DS21" i="4"/>
  <c r="DS18" i="4"/>
  <c r="CK32" i="4"/>
  <c r="CK30" i="4"/>
  <c r="AU22" i="2" l="1"/>
  <c r="E9" i="3" s="1"/>
  <c r="AU18" i="2"/>
  <c r="I9" i="3" s="1"/>
  <c r="AU14" i="2"/>
  <c r="M9" i="3" s="1"/>
  <c r="AU25" i="2"/>
  <c r="B9" i="3" s="1"/>
  <c r="AU23" i="2"/>
  <c r="D9" i="3" s="1"/>
  <c r="AU21" i="2"/>
  <c r="F9" i="3" s="1"/>
  <c r="AU19" i="2"/>
  <c r="H9" i="3" s="1"/>
  <c r="AU17" i="2"/>
  <c r="J9" i="3" s="1"/>
  <c r="AU15" i="2"/>
  <c r="L9" i="3" s="1"/>
  <c r="AU13" i="2"/>
  <c r="N9" i="3" s="1"/>
  <c r="AU12" i="2"/>
  <c r="O9" i="3" s="1"/>
  <c r="AU34" i="2"/>
  <c r="AU38" i="2"/>
  <c r="AU42" i="2"/>
  <c r="AU29" i="2"/>
  <c r="AU33" i="2"/>
  <c r="AU37" i="2"/>
  <c r="AU41" i="2"/>
  <c r="AU11" i="2"/>
  <c r="P9" i="3" s="1"/>
  <c r="AU32" i="2"/>
  <c r="AU36" i="2"/>
  <c r="AU40" i="2"/>
  <c r="AU30" i="2"/>
  <c r="DT8" i="4" l="1"/>
  <c r="AW29" i="2"/>
  <c r="AU43" i="2"/>
  <c r="AU39" i="2"/>
  <c r="AU35" i="2"/>
  <c r="AU31" i="2"/>
  <c r="AU44" i="2"/>
  <c r="AU16" i="2"/>
  <c r="K9" i="3" s="1"/>
  <c r="AU20" i="2"/>
  <c r="G9" i="3" s="1"/>
  <c r="AU24" i="2"/>
  <c r="C9" i="3" s="1"/>
  <c r="DT11" i="4" l="1"/>
  <c r="CL37" i="4" l="1"/>
  <c r="DT12" i="4"/>
  <c r="DT30" i="4" l="1"/>
  <c r="DT15" i="4"/>
  <c r="CL38" i="4"/>
  <c r="N18" i="5" l="1"/>
  <c r="L29" i="5"/>
  <c r="J40" i="5"/>
  <c r="N40" i="5"/>
  <c r="L51" i="5"/>
  <c r="J62" i="5"/>
  <c r="N62" i="5"/>
  <c r="L73" i="5"/>
  <c r="J84" i="5"/>
  <c r="N84" i="5"/>
  <c r="L95" i="5"/>
  <c r="J106" i="5"/>
  <c r="N106" i="5"/>
  <c r="L117" i="5"/>
  <c r="J128" i="5"/>
  <c r="N128" i="5"/>
  <c r="L139" i="5"/>
  <c r="J150" i="5"/>
  <c r="N150" i="5"/>
  <c r="L161" i="5"/>
  <c r="J172" i="5"/>
  <c r="N172" i="5"/>
  <c r="L183" i="5"/>
  <c r="K29" i="5"/>
  <c r="J29" i="5"/>
  <c r="M40" i="5"/>
  <c r="O51" i="5"/>
  <c r="K73" i="5"/>
  <c r="M84" i="5"/>
  <c r="O95" i="5"/>
  <c r="K117" i="5"/>
  <c r="M128" i="5"/>
  <c r="O139" i="5"/>
  <c r="K161" i="5"/>
  <c r="M172" i="5"/>
  <c r="O183" i="5"/>
  <c r="M117" i="5"/>
  <c r="O128" i="5"/>
  <c r="K150" i="5"/>
  <c r="M161" i="5"/>
  <c r="O172" i="5"/>
  <c r="L18" i="5"/>
  <c r="O29" i="5"/>
  <c r="K51" i="5"/>
  <c r="M62" i="5"/>
  <c r="O73" i="5"/>
  <c r="K95" i="5"/>
  <c r="M106" i="5"/>
  <c r="O117" i="5"/>
  <c r="K139" i="5"/>
  <c r="M150" i="5"/>
  <c r="O161" i="5"/>
  <c r="K183" i="5"/>
  <c r="CL39" i="4"/>
  <c r="DT31" i="4"/>
  <c r="O193" i="5" l="1"/>
  <c r="K172" i="5"/>
  <c r="M139" i="5"/>
  <c r="K106" i="5"/>
  <c r="M73" i="5"/>
  <c r="O40" i="5"/>
  <c r="J18" i="5"/>
  <c r="N193" i="5"/>
  <c r="M18" i="5"/>
  <c r="O106" i="5"/>
  <c r="K84" i="5"/>
  <c r="M51" i="5"/>
  <c r="N183" i="5"/>
  <c r="L172" i="5"/>
  <c r="J161" i="5"/>
  <c r="N139" i="5"/>
  <c r="L128" i="5"/>
  <c r="J117" i="5"/>
  <c r="N95" i="5"/>
  <c r="L84" i="5"/>
  <c r="J73" i="5"/>
  <c r="N51" i="5"/>
  <c r="L40" i="5"/>
  <c r="O18" i="5"/>
  <c r="DT16" i="4"/>
  <c r="DT18" i="4"/>
  <c r="DT32" i="4"/>
  <c r="M193" i="5"/>
  <c r="K193" i="5"/>
  <c r="M183" i="5"/>
  <c r="O150" i="5"/>
  <c r="K128" i="5"/>
  <c r="O84" i="5"/>
  <c r="K62" i="5"/>
  <c r="M29" i="5"/>
  <c r="J193" i="5"/>
  <c r="M95" i="5"/>
  <c r="O62" i="5"/>
  <c r="K40" i="5"/>
  <c r="L193" i="5"/>
  <c r="J183" i="5"/>
  <c r="N161" i="5"/>
  <c r="L150" i="5"/>
  <c r="J139" i="5"/>
  <c r="N117" i="5"/>
  <c r="L106" i="5"/>
  <c r="J95" i="5"/>
  <c r="N73" i="5"/>
  <c r="L62" i="5"/>
  <c r="J51" i="5"/>
  <c r="N29" i="5"/>
  <c r="K18" i="5"/>
  <c r="DT21" i="4" l="1"/>
  <c r="DT33" i="4"/>
  <c r="DT22" i="4"/>
  <c r="DT36" i="4"/>
  <c r="DT37" i="4" l="1"/>
  <c r="CL19" i="4"/>
  <c r="CL21" i="4"/>
  <c r="CL25" i="4" l="1"/>
  <c r="CL23" i="4" l="1"/>
  <c r="J185" i="5"/>
  <c r="DT39" i="4" l="1"/>
  <c r="DT40" i="4" l="1"/>
  <c r="O192" i="5"/>
  <c r="O185" i="5"/>
  <c r="DT25" i="4" l="1"/>
  <c r="DT26" i="4"/>
  <c r="DT38" i="4" l="1"/>
  <c r="CL28" i="4"/>
  <c r="DS16" i="4"/>
  <c r="DS15" i="4"/>
  <c r="DS12" i="4"/>
  <c r="DS11" i="4"/>
  <c r="AU10" i="2"/>
  <c r="AW10" i="2" s="1"/>
  <c r="Q9" i="3" l="1"/>
  <c r="CL9" i="4" s="1"/>
  <c r="K191" i="5"/>
  <c r="K185" i="5"/>
  <c r="CL40" i="4"/>
  <c r="K186" i="5"/>
  <c r="K188" i="5"/>
  <c r="K190" i="5"/>
  <c r="K192" i="5"/>
  <c r="K187" i="5"/>
  <c r="K189" i="5"/>
  <c r="O191" i="5"/>
  <c r="L188" i="5" l="1"/>
  <c r="L185" i="5"/>
  <c r="M192" i="5"/>
  <c r="M185" i="5"/>
  <c r="N191" i="5"/>
  <c r="N185" i="5"/>
  <c r="M189" i="5"/>
  <c r="M188" i="5"/>
  <c r="M186" i="5"/>
  <c r="M190" i="5"/>
  <c r="M191" i="5"/>
  <c r="M187" i="5"/>
  <c r="O186" i="5"/>
  <c r="O188" i="5"/>
  <c r="O189" i="5"/>
  <c r="O190" i="5"/>
  <c r="O187" i="5"/>
  <c r="N192" i="5"/>
  <c r="N187" i="5"/>
  <c r="N189" i="5"/>
  <c r="N188" i="5"/>
  <c r="N190" i="5"/>
  <c r="N186" i="5"/>
  <c r="L190" i="5"/>
  <c r="L186" i="5"/>
  <c r="L191" i="5"/>
  <c r="L187" i="5"/>
  <c r="L189" i="5"/>
  <c r="L192" i="5"/>
  <c r="J192" i="5"/>
  <c r="J187" i="5" l="1"/>
  <c r="J189" i="5"/>
  <c r="J191" i="5"/>
  <c r="J186" i="5"/>
  <c r="J188" i="5"/>
  <c r="J190" i="5"/>
  <c r="EU21" i="4" l="1"/>
  <c r="ET21" i="4"/>
  <c r="ES21" i="4"/>
  <c r="ER21" i="4"/>
  <c r="EQ21" i="4"/>
  <c r="EP21" i="4"/>
  <c r="AC67" i="2" l="1"/>
  <c r="AC64" i="2"/>
  <c r="AB67" i="2"/>
  <c r="AB64" i="2"/>
  <c r="AA67" i="2"/>
  <c r="AA64" i="2"/>
  <c r="L66" i="2" l="1"/>
  <c r="K66" i="2"/>
  <c r="J66" i="2"/>
  <c r="BQ36" i="3" l="1"/>
  <c r="BQ35" i="3"/>
  <c r="BQ34" i="3"/>
  <c r="BQ33" i="3"/>
  <c r="BQ29" i="3"/>
  <c r="BQ26" i="3"/>
  <c r="BQ25" i="3"/>
  <c r="BQ24" i="3"/>
  <c r="BQ23" i="3"/>
  <c r="BQ19" i="3"/>
  <c r="BQ17" i="3"/>
  <c r="BQ16" i="3"/>
  <c r="BQ13" i="3"/>
  <c r="BQ11" i="3"/>
  <c r="BW46" i="3" s="1"/>
  <c r="BQ8" i="3"/>
  <c r="EK27" i="4" l="1"/>
  <c r="GX27" i="4" s="1"/>
  <c r="EJ27" i="4"/>
  <c r="GW27" i="4" s="1"/>
  <c r="EI27" i="4"/>
  <c r="GV27" i="4" s="1"/>
  <c r="EH27" i="4"/>
  <c r="GU27" i="4" s="1"/>
  <c r="EG27" i="4"/>
  <c r="GT27" i="4" s="1"/>
  <c r="EL28" i="4"/>
  <c r="EK28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EK20" i="4"/>
  <c r="EJ20" i="4"/>
  <c r="EI20" i="4"/>
  <c r="EH20" i="4"/>
  <c r="EG20" i="4"/>
  <c r="EL21" i="4"/>
  <c r="EK21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EL14" i="4"/>
  <c r="EK14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6" i="4"/>
  <c r="DX6" i="4"/>
  <c r="DY6" i="4"/>
  <c r="DZ6" i="4"/>
  <c r="EA6" i="4"/>
  <c r="EB6" i="4"/>
  <c r="EC6" i="4"/>
  <c r="ED6" i="4"/>
  <c r="EE6" i="4"/>
  <c r="EF6" i="4"/>
  <c r="EG6" i="4"/>
  <c r="EH6" i="4"/>
  <c r="EI6" i="4"/>
  <c r="EJ6" i="4"/>
  <c r="EK6" i="4"/>
  <c r="EL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BZ24" i="3"/>
  <c r="BZ23" i="3"/>
  <c r="BZ22" i="3"/>
  <c r="BZ21" i="3"/>
  <c r="BZ19" i="3"/>
  <c r="BZ18" i="3"/>
  <c r="BZ17" i="3"/>
  <c r="BZ16" i="3"/>
  <c r="BZ15" i="3"/>
  <c r="BZ14" i="3"/>
  <c r="BZ13" i="3"/>
  <c r="BZ12" i="3"/>
  <c r="BZ11" i="3"/>
  <c r="BW24" i="3"/>
  <c r="BW23" i="3"/>
  <c r="BW22" i="3"/>
  <c r="BW21" i="3"/>
  <c r="BW20" i="3"/>
  <c r="BW19" i="3"/>
  <c r="BW18" i="3"/>
  <c r="BW17" i="3"/>
  <c r="BW16" i="3"/>
  <c r="BW15" i="3"/>
  <c r="BW14" i="3"/>
  <c r="BW13" i="3"/>
  <c r="BW12" i="3"/>
  <c r="BW11" i="3"/>
  <c r="BW10" i="3"/>
  <c r="BW9" i="3"/>
  <c r="CE25" i="4" l="1"/>
  <c r="CE21" i="4"/>
  <c r="CE23" i="4"/>
  <c r="CE19" i="4"/>
  <c r="CA25" i="4"/>
  <c r="CA21" i="4"/>
  <c r="CA23" i="4"/>
  <c r="CA19" i="4"/>
  <c r="BW25" i="4"/>
  <c r="BW21" i="4"/>
  <c r="BW23" i="4"/>
  <c r="BW19" i="4"/>
  <c r="BS25" i="4"/>
  <c r="BS21" i="4"/>
  <c r="BS23" i="4"/>
  <c r="BS19" i="4"/>
  <c r="BO25" i="4"/>
  <c r="BO21" i="4"/>
  <c r="BO23" i="4"/>
  <c r="BO19" i="4"/>
  <c r="BK25" i="4"/>
  <c r="BK21" i="4"/>
  <c r="BK23" i="4"/>
  <c r="BK19" i="4"/>
  <c r="BG25" i="4"/>
  <c r="BG21" i="4"/>
  <c r="BG23" i="4"/>
  <c r="BG19" i="4"/>
  <c r="CC25" i="4"/>
  <c r="CC21" i="4"/>
  <c r="CC23" i="4"/>
  <c r="CC19" i="4"/>
  <c r="BY25" i="4"/>
  <c r="BY21" i="4"/>
  <c r="BY23" i="4"/>
  <c r="BY19" i="4"/>
  <c r="BU25" i="4"/>
  <c r="BU21" i="4"/>
  <c r="BU23" i="4"/>
  <c r="BU19" i="4"/>
  <c r="BQ25" i="4"/>
  <c r="BQ21" i="4"/>
  <c r="BQ23" i="4"/>
  <c r="BQ19" i="4"/>
  <c r="BM25" i="4"/>
  <c r="BM21" i="4"/>
  <c r="BM23" i="4"/>
  <c r="BM19" i="4"/>
  <c r="BI25" i="4"/>
  <c r="BI21" i="4"/>
  <c r="BI23" i="4"/>
  <c r="BI19" i="4"/>
  <c r="AW25" i="2" l="1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30" i="2"/>
  <c r="EJ51" i="4"/>
  <c r="EI51" i="4"/>
  <c r="EH51" i="4"/>
  <c r="EG51" i="4"/>
  <c r="EF51" i="4"/>
  <c r="EE51" i="4"/>
  <c r="ED51" i="4"/>
  <c r="EC51" i="4"/>
  <c r="EB51" i="4"/>
  <c r="EA51" i="4"/>
  <c r="DZ51" i="4"/>
  <c r="DY51" i="4"/>
  <c r="DX51" i="4"/>
  <c r="EJ58" i="4"/>
  <c r="EI58" i="4"/>
  <c r="EH58" i="4"/>
  <c r="EG58" i="4"/>
  <c r="EF58" i="4"/>
  <c r="EE58" i="4"/>
  <c r="ED58" i="4"/>
  <c r="EC58" i="4"/>
  <c r="EB58" i="4"/>
  <c r="EA58" i="4"/>
  <c r="DZ58" i="4"/>
  <c r="DY58" i="4"/>
  <c r="DX58" i="4"/>
  <c r="EJ69" i="4"/>
  <c r="EI69" i="4"/>
  <c r="EH69" i="4"/>
  <c r="EG69" i="4"/>
  <c r="EF69" i="4"/>
  <c r="EE69" i="4"/>
  <c r="ED69" i="4"/>
  <c r="EC69" i="4"/>
  <c r="EB69" i="4"/>
  <c r="EA69" i="4"/>
  <c r="DZ69" i="4"/>
  <c r="DY69" i="4"/>
  <c r="DX69" i="4"/>
  <c r="EJ77" i="4"/>
  <c r="EI77" i="4"/>
  <c r="EH77" i="4"/>
  <c r="EG77" i="4"/>
  <c r="EF77" i="4"/>
  <c r="EE77" i="4"/>
  <c r="ED77" i="4"/>
  <c r="EC77" i="4"/>
  <c r="EB77" i="4"/>
  <c r="EA77" i="4"/>
  <c r="DZ77" i="4"/>
  <c r="DY77" i="4"/>
  <c r="DX77" i="4"/>
  <c r="EJ84" i="4"/>
  <c r="EI84" i="4"/>
  <c r="EH84" i="4"/>
  <c r="EG84" i="4"/>
  <c r="EF84" i="4"/>
  <c r="EE84" i="4"/>
  <c r="ED84" i="4"/>
  <c r="EC84" i="4"/>
  <c r="EB84" i="4"/>
  <c r="EA84" i="4"/>
  <c r="DZ84" i="4"/>
  <c r="DY84" i="4"/>
  <c r="DX84" i="4"/>
  <c r="EJ92" i="4"/>
  <c r="EI92" i="4"/>
  <c r="EH92" i="4"/>
  <c r="EG92" i="4"/>
  <c r="EF92" i="4"/>
  <c r="EE92" i="4"/>
  <c r="ED92" i="4"/>
  <c r="EC92" i="4"/>
  <c r="EB92" i="4"/>
  <c r="EA92" i="4"/>
  <c r="DZ92" i="4"/>
  <c r="DY92" i="4"/>
  <c r="DX92" i="4"/>
  <c r="EJ99" i="4"/>
  <c r="EI99" i="4"/>
  <c r="EH99" i="4"/>
  <c r="EG99" i="4"/>
  <c r="EF99" i="4"/>
  <c r="EE99" i="4"/>
  <c r="ED99" i="4"/>
  <c r="EC99" i="4"/>
  <c r="EB99" i="4"/>
  <c r="EA99" i="4"/>
  <c r="DZ99" i="4"/>
  <c r="DY99" i="4"/>
  <c r="DX99" i="4"/>
  <c r="EJ106" i="4"/>
  <c r="EI106" i="4"/>
  <c r="EH106" i="4"/>
  <c r="EG106" i="4"/>
  <c r="EF106" i="4"/>
  <c r="EE106" i="4"/>
  <c r="ED106" i="4"/>
  <c r="EC106" i="4"/>
  <c r="EB106" i="4"/>
  <c r="EA106" i="4"/>
  <c r="DZ106" i="4"/>
  <c r="DY106" i="4"/>
  <c r="DX106" i="4"/>
  <c r="EJ113" i="4"/>
  <c r="EI113" i="4"/>
  <c r="EH113" i="4"/>
  <c r="EG113" i="4"/>
  <c r="EF113" i="4"/>
  <c r="EE113" i="4"/>
  <c r="ED113" i="4"/>
  <c r="EC113" i="4"/>
  <c r="EB113" i="4"/>
  <c r="EA113" i="4"/>
  <c r="DZ113" i="4"/>
  <c r="DY113" i="4"/>
  <c r="DX113" i="4"/>
  <c r="EK113" i="4"/>
  <c r="EK106" i="4"/>
  <c r="EK99" i="4"/>
  <c r="EK92" i="4"/>
  <c r="EK84" i="4"/>
  <c r="EK77" i="4"/>
  <c r="EK69" i="4"/>
  <c r="EK58" i="4"/>
  <c r="EK51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X27" i="4"/>
  <c r="GK27" i="4" s="1"/>
  <c r="EF27" i="4"/>
  <c r="GS27" i="4" s="1"/>
  <c r="EE27" i="4"/>
  <c r="GR27" i="4" s="1"/>
  <c r="ED27" i="4"/>
  <c r="GQ27" i="4" s="1"/>
  <c r="EC27" i="4"/>
  <c r="GP27" i="4" s="1"/>
  <c r="EB27" i="4"/>
  <c r="GO27" i="4" s="1"/>
  <c r="EA27" i="4"/>
  <c r="GN27" i="4" s="1"/>
  <c r="DZ27" i="4"/>
  <c r="GM27" i="4" s="1"/>
  <c r="DY27" i="4"/>
  <c r="GL27" i="4" s="1"/>
  <c r="DX20" i="4"/>
  <c r="EF20" i="4"/>
  <c r="EE20" i="4"/>
  <c r="ED20" i="4"/>
  <c r="EC20" i="4"/>
  <c r="EB20" i="4"/>
  <c r="EA20" i="4"/>
  <c r="DZ20" i="4"/>
  <c r="DY20" i="4"/>
  <c r="DW5" i="4"/>
  <c r="GJ5" i="4" s="1"/>
  <c r="DX5" i="4"/>
  <c r="GK5" i="4" s="1"/>
  <c r="DY5" i="4"/>
  <c r="GL5" i="4" s="1"/>
  <c r="DZ5" i="4"/>
  <c r="GM5" i="4" s="1"/>
  <c r="EA5" i="4"/>
  <c r="GN5" i="4" s="1"/>
  <c r="EB5" i="4"/>
  <c r="GO5" i="4" s="1"/>
  <c r="EC5" i="4"/>
  <c r="GP5" i="4" s="1"/>
  <c r="ED5" i="4"/>
  <c r="GQ5" i="4" s="1"/>
  <c r="EE5" i="4"/>
  <c r="GR5" i="4" s="1"/>
  <c r="EF5" i="4"/>
  <c r="GS5" i="4" s="1"/>
  <c r="EG5" i="4"/>
  <c r="GT5" i="4" s="1"/>
  <c r="EH5" i="4"/>
  <c r="GU5" i="4" s="1"/>
  <c r="EI5" i="4"/>
  <c r="GV5" i="4" s="1"/>
  <c r="EJ5" i="4"/>
  <c r="GW5" i="4" s="1"/>
  <c r="EK5" i="4"/>
  <c r="GX5" i="4" s="1"/>
  <c r="EL5" i="4"/>
  <c r="GY5" i="4" s="1"/>
  <c r="EL113" i="4"/>
  <c r="EL112" i="4"/>
  <c r="EL106" i="4"/>
  <c r="EL105" i="4"/>
  <c r="EL99" i="4"/>
  <c r="EL98" i="4"/>
  <c r="EL92" i="4"/>
  <c r="EL91" i="4"/>
  <c r="EL84" i="4"/>
  <c r="EL83" i="4"/>
  <c r="EL77" i="4"/>
  <c r="EL76" i="4"/>
  <c r="EL69" i="4"/>
  <c r="EL68" i="4"/>
  <c r="EL58" i="4"/>
  <c r="EL57" i="4"/>
  <c r="EL51" i="4"/>
  <c r="EL50" i="4"/>
  <c r="DR22" i="4"/>
  <c r="DR21" i="4"/>
  <c r="DR18" i="4"/>
  <c r="DR16" i="4"/>
  <c r="DR15" i="4"/>
  <c r="DR12" i="4"/>
  <c r="DR11" i="4"/>
  <c r="DP22" i="4"/>
  <c r="DP21" i="4"/>
  <c r="DP18" i="4"/>
  <c r="DP16" i="4"/>
  <c r="DP15" i="4"/>
  <c r="DP12" i="4"/>
  <c r="DP11" i="4"/>
  <c r="CT22" i="4"/>
  <c r="CT21" i="4"/>
  <c r="CT18" i="4"/>
  <c r="CT16" i="4"/>
  <c r="CT15" i="4"/>
  <c r="CT12" i="4"/>
  <c r="CT11" i="4"/>
  <c r="CR22" i="4"/>
  <c r="CR21" i="4"/>
  <c r="CP22" i="4"/>
  <c r="CP21" i="4"/>
  <c r="CR18" i="4"/>
  <c r="CR16" i="4"/>
  <c r="CR15" i="4"/>
  <c r="CR12" i="4"/>
  <c r="CR11" i="4"/>
  <c r="CP18" i="4"/>
  <c r="CP16" i="4"/>
  <c r="CP15" i="4"/>
  <c r="CP12" i="4"/>
  <c r="CP11" i="4"/>
  <c r="CP8" i="4"/>
  <c r="CR8" i="4"/>
  <c r="CT8" i="4"/>
  <c r="CV8" i="4"/>
  <c r="CX8" i="4"/>
  <c r="CZ8" i="4"/>
  <c r="DB8" i="4"/>
  <c r="DD8" i="4"/>
  <c r="DF8" i="4"/>
  <c r="DH8" i="4"/>
  <c r="DJ8" i="4"/>
  <c r="DL8" i="4"/>
  <c r="DN8" i="4"/>
  <c r="DP8" i="4"/>
  <c r="DR8" i="4"/>
  <c r="EK43" i="4"/>
  <c r="EK36" i="4"/>
  <c r="DZ42" i="4"/>
  <c r="GM42" i="4" s="1"/>
  <c r="EA42" i="4"/>
  <c r="GN42" i="4" s="1"/>
  <c r="EB42" i="4"/>
  <c r="GO42" i="4" s="1"/>
  <c r="EC42" i="4"/>
  <c r="GP42" i="4" s="1"/>
  <c r="ED42" i="4"/>
  <c r="GQ42" i="4" s="1"/>
  <c r="EE42" i="4"/>
  <c r="GR42" i="4" s="1"/>
  <c r="EF42" i="4"/>
  <c r="GS42" i="4" s="1"/>
  <c r="EG42" i="4"/>
  <c r="GT42" i="4" s="1"/>
  <c r="EH42" i="4"/>
  <c r="GU42" i="4" s="1"/>
  <c r="EI42" i="4"/>
  <c r="GV42" i="4" s="1"/>
  <c r="EJ42" i="4"/>
  <c r="GW42" i="4" s="1"/>
  <c r="EK42" i="4"/>
  <c r="GX42" i="4" s="1"/>
  <c r="DY42" i="4"/>
  <c r="GL42" i="4" s="1"/>
  <c r="DX42" i="4"/>
  <c r="GK42" i="4" s="1"/>
  <c r="EK35" i="4"/>
  <c r="GX35" i="4" s="1"/>
  <c r="EJ35" i="4"/>
  <c r="GW35" i="4" s="1"/>
  <c r="EI35" i="4"/>
  <c r="GV35" i="4" s="1"/>
  <c r="EH35" i="4"/>
  <c r="GU35" i="4" s="1"/>
  <c r="EG35" i="4"/>
  <c r="GT35" i="4" s="1"/>
  <c r="EF35" i="4"/>
  <c r="GS35" i="4" s="1"/>
  <c r="EE35" i="4"/>
  <c r="GR35" i="4" s="1"/>
  <c r="ED35" i="4"/>
  <c r="GQ35" i="4" s="1"/>
  <c r="EC35" i="4"/>
  <c r="GP35" i="4" s="1"/>
  <c r="EB35" i="4"/>
  <c r="GO35" i="4" s="1"/>
  <c r="EA35" i="4"/>
  <c r="GN35" i="4" s="1"/>
  <c r="DZ35" i="4"/>
  <c r="GM35" i="4" s="1"/>
  <c r="DY35" i="4"/>
  <c r="GL35" i="4" s="1"/>
  <c r="DX35" i="4"/>
  <c r="GK35" i="4" s="1"/>
  <c r="CH34" i="4"/>
  <c r="CF34" i="4"/>
  <c r="CD34" i="4"/>
  <c r="CB34" i="4"/>
  <c r="BZ34" i="4"/>
  <c r="BX34" i="4"/>
  <c r="BH34" i="4"/>
  <c r="BJ34" i="4"/>
  <c r="CH32" i="4"/>
  <c r="CF32" i="4"/>
  <c r="CD32" i="4"/>
  <c r="CB32" i="4"/>
  <c r="BZ32" i="4"/>
  <c r="BX32" i="4"/>
  <c r="BH32" i="4"/>
  <c r="CH30" i="4"/>
  <c r="CF30" i="4"/>
  <c r="CD30" i="4"/>
  <c r="CB30" i="4"/>
  <c r="BZ30" i="4"/>
  <c r="BX30" i="4"/>
  <c r="BH30" i="4"/>
  <c r="CH28" i="4"/>
  <c r="CF28" i="4"/>
  <c r="CD28" i="4"/>
  <c r="CB28" i="4"/>
  <c r="BZ28" i="4"/>
  <c r="BX28" i="4"/>
  <c r="BH28" i="4"/>
  <c r="CJ15" i="4"/>
  <c r="CH15" i="4"/>
  <c r="CF15" i="4"/>
  <c r="CD15" i="4"/>
  <c r="CB15" i="4"/>
  <c r="BZ15" i="4"/>
  <c r="BX15" i="4"/>
  <c r="BH15" i="4"/>
  <c r="CH13" i="4"/>
  <c r="CF13" i="4"/>
  <c r="CD13" i="4"/>
  <c r="CB13" i="4"/>
  <c r="BZ13" i="4"/>
  <c r="BX13" i="4"/>
  <c r="BH13" i="4"/>
  <c r="CJ12" i="4"/>
  <c r="CH12" i="4"/>
  <c r="CF12" i="4"/>
  <c r="CD12" i="4"/>
  <c r="CB12" i="4"/>
  <c r="BZ12" i="4"/>
  <c r="BX12" i="4"/>
  <c r="BH12" i="4"/>
  <c r="CI15" i="4"/>
  <c r="EL27" i="4" s="1"/>
  <c r="GY27" i="4" s="1"/>
  <c r="CI13" i="4"/>
  <c r="CI12" i="4"/>
  <c r="EL13" i="4" s="1"/>
  <c r="GY13" i="4" s="1"/>
  <c r="BC51" i="4"/>
  <c r="BC42" i="4"/>
  <c r="BC34" i="4"/>
  <c r="BC6" i="4"/>
  <c r="BC52" i="4"/>
  <c r="BC43" i="4"/>
  <c r="BC35" i="4"/>
  <c r="BC25" i="4"/>
  <c r="BC17" i="4"/>
  <c r="BC7" i="4"/>
  <c r="AJ6" i="4"/>
  <c r="AJ31" i="4"/>
  <c r="AJ23" i="4"/>
  <c r="AJ16" i="4"/>
  <c r="AJ10" i="4"/>
  <c r="BX101" i="3"/>
  <c r="BW101" i="3"/>
  <c r="BX100" i="3"/>
  <c r="BW100" i="3"/>
  <c r="BX83" i="3"/>
  <c r="BW83" i="3"/>
  <c r="BX82" i="3"/>
  <c r="BW82" i="3"/>
  <c r="BX65" i="3"/>
  <c r="BW65" i="3"/>
  <c r="BX64" i="3"/>
  <c r="BW64" i="3"/>
  <c r="BX29" i="3"/>
  <c r="BW29" i="3"/>
  <c r="BX28" i="3"/>
  <c r="BW28" i="3"/>
  <c r="BX47" i="3"/>
  <c r="BX46" i="3"/>
  <c r="BW47" i="3"/>
  <c r="CJ9" i="4"/>
  <c r="CH9" i="4"/>
  <c r="EL20" i="4" l="1"/>
  <c r="GY20" i="4"/>
  <c r="CI25" i="4"/>
  <c r="CI21" i="4"/>
  <c r="CI23" i="4"/>
  <c r="CI19" i="4"/>
  <c r="EL35" i="4"/>
  <c r="GY35" i="4" s="1"/>
  <c r="EL42" i="4"/>
  <c r="GY42" i="4" s="1"/>
  <c r="GY49" i="4"/>
  <c r="GF17" i="4" l="1"/>
  <c r="GF11" i="4"/>
  <c r="GE11" i="4"/>
  <c r="GF10" i="4"/>
  <c r="GF7" i="4"/>
  <c r="GF18" i="4"/>
  <c r="FM50" i="4"/>
  <c r="FM48" i="4"/>
  <c r="FM46" i="4"/>
  <c r="FM42" i="4"/>
  <c r="FM40" i="4"/>
  <c r="FM38" i="4"/>
  <c r="FM36" i="4"/>
  <c r="FM34" i="4"/>
  <c r="FM32" i="4"/>
  <c r="FM28" i="4"/>
  <c r="FM26" i="4"/>
  <c r="FM24" i="4"/>
  <c r="FM20" i="4"/>
  <c r="FM18" i="4"/>
  <c r="FM16" i="4"/>
  <c r="FM12" i="4"/>
  <c r="FM10" i="4"/>
  <c r="FM6" i="4"/>
  <c r="Q5" i="4"/>
  <c r="AJ143" i="2" l="1"/>
  <c r="AI143" i="2"/>
  <c r="AG143" i="2"/>
  <c r="AF143" i="2"/>
  <c r="AR143" i="2"/>
  <c r="AO143" i="2"/>
  <c r="AK143" i="2"/>
  <c r="AJ124" i="2"/>
  <c r="AI124" i="2"/>
  <c r="AG124" i="2"/>
  <c r="AF124" i="2"/>
  <c r="AR124" i="2"/>
  <c r="AO124" i="2"/>
  <c r="AK124" i="2"/>
  <c r="AJ105" i="2"/>
  <c r="AI105" i="2"/>
  <c r="AG105" i="2"/>
  <c r="AF105" i="2"/>
  <c r="AR105" i="2"/>
  <c r="AO105" i="2"/>
  <c r="AK105" i="2"/>
  <c r="AJ86" i="2"/>
  <c r="AI86" i="2"/>
  <c r="AG86" i="2"/>
  <c r="AF86" i="2"/>
  <c r="AR86" i="2"/>
  <c r="AO86" i="2"/>
  <c r="AK86" i="2"/>
  <c r="AJ67" i="2"/>
  <c r="AI67" i="2"/>
  <c r="AG67" i="2"/>
  <c r="AF67" i="2"/>
  <c r="AR67" i="2"/>
  <c r="AO67" i="2"/>
  <c r="AK67" i="2"/>
  <c r="AJ48" i="2"/>
  <c r="AI48" i="2"/>
  <c r="AG48" i="2"/>
  <c r="AF48" i="2"/>
  <c r="AR48" i="2"/>
  <c r="AO48" i="2"/>
  <c r="AK48" i="2"/>
  <c r="AJ29" i="2"/>
  <c r="AI29" i="2"/>
  <c r="AG29" i="2"/>
  <c r="AF29" i="2"/>
  <c r="AR29" i="2"/>
  <c r="AO29" i="2"/>
  <c r="AK29" i="2"/>
  <c r="AJ10" i="2"/>
  <c r="AI10" i="2"/>
  <c r="AG10" i="2"/>
  <c r="AF10" i="2"/>
  <c r="AR10" i="2"/>
  <c r="AO10" i="2"/>
  <c r="Z64" i="2"/>
  <c r="Q116" i="2"/>
  <c r="W117" i="2" s="1"/>
  <c r="Q64" i="2"/>
  <c r="Q12" i="2"/>
  <c r="BZ9" i="3"/>
  <c r="N66" i="2"/>
  <c r="M66" i="2"/>
  <c r="AH143" i="2" l="1"/>
  <c r="R13" i="2"/>
  <c r="BC16" i="4"/>
  <c r="AF6" i="5"/>
  <c r="AF28" i="5"/>
  <c r="AC65" i="2"/>
  <c r="S65" i="2"/>
  <c r="BC24" i="4"/>
  <c r="AF50" i="5"/>
  <c r="AH124" i="2"/>
  <c r="AH105" i="2"/>
  <c r="AH86" i="2"/>
  <c r="AH48" i="2"/>
  <c r="AH67" i="2"/>
  <c r="AH29" i="2"/>
  <c r="AH10" i="2"/>
  <c r="AK10" i="2"/>
  <c r="AB65" i="2"/>
  <c r="AA65" i="2"/>
  <c r="V13" i="2"/>
  <c r="R169" i="2"/>
  <c r="T13" i="2"/>
  <c r="T117" i="2"/>
  <c r="R117" i="2"/>
  <c r="V117" i="2"/>
  <c r="S117" i="2"/>
  <c r="U117" i="2"/>
  <c r="U65" i="2"/>
  <c r="W65" i="2"/>
  <c r="R65" i="2"/>
  <c r="T65" i="2"/>
  <c r="V65" i="2"/>
  <c r="S13" i="2"/>
  <c r="U13" i="2"/>
  <c r="W13" i="2"/>
  <c r="Z62" i="2" l="1"/>
  <c r="Q65" i="2"/>
  <c r="Z65" i="2"/>
  <c r="Q117" i="2"/>
  <c r="H66" i="2" l="1"/>
  <c r="I66" i="2"/>
  <c r="N12" i="2"/>
  <c r="I12" i="2"/>
  <c r="B9" i="2" l="1"/>
  <c r="DQ8" i="4" s="1"/>
  <c r="D10" i="2" l="1"/>
  <c r="H12" i="2"/>
  <c r="C10" i="2"/>
  <c r="B10" i="2" s="1"/>
  <c r="M13" i="2" l="1"/>
  <c r="K13" i="2"/>
  <c r="L13" i="2"/>
  <c r="J13" i="2"/>
  <c r="I13" i="2"/>
  <c r="N13" i="2"/>
  <c r="FL6" i="4"/>
  <c r="H13" i="2" l="1"/>
  <c r="AW31" i="2"/>
  <c r="N15" i="2" l="1"/>
  <c r="I15" i="2"/>
  <c r="AI6" i="4"/>
  <c r="CG25" i="4" l="1"/>
  <c r="CG21" i="4"/>
  <c r="CG23" i="4"/>
  <c r="CG19" i="4"/>
  <c r="CF9" i="4"/>
  <c r="CD9" i="4"/>
  <c r="CB9" i="4"/>
  <c r="BZ9" i="4"/>
  <c r="BX9" i="4"/>
  <c r="BH9" i="4"/>
  <c r="AR68" i="2" l="1"/>
  <c r="AO68" i="2"/>
  <c r="AH125" i="2"/>
  <c r="AK125" i="2"/>
  <c r="AK87" i="2"/>
  <c r="AH87" i="2"/>
  <c r="AK30" i="2"/>
  <c r="AH30" i="2"/>
  <c r="DN22" i="4" l="1"/>
  <c r="DN21" i="4"/>
  <c r="DN18" i="4"/>
  <c r="DN16" i="4"/>
  <c r="DN15" i="4"/>
  <c r="DN12" i="4"/>
  <c r="DN11" i="4"/>
  <c r="DL22" i="4"/>
  <c r="DL21" i="4"/>
  <c r="DL18" i="4"/>
  <c r="DL16" i="4"/>
  <c r="DL15" i="4"/>
  <c r="DL12" i="4"/>
  <c r="DL11" i="4"/>
  <c r="DJ22" i="4"/>
  <c r="DJ21" i="4"/>
  <c r="DJ18" i="4"/>
  <c r="DJ16" i="4"/>
  <c r="DJ15" i="4"/>
  <c r="DJ12" i="4"/>
  <c r="DJ11" i="4"/>
  <c r="DH22" i="4"/>
  <c r="DH21" i="4"/>
  <c r="DH18" i="4"/>
  <c r="DH16" i="4"/>
  <c r="DH15" i="4"/>
  <c r="DH12" i="4"/>
  <c r="DH11" i="4"/>
  <c r="DF22" i="4"/>
  <c r="DF21" i="4"/>
  <c r="DF18" i="4"/>
  <c r="DF16" i="4"/>
  <c r="DF15" i="4"/>
  <c r="DF12" i="4"/>
  <c r="DF11" i="4"/>
  <c r="DD22" i="4"/>
  <c r="DD21" i="4"/>
  <c r="DD18" i="4"/>
  <c r="DD16" i="4"/>
  <c r="DD15" i="4"/>
  <c r="DD12" i="4"/>
  <c r="DD11" i="4"/>
  <c r="DB22" i="4"/>
  <c r="DB21" i="4"/>
  <c r="DB18" i="4"/>
  <c r="DB16" i="4"/>
  <c r="DB15" i="4"/>
  <c r="DB12" i="4"/>
  <c r="DB11" i="4"/>
  <c r="CZ22" i="4"/>
  <c r="CZ21" i="4"/>
  <c r="CZ18" i="4"/>
  <c r="CZ16" i="4"/>
  <c r="CZ15" i="4"/>
  <c r="CZ12" i="4"/>
  <c r="CZ11" i="4"/>
  <c r="CX22" i="4"/>
  <c r="CX21" i="4"/>
  <c r="CX18" i="4"/>
  <c r="CX16" i="4"/>
  <c r="CX15" i="4"/>
  <c r="CX12" i="4"/>
  <c r="CX11" i="4"/>
  <c r="CV22" i="4"/>
  <c r="CV21" i="4"/>
  <c r="CV18" i="4"/>
  <c r="CV16" i="4"/>
  <c r="CV15" i="4"/>
  <c r="CV12" i="4"/>
  <c r="CV11" i="4"/>
  <c r="CJ34" i="4" l="1"/>
  <c r="CJ32" i="4"/>
  <c r="CJ30" i="4"/>
  <c r="CJ28" i="4"/>
  <c r="BV34" i="4"/>
  <c r="BV32" i="4"/>
  <c r="BV30" i="4"/>
  <c r="BV28" i="4"/>
  <c r="BT34" i="4"/>
  <c r="BT32" i="4"/>
  <c r="BT30" i="4"/>
  <c r="BT28" i="4"/>
  <c r="BR34" i="4"/>
  <c r="BR32" i="4"/>
  <c r="BR30" i="4"/>
  <c r="BR28" i="4"/>
  <c r="BP34" i="4"/>
  <c r="BP32" i="4"/>
  <c r="BP30" i="4"/>
  <c r="BP28" i="4"/>
  <c r="BN34" i="4"/>
  <c r="BN32" i="4"/>
  <c r="BN30" i="4"/>
  <c r="BN28" i="4"/>
  <c r="BL34" i="4"/>
  <c r="BL32" i="4"/>
  <c r="BL30" i="4"/>
  <c r="BL28" i="4"/>
  <c r="BJ32" i="4"/>
  <c r="BJ30" i="4"/>
  <c r="BJ28" i="4"/>
  <c r="BV9" i="4" l="1"/>
  <c r="BT9" i="4"/>
  <c r="BR9" i="4"/>
  <c r="BP9" i="4"/>
  <c r="BN9" i="4"/>
  <c r="BL9" i="4"/>
  <c r="BJ9" i="4"/>
  <c r="CJ13" i="4"/>
  <c r="BV15" i="4"/>
  <c r="BV13" i="4"/>
  <c r="BV12" i="4"/>
  <c r="BT15" i="4"/>
  <c r="BT13" i="4"/>
  <c r="BT12" i="4"/>
  <c r="BR15" i="4"/>
  <c r="BR13" i="4"/>
  <c r="BR12" i="4"/>
  <c r="BP15" i="4"/>
  <c r="BP13" i="4"/>
  <c r="BP12" i="4"/>
  <c r="BN15" i="4"/>
  <c r="BN13" i="4"/>
  <c r="BN12" i="4"/>
  <c r="BL15" i="4"/>
  <c r="BL13" i="4"/>
  <c r="BL12" i="4"/>
  <c r="BJ15" i="4"/>
  <c r="BJ13" i="4"/>
  <c r="BJ12" i="4"/>
  <c r="GE18" i="4" l="1"/>
  <c r="FL36" i="4"/>
  <c r="FL16" i="4"/>
  <c r="EL36" i="4"/>
  <c r="EL43" i="4"/>
  <c r="BB52" i="4"/>
  <c r="BB43" i="4"/>
  <c r="BB35" i="4"/>
  <c r="BB25" i="4"/>
  <c r="BB17" i="4"/>
  <c r="BB7" i="4"/>
  <c r="AI31" i="4"/>
  <c r="AI23" i="4"/>
  <c r="AI16" i="4"/>
  <c r="AI10" i="4"/>
  <c r="AR144" i="2"/>
  <c r="AO144" i="2"/>
  <c r="AR125" i="2"/>
  <c r="AO125" i="2"/>
  <c r="AR106" i="2"/>
  <c r="AO106" i="2"/>
  <c r="AR87" i="2"/>
  <c r="AO87" i="2"/>
  <c r="AR49" i="2"/>
  <c r="AO49" i="2"/>
  <c r="AR30" i="2"/>
  <c r="AO30" i="2"/>
  <c r="AR11" i="2"/>
  <c r="AO11" i="2"/>
  <c r="AK144" i="2"/>
  <c r="AH144" i="2"/>
  <c r="AK106" i="2"/>
  <c r="AH106" i="2"/>
  <c r="AK68" i="2"/>
  <c r="AH68" i="2"/>
  <c r="AH49" i="2"/>
  <c r="AK49" i="2"/>
  <c r="AJ11" i="2"/>
  <c r="AI11" i="2"/>
  <c r="AG11" i="2"/>
  <c r="AF11" i="2"/>
  <c r="AK11" i="2" l="1"/>
  <c r="AH11" i="2"/>
  <c r="Z67" i="2"/>
  <c r="AC68" i="2" s="1"/>
  <c r="AB15" i="2"/>
  <c r="Q171" i="2"/>
  <c r="Q119" i="2"/>
  <c r="Q67" i="2"/>
  <c r="N68" i="2"/>
  <c r="N69" i="2" s="1"/>
  <c r="M68" i="2"/>
  <c r="K68" i="2"/>
  <c r="K69" i="2" s="1"/>
  <c r="L68" i="2"/>
  <c r="L69" i="2" s="1"/>
  <c r="J68" i="2"/>
  <c r="J69" i="2" s="1"/>
  <c r="V172" i="2" l="1"/>
  <c r="W120" i="2"/>
  <c r="R120" i="2"/>
  <c r="W68" i="2"/>
  <c r="AE50" i="5"/>
  <c r="BB24" i="4"/>
  <c r="U68" i="2"/>
  <c r="T68" i="2"/>
  <c r="R68" i="2"/>
  <c r="V68" i="2"/>
  <c r="S68" i="2"/>
  <c r="AB68" i="2"/>
  <c r="V120" i="2"/>
  <c r="AA68" i="2"/>
  <c r="T120" i="2"/>
  <c r="Z15" i="2"/>
  <c r="S172" i="2"/>
  <c r="U172" i="2"/>
  <c r="W172" i="2"/>
  <c r="S120" i="2"/>
  <c r="U120" i="2"/>
  <c r="R172" i="2"/>
  <c r="T172" i="2"/>
  <c r="I68" i="2"/>
  <c r="M69" i="2"/>
  <c r="I69" i="2" l="1"/>
  <c r="BZ10" i="3"/>
  <c r="Q169" i="2"/>
  <c r="Z68" i="2"/>
  <c r="Q172" i="2"/>
  <c r="Q120" i="2"/>
  <c r="Q68" i="2"/>
  <c r="H69" i="2"/>
  <c r="AC16" i="2"/>
  <c r="AA16" i="2"/>
  <c r="AB16" i="2"/>
  <c r="Z13" i="2" l="1"/>
  <c r="Z16" i="2"/>
  <c r="B12" i="2" l="1"/>
  <c r="DO8" i="4" s="1"/>
  <c r="C13" i="2" l="1"/>
  <c r="H15" i="2"/>
  <c r="D13" i="2"/>
  <c r="B13" i="2" s="1"/>
  <c r="K16" i="2" l="1"/>
  <c r="I16" i="2"/>
  <c r="L16" i="2"/>
  <c r="J16" i="2"/>
  <c r="Q15" i="2"/>
  <c r="R16" i="2" s="1"/>
  <c r="AW32" i="2"/>
  <c r="BB16" i="4" l="1"/>
  <c r="AE28" i="5"/>
  <c r="AE6" i="5"/>
  <c r="W16" i="2"/>
  <c r="V16" i="2"/>
  <c r="U16" i="2"/>
  <c r="T16" i="2"/>
  <c r="S16" i="2"/>
  <c r="H16" i="2"/>
  <c r="M16" i="2"/>
  <c r="N16" i="2"/>
  <c r="AW33" i="2"/>
  <c r="Q13" i="2" l="1"/>
  <c r="Q16" i="2"/>
  <c r="AW34" i="2"/>
  <c r="AW35" i="2"/>
  <c r="AW36" i="2"/>
  <c r="AW37" i="2"/>
  <c r="AW38" i="2"/>
  <c r="AW39" i="2"/>
  <c r="AW40" i="2"/>
  <c r="AW44" i="2"/>
  <c r="AW43" i="2"/>
  <c r="AW42" i="2"/>
  <c r="AW41" i="2"/>
  <c r="I98" i="2"/>
  <c r="I55" i="2"/>
  <c r="I99" i="2" l="1"/>
  <c r="BZ20" i="3"/>
  <c r="Q10" i="2"/>
</calcChain>
</file>

<file path=xl/comments1.xml><?xml version="1.0" encoding="utf-8"?>
<comments xmlns="http://schemas.openxmlformats.org/spreadsheetml/2006/main">
  <authors>
    <author>Windows User</author>
  </authors>
  <commentList>
    <comment ref="AT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all #s is adjusted into 2017 $ !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not include GQ #s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all #s is adjusted into 2017 $ !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all #s is adjusted into 2017 $ !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O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Household #s use 1 year ahead.  i.e. for year 2001-2002, uses 2002-2003</t>
        </r>
      </text>
    </comment>
    <comment ref="CP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Median Income #s consistent with the year indicated above</t>
        </r>
      </text>
    </comment>
    <comment ref="BG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Family #s use 1 year ahead.  i.e. for year 2001-2002, uses 2002-2003</t>
        </r>
      </text>
    </comment>
    <comment ref="BH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Median Income #s consistent with the year indicated above</t>
        </r>
      </text>
    </comment>
    <comment ref="BG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these cell use # from 2002-2003</t>
        </r>
      </text>
    </comment>
    <comment ref="BH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These # from year 2001-2002</t>
        </r>
      </text>
    </comment>
    <comment ref="DW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includes all levels of families</t>
        </r>
      </text>
    </comment>
    <comment ref="DX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includes all levels of families.
So, it is different from Table 9.</t>
        </r>
      </text>
    </comment>
  </commentList>
</comments>
</file>

<file path=xl/sharedStrings.xml><?xml version="1.0" encoding="utf-8"?>
<sst xmlns="http://schemas.openxmlformats.org/spreadsheetml/2006/main" count="2519" uniqueCount="624">
  <si>
    <t>Table 4. Living Arrangements of Children Under 18 Years Old:</t>
    <phoneticPr fontId="2" type="noConversion"/>
  </si>
  <si>
    <t>(Numbers in thousands.  People as of March of the following year)</t>
  </si>
  <si>
    <t>Covered by private or government  health insurance</t>
  </si>
  <si>
    <t>Private health insurance</t>
  </si>
  <si>
    <t>Government health insurance</t>
  </si>
  <si>
    <t>State/year</t>
  </si>
  <si>
    <t>Employment-based</t>
  </si>
  <si>
    <t>Medicaid</t>
  </si>
  <si>
    <t>Medicare</t>
  </si>
  <si>
    <t>Not covered</t>
  </si>
  <si>
    <t>All people</t>
  </si>
  <si>
    <t>Number</t>
  </si>
  <si>
    <t>Percent</t>
  </si>
  <si>
    <t>United States:</t>
  </si>
  <si>
    <t>New Jersey:</t>
  </si>
  <si>
    <t>may be partially due to questionnaire changes.  Overall coverage estimates were not affected.</t>
  </si>
  <si>
    <t>covered by health insurance; instead, they are considered to be uninsured.  The effect of this change on the overall estimates of health</t>
  </si>
  <si>
    <t>--</t>
  </si>
  <si>
    <t xml:space="preserve"> and there was an adjustment to the weights.     </t>
    <phoneticPr fontId="2" type="noConversion"/>
  </si>
  <si>
    <t>Two-year</t>
  </si>
  <si>
    <t>All</t>
  </si>
  <si>
    <t>Family</t>
  </si>
  <si>
    <t>Nonfamily</t>
  </si>
  <si>
    <t>Persons per</t>
  </si>
  <si>
    <t>Moving Average</t>
  </si>
  <si>
    <t>Households</t>
  </si>
  <si>
    <t>Household</t>
  </si>
  <si>
    <t xml:space="preserve"> (% distribution)</t>
  </si>
  <si>
    <t>Note: The CPS is designed to collect reliable data at the national level.  Due to</t>
  </si>
  <si>
    <t xml:space="preserve">           sampling variability, state estimates based on the CPS are less reliable.</t>
  </si>
  <si>
    <t xml:space="preserve">           To reduce the chances of misinterpreting changes in state estimates,</t>
  </si>
  <si>
    <t xml:space="preserve">            the Census Bureau recommends using 2-year averages for evaluating</t>
  </si>
  <si>
    <t xml:space="preserve">            changes in state estimates over time.</t>
  </si>
  <si>
    <t xml:space="preserve">Source: U.S. Department of Commerce, Bureau of the Census, </t>
  </si>
  <si>
    <t xml:space="preserve">Prepared by: New Jersey Department of Labor &amp; Workforce Development,  </t>
    <phoneticPr fontId="3" type="noConversion"/>
  </si>
  <si>
    <t xml:space="preserve">       Family Households</t>
  </si>
  <si>
    <t xml:space="preserve">Female </t>
  </si>
  <si>
    <t xml:space="preserve">Male </t>
  </si>
  <si>
    <t xml:space="preserve">Other </t>
  </si>
  <si>
    <t xml:space="preserve">Non- </t>
  </si>
  <si>
    <t xml:space="preserve">Married </t>
  </si>
  <si>
    <t>Householder</t>
  </si>
  <si>
    <t xml:space="preserve">Family </t>
  </si>
  <si>
    <t xml:space="preserve">family </t>
  </si>
  <si>
    <t xml:space="preserve">Households </t>
  </si>
  <si>
    <t xml:space="preserve">Total </t>
  </si>
  <si>
    <t>NEW JERSEY</t>
  </si>
  <si>
    <t>UNITED STATES</t>
  </si>
  <si>
    <t>Total 15 Years</t>
  </si>
  <si>
    <t xml:space="preserve">Never </t>
  </si>
  <si>
    <t xml:space="preserve">and Over  </t>
  </si>
  <si>
    <t xml:space="preserve">Spouse Present </t>
  </si>
  <si>
    <t xml:space="preserve">Spouse Absent </t>
  </si>
  <si>
    <t xml:space="preserve">Widowed </t>
  </si>
  <si>
    <t xml:space="preserve">Divorced </t>
  </si>
  <si>
    <t xml:space="preserve">Separated </t>
  </si>
  <si>
    <t>Men: New Jersey</t>
  </si>
  <si>
    <t>Women: New Jersey</t>
  </si>
  <si>
    <t>Continued…</t>
  </si>
  <si>
    <t xml:space="preserve">Total Under  </t>
  </si>
  <si>
    <t xml:space="preserve">Living With </t>
  </si>
  <si>
    <t xml:space="preserve">Living With  </t>
  </si>
  <si>
    <t>Not Living</t>
  </si>
  <si>
    <t xml:space="preserve">18 Years </t>
  </si>
  <si>
    <t xml:space="preserve">Both Parents  </t>
  </si>
  <si>
    <t xml:space="preserve">One Parent  </t>
  </si>
  <si>
    <t xml:space="preserve">With Parents </t>
  </si>
  <si>
    <t>Source: U.S. Department of Commerce, Bureau of the Census,</t>
  </si>
  <si>
    <t xml:space="preserve">Prepared by: New Jersey Department of Labor &amp; Workforce Development,  </t>
  </si>
  <si>
    <t>Civilian Non-</t>
  </si>
  <si>
    <t>Institutional</t>
  </si>
  <si>
    <t>Civilian Labor Force</t>
  </si>
  <si>
    <t>Unemployment</t>
  </si>
  <si>
    <t>Population</t>
  </si>
  <si>
    <t>Rate</t>
  </si>
  <si>
    <t>Employment</t>
  </si>
  <si>
    <t>2002-2003</t>
  </si>
  <si>
    <t>2001-2002</t>
  </si>
  <si>
    <t>2003-2004</t>
  </si>
  <si>
    <t>2005-2006</t>
    <phoneticPr fontId="2" type="noConversion"/>
  </si>
  <si>
    <t>Ratio:</t>
  </si>
  <si>
    <t xml:space="preserve">New Jersey/ </t>
  </si>
  <si>
    <t>New Jersey</t>
  </si>
  <si>
    <t>United States</t>
  </si>
  <si>
    <t>Total Families</t>
  </si>
  <si>
    <t>Total Households</t>
  </si>
  <si>
    <t xml:space="preserve">Note: The New Jersey income figures were inflated by the average of New York-metro </t>
  </si>
  <si>
    <t xml:space="preserve">          and Philadelphia-metro Consumer Price Indexes for all Urban Consumers (CPI-U).</t>
  </si>
  <si>
    <t xml:space="preserve">          The US figures were inflated by the national CPI-U.</t>
  </si>
  <si>
    <t xml:space="preserve">Source: US Bureau of the Census, Current Population Survey (CPS): </t>
  </si>
  <si>
    <t>2004-2005</t>
    <phoneticPr fontId="2" type="noConversion"/>
  </si>
  <si>
    <t>Table 7. Median Family Income by Selected Family Characteristics</t>
  </si>
  <si>
    <t>Two-year Moving Average</t>
  </si>
  <si>
    <t xml:space="preserve">2000-01  </t>
  </si>
  <si>
    <t xml:space="preserve">2001-02  </t>
  </si>
  <si>
    <t>ALL FAMILIES</t>
  </si>
  <si>
    <t>RACE of HOUSEHOLDER</t>
  </si>
  <si>
    <t xml:space="preserve">  White</t>
  </si>
  <si>
    <t xml:space="preserve">  Black</t>
  </si>
  <si>
    <t xml:space="preserve">  Hispanic origin</t>
  </si>
  <si>
    <t>TYPE OF FAMILY</t>
  </si>
  <si>
    <t xml:space="preserve">  Married Couple Family</t>
  </si>
  <si>
    <t xml:space="preserve">    Spouse in Labor Force</t>
  </si>
  <si>
    <t xml:space="preserve">    Spouse not in Labor Force</t>
  </si>
  <si>
    <t xml:space="preserve">  Female Householder Family</t>
  </si>
  <si>
    <t xml:space="preserve">    (No Spouse)</t>
  </si>
  <si>
    <t xml:space="preserve">Note: The New Jersey income figures were inflated by the average of New York-metro and </t>
  </si>
  <si>
    <t xml:space="preserve">          Philadelphia-metro Consumer Price Indexes for all Urban Consumers (CPI-U).  </t>
  </si>
  <si>
    <t xml:space="preserve">2002-03 </t>
  </si>
  <si>
    <t xml:space="preserve">2003-04 </t>
  </si>
  <si>
    <t>2004-05</t>
    <phoneticPr fontId="2" type="noConversion"/>
  </si>
  <si>
    <t>Table 8. Median Household Income by Selected Household Characteristics</t>
  </si>
  <si>
    <t>ALL HOUSEHOLDS</t>
  </si>
  <si>
    <t>SEX of HOUSEHOLDER</t>
  </si>
  <si>
    <t xml:space="preserve">  Male Householders</t>
  </si>
  <si>
    <t xml:space="preserve">  Female Householders</t>
  </si>
  <si>
    <t>TENURE</t>
  </si>
  <si>
    <t xml:space="preserve">  Owner</t>
  </si>
  <si>
    <t xml:space="preserve">  Renter</t>
  </si>
  <si>
    <t>2001-02</t>
  </si>
  <si>
    <t xml:space="preserve">Rate </t>
  </si>
  <si>
    <t xml:space="preserve">  IN POVERTY</t>
  </si>
  <si>
    <t xml:space="preserve">  FAMILY TYPE</t>
  </si>
  <si>
    <t xml:space="preserve">  Married Couple Families</t>
  </si>
  <si>
    <t xml:space="preserve">  Female Householder</t>
  </si>
  <si>
    <t xml:space="preserve">   (Spouse Absent)</t>
  </si>
  <si>
    <t xml:space="preserve">  RACE</t>
  </si>
  <si>
    <t xml:space="preserve">  White Families</t>
  </si>
  <si>
    <t xml:space="preserve">  Black Families</t>
  </si>
  <si>
    <t xml:space="preserve">  Hispanic Families</t>
  </si>
  <si>
    <t xml:space="preserve">   None</t>
  </si>
  <si>
    <t xml:space="preserve">   One</t>
  </si>
  <si>
    <t xml:space="preserve">   Two</t>
  </si>
  <si>
    <t xml:space="preserve">   Three or More</t>
  </si>
  <si>
    <t xml:space="preserve">   LABOR FORCE</t>
  </si>
  <si>
    <t>2002-03</t>
  </si>
  <si>
    <t>2003-04</t>
  </si>
  <si>
    <t>2003-04</t>
    <phoneticPr fontId="3" type="noConversion"/>
  </si>
  <si>
    <t xml:space="preserve">NA  </t>
  </si>
  <si>
    <t>2002-03</t>
    <phoneticPr fontId="3" type="noConversion"/>
  </si>
  <si>
    <t>ALL FAMILIES IN POVERTY</t>
  </si>
  <si>
    <t xml:space="preserve">  Married Couples </t>
  </si>
  <si>
    <t xml:space="preserve">  Female Householders (spouse absent)</t>
  </si>
  <si>
    <t xml:space="preserve">  White Householders</t>
  </si>
  <si>
    <t xml:space="preserve">  Black Householders</t>
  </si>
  <si>
    <t>2004-05</t>
    <phoneticPr fontId="3" type="noConversion"/>
  </si>
  <si>
    <t xml:space="preserve">2002-03  </t>
  </si>
  <si>
    <t>All Persons</t>
  </si>
  <si>
    <t>Householder Relationship</t>
  </si>
  <si>
    <t xml:space="preserve">  Householder</t>
  </si>
  <si>
    <t xml:space="preserve">    Family householder</t>
  </si>
  <si>
    <t xml:space="preserve">    Nonfamily householder</t>
  </si>
  <si>
    <t xml:space="preserve">  Other Members</t>
  </si>
  <si>
    <t xml:space="preserve">    Spouse of Householder</t>
  </si>
  <si>
    <t xml:space="preserve">    Child of Householder under 18 yrs</t>
  </si>
  <si>
    <t xml:space="preserve">    Child of Householder 18 Yrs+</t>
  </si>
  <si>
    <t xml:space="preserve">    Other Relatives</t>
  </si>
  <si>
    <t xml:space="preserve">    Nonrelatives</t>
  </si>
  <si>
    <t>Sex</t>
  </si>
  <si>
    <t xml:space="preserve">  Male</t>
  </si>
  <si>
    <t xml:space="preserve">  Female</t>
  </si>
  <si>
    <t>Race</t>
  </si>
  <si>
    <t xml:space="preserve"> Spanish Origin</t>
  </si>
  <si>
    <t>Age</t>
  </si>
  <si>
    <t xml:space="preserve">  Under 18 Years</t>
  </si>
  <si>
    <t xml:space="preserve">  18 to 64 Years</t>
  </si>
  <si>
    <t xml:space="preserve">  65 Years and Over</t>
  </si>
  <si>
    <t>Veteran Status</t>
  </si>
  <si>
    <t xml:space="preserve">   Veteran</t>
  </si>
  <si>
    <t xml:space="preserve">   Not a Veteran</t>
  </si>
  <si>
    <t xml:space="preserve">2004-05 </t>
  </si>
  <si>
    <t>2005-06</t>
    <phoneticPr fontId="2" type="noConversion"/>
  </si>
  <si>
    <t xml:space="preserve">  Number</t>
  </si>
  <si>
    <t xml:space="preserve">  Average Size</t>
  </si>
  <si>
    <t>Type of Family</t>
  </si>
  <si>
    <t xml:space="preserve">  Total</t>
  </si>
  <si>
    <t xml:space="preserve">    Married-Couple Family</t>
  </si>
  <si>
    <t xml:space="preserve">    Male Householder (Spouse Absent)</t>
  </si>
  <si>
    <t xml:space="preserve">    Female Householder (Spouse Absent)</t>
  </si>
  <si>
    <t>Number of Family Members in Labor Force</t>
  </si>
  <si>
    <t xml:space="preserve">    No Family Member</t>
  </si>
  <si>
    <t xml:space="preserve">    1 Family Member</t>
  </si>
  <si>
    <t xml:space="preserve">    2 Family Members</t>
  </si>
  <si>
    <t xml:space="preserve">    3 or More Family Members</t>
  </si>
  <si>
    <t>Number of Children Under 18 Years</t>
  </si>
  <si>
    <t xml:space="preserve">    No Children</t>
  </si>
  <si>
    <t xml:space="preserve">    1 Child</t>
  </si>
  <si>
    <t xml:space="preserve">    2 Children</t>
  </si>
  <si>
    <t xml:space="preserve">    3 Children</t>
  </si>
  <si>
    <t xml:space="preserve">    4 or More Children</t>
  </si>
  <si>
    <t>Number of Children Under 6 Years</t>
  </si>
  <si>
    <t>2005-06</t>
    <phoneticPr fontId="2" type="noConversion"/>
  </si>
  <si>
    <t>TOTAL</t>
  </si>
  <si>
    <t>All Persons: 15 Years and Over</t>
  </si>
  <si>
    <t xml:space="preserve">  Percent Distribution</t>
  </si>
  <si>
    <t xml:space="preserve">  Married, Spouse Present </t>
  </si>
  <si>
    <t xml:space="preserve">  Married, Spouse Absent</t>
  </si>
  <si>
    <t xml:space="preserve">  Widowed</t>
  </si>
  <si>
    <t xml:space="preserve">  Divorced</t>
  </si>
  <si>
    <t xml:space="preserve">  Separated</t>
  </si>
  <si>
    <t xml:space="preserve">  Never Married</t>
  </si>
  <si>
    <t xml:space="preserve"> By SEX</t>
  </si>
  <si>
    <t>Males: 15 Years and Over</t>
  </si>
  <si>
    <t>Females: 15 Years and Over</t>
  </si>
  <si>
    <t xml:space="preserve"> By RACE</t>
  </si>
  <si>
    <t>White: 15 Years and Over</t>
  </si>
  <si>
    <t>Black: 15 Years and Over</t>
  </si>
  <si>
    <t>Hispanic: 15 Years and Over</t>
  </si>
  <si>
    <t xml:space="preserve">2005-06 </t>
    <phoneticPr fontId="2" type="noConversion"/>
  </si>
  <si>
    <t xml:space="preserve">Number </t>
  </si>
  <si>
    <t>of</t>
  </si>
  <si>
    <t>Median</t>
  </si>
  <si>
    <t xml:space="preserve">Families </t>
  </si>
  <si>
    <t>Income</t>
  </si>
  <si>
    <t>RACE</t>
  </si>
  <si>
    <t xml:space="preserve">  White Family</t>
  </si>
  <si>
    <t xml:space="preserve">  Black Family</t>
  </si>
  <si>
    <t xml:space="preserve">  Hispanic Family</t>
  </si>
  <si>
    <t>LABOR FORCE MEMBERS</t>
  </si>
  <si>
    <t xml:space="preserve">  Families with no Labor-</t>
  </si>
  <si>
    <t xml:space="preserve">    Force Member</t>
  </si>
  <si>
    <t xml:space="preserve">  Families with 1 Labor-</t>
  </si>
  <si>
    <t xml:space="preserve">  Families with 2 Labor-</t>
  </si>
  <si>
    <t xml:space="preserve">    Force Members</t>
  </si>
  <si>
    <t xml:space="preserve">  Families with 3 or more</t>
  </si>
  <si>
    <t xml:space="preserve">    Labor-Force Members</t>
  </si>
  <si>
    <t>DEMOGRAPHICS</t>
  </si>
  <si>
    <t xml:space="preserve">  Married-Couple Families</t>
  </si>
  <si>
    <t xml:space="preserve">  Married-Couple Families:</t>
  </si>
  <si>
    <t>Spouse not in Labor Force</t>
  </si>
  <si>
    <t xml:space="preserve">  Female-Householder</t>
  </si>
  <si>
    <t xml:space="preserve">    Families (Spouse Absent)</t>
  </si>
  <si>
    <t>Note: The New Jersey income figures were inflated by the average of New York-metro and Philadelphia-metro</t>
  </si>
  <si>
    <t xml:space="preserve">          Consumer Price Indexes for all Urban Consumers (CPI-U).  The US figures were inflated by the national CPI-U.</t>
  </si>
  <si>
    <t>Moving Average</t>
    <phoneticPr fontId="2" type="noConversion"/>
  </si>
  <si>
    <t>Family Characteristics</t>
    <phoneticPr fontId="2" type="noConversion"/>
  </si>
  <si>
    <t xml:space="preserve">Number of </t>
  </si>
  <si>
    <t xml:space="preserve">Median </t>
  </si>
  <si>
    <t xml:space="preserve">Income </t>
  </si>
  <si>
    <t xml:space="preserve">  SEX</t>
  </si>
  <si>
    <t>Male Householder</t>
  </si>
  <si>
    <t>Female Householder</t>
  </si>
  <si>
    <t>White Households</t>
  </si>
  <si>
    <t>Black Households</t>
  </si>
  <si>
    <t>Hispanic Households</t>
  </si>
  <si>
    <t xml:space="preserve">  TENURE</t>
  </si>
  <si>
    <t>Owner Households</t>
  </si>
  <si>
    <t>Renter Households</t>
  </si>
  <si>
    <t xml:space="preserve">  AGE</t>
  </si>
  <si>
    <t>Householder Under 65</t>
  </si>
  <si>
    <t>Householder 65 &amp; over</t>
  </si>
  <si>
    <t xml:space="preserve">  EDUCATION OF</t>
  </si>
  <si>
    <t xml:space="preserve">  HOUSEHOLDER</t>
  </si>
  <si>
    <t>Less than High School</t>
  </si>
  <si>
    <t>High School Diploma</t>
  </si>
  <si>
    <t xml:space="preserve">  HOUSEHOLD SIZE</t>
  </si>
  <si>
    <t>1-Person Households</t>
  </si>
  <si>
    <t>2-Person Households</t>
  </si>
  <si>
    <t>3-Person Households</t>
  </si>
  <si>
    <t>4-Person Households</t>
  </si>
  <si>
    <t>Household Characteristics</t>
    <phoneticPr fontId="2" type="noConversion"/>
  </si>
  <si>
    <t xml:space="preserve">  All Families</t>
  </si>
  <si>
    <t xml:space="preserve">    Percent Distribution</t>
  </si>
  <si>
    <t xml:space="preserve">    below poverty level</t>
  </si>
  <si>
    <t xml:space="preserve">    100% - 124% of poverty level</t>
  </si>
  <si>
    <t xml:space="preserve">    125% - 149% of poverty level</t>
  </si>
  <si>
    <t xml:space="preserve">    150% and above poverty level</t>
  </si>
  <si>
    <t>FAMILY CONFIGURATION</t>
  </si>
  <si>
    <t xml:space="preserve">  Female Householder-Spouse Absent</t>
  </si>
  <si>
    <t>OWN CHILDREN UNDER 18 YEARS OLD</t>
  </si>
  <si>
    <t xml:space="preserve">  Families with No Children</t>
  </si>
  <si>
    <t xml:space="preserve">  Families with 1 or 2 Children</t>
  </si>
  <si>
    <t>Continued...</t>
  </si>
  <si>
    <t xml:space="preserve">  Families with 3 or more Children</t>
  </si>
  <si>
    <t>OWN CHILDREN UNDER 6 YEARS OLD</t>
  </si>
  <si>
    <t xml:space="preserve">  Families without children</t>
  </si>
  <si>
    <t xml:space="preserve">  Families with children</t>
  </si>
  <si>
    <t xml:space="preserve">2003-04  </t>
  </si>
  <si>
    <t xml:space="preserve">2004-05  </t>
  </si>
  <si>
    <t xml:space="preserve">2004-05  </t>
    <phoneticPr fontId="2" type="noConversion"/>
  </si>
  <si>
    <t xml:space="preserve">                          (Numbers in Thousands)</t>
  </si>
  <si>
    <t xml:space="preserve">2001-02 </t>
  </si>
  <si>
    <t>ALL PERSONS</t>
  </si>
  <si>
    <t xml:space="preserve"> below poverty</t>
  </si>
  <si>
    <t>SEX</t>
  </si>
  <si>
    <t xml:space="preserve"> Hispanic Origin</t>
  </si>
  <si>
    <t>AGE</t>
  </si>
  <si>
    <t xml:space="preserve">  Under 18 years</t>
  </si>
  <si>
    <t xml:space="preserve">  18-64 Years</t>
  </si>
  <si>
    <t xml:space="preserve">  65 Years &amp; Over</t>
  </si>
  <si>
    <t>MARITAL STATUS</t>
  </si>
  <si>
    <t xml:space="preserve">  Married, Spouse Present</t>
  </si>
  <si>
    <t xml:space="preserve">  Married Spouse Absent</t>
  </si>
  <si>
    <t>LABOR FORCE STATUS</t>
  </si>
  <si>
    <t xml:space="preserve">  Civilian Employed</t>
  </si>
  <si>
    <t xml:space="preserve">  Unemployed</t>
  </si>
  <si>
    <t xml:space="preserve">  Not in Labor Force</t>
  </si>
  <si>
    <t xml:space="preserve">Table S3.  Labor Force Status for Women Having Own Children </t>
    <phoneticPr fontId="3" type="noConversion"/>
  </si>
  <si>
    <t xml:space="preserve">2004-05  </t>
    <phoneticPr fontId="3" type="noConversion"/>
  </si>
  <si>
    <t xml:space="preserve"> Women having Children</t>
  </si>
  <si>
    <t xml:space="preserve">  Under 18 Years Old</t>
    <phoneticPr fontId="3" type="noConversion"/>
  </si>
  <si>
    <t>Labor Force Status (% distribution)</t>
    <phoneticPr fontId="3" type="noConversion"/>
  </si>
  <si>
    <t xml:space="preserve">  Employed</t>
  </si>
  <si>
    <t xml:space="preserve">  Under 6 Years Old </t>
    <phoneticPr fontId="3" type="noConversion"/>
  </si>
  <si>
    <t xml:space="preserve">2005-06  </t>
    <phoneticPr fontId="3" type="noConversion"/>
  </si>
  <si>
    <t xml:space="preserve">2001-02  </t>
    <phoneticPr fontId="3" type="noConversion"/>
  </si>
  <si>
    <t xml:space="preserve">2002-03  </t>
    <phoneticPr fontId="3" type="noConversion"/>
  </si>
  <si>
    <t xml:space="preserve">2003-04  </t>
    <phoneticPr fontId="3" type="noConversion"/>
  </si>
  <si>
    <t xml:space="preserve">  Hispanic Origin Families</t>
  </si>
  <si>
    <t xml:space="preserve">  Male Householder-Spouse Absent</t>
  </si>
  <si>
    <t>Persons 25 years old and over by educational attainment</t>
  </si>
  <si>
    <t xml:space="preserve">Less than </t>
  </si>
  <si>
    <t xml:space="preserve">High School </t>
  </si>
  <si>
    <t xml:space="preserve">Some college/  </t>
  </si>
  <si>
    <t xml:space="preserve">Bachelor's </t>
  </si>
  <si>
    <t xml:space="preserve">Postgraduate or </t>
  </si>
  <si>
    <t>moving average</t>
  </si>
  <si>
    <t xml:space="preserve">Total  </t>
  </si>
  <si>
    <t xml:space="preserve">Diploma  </t>
  </si>
  <si>
    <t>Associate Degree</t>
  </si>
  <si>
    <t xml:space="preserve">Degree  </t>
  </si>
  <si>
    <t>Professional Degree</t>
  </si>
  <si>
    <t>by Sex:</t>
  </si>
  <si>
    <t>Male</t>
  </si>
  <si>
    <t>Female</t>
  </si>
  <si>
    <t>by Race:</t>
  </si>
  <si>
    <t>White</t>
  </si>
  <si>
    <t>Black</t>
  </si>
  <si>
    <t>Other Races</t>
  </si>
  <si>
    <t>by Hispanic origin:</t>
  </si>
  <si>
    <t>Hispanic</t>
  </si>
  <si>
    <t>Non-Hispanic</t>
  </si>
  <si>
    <t>2004-05</t>
  </si>
  <si>
    <t>Note: Other races include Asian, American Indian, Alaska Native, Hawaiian and other Pacific Islander.</t>
  </si>
  <si>
    <t>2005-06</t>
    <phoneticPr fontId="2" type="noConversion"/>
  </si>
  <si>
    <t>(Two-year</t>
  </si>
  <si>
    <t>moving average)</t>
  </si>
  <si>
    <t>Total</t>
  </si>
  <si>
    <t>Less than $10,000</t>
  </si>
  <si>
    <t>$10,000-$24,999</t>
  </si>
  <si>
    <t>$25,000-$49,999</t>
  </si>
  <si>
    <t>$50,000-$74,999</t>
  </si>
  <si>
    <t>Median Income</t>
  </si>
  <si>
    <t>$75,000-$99,999</t>
  </si>
  <si>
    <t>$100,000 or more</t>
  </si>
  <si>
    <t>% of persons with specific</t>
  </si>
  <si>
    <t>source of income by sex</t>
  </si>
  <si>
    <t>Source of Income</t>
  </si>
  <si>
    <t>Wage &amp; Salary Earnings</t>
  </si>
  <si>
    <t>Self-employment Income</t>
  </si>
  <si>
    <t>Unemployment Compensation</t>
  </si>
  <si>
    <t>Workers' Compensation</t>
  </si>
  <si>
    <t>Social Security Income</t>
  </si>
  <si>
    <t>Supplemental Security Income</t>
  </si>
  <si>
    <t>Public Assistance/Welfare</t>
  </si>
  <si>
    <t>Veteran's Payments</t>
  </si>
  <si>
    <t>Survivor's Benefits</t>
  </si>
  <si>
    <t>Disability Income</t>
  </si>
  <si>
    <t>Pension/Retirement Income</t>
  </si>
  <si>
    <t>Interest Income</t>
  </si>
  <si>
    <t>Dividends Income</t>
  </si>
  <si>
    <t>Rent Income</t>
  </si>
  <si>
    <t>Educational Assistance</t>
  </si>
  <si>
    <t>Child Support Payments</t>
  </si>
  <si>
    <t>Alimony Payments</t>
  </si>
  <si>
    <t>Financial Assistance</t>
  </si>
  <si>
    <t>Other Income</t>
  </si>
  <si>
    <t>Males</t>
  </si>
  <si>
    <t>Females</t>
  </si>
  <si>
    <t>Table 3. Marital Status for Men and Women 15 Years Old and Over</t>
    <phoneticPr fontId="3" type="noConversion"/>
  </si>
  <si>
    <t>Table S5. Educational Attainment for Persons 25 Years Old and Over by Race and Sex</t>
    <phoneticPr fontId="2" type="noConversion"/>
  </si>
  <si>
    <t>List of Tables</t>
  </si>
  <si>
    <t>Summary Tables</t>
  </si>
  <si>
    <t>Special Topics:</t>
  </si>
  <si>
    <t>Tables provided by the US Census Bureau:</t>
  </si>
  <si>
    <t xml:space="preserve"> (United States and New Jersey data only.  Other states' data are not included)</t>
  </si>
  <si>
    <t>insurance coverage is negligible; however, the decrease in the number of people covered by Medicaid may be partially due to this change.</t>
  </si>
  <si>
    <t>2006-2007</t>
    <phoneticPr fontId="2" type="noConversion"/>
  </si>
  <si>
    <t>2005-06</t>
    <phoneticPr fontId="2" type="noConversion"/>
  </si>
  <si>
    <t>2005-06</t>
    <phoneticPr fontId="2" type="noConversion"/>
  </si>
  <si>
    <t>2005-06</t>
    <phoneticPr fontId="3" type="noConversion"/>
  </si>
  <si>
    <t>2006-07</t>
    <phoneticPr fontId="2" type="noConversion"/>
  </si>
  <si>
    <t xml:space="preserve">2005-06  </t>
    <phoneticPr fontId="2" type="noConversion"/>
  </si>
  <si>
    <t>None or negative</t>
    <phoneticPr fontId="2" type="noConversion"/>
  </si>
  <si>
    <t xml:space="preserve">Table S6. Personal Earnings by Educational Attainment for Persons 25 Years Old and Over: </t>
    <phoneticPr fontId="2" type="noConversion"/>
  </si>
  <si>
    <t>2003-2004</t>
    <phoneticPr fontId="2" type="noConversion"/>
  </si>
  <si>
    <t>2002-2003</t>
    <phoneticPr fontId="2" type="noConversion"/>
  </si>
  <si>
    <t>2001-2002</t>
    <phoneticPr fontId="2" type="noConversion"/>
  </si>
  <si>
    <t>2006-2007</t>
    <phoneticPr fontId="2" type="noConversion"/>
  </si>
  <si>
    <t>Note: Educational attainment reflects the status as of March of each survey year while personal earnings</t>
    <phoneticPr fontId="2" type="noConversion"/>
  </si>
  <si>
    <t xml:space="preserve">         refers to the annual earnings during the year prior to the survey.</t>
    <phoneticPr fontId="2" type="noConversion"/>
  </si>
  <si>
    <t>2007-2008</t>
    <phoneticPr fontId="2" type="noConversion"/>
  </si>
  <si>
    <t>2006-07</t>
    <phoneticPr fontId="2" type="noConversion"/>
  </si>
  <si>
    <t xml:space="preserve">    (no husband)</t>
    <phoneticPr fontId="2" type="noConversion"/>
  </si>
  <si>
    <t>2006-07</t>
    <phoneticPr fontId="2" type="noConversion"/>
  </si>
  <si>
    <t>2006-07</t>
    <phoneticPr fontId="3" type="noConversion"/>
  </si>
  <si>
    <t>2007-08</t>
    <phoneticPr fontId="2" type="noConversion"/>
  </si>
  <si>
    <t>2007-08</t>
    <phoneticPr fontId="2" type="noConversion"/>
  </si>
  <si>
    <t xml:space="preserve">    None</t>
    <phoneticPr fontId="2" type="noConversion"/>
  </si>
  <si>
    <t xml:space="preserve">    One</t>
    <phoneticPr fontId="2" type="noConversion"/>
  </si>
  <si>
    <t xml:space="preserve">    Two</t>
    <phoneticPr fontId="2" type="noConversion"/>
  </si>
  <si>
    <t xml:space="preserve">    Three</t>
    <phoneticPr fontId="2" type="noConversion"/>
  </si>
  <si>
    <t xml:space="preserve">    Four or More </t>
    <phoneticPr fontId="2" type="noConversion"/>
  </si>
  <si>
    <t xml:space="preserve">  High School Diploma</t>
    <phoneticPr fontId="2" type="noConversion"/>
  </si>
  <si>
    <t xml:space="preserve">  College degree or higher</t>
    <phoneticPr fontId="2" type="noConversion"/>
  </si>
  <si>
    <t xml:space="preserve">  Some college/Asso. degree</t>
    <phoneticPr fontId="2" type="noConversion"/>
  </si>
  <si>
    <t xml:space="preserve">  Less than High School</t>
    <phoneticPr fontId="2" type="noConversion"/>
  </si>
  <si>
    <t>NUMBER OF FAMILY MEMBERS IN LABOR FORCE</t>
    <phoneticPr fontId="2" type="noConversion"/>
  </si>
  <si>
    <t xml:space="preserve"> None</t>
    <phoneticPr fontId="2" type="noConversion"/>
  </si>
  <si>
    <t>One</t>
    <phoneticPr fontId="2" type="noConversion"/>
  </si>
  <si>
    <t>Two</t>
    <phoneticPr fontId="2" type="noConversion"/>
  </si>
  <si>
    <t>Three or more</t>
    <phoneticPr fontId="2" type="noConversion"/>
  </si>
  <si>
    <t>2007-08</t>
    <phoneticPr fontId="2" type="noConversion"/>
  </si>
  <si>
    <t>2006-07</t>
    <phoneticPr fontId="2" type="noConversion"/>
  </si>
  <si>
    <t>2007-2008</t>
    <phoneticPr fontId="2" type="noConversion"/>
  </si>
  <si>
    <t>None or negative</t>
    <phoneticPr fontId="2" type="noConversion"/>
  </si>
  <si>
    <t>2008-2009</t>
    <phoneticPr fontId="2" type="noConversion"/>
  </si>
  <si>
    <t>2007-08</t>
    <phoneticPr fontId="3" type="noConversion"/>
  </si>
  <si>
    <t>2008-09</t>
    <phoneticPr fontId="2" type="noConversion"/>
  </si>
  <si>
    <t xml:space="preserve">  All Others</t>
    <phoneticPr fontId="2" type="noConversion"/>
  </si>
  <si>
    <t>2008-09</t>
    <phoneticPr fontId="2" type="noConversion"/>
  </si>
  <si>
    <t>2008-2009</t>
    <phoneticPr fontId="2" type="noConversion"/>
  </si>
  <si>
    <t>2008-09</t>
    <phoneticPr fontId="2" type="noConversion"/>
  </si>
  <si>
    <t>2008-09</t>
    <phoneticPr fontId="3" type="noConversion"/>
  </si>
  <si>
    <t>2009-10</t>
    <phoneticPr fontId="2" type="noConversion"/>
  </si>
  <si>
    <t>2009-10</t>
    <phoneticPr fontId="2" type="noConversion"/>
  </si>
  <si>
    <t>2009-2010</t>
    <phoneticPr fontId="2" type="noConversion"/>
  </si>
  <si>
    <t>2010-2011</t>
  </si>
  <si>
    <t>2009-2010</t>
  </si>
  <si>
    <t>2009-10</t>
  </si>
  <si>
    <t>2010-11</t>
  </si>
  <si>
    <t>2011-2012</t>
  </si>
  <si>
    <t>2011-12</t>
  </si>
  <si>
    <t>2006-2007</t>
  </si>
  <si>
    <t xml:space="preserve"> </t>
  </si>
  <si>
    <t>2012-2013</t>
  </si>
  <si>
    <t>2012-13</t>
  </si>
  <si>
    <t>2013-2014</t>
  </si>
  <si>
    <t xml:space="preserve">                     </t>
  </si>
  <si>
    <t>2013-14</t>
  </si>
  <si>
    <t xml:space="preserve"> Not in Universe (under 17 years old)</t>
  </si>
  <si>
    <t xml:space="preserve">                    </t>
  </si>
  <si>
    <t xml:space="preserve">Table 13. Marital Status by Sex and Race for Persons 15 Years Old and Over: </t>
  </si>
  <si>
    <t>Some College/Associate degree</t>
  </si>
  <si>
    <t>Bachelor's Degree  or Higher</t>
  </si>
  <si>
    <t>Source: US Bureau of the Census, Current Population Survey, Annual Social and Economic Supplements and American Community Survey</t>
  </si>
  <si>
    <t>2012</t>
  </si>
  <si>
    <t>2011</t>
  </si>
  <si>
    <t>2010</t>
  </si>
  <si>
    <t>2009</t>
  </si>
  <si>
    <t>2008</t>
  </si>
  <si>
    <t>2007</t>
  </si>
  <si>
    <t>2006</t>
  </si>
  <si>
    <t>2005</t>
  </si>
  <si>
    <t>2003</t>
  </si>
  <si>
    <t>2002</t>
  </si>
  <si>
    <t>2001</t>
  </si>
  <si>
    <t>1999</t>
  </si>
  <si>
    <t>1998</t>
  </si>
  <si>
    <r>
      <t xml:space="preserve">1997 </t>
    </r>
    <r>
      <rPr>
        <vertAlign val="superscript"/>
        <sz val="11"/>
        <rFont val="Times New Roman"/>
        <family val="1"/>
      </rPr>
      <t>5</t>
    </r>
  </si>
  <si>
    <t>1996</t>
  </si>
  <si>
    <t>1995</t>
  </si>
  <si>
    <r>
      <t xml:space="preserve">1994 </t>
    </r>
    <r>
      <rPr>
        <vertAlign val="superscript"/>
        <sz val="11"/>
        <rFont val="Times New Roman"/>
        <family val="1"/>
      </rPr>
      <t>4</t>
    </r>
  </si>
  <si>
    <t>1991</t>
  </si>
  <si>
    <t>1990</t>
  </si>
  <si>
    <r>
      <t>Military health care</t>
    </r>
    <r>
      <rPr>
        <vertAlign val="superscript"/>
        <sz val="11"/>
        <rFont val="Times New Roman"/>
        <family val="1"/>
      </rPr>
      <t>1</t>
    </r>
  </si>
  <si>
    <t>2014</t>
  </si>
  <si>
    <r>
      <t xml:space="preserve">2013 </t>
    </r>
    <r>
      <rPr>
        <vertAlign val="superscript"/>
        <sz val="11"/>
        <rFont val="Times New Roman"/>
        <family val="1"/>
      </rPr>
      <t xml:space="preserve"> 9</t>
    </r>
  </si>
  <si>
    <r>
      <t xml:space="preserve">2004 </t>
    </r>
    <r>
      <rPr>
        <vertAlign val="superscript"/>
        <sz val="11"/>
        <rFont val="Times New Roman"/>
        <family val="1"/>
      </rPr>
      <t>8</t>
    </r>
  </si>
  <si>
    <r>
      <t xml:space="preserve">2000 </t>
    </r>
    <r>
      <rPr>
        <vertAlign val="superscript"/>
        <sz val="11"/>
        <rFont val="Times New Roman"/>
        <family val="1"/>
      </rPr>
      <t>7</t>
    </r>
  </si>
  <si>
    <r>
      <t xml:space="preserve">1999 </t>
    </r>
    <r>
      <rPr>
        <vertAlign val="superscript"/>
        <sz val="11"/>
        <rFont val="Times New Roman"/>
        <family val="1"/>
      </rPr>
      <t>6</t>
    </r>
  </si>
  <si>
    <r>
      <t xml:space="preserve">1993 </t>
    </r>
    <r>
      <rPr>
        <vertAlign val="superscript"/>
        <sz val="11"/>
        <rFont val="Times New Roman"/>
        <family val="1"/>
      </rPr>
      <t>3</t>
    </r>
  </si>
  <si>
    <r>
      <t>1992</t>
    </r>
    <r>
      <rPr>
        <vertAlign val="superscript"/>
        <sz val="11"/>
        <rFont val="Times New Roman"/>
        <family val="1"/>
      </rPr>
      <t xml:space="preserve"> 2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</si>
  <si>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Implementation of 1990 census population controls.</t>
    </r>
  </si>
  <si>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Data collection method changed from paper and pencil to computer-assisted interviewing.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</si>
  <si>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 xml:space="preserve"> Health insurance questions were redesigned.  Increases in estimates of employment-based and military health care coverage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</si>
  <si>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 xml:space="preserve"> Beginning with the March 1998 CPS, people with no coverage other than access to Indian Health Service are no longer considered</t>
    </r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</si>
  <si>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 xml:space="preserve"> Estimates reflect the results of follow-up verification questions and of 2000 based population controls.</t>
    </r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</si>
  <si>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 xml:space="preserve"> Implementation of a 28,000 household sample expansion.</t>
    </r>
  </si>
  <si>
    <r>
      <rPr>
        <vertAlign val="superscript"/>
        <sz val="11"/>
        <rFont val="Times New Roman"/>
        <family val="1"/>
      </rPr>
      <t>8</t>
    </r>
    <r>
      <rPr>
        <sz val="11"/>
        <rFont val="Times New Roman"/>
        <family val="1"/>
      </rPr>
      <t xml:space="preserve"> These estimates from the 2005 ASEC were revised based on improvements to the algorithm that assigned coverage to dependents,          </t>
    </r>
  </si>
  <si>
    <r>
      <rPr>
        <vertAlign val="superscript"/>
        <sz val="11"/>
        <rFont val="Times New Roman"/>
        <family val="1"/>
      </rPr>
      <t>9</t>
    </r>
    <r>
      <rPr>
        <sz val="11"/>
        <rFont val="Times New Roman"/>
        <family val="1"/>
      </rPr>
      <t xml:space="preserve"> Starting from 2013, the data source is the </t>
    </r>
    <r>
      <rPr>
        <b/>
        <i/>
        <sz val="11"/>
        <rFont val="Times New Roman"/>
        <family val="1"/>
      </rPr>
      <t>American Community Survey</t>
    </r>
    <r>
      <rPr>
        <sz val="11"/>
        <rFont val="Times New Roman"/>
        <family val="1"/>
      </rPr>
      <t xml:space="preserve"> (ACS), not Current Population Survey (CPS).</t>
    </r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</si>
  <si>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 Includes CHAMPUS (Comprehensive Health and Medical Plan for Uniformed Services)/Tricare, Veterans, and military health care, </t>
    </r>
    <r>
      <rPr>
        <b/>
        <sz val="11"/>
        <rFont val="Times New Roman"/>
        <family val="1"/>
      </rPr>
      <t>but for VA care only starting 2013</t>
    </r>
    <r>
      <rPr>
        <sz val="11"/>
        <rFont val="Times New Roman"/>
        <family val="1"/>
      </rPr>
      <t>.</t>
    </r>
  </si>
  <si>
    <t>2014-2015</t>
  </si>
  <si>
    <t xml:space="preserve">              </t>
  </si>
  <si>
    <t>Years</t>
  </si>
  <si>
    <t>2014-15</t>
  </si>
  <si>
    <t xml:space="preserve">                 (Number of Persons in Thousands)</t>
  </si>
  <si>
    <t xml:space="preserve">         Persons without earnings were excluded from the estimate of median earning.</t>
  </si>
  <si>
    <t>Personal Earnings</t>
  </si>
  <si>
    <t>2015~2016</t>
  </si>
  <si>
    <t>2015-2016</t>
  </si>
  <si>
    <t>2015-16</t>
  </si>
  <si>
    <t>NIU</t>
  </si>
  <si>
    <t>2015</t>
  </si>
  <si>
    <t>Table 9.  Number of Families Below Poverty Level and Family Poverty Rates by Selected Characteristics:</t>
  </si>
  <si>
    <t>2016~2017</t>
  </si>
  <si>
    <t>2016-17</t>
  </si>
  <si>
    <t>2016-2017</t>
  </si>
  <si>
    <t>2016</t>
  </si>
  <si>
    <t>5 or More Person Households</t>
  </si>
  <si>
    <t>TOTAL Women 16 Years and Over</t>
  </si>
  <si>
    <t xml:space="preserve">  OWN CHILDREN</t>
  </si>
  <si>
    <t>UNDER 6 YEARS OLD</t>
  </si>
  <si>
    <t>UNDER 18 YEARS OLD</t>
  </si>
  <si>
    <t>FAMILY MEMBERS IN</t>
  </si>
  <si>
    <t>2008-09</t>
  </si>
  <si>
    <t xml:space="preserve">    Four or More</t>
  </si>
  <si>
    <t>2007-2008</t>
  </si>
  <si>
    <t>2008-2009</t>
  </si>
  <si>
    <t>EDUCATION (HOUSEHOLDER 25 YEARS AND OVER)</t>
  </si>
  <si>
    <t xml:space="preserve">    Three</t>
  </si>
  <si>
    <r>
      <t xml:space="preserve">ALL PERSONS 16 years and over: </t>
    </r>
    <r>
      <rPr>
        <i/>
        <sz val="11"/>
        <rFont val="Times New Roman"/>
        <family val="1"/>
      </rPr>
      <t>New Jersey</t>
    </r>
  </si>
  <si>
    <r>
      <t xml:space="preserve">ALL PERSONS 16 years and over: </t>
    </r>
    <r>
      <rPr>
        <i/>
        <sz val="11"/>
        <rFont val="Times New Roman"/>
        <family val="1"/>
      </rPr>
      <t>United States</t>
    </r>
  </si>
  <si>
    <r>
      <t xml:space="preserve">MEN 16 years and over: </t>
    </r>
    <r>
      <rPr>
        <i/>
        <sz val="11"/>
        <rFont val="Times New Roman"/>
        <family val="1"/>
      </rPr>
      <t>New Jersey</t>
    </r>
  </si>
  <si>
    <r>
      <t xml:space="preserve">MEN 16 years and over: </t>
    </r>
    <r>
      <rPr>
        <i/>
        <sz val="11"/>
        <rFont val="Times New Roman"/>
        <family val="1"/>
      </rPr>
      <t>United States</t>
    </r>
  </si>
  <si>
    <r>
      <t xml:space="preserve">WOMEN 16 years and over: </t>
    </r>
    <r>
      <rPr>
        <i/>
        <sz val="11"/>
        <rFont val="Times New Roman"/>
        <family val="1"/>
      </rPr>
      <t>New Jersey</t>
    </r>
  </si>
  <si>
    <r>
      <t xml:space="preserve">WOMEN 16 years and over: </t>
    </r>
    <r>
      <rPr>
        <i/>
        <sz val="11"/>
        <rFont val="Times New Roman"/>
        <family val="1"/>
      </rPr>
      <t>United States</t>
    </r>
  </si>
  <si>
    <r>
      <t xml:space="preserve">BOTH SEXES 16-19 years old: </t>
    </r>
    <r>
      <rPr>
        <i/>
        <sz val="11"/>
        <rFont val="Times New Roman"/>
        <family val="1"/>
      </rPr>
      <t>New Jersey</t>
    </r>
  </si>
  <si>
    <r>
      <t xml:space="preserve">BOTH SEXES 16-19 years old: </t>
    </r>
    <r>
      <rPr>
        <i/>
        <sz val="11"/>
        <rFont val="Times New Roman"/>
        <family val="1"/>
      </rPr>
      <t>United States</t>
    </r>
  </si>
  <si>
    <r>
      <t xml:space="preserve">WHITE 16 years and over: </t>
    </r>
    <r>
      <rPr>
        <i/>
        <sz val="11"/>
        <rFont val="Times New Roman"/>
        <family val="1"/>
      </rPr>
      <t>New Jersey</t>
    </r>
  </si>
  <si>
    <r>
      <t xml:space="preserve">WHITE 16 years and over: </t>
    </r>
    <r>
      <rPr>
        <i/>
        <sz val="11"/>
        <rFont val="Times New Roman"/>
        <family val="1"/>
      </rPr>
      <t>United States</t>
    </r>
  </si>
  <si>
    <r>
      <t xml:space="preserve">BLACK 16 years and over: </t>
    </r>
    <r>
      <rPr>
        <i/>
        <sz val="11"/>
        <rFont val="Times New Roman"/>
        <family val="1"/>
      </rPr>
      <t>New Jersey</t>
    </r>
  </si>
  <si>
    <r>
      <t xml:space="preserve">BLACK 16 years and over: </t>
    </r>
    <r>
      <rPr>
        <i/>
        <sz val="11"/>
        <rFont val="Times New Roman"/>
        <family val="1"/>
      </rPr>
      <t>United States</t>
    </r>
  </si>
  <si>
    <r>
      <t xml:space="preserve">Men: United States </t>
    </r>
    <r>
      <rPr>
        <i/>
        <sz val="11"/>
        <rFont val="HLV"/>
        <family val="2"/>
      </rPr>
      <t>(</t>
    </r>
    <r>
      <rPr>
        <i/>
        <sz val="11"/>
        <rFont val="Times New Roman"/>
        <family val="1"/>
      </rPr>
      <t>numbers in thousands)</t>
    </r>
  </si>
  <si>
    <r>
      <t xml:space="preserve">OTHER RACES 16 years and over: </t>
    </r>
    <r>
      <rPr>
        <i/>
        <sz val="11"/>
        <rFont val="Times New Roman"/>
        <family val="1"/>
      </rPr>
      <t>New Jersey</t>
    </r>
  </si>
  <si>
    <r>
      <t xml:space="preserve">OTHER RACES 16 years and over: </t>
    </r>
    <r>
      <rPr>
        <i/>
        <sz val="11"/>
        <rFont val="Times New Roman"/>
        <family val="1"/>
      </rPr>
      <t>United States</t>
    </r>
  </si>
  <si>
    <r>
      <t xml:space="preserve">HISPANICS 16 years and over: </t>
    </r>
    <r>
      <rPr>
        <i/>
        <sz val="11"/>
        <rFont val="Times New Roman"/>
        <family val="1"/>
      </rPr>
      <t>New Jersey</t>
    </r>
  </si>
  <si>
    <r>
      <t xml:space="preserve">HISPANICS 16 years and over: </t>
    </r>
    <r>
      <rPr>
        <i/>
        <sz val="11"/>
        <rFont val="Times New Roman"/>
        <family val="1"/>
      </rPr>
      <t>United States</t>
    </r>
  </si>
  <si>
    <r>
      <t xml:space="preserve">Women: United States </t>
    </r>
    <r>
      <rPr>
        <i/>
        <sz val="11"/>
        <rFont val="Times New Roman"/>
        <family val="1"/>
      </rPr>
      <t>(numbers in thousands)</t>
    </r>
  </si>
  <si>
    <t>1-Person</t>
  </si>
  <si>
    <t xml:space="preserve">HOUSEHOLDERS BY </t>
  </si>
  <si>
    <t xml:space="preserve">Race </t>
  </si>
  <si>
    <t>65 &amp; Over</t>
  </si>
  <si>
    <t>Source:</t>
  </si>
  <si>
    <t xml:space="preserve">US Bureau of the Census, Current Population Survey (CPS): </t>
  </si>
  <si>
    <t>Prepared by:</t>
  </si>
  <si>
    <t xml:space="preserve">NJ Dept of Labor &amp; Workforce Dev., Div. of Economic &amp; </t>
  </si>
  <si>
    <r>
      <rPr>
        <sz val="11"/>
        <rFont val="Times New Roman"/>
        <family val="1"/>
      </rPr>
      <t>2016</t>
    </r>
    <r>
      <rPr>
        <vertAlign val="superscript"/>
        <sz val="11"/>
        <rFont val="Times New Roman"/>
        <family val="1"/>
      </rPr>
      <t xml:space="preserve">  10</t>
    </r>
  </si>
  <si>
    <r>
      <t xml:space="preserve">10  </t>
    </r>
    <r>
      <rPr>
        <sz val="11"/>
        <rFont val="Times New Roman"/>
        <family val="1"/>
      </rPr>
      <t>Starting from 2016, the data are for Children Under 19, United States and New Jersey</t>
    </r>
  </si>
  <si>
    <t>Annual Demographic Profile for New Jersey: 2001 to 2018</t>
  </si>
  <si>
    <t>Table 1.  Family and Nonfamily Households in New Jersey: 2001-2018</t>
  </si>
  <si>
    <t>Table 2.  Households by Household Type, New Jersey and United States: 2001 to 2018</t>
  </si>
  <si>
    <t>Table 3.  Marital Status for Men and Women 15 Years Old and Over: New Jersey and United States: 2001 - 2018</t>
  </si>
  <si>
    <t>Table 4.  Living Arrangements of Children Under 18 Years Old: New Jersey &amp; United States, 2001 - 2018</t>
  </si>
  <si>
    <t>Table 5.  Civilian Labor Force Composition: New Jersey and United States, 2001 - 2018</t>
  </si>
  <si>
    <t>Table 11.  Characteristics of Persons in New Jersey: 2001 to 2018</t>
  </si>
  <si>
    <t>Table 12.  Characteristics of Families in New Jersey: 2001 to 2018</t>
  </si>
  <si>
    <t>Table 13.  Marital Status by Sex and Race for Persons 15 Years Old and Over:  New Jersey, 2001 to 2018</t>
  </si>
  <si>
    <t>Table S1.  One-Person Households in New Jersey: 2001 to 2018</t>
  </si>
  <si>
    <t>Table S2.  Percent of Persons Living Below Poverty Level: New Jersey, 2000-2018</t>
  </si>
  <si>
    <t>Table S3.  Labor Force Status for Women Having Own Children: New Jersey, 2001 to 2018</t>
  </si>
  <si>
    <t>Table S4.  Families With Children Under 18:  New Jersey, 2001 to 2018</t>
  </si>
  <si>
    <t>Table S5.  Educational Attainment for Persons 25 Years Old and Over by Race and Sex: New Jersey, 2001 to 2018</t>
  </si>
  <si>
    <t>Table S6.  Personal Earnings by Educational Attainment for Persons 25 Years Old and Over: New Jersey, 2001 to 2018</t>
  </si>
  <si>
    <t>Table 6.  Median Family and Household Income: New Jersey and United States, 2001 to 2017</t>
  </si>
  <si>
    <t>Table 7.  Median Family Income by Selected Family Characteristics: New Jersey and United States, 2001 to 2017</t>
  </si>
  <si>
    <t>Table 8.  Median Household Income by Selected Household Characteristics: New Jersey and United States, 2001 to 2017</t>
  </si>
  <si>
    <t>2017~2018</t>
  </si>
  <si>
    <t xml:space="preserve">              Current Population Survey (CPS): March 2001 through 2018.</t>
  </si>
  <si>
    <t xml:space="preserve">                    Division of Economic &amp; Demographic Research, 10/2018.</t>
  </si>
  <si>
    <t>Table 2. Households by Household Type, New Jersey and United States: 2001 to 2018</t>
  </si>
  <si>
    <t xml:space="preserve">                      New Jersey &amp; United States, 2001 - 2018</t>
  </si>
  <si>
    <t xml:space="preserve">               New Jersey and United States: 2001 - 2018</t>
  </si>
  <si>
    <r>
      <t xml:space="preserve">Table 5. Civilian Labor Force Composition: New Jersey and United States, 2001 - 2018  </t>
    </r>
    <r>
      <rPr>
        <i/>
        <sz val="11"/>
        <rFont val="Times New Roman"/>
        <family val="1"/>
      </rPr>
      <t>(Numbers in thousands)</t>
    </r>
  </si>
  <si>
    <t>Table 6.  Median Family and Household Income: 2001 to 2017</t>
  </si>
  <si>
    <r>
      <t xml:space="preserve">                  New Jersey and United States </t>
    </r>
    <r>
      <rPr>
        <i/>
        <sz val="11"/>
        <rFont val="Times New Roman"/>
        <family val="1"/>
      </rPr>
      <t>(in 2017 dollars)</t>
    </r>
  </si>
  <si>
    <r>
      <t xml:space="preserve">                 New Jersey and United States: 2001 to 2017 </t>
    </r>
    <r>
      <rPr>
        <i/>
        <sz val="11"/>
        <rFont val="Times New Roman"/>
        <family val="1"/>
      </rPr>
      <t>(in 2017 dollars)</t>
    </r>
  </si>
  <si>
    <t>2017-18</t>
  </si>
  <si>
    <r>
      <t xml:space="preserve">               New Jersey and United States: 2001 to 2018 </t>
    </r>
    <r>
      <rPr>
        <i/>
        <sz val="11"/>
        <rFont val="Times New Roman"/>
        <family val="1"/>
      </rPr>
      <t>(Numbers in Thousands)</t>
    </r>
  </si>
  <si>
    <t>Table 10. Number of Families Below Poverty Level and Poverty Rates</t>
  </si>
  <si>
    <r>
      <t xml:space="preserve">Table 11.  Characteristics of Persons in New Jersey: 2001 to 2018 </t>
    </r>
    <r>
      <rPr>
        <i/>
        <sz val="11"/>
        <rFont val="Times New Roman"/>
        <family val="1"/>
      </rPr>
      <t>(Person Total in Thousands)</t>
    </r>
  </si>
  <si>
    <r>
      <t xml:space="preserve">Table 12. Characteristics of Families in New Jersey: 2001 to 2018 </t>
    </r>
    <r>
      <rPr>
        <i/>
        <sz val="11"/>
        <rFont val="Times New Roman"/>
        <family val="1"/>
      </rPr>
      <t>(Family Totals in Thousands)</t>
    </r>
  </si>
  <si>
    <t>Source: US Bureau of the Census, Current Population Survey (CPS): March 2001 through 2018.</t>
  </si>
  <si>
    <t>Prepared by : NJ Dept of Labor &amp; Workforce Dev., Div. of Economic &amp; Demographic Research, 10/2018.</t>
  </si>
  <si>
    <r>
      <t xml:space="preserve">               New Jersey, 2001 to 2018 </t>
    </r>
    <r>
      <rPr>
        <i/>
        <sz val="11"/>
        <rFont val="Times New Roman"/>
        <family val="1"/>
      </rPr>
      <t>(Person Total in Thousands)</t>
    </r>
  </si>
  <si>
    <t>Table 14.  Median Family Income by Selected Family Characteristics: New Jersey, 2001 to 2017</t>
  </si>
  <si>
    <t xml:space="preserve">                  (Family Totals in Thousands)  (Income in 2017 dollars) </t>
  </si>
  <si>
    <t>Table 15.  Median Household Income by Selected Household Characteristics: New Jersey, 2001 to 2017</t>
  </si>
  <si>
    <t xml:space="preserve">                  (Household Totals in Thousands)  (Income in 2017 Dollars)</t>
  </si>
  <si>
    <t>Demographic Research, 10/2018.</t>
  </si>
  <si>
    <r>
      <t xml:space="preserve">                   New Jersey: 2001 to 2018  (</t>
    </r>
    <r>
      <rPr>
        <i/>
        <sz val="11"/>
        <rFont val="Times New Roman"/>
        <family val="1"/>
      </rPr>
      <t>Numbers in Thousands</t>
    </r>
    <r>
      <rPr>
        <b/>
        <sz val="11"/>
        <rFont val="Times New Roman"/>
        <family val="1"/>
      </rPr>
      <t>)</t>
    </r>
  </si>
  <si>
    <r>
      <t xml:space="preserve">Table S4.  Families With Children Under 18:  New Jersey, 2001 to 2018 </t>
    </r>
    <r>
      <rPr>
        <i/>
        <sz val="11"/>
        <rFont val="Times New Roman"/>
        <family val="1"/>
      </rPr>
      <t>(Family Totals in Thousands)</t>
    </r>
  </si>
  <si>
    <t>(Spouse Absent)</t>
  </si>
  <si>
    <t>Couple Family</t>
  </si>
  <si>
    <t xml:space="preserve">                New Jersey, 2001-2018</t>
  </si>
  <si>
    <t>2017-2018</t>
  </si>
  <si>
    <t xml:space="preserve"> (in 2017 $)</t>
  </si>
  <si>
    <t>Source: Current Population Survey: March 2001 through 2018.</t>
  </si>
  <si>
    <r>
      <t xml:space="preserve">                 New Jersey, 2001-2018 </t>
    </r>
    <r>
      <rPr>
        <i/>
        <sz val="11"/>
        <rFont val="Times New Roman"/>
        <family val="1"/>
      </rPr>
      <t>(include inflation-adjusted Median Earning)</t>
    </r>
  </si>
  <si>
    <t>Table HI-04. Health Insurance Coverage Status and Type of Coverage by State: All People, 1990 to 2017</t>
  </si>
  <si>
    <t>2017</t>
  </si>
  <si>
    <t>Table HI-05. Health Insurance Coverage Status and Type of Coverage by State: Children Under 19, United States and New Jersey, 1990 to 2017</t>
  </si>
  <si>
    <t>Table HI-06. Health Insurance Coverage Status and Type of Coverage by State: People Under 65, United States and New Jersey, 1990 to 2017</t>
  </si>
  <si>
    <r>
      <t xml:space="preserve">Table 16. Family Poverty Status:  New Jersey, 2001 to 2018  </t>
    </r>
    <r>
      <rPr>
        <i/>
        <sz val="11"/>
        <rFont val="Times New Roman"/>
        <family val="1"/>
      </rPr>
      <t>(Family Totals in Thousands)</t>
    </r>
  </si>
  <si>
    <t>Table 16. Family Poverty Status:  New Jersey, 2001 to 2018 (Family Totals in Thousands)  (Cont.)</t>
  </si>
  <si>
    <t>Table S7. Source of Income for Persons with Income: New Jersey, 2002-2018</t>
  </si>
  <si>
    <t>Table 10.  Families Below Poverty Level and Poverty Rates: New Jersey and United States, 2001 to 2018</t>
  </si>
  <si>
    <t>Table 16.  Family Poverty Status:  New Jersey, 2001 to 2018</t>
  </si>
  <si>
    <t>Source: U.S. Department of Commerce, Bureau of the Census, Current Population Survey: March 2001 to 2018.</t>
  </si>
  <si>
    <t xml:space="preserve">              Current Population Survey (CPS): March 2001 to 2018.</t>
  </si>
  <si>
    <t>Source: US Department of Commerce, Bureau of the Census, Current Population Survey (CPS) : March 2001 through 2018</t>
  </si>
  <si>
    <t>Prepared by : NJ Dept of Labor &amp; Workforce Dev., Div. of Economic &amp; Demographic Research, 10/2018</t>
  </si>
  <si>
    <t>March 2001 through 2018.</t>
  </si>
  <si>
    <t xml:space="preserve">              March 2001 through 2018.</t>
  </si>
  <si>
    <t>Table HI-04.  Health Insurance Coverage Status and Type of Coverage by State: All People, 1990 to 2017</t>
  </si>
  <si>
    <t>Table HI-05.  Health Insurance Coverage Status and Type of Coverage by State: Children Under 18, 1990 to 2017</t>
  </si>
  <si>
    <t>Table HI-06.  Health Insurance Coverage Status and Type of Coverage by State: People Under 65, 1990 to 2017</t>
  </si>
  <si>
    <t>2014~2015</t>
  </si>
  <si>
    <t>2013~2014</t>
  </si>
  <si>
    <t>2012~2013</t>
  </si>
  <si>
    <t>2011~2012</t>
  </si>
  <si>
    <t>2010~2011</t>
  </si>
  <si>
    <t>2009~2010</t>
  </si>
  <si>
    <t>2008~2009</t>
  </si>
  <si>
    <t>2007~2008</t>
  </si>
  <si>
    <t>2006~2007</t>
  </si>
  <si>
    <t>2005~2006</t>
  </si>
  <si>
    <t>2004~2005</t>
  </si>
  <si>
    <t>2003~2004</t>
  </si>
  <si>
    <t>2002~2003</t>
  </si>
  <si>
    <t>2001~2002</t>
  </si>
  <si>
    <t>Table 9.  Number of Families Below Poverty Level and Family Poverty Rates by Selected Characteristics: New Jersey, 2001 to 2018</t>
  </si>
  <si>
    <t xml:space="preserve">                 New Jersey: 2001 to 2018</t>
  </si>
  <si>
    <t>Table S7.  Source of Income for Persons with Income: New Jersey, 2002-2018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</si>
</sst>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_ "/>
    <numFmt numFmtId="166" formatCode="0.0"/>
    <numFmt numFmtId="167" formatCode="0.0%"/>
    <numFmt numFmtId="168" formatCode="&quot;$&quot;#,##0"/>
    <numFmt numFmtId="169" formatCode="_-* #,##0_-;\-* #,##0_-;_-* &quot;-&quot;??_-;_-@_-"/>
    <numFmt numFmtId="170" formatCode="_(* #,##0_);_(* \(#,##0\);_(* &quot;-&quot;??_);_(@_)"/>
    <numFmt numFmtId="171" formatCode="#,##0.000"/>
    <numFmt numFmtId="172" formatCode="#,##0.0000"/>
    <numFmt numFmtId="173" formatCode="##0.0"/>
    <numFmt numFmtId="174" formatCode="_(&quot;$&quot;* #,##0_);_(&quot;$&quot;* \(#,##0\);_(&quot;$&quot;* &quot;-&quot;??_);_(@_)"/>
  </numFmts>
  <fonts count="33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10"/>
      <name val="Arial"/>
      <family val="2"/>
    </font>
    <font>
      <sz val="11"/>
      <name val="Times New Roman"/>
      <family val="1"/>
    </font>
    <font>
      <b/>
      <i/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HLV"/>
      <family val="2"/>
    </font>
    <font>
      <b/>
      <i/>
      <u/>
      <sz val="11"/>
      <name val="Times New Roman"/>
      <family val="1"/>
    </font>
    <font>
      <u/>
      <sz val="11"/>
      <name val="Times New Roman"/>
      <family val="1"/>
    </font>
    <font>
      <b/>
      <i/>
      <sz val="11"/>
      <name val="Times New Roman"/>
      <family val="1"/>
    </font>
    <font>
      <i/>
      <u/>
      <sz val="11"/>
      <name val="Times New Roman"/>
      <family val="1"/>
    </font>
    <font>
      <b/>
      <u/>
      <sz val="11"/>
      <name val="Times New Roman"/>
      <family val="1"/>
    </font>
    <font>
      <vertAlign val="superscript"/>
      <sz val="11"/>
      <name val="Times New Roman"/>
      <family val="1"/>
    </font>
    <font>
      <i/>
      <u/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i/>
      <sz val="11"/>
      <name val="HLV"/>
      <family val="2"/>
    </font>
    <font>
      <b/>
      <sz val="10"/>
      <name val="Times New Roman"/>
      <family val="1"/>
    </font>
    <font>
      <u/>
      <sz val="10"/>
      <name val="Times New Roman"/>
      <family val="1"/>
    </font>
    <font>
      <sz val="10.5"/>
      <name val="Times New Roman"/>
      <family val="1"/>
    </font>
    <font>
      <sz val="11"/>
      <name val="Calibri"/>
      <family val="2"/>
      <scheme val="minor"/>
    </font>
    <font>
      <i/>
      <sz val="9"/>
      <name val="Times New Roman"/>
      <family val="1"/>
    </font>
    <font>
      <sz val="12"/>
      <color theme="0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67" fontId="9" fillId="0" borderId="0"/>
    <xf numFmtId="167" fontId="9" fillId="0" borderId="0"/>
    <xf numFmtId="167" fontId="9" fillId="0" borderId="0"/>
    <xf numFmtId="167" fontId="9" fillId="0" borderId="0"/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/>
    </xf>
    <xf numFmtId="49" fontId="5" fillId="0" borderId="0" xfId="0" applyNumberFormat="1" applyFont="1">
      <alignment vertical="center"/>
    </xf>
    <xf numFmtId="3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5" fontId="4" fillId="0" borderId="0" xfId="0" applyNumberFormat="1" applyFont="1">
      <alignment vertical="center"/>
    </xf>
    <xf numFmtId="166" fontId="4" fillId="0" borderId="0" xfId="0" applyNumberFormat="1" applyFont="1">
      <alignment vertical="center"/>
    </xf>
    <xf numFmtId="3" fontId="4" fillId="0" borderId="0" xfId="0" quotePrefix="1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/>
    <xf numFmtId="0" fontId="8" fillId="0" borderId="0" xfId="0" applyNumberFormat="1" applyFont="1" applyAlignment="1"/>
    <xf numFmtId="0" fontId="8" fillId="0" borderId="0" xfId="0" applyFont="1">
      <alignment vertical="center"/>
    </xf>
    <xf numFmtId="0" fontId="4" fillId="0" borderId="0" xfId="0" applyFont="1" applyAlignment="1">
      <alignment horizontal="center"/>
    </xf>
    <xf numFmtId="2" fontId="4" fillId="0" borderId="0" xfId="0" applyNumberFormat="1" applyFont="1">
      <alignment vertical="center"/>
    </xf>
    <xf numFmtId="167" fontId="4" fillId="0" borderId="0" xfId="0" applyNumberFormat="1" applyFont="1">
      <alignment vertical="center"/>
    </xf>
    <xf numFmtId="0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3" applyNumberFormat="1" applyFont="1" applyAlignment="1"/>
    <xf numFmtId="0" fontId="4" fillId="0" borderId="1" xfId="0" applyFont="1" applyBorder="1" applyAlignment="1">
      <alignment horizontal="right"/>
    </xf>
    <xf numFmtId="0" fontId="4" fillId="0" borderId="1" xfId="0" applyNumberFormat="1" applyFont="1" applyBorder="1" applyAlignment="1"/>
    <xf numFmtId="0" fontId="10" fillId="0" borderId="0" xfId="0" applyFont="1" applyAlignment="1">
      <alignment horizont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NumberFormat="1" applyFont="1" applyAlignment="1"/>
    <xf numFmtId="0" fontId="4" fillId="0" borderId="0" xfId="2" applyNumberFormat="1" applyFont="1" applyAlignment="1" applyProtection="1">
      <protection locked="0"/>
    </xf>
    <xf numFmtId="0" fontId="4" fillId="0" borderId="0" xfId="2" applyNumberFormat="1" applyFont="1" applyAlignment="1"/>
    <xf numFmtId="0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Continuous"/>
    </xf>
    <xf numFmtId="0" fontId="4" fillId="0" borderId="4" xfId="2" applyNumberFormat="1" applyFont="1" applyBorder="1"/>
    <xf numFmtId="3" fontId="4" fillId="0" borderId="0" xfId="2" applyNumberFormat="1" applyFont="1"/>
    <xf numFmtId="167" fontId="4" fillId="0" borderId="0" xfId="2" applyFont="1"/>
    <xf numFmtId="0" fontId="4" fillId="0" borderId="0" xfId="0" applyNumberFormat="1" applyFont="1" applyAlignment="1">
      <alignment horizontal="right"/>
    </xf>
    <xf numFmtId="0" fontId="4" fillId="0" borderId="0" xfId="0" applyNumberFormat="1" applyFont="1">
      <alignment vertical="center"/>
    </xf>
    <xf numFmtId="168" fontId="4" fillId="0" borderId="0" xfId="0" applyNumberFormat="1" applyFont="1" applyBorder="1">
      <alignment vertic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>
      <alignment vertical="center"/>
    </xf>
    <xf numFmtId="0" fontId="8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168" fontId="4" fillId="0" borderId="0" xfId="0" applyNumberFormat="1" applyFont="1">
      <alignment vertical="center"/>
    </xf>
    <xf numFmtId="0" fontId="3" fillId="0" borderId="0" xfId="0" applyFont="1">
      <alignment vertical="center"/>
    </xf>
    <xf numFmtId="3" fontId="4" fillId="0" borderId="3" xfId="0" applyNumberFormat="1" applyFont="1" applyBorder="1">
      <alignment vertical="center"/>
    </xf>
    <xf numFmtId="167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/>
    <xf numFmtId="3" fontId="4" fillId="0" borderId="0" xfId="3" applyNumberFormat="1" applyFont="1"/>
    <xf numFmtId="167" fontId="4" fillId="0" borderId="0" xfId="3" applyFont="1"/>
    <xf numFmtId="167" fontId="4" fillId="0" borderId="0" xfId="3" applyFont="1" applyBorder="1" applyAlignment="1"/>
    <xf numFmtId="0" fontId="4" fillId="0" borderId="0" xfId="3" applyNumberFormat="1" applyFont="1" applyBorder="1"/>
    <xf numFmtId="167" fontId="4" fillId="0" borderId="3" xfId="3" applyFont="1" applyBorder="1" applyAlignment="1"/>
    <xf numFmtId="3" fontId="6" fillId="0" borderId="0" xfId="0" applyNumberFormat="1" applyFont="1">
      <alignment vertical="center"/>
    </xf>
    <xf numFmtId="0" fontId="4" fillId="0" borderId="0" xfId="4" applyNumberFormat="1" applyFont="1" applyAlignment="1" applyProtection="1">
      <protection locked="0"/>
    </xf>
    <xf numFmtId="0" fontId="4" fillId="0" borderId="4" xfId="4" applyNumberFormat="1" applyFont="1" applyBorder="1"/>
    <xf numFmtId="3" fontId="4" fillId="0" borderId="0" xfId="4" applyNumberFormat="1" applyFont="1"/>
    <xf numFmtId="0" fontId="4" fillId="0" borderId="0" xfId="4" applyNumberFormat="1" applyFont="1" applyAlignment="1"/>
    <xf numFmtId="167" fontId="4" fillId="0" borderId="0" xfId="4" applyFont="1"/>
    <xf numFmtId="0" fontId="4" fillId="0" borderId="0" xfId="4" applyNumberFormat="1" applyFont="1"/>
    <xf numFmtId="167" fontId="4" fillId="0" borderId="3" xfId="4" applyFont="1" applyBorder="1" applyAlignment="1"/>
    <xf numFmtId="0" fontId="4" fillId="0" borderId="0" xfId="5" applyNumberFormat="1" applyFont="1" applyAlignment="1" applyProtection="1">
      <protection locked="0"/>
    </xf>
    <xf numFmtId="0" fontId="4" fillId="0" borderId="4" xfId="5" applyNumberFormat="1" applyFont="1" applyBorder="1"/>
    <xf numFmtId="3" fontId="4" fillId="0" borderId="0" xfId="5" applyNumberFormat="1" applyFont="1"/>
    <xf numFmtId="0" fontId="4" fillId="0" borderId="0" xfId="5" applyNumberFormat="1" applyFont="1" applyAlignment="1"/>
    <xf numFmtId="167" fontId="4" fillId="0" borderId="0" xfId="5" applyFont="1"/>
    <xf numFmtId="167" fontId="4" fillId="0" borderId="3" xfId="5" applyFont="1" applyBorder="1" applyAlignment="1"/>
    <xf numFmtId="167" fontId="4" fillId="0" borderId="3" xfId="4" applyFont="1" applyBorder="1"/>
    <xf numFmtId="0" fontId="7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11" fillId="0" borderId="0" xfId="0" applyNumberFormat="1" applyFont="1" applyAlignment="1">
      <alignment horizontal="center"/>
    </xf>
    <xf numFmtId="169" fontId="4" fillId="0" borderId="0" xfId="1" applyNumberFormat="1" applyFont="1" applyAlignment="1"/>
    <xf numFmtId="167" fontId="4" fillId="0" borderId="0" xfId="6" applyNumberFormat="1" applyFont="1" applyAlignment="1"/>
    <xf numFmtId="0" fontId="12" fillId="0" borderId="0" xfId="0" applyFont="1">
      <alignment vertical="center"/>
    </xf>
    <xf numFmtId="169" fontId="4" fillId="0" borderId="0" xfId="1" applyNumberFormat="1" applyFont="1" applyBorder="1" applyAlignment="1"/>
    <xf numFmtId="167" fontId="4" fillId="0" borderId="0" xfId="6" applyNumberFormat="1" applyFont="1" applyBorder="1" applyAlignment="1"/>
    <xf numFmtId="0" fontId="4" fillId="0" borderId="0" xfId="0" applyFont="1" applyFill="1" applyBorder="1">
      <alignment vertic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2" fontId="4" fillId="0" borderId="3" xfId="0" applyNumberFormat="1" applyFont="1" applyBorder="1">
      <alignment vertical="center"/>
    </xf>
    <xf numFmtId="0" fontId="4" fillId="0" borderId="1" xfId="0" applyFont="1" applyBorder="1" applyAlignment="1"/>
    <xf numFmtId="0" fontId="4" fillId="0" borderId="3" xfId="0" applyNumberFormat="1" applyFont="1" applyBorder="1" applyAlignment="1">
      <alignment horizontal="center"/>
    </xf>
    <xf numFmtId="0" fontId="8" fillId="0" borderId="3" xfId="0" applyFont="1" applyBorder="1" applyAlignment="1"/>
    <xf numFmtId="0" fontId="6" fillId="0" borderId="2" xfId="0" applyFont="1" applyBorder="1" applyAlignment="1">
      <alignment horizontal="centerContinuous"/>
    </xf>
    <xf numFmtId="167" fontId="6" fillId="0" borderId="0" xfId="6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67" fontId="4" fillId="0" borderId="0" xfId="0" applyNumberFormat="1" applyFont="1" applyBorder="1">
      <alignment vertical="center"/>
    </xf>
    <xf numFmtId="0" fontId="14" fillId="0" borderId="0" xfId="0" applyFont="1" applyAlignment="1">
      <alignment horizontal="center"/>
    </xf>
    <xf numFmtId="0" fontId="4" fillId="0" borderId="0" xfId="0" quotePrefix="1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NumberFormat="1" applyFont="1" applyAlignment="1" applyProtection="1">
      <protection locked="0"/>
    </xf>
    <xf numFmtId="0" fontId="6" fillId="0" borderId="0" xfId="0" applyFont="1" applyAlignment="1"/>
    <xf numFmtId="167" fontId="0" fillId="0" borderId="0" xfId="6" applyNumberFormat="1" applyFont="1" applyAlignment="1">
      <alignment vertical="center"/>
    </xf>
    <xf numFmtId="0" fontId="0" fillId="0" borderId="0" xfId="0" applyFont="1">
      <alignment vertical="center"/>
    </xf>
    <xf numFmtId="171" fontId="4" fillId="0" borderId="0" xfId="0" applyNumberFormat="1" applyFont="1">
      <alignment vertical="center"/>
    </xf>
    <xf numFmtId="172" fontId="4" fillId="0" borderId="0" xfId="0" applyNumberFormat="1" applyFont="1">
      <alignment vertical="center"/>
    </xf>
    <xf numFmtId="0" fontId="7" fillId="0" borderId="0" xfId="0" applyFont="1" applyBorder="1" applyAlignment="1">
      <alignment horizontal="left"/>
    </xf>
    <xf numFmtId="0" fontId="4" fillId="0" borderId="0" xfId="2" applyNumberFormat="1" applyFont="1" applyFill="1" applyAlignment="1">
      <alignment horizontal="centerContinuous"/>
    </xf>
    <xf numFmtId="0" fontId="4" fillId="0" borderId="0" xfId="0" applyFont="1" applyBorder="1" applyAlignment="1"/>
    <xf numFmtId="3" fontId="0" fillId="0" borderId="0" xfId="0" applyNumberFormat="1" applyFont="1">
      <alignment vertical="center"/>
    </xf>
    <xf numFmtId="170" fontId="0" fillId="0" borderId="0" xfId="1" applyNumberFormat="1" applyFont="1">
      <alignment vertical="center"/>
    </xf>
    <xf numFmtId="167" fontId="0" fillId="0" borderId="0" xfId="6" applyNumberFormat="1" applyFont="1">
      <alignment vertical="center"/>
    </xf>
    <xf numFmtId="170" fontId="4" fillId="0" borderId="0" xfId="1" applyNumberFormat="1" applyFont="1" applyAlignment="1"/>
    <xf numFmtId="9" fontId="4" fillId="0" borderId="0" xfId="6" applyFont="1">
      <alignment vertical="center"/>
    </xf>
    <xf numFmtId="167" fontId="4" fillId="0" borderId="0" xfId="6" applyNumberFormat="1" applyFont="1">
      <alignment vertical="center"/>
    </xf>
    <xf numFmtId="10" fontId="4" fillId="0" borderId="0" xfId="6" applyNumberFormat="1" applyFont="1">
      <alignment vertical="center"/>
    </xf>
    <xf numFmtId="170" fontId="4" fillId="0" borderId="0" xfId="1" applyNumberFormat="1" applyFont="1" applyAlignment="1">
      <alignment horizontal="center"/>
    </xf>
    <xf numFmtId="170" fontId="4" fillId="0" borderId="0" xfId="1" applyNumberFormat="1" applyFont="1">
      <alignment vertical="center"/>
    </xf>
    <xf numFmtId="3" fontId="4" fillId="0" borderId="0" xfId="0" applyNumberFormat="1" applyFont="1" applyAlignment="1"/>
    <xf numFmtId="167" fontId="0" fillId="0" borderId="0" xfId="6" applyNumberFormat="1" applyFont="1" applyAlignment="1"/>
    <xf numFmtId="167" fontId="4" fillId="0" borderId="0" xfId="6" applyNumberFormat="1" applyFont="1" applyAlignment="1" applyProtection="1">
      <protection locked="0"/>
    </xf>
    <xf numFmtId="170" fontId="4" fillId="0" borderId="0" xfId="1" applyNumberFormat="1" applyFont="1" applyAlignment="1" applyProtection="1">
      <protection locked="0"/>
    </xf>
    <xf numFmtId="170" fontId="4" fillId="0" borderId="0" xfId="1" applyNumberFormat="1" applyFont="1" applyFill="1" applyAlignment="1"/>
    <xf numFmtId="1" fontId="4" fillId="0" borderId="0" xfId="2" applyNumberFormat="1" applyFont="1" applyAlignment="1"/>
    <xf numFmtId="1" fontId="4" fillId="0" borderId="0" xfId="0" applyNumberFormat="1" applyFont="1">
      <alignment vertical="center"/>
    </xf>
    <xf numFmtId="0" fontId="11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0" fillId="0" borderId="2" xfId="0" applyFont="1" applyBorder="1" applyAlignment="1">
      <alignment horizontal="centerContinuous" vertical="center"/>
    </xf>
    <xf numFmtId="0" fontId="4" fillId="0" borderId="5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Continuous"/>
    </xf>
    <xf numFmtId="3" fontId="4" fillId="0" borderId="3" xfId="0" applyNumberFormat="1" applyFont="1" applyBorder="1" applyAlignment="1"/>
    <xf numFmtId="0" fontId="0" fillId="0" borderId="0" xfId="0" applyFont="1" applyFill="1">
      <alignment vertical="center"/>
    </xf>
    <xf numFmtId="3" fontId="4" fillId="0" borderId="0" xfId="3" applyNumberFormat="1" applyFont="1" applyAlignment="1"/>
    <xf numFmtId="0" fontId="4" fillId="0" borderId="2" xfId="0" applyNumberFormat="1" applyFont="1" applyBorder="1" applyAlignment="1">
      <alignment horizontal="centerContinuous"/>
    </xf>
    <xf numFmtId="4" fontId="4" fillId="0" borderId="0" xfId="0" applyNumberFormat="1" applyFont="1">
      <alignment vertical="center"/>
    </xf>
    <xf numFmtId="0" fontId="4" fillId="0" borderId="2" xfId="3" applyNumberFormat="1" applyFont="1" applyBorder="1" applyAlignment="1">
      <alignment horizontal="left"/>
    </xf>
    <xf numFmtId="0" fontId="6" fillId="0" borderId="0" xfId="4" applyNumberFormat="1" applyFont="1" applyAlignment="1">
      <alignment horizontal="right"/>
    </xf>
    <xf numFmtId="3" fontId="4" fillId="0" borderId="0" xfId="0" applyNumberFormat="1" applyFont="1" applyFill="1">
      <alignment vertical="center"/>
    </xf>
    <xf numFmtId="0" fontId="0" fillId="0" borderId="0" xfId="0" applyFont="1" applyBorder="1">
      <alignment vertical="center"/>
    </xf>
    <xf numFmtId="170" fontId="4" fillId="0" borderId="0" xfId="1" applyNumberFormat="1" applyFont="1" applyBorder="1">
      <alignment vertical="center"/>
    </xf>
    <xf numFmtId="167" fontId="4" fillId="0" borderId="0" xfId="6" applyNumberFormat="1" applyFont="1" applyBorder="1">
      <alignment vertical="center"/>
    </xf>
    <xf numFmtId="167" fontId="4" fillId="0" borderId="0" xfId="6" applyNumberFormat="1" applyFont="1" applyFill="1" applyBorder="1" applyAlignment="1"/>
    <xf numFmtId="0" fontId="4" fillId="0" borderId="0" xfId="0" applyNumberFormat="1" applyFont="1" applyFill="1" applyAlignment="1"/>
    <xf numFmtId="10" fontId="4" fillId="0" borderId="0" xfId="6" applyNumberFormat="1" applyFont="1" applyAlignment="1" applyProtection="1">
      <protection locked="0"/>
    </xf>
    <xf numFmtId="10" fontId="4" fillId="0" borderId="0" xfId="2" applyNumberFormat="1" applyFont="1"/>
    <xf numFmtId="10" fontId="4" fillId="0" borderId="0" xfId="2" applyNumberFormat="1" applyFont="1" applyAlignment="1"/>
    <xf numFmtId="10" fontId="4" fillId="0" borderId="0" xfId="6" applyNumberFormat="1" applyFont="1" applyAlignment="1"/>
    <xf numFmtId="10" fontId="4" fillId="0" borderId="0" xfId="0" applyNumberFormat="1" applyFont="1">
      <alignment vertical="center"/>
    </xf>
    <xf numFmtId="0" fontId="4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/>
    <xf numFmtId="0" fontId="12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Fill="1" applyAlignment="1"/>
    <xf numFmtId="0" fontId="7" fillId="0" borderId="0" xfId="2" applyNumberFormat="1" applyFont="1" applyAlignment="1"/>
    <xf numFmtId="0" fontId="7" fillId="0" borderId="0" xfId="0" applyNumberFormat="1" applyFont="1" applyAlignment="1"/>
    <xf numFmtId="0" fontId="4" fillId="0" borderId="4" xfId="2" applyNumberFormat="1" applyFont="1" applyBorder="1" applyAlignment="1"/>
    <xf numFmtId="0" fontId="4" fillId="0" borderId="4" xfId="2" applyNumberFormat="1" applyFont="1" applyBorder="1" applyAlignment="1">
      <alignment horizontal="center"/>
    </xf>
    <xf numFmtId="0" fontId="0" fillId="0" borderId="7" xfId="0" applyFont="1" applyBorder="1">
      <alignment vertical="center"/>
    </xf>
    <xf numFmtId="0" fontId="4" fillId="0" borderId="0" xfId="2" applyNumberFormat="1" applyFont="1" applyBorder="1" applyAlignment="1"/>
    <xf numFmtId="0" fontId="6" fillId="0" borderId="1" xfId="0" applyFont="1" applyBorder="1" applyAlignment="1">
      <alignment horizontal="center"/>
    </xf>
    <xf numFmtId="0" fontId="6" fillId="0" borderId="0" xfId="2" applyNumberFormat="1" applyFont="1" applyAlignment="1">
      <alignment horizontal="center"/>
    </xf>
    <xf numFmtId="0" fontId="11" fillId="0" borderId="0" xfId="2" applyNumberFormat="1" applyFont="1" applyAlignment="1">
      <alignment horizontal="centerContinuous"/>
    </xf>
    <xf numFmtId="0" fontId="4" fillId="0" borderId="1" xfId="0" applyNumberFormat="1" applyFont="1" applyBorder="1" applyAlignment="1">
      <alignment horizontal="center"/>
    </xf>
    <xf numFmtId="0" fontId="4" fillId="0" borderId="0" xfId="2" applyNumberFormat="1" applyFont="1" applyAlignment="1">
      <alignment horizontal="right"/>
    </xf>
    <xf numFmtId="0" fontId="0" fillId="0" borderId="3" xfId="0" applyFont="1" applyBorder="1">
      <alignment vertical="center"/>
    </xf>
    <xf numFmtId="0" fontId="4" fillId="0" borderId="3" xfId="2" applyNumberFormat="1" applyFont="1" applyBorder="1" applyAlignment="1">
      <alignment horizontal="center"/>
    </xf>
    <xf numFmtId="0" fontId="4" fillId="0" borderId="3" xfId="2" applyNumberFormat="1" applyFont="1" applyBorder="1" applyAlignment="1">
      <alignment horizontal="right"/>
    </xf>
    <xf numFmtId="0" fontId="4" fillId="0" borderId="0" xfId="2" applyNumberFormat="1" applyFont="1" applyBorder="1" applyAlignment="1">
      <alignment horizontal="right"/>
    </xf>
    <xf numFmtId="0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168" fontId="4" fillId="0" borderId="0" xfId="0" applyNumberFormat="1" applyFont="1" applyFill="1" applyBorder="1">
      <alignment vertical="center"/>
    </xf>
    <xf numFmtId="4" fontId="0" fillId="0" borderId="0" xfId="0" applyNumberFormat="1" applyFont="1">
      <alignment vertical="center"/>
    </xf>
    <xf numFmtId="10" fontId="0" fillId="0" borderId="0" xfId="0" applyNumberFormat="1" applyFont="1">
      <alignment vertical="center"/>
    </xf>
    <xf numFmtId="168" fontId="4" fillId="0" borderId="3" xfId="0" applyNumberFormat="1" applyFont="1" applyBorder="1">
      <alignment vertical="center"/>
    </xf>
    <xf numFmtId="0" fontId="8" fillId="0" borderId="0" xfId="3" applyNumberFormat="1" applyFont="1" applyAlignment="1"/>
    <xf numFmtId="0" fontId="4" fillId="0" borderId="0" xfId="0" applyFont="1" applyFill="1">
      <alignment vertical="center"/>
    </xf>
    <xf numFmtId="0" fontId="6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/>
    <xf numFmtId="0" fontId="12" fillId="0" borderId="0" xfId="0" applyNumberFormat="1" applyFont="1" applyAlignment="1"/>
    <xf numFmtId="0" fontId="21" fillId="0" borderId="0" xfId="0" applyFont="1" applyAlignment="1"/>
    <xf numFmtId="0" fontId="11" fillId="0" borderId="0" xfId="0" applyFont="1" applyAlignment="1"/>
    <xf numFmtId="0" fontId="22" fillId="0" borderId="0" xfId="0" applyFont="1" applyAlignment="1"/>
    <xf numFmtId="0" fontId="11" fillId="0" borderId="0" xfId="0" applyNumberFormat="1" applyFont="1" applyAlignment="1"/>
    <xf numFmtId="167" fontId="4" fillId="0" borderId="0" xfId="0" applyNumberFormat="1" applyFont="1" applyAlignment="1"/>
    <xf numFmtId="0" fontId="2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3" fillId="0" borderId="0" xfId="3" applyNumberFormat="1" applyFont="1" applyAlignment="1"/>
    <xf numFmtId="167" fontId="24" fillId="0" borderId="0" xfId="6" applyNumberFormat="1" applyFont="1" applyAlignment="1"/>
    <xf numFmtId="3" fontId="4" fillId="0" borderId="3" xfId="0" applyNumberFormat="1" applyFont="1" applyFill="1" applyBorder="1" applyAlignment="1"/>
    <xf numFmtId="3" fontId="4" fillId="0" borderId="0" xfId="0" applyNumberFormat="1" applyFont="1" applyBorder="1">
      <alignment vertical="center"/>
    </xf>
    <xf numFmtId="0" fontId="4" fillId="0" borderId="7" xfId="0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9" xfId="0" applyFont="1" applyBorder="1" applyAlignment="1"/>
    <xf numFmtId="0" fontId="7" fillId="0" borderId="0" xfId="3" applyNumberFormat="1" applyFont="1" applyAlignment="1"/>
    <xf numFmtId="0" fontId="7" fillId="0" borderId="0" xfId="4" applyNumberFormat="1" applyFont="1" applyAlignment="1"/>
    <xf numFmtId="0" fontId="7" fillId="0" borderId="0" xfId="5" applyNumberFormat="1" applyFont="1" applyAlignment="1"/>
    <xf numFmtId="0" fontId="6" fillId="0" borderId="2" xfId="0" applyFont="1" applyBorder="1" applyAlignment="1">
      <alignment horizontal="center"/>
    </xf>
    <xf numFmtId="0" fontId="6" fillId="0" borderId="4" xfId="4" applyNumberFormat="1" applyFont="1" applyBorder="1" applyAlignment="1">
      <alignment horizontal="center"/>
    </xf>
    <xf numFmtId="0" fontId="6" fillId="0" borderId="2" xfId="4" applyNumberFormat="1" applyFont="1" applyBorder="1" applyAlignment="1">
      <alignment horizontal="center"/>
    </xf>
    <xf numFmtId="0" fontId="6" fillId="0" borderId="2" xfId="3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4" xfId="5" applyNumberFormat="1" applyFont="1" applyBorder="1" applyAlignment="1">
      <alignment horizontal="center"/>
    </xf>
    <xf numFmtId="0" fontId="11" fillId="0" borderId="0" xfId="3" applyNumberFormat="1" applyFont="1" applyAlignment="1"/>
    <xf numFmtId="0" fontId="2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5" applyNumberFormat="1" applyFont="1" applyAlignment="1"/>
    <xf numFmtId="0" fontId="13" fillId="0" borderId="0" xfId="0" applyFont="1" applyAlignment="1"/>
    <xf numFmtId="0" fontId="11" fillId="0" borderId="0" xfId="4" applyNumberFormat="1" applyFont="1" applyAlignment="1"/>
    <xf numFmtId="3" fontId="4" fillId="0" borderId="0" xfId="4" applyNumberFormat="1" applyFont="1" applyFill="1"/>
    <xf numFmtId="167" fontId="4" fillId="0" borderId="0" xfId="0" applyNumberFormat="1" applyFont="1" applyFill="1">
      <alignment vertical="center"/>
    </xf>
    <xf numFmtId="0" fontId="4" fillId="0" borderId="0" xfId="3" applyNumberFormat="1" applyFont="1" applyBorder="1" applyAlignment="1"/>
    <xf numFmtId="0" fontId="8" fillId="0" borderId="0" xfId="5" applyNumberFormat="1" applyFont="1" applyAlignment="1"/>
    <xf numFmtId="0" fontId="4" fillId="0" borderId="3" xfId="3" applyNumberFormat="1" applyFont="1" applyBorder="1" applyAlignment="1"/>
    <xf numFmtId="0" fontId="7" fillId="0" borderId="0" xfId="4" applyNumberFormat="1" applyFont="1" applyAlignment="1">
      <alignment horizontal="center"/>
    </xf>
    <xf numFmtId="0" fontId="0" fillId="0" borderId="2" xfId="0" applyFont="1" applyBorder="1" applyAlignment="1">
      <alignment horizontal="centerContinuous"/>
    </xf>
    <xf numFmtId="0" fontId="6" fillId="0" borderId="0" xfId="0" applyFont="1" applyAlignment="1">
      <alignment horizontal="center" vertical="center"/>
    </xf>
    <xf numFmtId="170" fontId="4" fillId="0" borderId="3" xfId="1" applyNumberFormat="1" applyFont="1" applyBorder="1">
      <alignment vertical="center"/>
    </xf>
    <xf numFmtId="167" fontId="4" fillId="0" borderId="3" xfId="6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3" fontId="4" fillId="0" borderId="8" xfId="0" applyNumberFormat="1" applyFont="1" applyFill="1" applyBorder="1" applyAlignment="1" applyProtection="1">
      <alignment horizontal="right" wrapText="1"/>
    </xf>
    <xf numFmtId="173" fontId="4" fillId="0" borderId="8" xfId="0" applyNumberFormat="1" applyFont="1" applyFill="1" applyBorder="1" applyAlignment="1" applyProtection="1">
      <alignment horizontal="right" wrapText="1"/>
    </xf>
    <xf numFmtId="49" fontId="15" fillId="0" borderId="0" xfId="0" applyNumberFormat="1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 applyBorder="1">
      <alignment vertical="center"/>
    </xf>
    <xf numFmtId="168" fontId="27" fillId="0" borderId="0" xfId="0" applyNumberFormat="1" applyFont="1" applyBorder="1">
      <alignment vertical="center"/>
    </xf>
    <xf numFmtId="0" fontId="27" fillId="0" borderId="0" xfId="0" applyNumberFormat="1" applyFont="1" applyFill="1" applyBorder="1" applyAlignment="1">
      <alignment horizontal="centerContinuous"/>
    </xf>
    <xf numFmtId="0" fontId="27" fillId="0" borderId="0" xfId="0" applyFont="1" applyFill="1" applyBorder="1" applyAlignment="1">
      <alignment horizontal="center"/>
    </xf>
    <xf numFmtId="0" fontId="4" fillId="0" borderId="0" xfId="2" applyNumberFormat="1" applyFont="1" applyBorder="1"/>
    <xf numFmtId="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right"/>
    </xf>
    <xf numFmtId="10" fontId="4" fillId="0" borderId="4" xfId="6" applyNumberFormat="1" applyFont="1" applyBorder="1" applyAlignment="1"/>
    <xf numFmtId="10" fontId="4" fillId="0" borderId="0" xfId="6" applyNumberFormat="1" applyFont="1" applyAlignment="1">
      <alignment horizontal="centerContinuous"/>
    </xf>
    <xf numFmtId="10" fontId="4" fillId="0" borderId="0" xfId="6" applyNumberFormat="1" applyFont="1" applyAlignment="1">
      <alignment horizontal="right"/>
    </xf>
    <xf numFmtId="10" fontId="4" fillId="0" borderId="0" xfId="6" applyNumberFormat="1" applyFont="1" applyBorder="1" applyAlignment="1"/>
    <xf numFmtId="10" fontId="0" fillId="0" borderId="0" xfId="6" applyNumberFormat="1" applyFont="1">
      <alignment vertical="center"/>
    </xf>
    <xf numFmtId="3" fontId="4" fillId="0" borderId="0" xfId="2" applyNumberFormat="1" applyFont="1" applyFill="1"/>
    <xf numFmtId="174" fontId="4" fillId="0" borderId="0" xfId="7" applyNumberFormat="1" applyFont="1" applyAlignment="1"/>
    <xf numFmtId="174" fontId="4" fillId="0" borderId="1" xfId="7" applyNumberFormat="1" applyFont="1" applyBorder="1" applyAlignment="1"/>
    <xf numFmtId="174" fontId="4" fillId="0" borderId="3" xfId="7" applyNumberFormat="1" applyFont="1" applyBorder="1" applyAlignment="1">
      <alignment horizontal="right"/>
    </xf>
    <xf numFmtId="174" fontId="4" fillId="0" borderId="0" xfId="7" applyNumberFormat="1" applyFont="1" applyBorder="1" applyAlignment="1">
      <alignment horizontal="right"/>
    </xf>
    <xf numFmtId="174" fontId="4" fillId="0" borderId="0" xfId="7" applyNumberFormat="1" applyFont="1" applyAlignment="1">
      <alignment vertical="center"/>
    </xf>
    <xf numFmtId="174" fontId="4" fillId="0" borderId="0" xfId="7" applyNumberFormat="1" applyFont="1" applyBorder="1" applyAlignment="1">
      <alignment vertical="center"/>
    </xf>
    <xf numFmtId="174" fontId="0" fillId="0" borderId="0" xfId="7" applyNumberFormat="1" applyFont="1" applyAlignment="1">
      <alignment vertical="center"/>
    </xf>
    <xf numFmtId="174" fontId="4" fillId="0" borderId="3" xfId="7" applyNumberFormat="1" applyFont="1" applyBorder="1" applyAlignment="1">
      <alignment vertical="center"/>
    </xf>
    <xf numFmtId="174" fontId="4" fillId="0" borderId="0" xfId="7" applyNumberFormat="1" applyFont="1" applyAlignment="1">
      <alignment horizontal="left"/>
    </xf>
    <xf numFmtId="0" fontId="4" fillId="0" borderId="0" xfId="0" applyNumberFormat="1" applyFont="1" applyBorder="1" applyAlignment="1"/>
    <xf numFmtId="1" fontId="0" fillId="0" borderId="0" xfId="0" applyNumberFormat="1" applyFont="1">
      <alignment vertical="center"/>
    </xf>
    <xf numFmtId="1" fontId="4" fillId="0" borderId="1" xfId="0" applyNumberFormat="1" applyFont="1" applyBorder="1" applyAlignment="1">
      <alignment horizontal="centerContinuous"/>
    </xf>
    <xf numFmtId="1" fontId="4" fillId="0" borderId="6" xfId="0" applyNumberFormat="1" applyFont="1" applyBorder="1" applyAlignment="1">
      <alignment horizontal="center"/>
    </xf>
    <xf numFmtId="1" fontId="4" fillId="0" borderId="0" xfId="0" applyNumberFormat="1" applyFont="1" applyBorder="1">
      <alignment vertical="center"/>
    </xf>
    <xf numFmtId="1" fontId="0" fillId="0" borderId="0" xfId="0" applyNumberFormat="1" applyFont="1" applyBorder="1">
      <alignment vertical="center"/>
    </xf>
    <xf numFmtId="167" fontId="4" fillId="0" borderId="1" xfId="6" applyNumberFormat="1" applyFont="1" applyBorder="1" applyAlignment="1">
      <alignment horizontal="centerContinuous"/>
    </xf>
    <xf numFmtId="167" fontId="4" fillId="0" borderId="6" xfId="6" applyNumberFormat="1" applyFont="1" applyBorder="1" applyAlignment="1">
      <alignment horizontal="center"/>
    </xf>
    <xf numFmtId="167" fontId="0" fillId="0" borderId="0" xfId="6" applyNumberFormat="1" applyFont="1" applyBorder="1">
      <alignment vertical="center"/>
    </xf>
    <xf numFmtId="1" fontId="0" fillId="0" borderId="7" xfId="0" applyNumberFormat="1" applyFont="1" applyBorder="1">
      <alignment vertical="center"/>
    </xf>
    <xf numFmtId="167" fontId="0" fillId="0" borderId="7" xfId="6" applyNumberFormat="1" applyFont="1" applyBorder="1">
      <alignment vertical="center"/>
    </xf>
    <xf numFmtId="170" fontId="4" fillId="0" borderId="1" xfId="1" applyNumberFormat="1" applyFont="1" applyBorder="1" applyAlignment="1">
      <alignment horizontal="centerContinuous"/>
    </xf>
    <xf numFmtId="170" fontId="4" fillId="0" borderId="3" xfId="1" applyNumberFormat="1" applyFont="1" applyBorder="1" applyAlignment="1">
      <alignment horizontal="right"/>
    </xf>
    <xf numFmtId="0" fontId="4" fillId="0" borderId="7" xfId="0" applyFont="1" applyBorder="1">
      <alignment vertical="center"/>
    </xf>
    <xf numFmtId="170" fontId="4" fillId="0" borderId="3" xfId="1" applyNumberFormat="1" applyFont="1" applyBorder="1" applyAlignment="1">
      <alignment horizontal="center"/>
    </xf>
    <xf numFmtId="170" fontId="4" fillId="0" borderId="7" xfId="1" applyNumberFormat="1" applyFont="1" applyBorder="1">
      <alignment vertical="center"/>
    </xf>
    <xf numFmtId="170" fontId="0" fillId="0" borderId="7" xfId="1" applyNumberFormat="1" applyFont="1" applyBorder="1">
      <alignment vertical="center"/>
    </xf>
    <xf numFmtId="0" fontId="7" fillId="0" borderId="0" xfId="4" applyNumberFormat="1" applyFont="1" applyFill="1" applyAlignment="1"/>
    <xf numFmtId="0" fontId="4" fillId="0" borderId="2" xfId="5" applyNumberFormat="1" applyFont="1" applyBorder="1" applyAlignment="1">
      <alignment horizontal="left"/>
    </xf>
    <xf numFmtId="167" fontId="4" fillId="0" borderId="0" xfId="5" applyFont="1" applyBorder="1" applyAlignment="1"/>
    <xf numFmtId="0" fontId="4" fillId="0" borderId="2" xfId="4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 vertical="center"/>
    </xf>
    <xf numFmtId="164" fontId="4" fillId="0" borderId="8" xfId="0" applyNumberFormat="1" applyFont="1" applyFill="1" applyBorder="1" applyAlignment="1" applyProtection="1">
      <alignment horizontal="right" wrapText="1"/>
    </xf>
    <xf numFmtId="164" fontId="0" fillId="0" borderId="0" xfId="0" applyNumberFormat="1" applyFont="1">
      <alignment vertical="center"/>
    </xf>
    <xf numFmtId="164" fontId="4" fillId="0" borderId="2" xfId="0" applyNumberFormat="1" applyFont="1" applyBorder="1" applyAlignment="1">
      <alignment horizontal="centerContinuous"/>
    </xf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Continuous"/>
    </xf>
    <xf numFmtId="164" fontId="4" fillId="0" borderId="0" xfId="0" quotePrefix="1" applyNumberFormat="1" applyFont="1" applyAlignment="1">
      <alignment horizontal="right"/>
    </xf>
    <xf numFmtId="164" fontId="4" fillId="0" borderId="1" xfId="0" applyNumberFormat="1" applyFont="1" applyBorder="1">
      <alignment vertical="center"/>
    </xf>
    <xf numFmtId="0" fontId="7" fillId="0" borderId="0" xfId="0" applyFont="1" applyFill="1" applyAlignment="1"/>
    <xf numFmtId="0" fontId="0" fillId="0" borderId="0" xfId="0" applyAlignment="1"/>
    <xf numFmtId="0" fontId="7" fillId="0" borderId="0" xfId="0" applyNumberFormat="1" applyFont="1" applyFill="1" applyAlignment="1"/>
    <xf numFmtId="10" fontId="4" fillId="0" borderId="0" xfId="4" applyNumberFormat="1" applyFont="1"/>
    <xf numFmtId="167" fontId="4" fillId="0" borderId="0" xfId="4" applyFont="1" applyFill="1"/>
    <xf numFmtId="0" fontId="4" fillId="0" borderId="2" xfId="3" applyNumberFormat="1" applyFont="1" applyFill="1" applyBorder="1" applyAlignment="1">
      <alignment horizontal="left"/>
    </xf>
    <xf numFmtId="10" fontId="4" fillId="0" borderId="0" xfId="6" applyNumberFormat="1" applyFont="1" applyFill="1" applyAlignment="1"/>
    <xf numFmtId="0" fontId="30" fillId="0" borderId="0" xfId="4" applyNumberFormat="1" applyFont="1" applyAlignment="1"/>
    <xf numFmtId="170" fontId="4" fillId="0" borderId="0" xfId="0" applyNumberFormat="1" applyFont="1">
      <alignment vertical="center"/>
    </xf>
    <xf numFmtId="174" fontId="4" fillId="0" borderId="0" xfId="7" applyNumberFormat="1" applyFont="1"/>
    <xf numFmtId="174" fontId="31" fillId="0" borderId="13" xfId="7" applyNumberFormat="1" applyFont="1" applyBorder="1" applyAlignment="1"/>
    <xf numFmtId="167" fontId="4" fillId="0" borderId="3" xfId="0" applyNumberFormat="1" applyFont="1" applyBorder="1" applyAlignment="1"/>
    <xf numFmtId="0" fontId="0" fillId="0" borderId="3" xfId="0" applyBorder="1" applyAlignment="1"/>
    <xf numFmtId="1" fontId="4" fillId="0" borderId="0" xfId="1" applyNumberFormat="1" applyFont="1" applyAlignment="1"/>
    <xf numFmtId="1" fontId="4" fillId="0" borderId="0" xfId="1" applyNumberFormat="1" applyFont="1" applyBorder="1" applyAlignment="1"/>
    <xf numFmtId="1" fontId="30" fillId="0" borderId="3" xfId="0" applyNumberFormat="1" applyFont="1" applyBorder="1" applyAlignment="1"/>
    <xf numFmtId="1" fontId="30" fillId="0" borderId="0" xfId="0" applyNumberFormat="1" applyFont="1" applyAlignment="1"/>
    <xf numFmtId="0" fontId="17" fillId="0" borderId="0" xfId="0" applyFont="1" applyFill="1">
      <alignment vertical="center"/>
    </xf>
    <xf numFmtId="0" fontId="32" fillId="0" borderId="0" xfId="8" applyAlignment="1"/>
    <xf numFmtId="0" fontId="32" fillId="0" borderId="0" xfId="8" applyNumberFormat="1" applyAlignment="1"/>
    <xf numFmtId="0" fontId="32" fillId="0" borderId="0" xfId="8" applyAlignment="1">
      <alignment horizontal="left"/>
    </xf>
    <xf numFmtId="0" fontId="32" fillId="0" borderId="0" xfId="8" applyBorder="1" applyAlignment="1">
      <alignment horizontal="left"/>
    </xf>
    <xf numFmtId="0" fontId="32" fillId="0" borderId="0" xfId="8">
      <alignment vertical="center"/>
    </xf>
    <xf numFmtId="9" fontId="4" fillId="0" borderId="0" xfId="3" applyNumberFormat="1" applyFont="1"/>
    <xf numFmtId="0" fontId="4" fillId="0" borderId="7" xfId="0" applyFont="1" applyBorder="1" applyAlignment="1">
      <alignment horizontal="center"/>
    </xf>
    <xf numFmtId="170" fontId="4" fillId="0" borderId="0" xfId="1" applyNumberFormat="1" applyFont="1" applyAlignment="1">
      <alignment vertical="center"/>
    </xf>
    <xf numFmtId="0" fontId="30" fillId="0" borderId="7" xfId="0" applyNumberFormat="1" applyFont="1" applyBorder="1" applyAlignment="1">
      <alignment horizontal="centerContinuous"/>
    </xf>
    <xf numFmtId="0" fontId="30" fillId="0" borderId="6" xfId="0" applyFont="1" applyBorder="1" applyAlignment="1">
      <alignment horizontal="right"/>
    </xf>
    <xf numFmtId="0" fontId="30" fillId="0" borderId="0" xfId="0" applyNumberFormat="1" applyFont="1" applyAlignment="1"/>
    <xf numFmtId="3" fontId="30" fillId="0" borderId="0" xfId="0" applyNumberFormat="1" applyFont="1" applyAlignment="1"/>
    <xf numFmtId="3" fontId="30" fillId="0" borderId="3" xfId="0" applyNumberFormat="1" applyFont="1" applyBorder="1" applyAlignment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9">
    <cellStyle name="Comma" xfId="1" builtinId="3"/>
    <cellStyle name="Currency" xfId="7" builtinId="4"/>
    <cellStyle name="Hyperlink" xfId="8" builtinId="8"/>
    <cellStyle name="Normal" xfId="0" builtinId="0"/>
    <cellStyle name="Normal_E" xfId="2"/>
    <cellStyle name="Normal_M" xfId="3"/>
    <cellStyle name="Normal_P" xfId="4"/>
    <cellStyle name="Normal_S" xfId="5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All Households: 2001~2018</a:t>
            </a:r>
          </a:p>
        </c:rich>
      </c:tx>
      <c:layout>
        <c:manualLayout>
          <c:xMode val="edge"/>
          <c:yMode val="edge"/>
          <c:x val="0.12143701886510418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504921809396941E-2"/>
          <c:y val="2.5428331875182269E-2"/>
          <c:w val="0.82932664195869987"/>
          <c:h val="0.6659371242387806"/>
        </c:manualLayout>
      </c:layout>
      <c:lineChart>
        <c:grouping val="standard"/>
        <c:varyColors val="0"/>
        <c:ser>
          <c:idx val="0"/>
          <c:order val="0"/>
          <c:tx>
            <c:strRef>
              <c:f>'T1-T6'!$B$3:$B$4</c:f>
              <c:strCache>
                <c:ptCount val="2"/>
                <c:pt idx="0">
                  <c:v>All</c:v>
                </c:pt>
                <c:pt idx="1">
                  <c:v>Households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('T1-T6'!$A$6,'T1-T6'!$A$9,'T1-T6'!$A$12,'T1-T6'!$A$15,'T1-T6'!$A$18,'T1-T6'!$A$21,'T1-T6'!$A$24,'T1-T6'!$A$27,'T1-T6'!$A$30,'T1-T6'!$A$33,'T1-T6'!$A$36,'T1-T6'!$A$39,'T1-T6'!$A$42,'T1-T6'!$A$45,'T1-T6'!$A$48,'T1-T6'!$A$51,'T1-T6'!$A$54)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('T1-T6'!$B$6,'T1-T6'!$B$9,'T1-T6'!$B$12,'T1-T6'!$B$15,'T1-T6'!$B$18,'T1-T6'!$B$21,'T1-T6'!$B$24,'T1-T6'!$B$27,'T1-T6'!$B$30,'T1-T6'!$B$33,'T1-T6'!$B$36,'T1-T6'!$B$39,'T1-T6'!$B$42,'T1-T6'!$B$45,'T1-T6'!$B$48,'T1-T6'!$B$51,'T1-T6'!$B$54)</c:f>
              <c:numCache>
                <c:formatCode>#,##0</c:formatCode>
                <c:ptCount val="17"/>
                <c:pt idx="0">
                  <c:v>3386005</c:v>
                </c:pt>
                <c:pt idx="1">
                  <c:v>3419450.69</c:v>
                </c:pt>
                <c:pt idx="2">
                  <c:v>3363219</c:v>
                </c:pt>
                <c:pt idx="3">
                  <c:v>3314100</c:v>
                </c:pt>
                <c:pt idx="4">
                  <c:v>3294100</c:v>
                </c:pt>
                <c:pt idx="5">
                  <c:v>3233400</c:v>
                </c:pt>
                <c:pt idx="6">
                  <c:v>3188100</c:v>
                </c:pt>
                <c:pt idx="7">
                  <c:v>3203469.5</c:v>
                </c:pt>
                <c:pt idx="8">
                  <c:v>3199400</c:v>
                </c:pt>
                <c:pt idx="9">
                  <c:v>3203200</c:v>
                </c:pt>
                <c:pt idx="10">
                  <c:v>3213600</c:v>
                </c:pt>
                <c:pt idx="11">
                  <c:v>3176500</c:v>
                </c:pt>
                <c:pt idx="12">
                  <c:v>3188200</c:v>
                </c:pt>
                <c:pt idx="13">
                  <c:v>3213200</c:v>
                </c:pt>
                <c:pt idx="14">
                  <c:v>3218400</c:v>
                </c:pt>
                <c:pt idx="15">
                  <c:v>3245400</c:v>
                </c:pt>
                <c:pt idx="16">
                  <c:v>3165100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9-4895-949F-1800967D8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68293632"/>
        <c:axId val="368293304"/>
      </c:lineChart>
      <c:catAx>
        <c:axId val="3682936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293304"/>
        <c:crosses val="autoZero"/>
        <c:auto val="1"/>
        <c:lblAlgn val="ctr"/>
        <c:lblOffset val="100"/>
        <c:noMultiLvlLbl val="0"/>
      </c:catAx>
      <c:valAx>
        <c:axId val="368293304"/>
        <c:scaling>
          <c:orientation val="minMax"/>
          <c:min val="3150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29363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Male 15 Years Old</a:t>
            </a:r>
            <a:r>
              <a:rPr lang="en-US" baseline="0"/>
              <a:t> &amp; Over Population: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4037620297463"/>
          <c:y val="0.17171296296296296"/>
          <c:w val="0.76166469816272964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('T1-T6'!$Q$113,'T1-T6'!$Q$116,'T1-T6'!$Q$119,'T1-T6'!$Q$122,'T1-T6'!$Q$125,'T1-T6'!$Q$128,'T1-T6'!$Q$131,'T1-T6'!$Q$134,'T1-T6'!$Q$137,'T1-T6'!$Q$140,'T1-T6'!$Q$143,'T1-T6'!$Q$146,'T1-T6'!$Q$149,'T1-T6'!$Q$152,'T1-T6'!$Q$155,'T1-T6'!$Q$158,'T1-T6'!$Q$161)</c:f>
              <c:numCache>
                <c:formatCode>#,##0</c:formatCode>
                <c:ptCount val="17"/>
                <c:pt idx="0">
                  <c:v>126549.592</c:v>
                </c:pt>
                <c:pt idx="1">
                  <c:v>125450.94</c:v>
                </c:pt>
                <c:pt idx="2">
                  <c:v>124394.64899999999</c:v>
                </c:pt>
                <c:pt idx="3">
                  <c:v>123056.016</c:v>
                </c:pt>
                <c:pt idx="4">
                  <c:v>121762.391</c:v>
                </c:pt>
                <c:pt idx="5">
                  <c:v>120528.26500000001</c:v>
                </c:pt>
                <c:pt idx="6">
                  <c:v>119400</c:v>
                </c:pt>
                <c:pt idx="7">
                  <c:v>118300</c:v>
                </c:pt>
                <c:pt idx="8">
                  <c:v>117224</c:v>
                </c:pt>
                <c:pt idx="9">
                  <c:v>116199</c:v>
                </c:pt>
                <c:pt idx="10">
                  <c:v>115127</c:v>
                </c:pt>
                <c:pt idx="11">
                  <c:v>113900</c:v>
                </c:pt>
                <c:pt idx="12">
                  <c:v>112400</c:v>
                </c:pt>
                <c:pt idx="13">
                  <c:v>110971.34599999999</c:v>
                </c:pt>
                <c:pt idx="14">
                  <c:v>109535</c:v>
                </c:pt>
                <c:pt idx="15">
                  <c:v>107861.91099999999</c:v>
                </c:pt>
                <c:pt idx="16">
                  <c:v>105591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A-45C5-8BAB-A7B704B1EB67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('T1-T6'!$Q$165,'T1-T6'!$Q$168,'T1-T6'!$Q$171,'T1-T6'!$Q$174,'T1-T6'!$Q$177,'T1-T6'!$Q$180,'T1-T6'!$Q$183,'T1-T6'!$Q$186,'T1-T6'!$Q$189,'T1-T6'!$Q$192,'T1-T6'!$Q$195,'T1-T6'!$Q$198,'T1-T6'!$Q$201,'T1-T6'!$Q$204,'T1-T6'!$Q$207,'T1-T6'!$Q$210,'T1-T6'!$Q$213)</c:f>
              <c:numCache>
                <c:formatCode>_(* #,##0_);_(* \(#,##0\);_(* "-"??_);_(@_)</c:formatCode>
                <c:ptCount val="17"/>
                <c:pt idx="0">
                  <c:v>134238.09899999999</c:v>
                </c:pt>
                <c:pt idx="1">
                  <c:v>133202</c:v>
                </c:pt>
                <c:pt idx="2">
                  <c:v>132151.02499999999</c:v>
                </c:pt>
                <c:pt idx="3" formatCode="#,##0">
                  <c:v>130710.04300000001</c:v>
                </c:pt>
                <c:pt idx="4" formatCode="#,##0">
                  <c:v>129421.21699999999</c:v>
                </c:pt>
                <c:pt idx="5" formatCode="#,##0">
                  <c:v>128331.40300000001</c:v>
                </c:pt>
                <c:pt idx="6" formatCode="#,##0">
                  <c:v>126400</c:v>
                </c:pt>
                <c:pt idx="7" formatCode="#,##0">
                  <c:v>124800</c:v>
                </c:pt>
                <c:pt idx="8" formatCode="#,##0">
                  <c:v>123932</c:v>
                </c:pt>
                <c:pt idx="9" formatCode="#,##0">
                  <c:v>122947</c:v>
                </c:pt>
                <c:pt idx="10" formatCode="#,##0">
                  <c:v>121957</c:v>
                </c:pt>
                <c:pt idx="11" formatCode="#,##0">
                  <c:v>120700</c:v>
                </c:pt>
                <c:pt idx="12" formatCode="#,##0">
                  <c:v>119400</c:v>
                </c:pt>
                <c:pt idx="13" formatCode="#,##0">
                  <c:v>118033.05</c:v>
                </c:pt>
                <c:pt idx="14" formatCode="#,##0">
                  <c:v>116882</c:v>
                </c:pt>
                <c:pt idx="15" formatCode="#,##0">
                  <c:v>115558.4705</c:v>
                </c:pt>
                <c:pt idx="16" formatCode="#,##0">
                  <c:v>113208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A-45C5-8BAB-A7B704B1E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3956032"/>
        <c:axId val="433955376"/>
      </c:lineChart>
      <c:catAx>
        <c:axId val="4339560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55376"/>
        <c:crosses val="autoZero"/>
        <c:auto val="1"/>
        <c:lblAlgn val="ctr"/>
        <c:lblOffset val="100"/>
        <c:noMultiLvlLbl val="0"/>
      </c:catAx>
      <c:valAx>
        <c:axId val="433955376"/>
        <c:scaling>
          <c:orientation val="minMax"/>
          <c:min val="105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5603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629477854777694"/>
          <c:y val="0.51617089530475357"/>
          <c:w val="0.25562033444568932"/>
          <c:h val="0.15788002270436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15 Year &amp; Over Married with Spouse Present (2 identical lines)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9636920384951"/>
          <c:y val="0.25083333333333335"/>
          <c:w val="0.73240004374453194"/>
          <c:h val="0.50769612131816855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('T1-T6'!$R$9,'T1-T6'!$R$12,'T1-T6'!$R$15,'T1-T6'!$R$18,'T1-T6'!$R$21,'T1-T6'!$R$24,'T1-T6'!$R$27,'T1-T6'!$R$30,'T1-T6'!$R$33,'T1-T6'!$R$36,'T1-T6'!$R$39,'T1-T6'!$R$42,'T1-T6'!$R$45,'T1-T6'!$R$48,'T1-T6'!$R$51,'T1-T6'!$R$54,'T1-T6'!$R$57)</c:f>
              <c:numCache>
                <c:formatCode>_(* #,##0_);_(* \(#,##0\);_(* "-"??_);_(@_)</c:formatCode>
                <c:ptCount val="17"/>
                <c:pt idx="0">
                  <c:v>1849393</c:v>
                </c:pt>
                <c:pt idx="1">
                  <c:v>1828896</c:v>
                </c:pt>
                <c:pt idx="2">
                  <c:v>1792515</c:v>
                </c:pt>
                <c:pt idx="3" formatCode="#,##0">
                  <c:v>1760500</c:v>
                </c:pt>
                <c:pt idx="4" formatCode="#,##0">
                  <c:v>1738300</c:v>
                </c:pt>
                <c:pt idx="5" formatCode="#,##0">
                  <c:v>1663600</c:v>
                </c:pt>
                <c:pt idx="6" formatCode="#,##0">
                  <c:v>1637300</c:v>
                </c:pt>
                <c:pt idx="7" formatCode="#,##0">
                  <c:v>1694700</c:v>
                </c:pt>
                <c:pt idx="8" formatCode="#,##0">
                  <c:v>1717100</c:v>
                </c:pt>
                <c:pt idx="9" formatCode="#,##0">
                  <c:v>1710500</c:v>
                </c:pt>
                <c:pt idx="10" formatCode="#,##0">
                  <c:v>1771500</c:v>
                </c:pt>
                <c:pt idx="11" formatCode="#,##0">
                  <c:v>1807400</c:v>
                </c:pt>
                <c:pt idx="12" formatCode="#,##0">
                  <c:v>1780300</c:v>
                </c:pt>
                <c:pt idx="13" formatCode="#,##0">
                  <c:v>1762700</c:v>
                </c:pt>
                <c:pt idx="14" formatCode="#,##0">
                  <c:v>1772000</c:v>
                </c:pt>
                <c:pt idx="15" formatCode="#,##0">
                  <c:v>1820200</c:v>
                </c:pt>
                <c:pt idx="16" formatCode="#,##0">
                  <c:v>1768900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A-4593-902A-A1AD405F7C09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('T1-T6'!$R$61,'T1-T6'!$R$64,'T1-T6'!$R$67,'T1-T6'!$R$70,'T1-T6'!$R$73,'T1-T6'!$R$76,'T1-T6'!$R$79,'T1-T6'!$R$82,'T1-T6'!$R$85,'T1-T6'!$R$88,'T1-T6'!$R$91,'T1-T6'!$R$94,'T1-T6'!$R$97,'T1-T6'!$R$100,'T1-T6'!$R$103,'T1-T6'!$R$106,'T1-T6'!$R$109)</c:f>
              <c:numCache>
                <c:formatCode>_(* #,##0_);_(* \(#,##0\);_(* "-"??_);_(@_)</c:formatCode>
                <c:ptCount val="17"/>
                <c:pt idx="0">
                  <c:v>1849393</c:v>
                </c:pt>
                <c:pt idx="1">
                  <c:v>1828896</c:v>
                </c:pt>
                <c:pt idx="2">
                  <c:v>1792515</c:v>
                </c:pt>
                <c:pt idx="3" formatCode="#,##0">
                  <c:v>1760500</c:v>
                </c:pt>
                <c:pt idx="4" formatCode="#,##0">
                  <c:v>1738300</c:v>
                </c:pt>
                <c:pt idx="5" formatCode="#,##0">
                  <c:v>1663600</c:v>
                </c:pt>
                <c:pt idx="6" formatCode="#,##0">
                  <c:v>1637300</c:v>
                </c:pt>
                <c:pt idx="7" formatCode="#,##0">
                  <c:v>1694700</c:v>
                </c:pt>
                <c:pt idx="8" formatCode="#,##0">
                  <c:v>1717100</c:v>
                </c:pt>
                <c:pt idx="9" formatCode="#,##0">
                  <c:v>1710500</c:v>
                </c:pt>
                <c:pt idx="10" formatCode="#,##0">
                  <c:v>1771500</c:v>
                </c:pt>
                <c:pt idx="11" formatCode="#,##0">
                  <c:v>1807400</c:v>
                </c:pt>
                <c:pt idx="12" formatCode="#,##0">
                  <c:v>1780300</c:v>
                </c:pt>
                <c:pt idx="13" formatCode="#,##0">
                  <c:v>1762700</c:v>
                </c:pt>
                <c:pt idx="14" formatCode="#,##0">
                  <c:v>1772000</c:v>
                </c:pt>
                <c:pt idx="15" formatCode="#,##0">
                  <c:v>1820200</c:v>
                </c:pt>
                <c:pt idx="16" formatCode="#,##0">
                  <c:v>1768900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A-4593-902A-A1AD405F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21213968"/>
        <c:axId val="121213312"/>
      </c:lineChart>
      <c:catAx>
        <c:axId val="1212139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13312"/>
        <c:crosses val="autoZero"/>
        <c:auto val="1"/>
        <c:lblAlgn val="ctr"/>
        <c:lblOffset val="100"/>
        <c:noMultiLvlLbl val="0"/>
      </c:catAx>
      <c:valAx>
        <c:axId val="121213312"/>
        <c:scaling>
          <c:orientation val="minMax"/>
          <c:min val="16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1396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224594513895261"/>
          <c:y val="0.48462023356630984"/>
          <c:w val="0.178899681299445"/>
          <c:h val="0.1580067238786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</a:t>
            </a:r>
            <a:r>
              <a:rPr lang="en-US" baseline="0"/>
              <a:t>15 Years &amp; Over Married with Spouse Present (2 identical lines)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13626421697288"/>
          <c:y val="0.25083333333333335"/>
          <c:w val="0.77393547681539809"/>
          <c:h val="0.50769612131816855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('T1-T6'!$R$113,'T1-T6'!$R$116,'T1-T6'!$R$119,'T1-T6'!$R$122,'T1-T6'!$R$125,'T1-T6'!$R$128,'T1-T6'!$R$131,'T1-T6'!$R$134,'T1-T6'!$R$137,'T1-T6'!$R$140,'T1-T6'!$R$143,'T1-T6'!$R$146,'T1-T6'!$R$149,'T1-T6'!$R$152,'T1-T6'!$R$155,'T1-T6'!$R$158,'T1-T6'!$R$161)</c:f>
              <c:numCache>
                <c:formatCode>#,##0</c:formatCode>
                <c:ptCount val="17"/>
                <c:pt idx="0">
                  <c:v>63548.24</c:v>
                </c:pt>
                <c:pt idx="1">
                  <c:v>62989</c:v>
                </c:pt>
                <c:pt idx="2">
                  <c:v>62434.69</c:v>
                </c:pt>
                <c:pt idx="3">
                  <c:v>62095.16</c:v>
                </c:pt>
                <c:pt idx="4">
                  <c:v>61635.37</c:v>
                </c:pt>
                <c:pt idx="5">
                  <c:v>61188.37</c:v>
                </c:pt>
                <c:pt idx="6">
                  <c:v>60600</c:v>
                </c:pt>
                <c:pt idx="7">
                  <c:v>60300</c:v>
                </c:pt>
                <c:pt idx="8">
                  <c:v>60633</c:v>
                </c:pt>
                <c:pt idx="9">
                  <c:v>60509</c:v>
                </c:pt>
                <c:pt idx="10">
                  <c:v>60424</c:v>
                </c:pt>
                <c:pt idx="11">
                  <c:v>60100</c:v>
                </c:pt>
                <c:pt idx="12">
                  <c:v>59500</c:v>
                </c:pt>
                <c:pt idx="13">
                  <c:v>59295.754999999997</c:v>
                </c:pt>
                <c:pt idx="14">
                  <c:v>58832</c:v>
                </c:pt>
                <c:pt idx="15">
                  <c:v>58260.12</c:v>
                </c:pt>
                <c:pt idx="16">
                  <c:v>57358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0-4B63-AFCC-71B1194824CF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('T1-T6'!$R$165,'T1-T6'!$R$168,'T1-T6'!$R$171,'T1-T6'!$R$174,'T1-T6'!$R$177,'T1-T6'!$R$180,'T1-T6'!$R$183,'T1-T6'!$R$186,'T1-T6'!$R$189,'T1-T6'!$R$192,'T1-T6'!$R$195,'T1-T6'!$R$198,'T1-T6'!$R$201,'T1-T6'!$R$204,'T1-T6'!$R$207,'T1-T6'!$R$210,'T1-T6'!$R$213)</c:f>
              <c:numCache>
                <c:formatCode>_(* #,##0_);_(* \(#,##0\);_(* "-"??_);_(@_)</c:formatCode>
                <c:ptCount val="17"/>
                <c:pt idx="0">
                  <c:v>63548.24</c:v>
                </c:pt>
                <c:pt idx="1">
                  <c:v>62989.4</c:v>
                </c:pt>
                <c:pt idx="2">
                  <c:v>62434.69</c:v>
                </c:pt>
                <c:pt idx="3" formatCode="#,##0">
                  <c:v>62095.16</c:v>
                </c:pt>
                <c:pt idx="4" formatCode="#,##0">
                  <c:v>61635.37</c:v>
                </c:pt>
                <c:pt idx="5" formatCode="#,##0">
                  <c:v>61188.37</c:v>
                </c:pt>
                <c:pt idx="6" formatCode="#,##0">
                  <c:v>60600</c:v>
                </c:pt>
                <c:pt idx="7" formatCode="#,##0">
                  <c:v>60300</c:v>
                </c:pt>
                <c:pt idx="8" formatCode="#,##0">
                  <c:v>60633</c:v>
                </c:pt>
                <c:pt idx="9" formatCode="#,##0">
                  <c:v>60509</c:v>
                </c:pt>
                <c:pt idx="10" formatCode="#,##0">
                  <c:v>60424</c:v>
                </c:pt>
                <c:pt idx="11" formatCode="#,##0">
                  <c:v>60100</c:v>
                </c:pt>
                <c:pt idx="12" formatCode="#,##0">
                  <c:v>59500</c:v>
                </c:pt>
                <c:pt idx="13" formatCode="#,##0">
                  <c:v>59295.754999999997</c:v>
                </c:pt>
                <c:pt idx="14" formatCode="#,##0">
                  <c:v>58832</c:v>
                </c:pt>
                <c:pt idx="15" formatCode="#,##0">
                  <c:v>58260.104999999996</c:v>
                </c:pt>
                <c:pt idx="16" formatCode="#,##0">
                  <c:v>57358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0-4B63-AFCC-71B11948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63804544"/>
        <c:axId val="463797000"/>
      </c:lineChart>
      <c:catAx>
        <c:axId val="4638045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797000"/>
        <c:crosses val="autoZero"/>
        <c:auto val="1"/>
        <c:lblAlgn val="ctr"/>
        <c:lblOffset val="100"/>
        <c:noMultiLvlLbl val="0"/>
      </c:catAx>
      <c:valAx>
        <c:axId val="463797000"/>
        <c:scaling>
          <c:orientation val="minMax"/>
          <c:max val="63500"/>
          <c:min val="57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8045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955978063717644"/>
          <c:y val="0.52935841353164192"/>
          <c:w val="0.25424391739916036"/>
          <c:h val="0.1580067238786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15 Years &amp; Over Married, Spouse Absent: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830271216098"/>
          <c:y val="0.25083333333333335"/>
          <c:w val="0.76298293963254593"/>
          <c:h val="0.50769612131816855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('T1-T6'!$S$9,'T1-T6'!$S$12,'T1-T6'!$S$15,'T1-T6'!$S$18,'T1-T6'!$S$21,'T1-T6'!$S$24,'T1-T6'!$S$27,'T1-T6'!$S$30,'T1-T6'!$S$33,'T1-T6'!$S$36,'T1-T6'!$S$39,'T1-T6'!$S$42,'T1-T6'!$S$45,'T1-T6'!$S$48,'T1-T6'!$S$51,'T1-T6'!$S$54,'T1-T6'!$S$57)</c:f>
              <c:numCache>
                <c:formatCode>_(* #,##0_);_(* \(#,##0\);_(* "-"??_);_(@_)</c:formatCode>
                <c:ptCount val="17"/>
                <c:pt idx="0">
                  <c:v>81713.98</c:v>
                </c:pt>
                <c:pt idx="1">
                  <c:v>84508</c:v>
                </c:pt>
                <c:pt idx="2">
                  <c:v>74465.42</c:v>
                </c:pt>
                <c:pt idx="3" formatCode="#,##0">
                  <c:v>61700</c:v>
                </c:pt>
                <c:pt idx="4" formatCode="#,##0">
                  <c:v>60200</c:v>
                </c:pt>
                <c:pt idx="5" formatCode="#,##0">
                  <c:v>59400</c:v>
                </c:pt>
                <c:pt idx="6" formatCode="#,##0">
                  <c:v>66100</c:v>
                </c:pt>
                <c:pt idx="7" formatCode="#,##0">
                  <c:v>56400</c:v>
                </c:pt>
                <c:pt idx="8" formatCode="#,##0">
                  <c:v>46200</c:v>
                </c:pt>
                <c:pt idx="9" formatCode="#,##0">
                  <c:v>52900</c:v>
                </c:pt>
                <c:pt idx="10" formatCode="#,##0">
                  <c:v>54500</c:v>
                </c:pt>
                <c:pt idx="11" formatCode="#,##0">
                  <c:v>64100</c:v>
                </c:pt>
                <c:pt idx="12" formatCode="#,##0">
                  <c:v>67800</c:v>
                </c:pt>
                <c:pt idx="13" formatCode="#,##0">
                  <c:v>50400</c:v>
                </c:pt>
                <c:pt idx="14" formatCode="#,##0">
                  <c:v>57900</c:v>
                </c:pt>
                <c:pt idx="15" formatCode="#,##0">
                  <c:v>78300</c:v>
                </c:pt>
                <c:pt idx="16" formatCode="#,##0">
                  <c:v>71300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8-40E4-BCC1-576E1450E062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('T1-T6'!$S$61,'T1-T6'!$S$64,'T1-T6'!$S$67,'T1-T6'!$S$70,'T1-T6'!$S$73,'T1-T6'!$S$76,'T1-T6'!$S$79,'T1-T6'!$S$82,'T1-T6'!$S$85,'T1-T6'!$S$88,'T1-T6'!$S$91,'T1-T6'!$S$94,'T1-T6'!$S$97,'T1-T6'!$S$100,'T1-T6'!$S$103,'T1-T6'!$S$106,'T1-T6'!$S$109)</c:f>
              <c:numCache>
                <c:formatCode>_(* #,##0_);_(* \(#,##0\);_(* "-"??_);_(@_)</c:formatCode>
                <c:ptCount val="17"/>
                <c:pt idx="0">
                  <c:v>52724.19</c:v>
                </c:pt>
                <c:pt idx="1">
                  <c:v>50583</c:v>
                </c:pt>
                <c:pt idx="2">
                  <c:v>46780</c:v>
                </c:pt>
                <c:pt idx="3" formatCode="#,##0">
                  <c:v>47200</c:v>
                </c:pt>
                <c:pt idx="4" formatCode="#,##0">
                  <c:v>56400</c:v>
                </c:pt>
                <c:pt idx="5" formatCode="#,##0">
                  <c:v>81900</c:v>
                </c:pt>
                <c:pt idx="6" formatCode="#,##0">
                  <c:v>71200</c:v>
                </c:pt>
                <c:pt idx="7" formatCode="#,##0">
                  <c:v>44900</c:v>
                </c:pt>
                <c:pt idx="8" formatCode="#,##0">
                  <c:v>45100</c:v>
                </c:pt>
                <c:pt idx="9" formatCode="#,##0">
                  <c:v>47900</c:v>
                </c:pt>
                <c:pt idx="10" formatCode="#,##0">
                  <c:v>45200</c:v>
                </c:pt>
                <c:pt idx="11" formatCode="#,##0">
                  <c:v>48200</c:v>
                </c:pt>
                <c:pt idx="12" formatCode="#,##0">
                  <c:v>59400</c:v>
                </c:pt>
                <c:pt idx="13" formatCode="#,##0">
                  <c:v>67100</c:v>
                </c:pt>
                <c:pt idx="14" formatCode="#,##0">
                  <c:v>60800</c:v>
                </c:pt>
                <c:pt idx="15" formatCode="#,##0">
                  <c:v>60500</c:v>
                </c:pt>
                <c:pt idx="16" formatCode="#,##0">
                  <c:v>57700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8-40E4-BCC1-576E1450E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01003648"/>
        <c:axId val="701002664"/>
      </c:lineChart>
      <c:catAx>
        <c:axId val="701003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002664"/>
        <c:crosses val="autoZero"/>
        <c:auto val="1"/>
        <c:lblAlgn val="ctr"/>
        <c:lblOffset val="100"/>
        <c:noMultiLvlLbl val="0"/>
      </c:catAx>
      <c:valAx>
        <c:axId val="701002664"/>
        <c:scaling>
          <c:orientation val="minMax"/>
          <c:min val="4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0036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132689444950244"/>
          <c:y val="0.29267266802323866"/>
          <c:w val="0.17856140525885192"/>
          <c:h val="0.1580067238786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</a:t>
            </a:r>
            <a:r>
              <a:rPr lang="en-US" baseline="0"/>
              <a:t> 15 Years &amp; Over Married, Spouse Absent: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53215223097111"/>
          <c:y val="0.25083333333333335"/>
          <c:w val="0.78620625546806644"/>
          <c:h val="0.50769612131816855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('T1-T6'!$S$113,'T1-T6'!$S$116,'T1-T6'!$S$119,'T1-T6'!$S$122,'T1-T6'!$S$125,'T1-T6'!$S$128,'T1-T6'!$S$131,'T1-T6'!$S$134,'T1-T6'!$S$137,'T1-T6'!$S$140,'T1-T6'!$S$143,'T1-T6'!$S$146,'T1-T6'!$S$149,'T1-T6'!$S$152,'T1-T6'!$S$155,'T1-T6'!$S$158,'T1-T6'!$S$161)</c:f>
              <c:numCache>
                <c:formatCode>#,##0</c:formatCode>
                <c:ptCount val="17"/>
                <c:pt idx="0">
                  <c:v>2076.7689999999998</c:v>
                </c:pt>
                <c:pt idx="1">
                  <c:v>1974.49</c:v>
                </c:pt>
                <c:pt idx="2">
                  <c:v>1858.652</c:v>
                </c:pt>
                <c:pt idx="3">
                  <c:v>1869.806</c:v>
                </c:pt>
                <c:pt idx="4">
                  <c:v>1760.5060000000001</c:v>
                </c:pt>
                <c:pt idx="5">
                  <c:v>1698.9269999999999</c:v>
                </c:pt>
                <c:pt idx="6">
                  <c:v>1800</c:v>
                </c:pt>
                <c:pt idx="7">
                  <c:v>1800</c:v>
                </c:pt>
                <c:pt idx="8">
                  <c:v>1778</c:v>
                </c:pt>
                <c:pt idx="9">
                  <c:v>1856</c:v>
                </c:pt>
                <c:pt idx="10">
                  <c:v>1956</c:v>
                </c:pt>
                <c:pt idx="11">
                  <c:v>2000</c:v>
                </c:pt>
                <c:pt idx="12">
                  <c:v>2000</c:v>
                </c:pt>
                <c:pt idx="13">
                  <c:v>1801.8015</c:v>
                </c:pt>
                <c:pt idx="14">
                  <c:v>1667</c:v>
                </c:pt>
                <c:pt idx="15">
                  <c:v>1611.5705</c:v>
                </c:pt>
                <c:pt idx="16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3-4086-BD98-0A6CA2167254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('T1-T6'!$S$165,'T1-T6'!$S$168,'T1-T6'!$S$171,'T1-T6'!$S$174,'T1-T6'!$S$177,'T1-T6'!$S$180,'T1-T6'!$S$183,'T1-T6'!$S$186,'T1-T6'!$S$189,'T1-T6'!$S$192,'T1-T6'!$S$195,'T1-T6'!$S$198,'T1-T6'!$S$201,'T1-T6'!$S$204,'T1-T6'!$S$207,'T1-T6'!$S$210,'T1-T6'!$S$213)</c:f>
              <c:numCache>
                <c:formatCode>_(* #,##0_);_(* \(#,##0\);_(* "-"??_);_(@_)</c:formatCode>
                <c:ptCount val="17"/>
                <c:pt idx="0">
                  <c:v>1867.942</c:v>
                </c:pt>
                <c:pt idx="1">
                  <c:v>1812.8</c:v>
                </c:pt>
                <c:pt idx="2">
                  <c:v>1799.326</c:v>
                </c:pt>
                <c:pt idx="3" formatCode="#,##0">
                  <c:v>1784.239</c:v>
                </c:pt>
                <c:pt idx="4" formatCode="#,##0">
                  <c:v>1776.7739999999999</c:v>
                </c:pt>
                <c:pt idx="5" formatCode="#,##0">
                  <c:v>1817.6189999999999</c:v>
                </c:pt>
                <c:pt idx="6" formatCode="#,##0">
                  <c:v>1800</c:v>
                </c:pt>
                <c:pt idx="7" formatCode="#,##0">
                  <c:v>1700</c:v>
                </c:pt>
                <c:pt idx="8" formatCode="#,##0">
                  <c:v>1604</c:v>
                </c:pt>
                <c:pt idx="9" formatCode="#,##0">
                  <c:v>1526</c:v>
                </c:pt>
                <c:pt idx="10" formatCode="#,##0">
                  <c:v>1486</c:v>
                </c:pt>
                <c:pt idx="11" formatCode="#,##0">
                  <c:v>1600</c:v>
                </c:pt>
                <c:pt idx="12" formatCode="#,##0">
                  <c:v>1700</c:v>
                </c:pt>
                <c:pt idx="13" formatCode="#,##0">
                  <c:v>1593.5475000000001</c:v>
                </c:pt>
                <c:pt idx="14" formatCode="#,##0">
                  <c:v>1523</c:v>
                </c:pt>
                <c:pt idx="15" formatCode="#,##0">
                  <c:v>1435.8845000000001</c:v>
                </c:pt>
                <c:pt idx="16" formatCode="#,##0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3-4086-BD98-0A6CA216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88510752"/>
        <c:axId val="588527808"/>
      </c:lineChart>
      <c:catAx>
        <c:axId val="5885107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527808"/>
        <c:crosses val="autoZero"/>
        <c:auto val="1"/>
        <c:lblAlgn val="ctr"/>
        <c:lblOffset val="100"/>
        <c:noMultiLvlLbl val="0"/>
      </c:catAx>
      <c:valAx>
        <c:axId val="588527808"/>
        <c:scaling>
          <c:orientation val="minMax"/>
          <c:min val="1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51075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383306139379552"/>
          <c:y val="0.52462473089740191"/>
          <c:w val="0.25424391739916036"/>
          <c:h val="0.1580067238786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15 Years Old &amp; Over Population: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61045494313211"/>
          <c:y val="0.25083333333333335"/>
          <c:w val="0.7365859580052494"/>
          <c:h val="0.47368874563756452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('T1-T6'!$Q$9,'T1-T6'!$Q$12,'T1-T6'!$Q$15,'T1-T6'!$Q$18,'T1-T6'!$Q$21,'T1-T6'!$Q$24,'T1-T6'!$Q$27,'T1-T6'!$Q$30,'T1-T6'!$Q$33,'T1-T6'!$Q$36,'T1-T6'!$Q$39,'T1-T6'!$Q$42,'T1-T6'!$Q$45,'T1-T6'!$Q$48,'T1-T6'!$Q$51,'T1-T6'!$Q$54,'T1-T6'!$Q$57)</c:f>
              <c:numCache>
                <c:formatCode>_(* #,##0_);_(* \(#,##0\);_(* "-"??_);_(@_)</c:formatCode>
                <c:ptCount val="17"/>
                <c:pt idx="0">
                  <c:v>3547315.15</c:v>
                </c:pt>
                <c:pt idx="1">
                  <c:v>3506411</c:v>
                </c:pt>
                <c:pt idx="2">
                  <c:v>3534536.45</c:v>
                </c:pt>
                <c:pt idx="3" formatCode="#,##0">
                  <c:v>3507900</c:v>
                </c:pt>
                <c:pt idx="4" formatCode="#,##0">
                  <c:v>3429700</c:v>
                </c:pt>
                <c:pt idx="5" formatCode="#,##0">
                  <c:v>3348300</c:v>
                </c:pt>
                <c:pt idx="6" formatCode="#,##0">
                  <c:v>3361600</c:v>
                </c:pt>
                <c:pt idx="7" formatCode="#,##0">
                  <c:v>3403700</c:v>
                </c:pt>
                <c:pt idx="8" formatCode="#,##0">
                  <c:v>3331900</c:v>
                </c:pt>
                <c:pt idx="9" formatCode="#,##0">
                  <c:v>3283100</c:v>
                </c:pt>
                <c:pt idx="10" formatCode="#,##0">
                  <c:v>3332200</c:v>
                </c:pt>
                <c:pt idx="11" formatCode="#,##0">
                  <c:v>3380500</c:v>
                </c:pt>
                <c:pt idx="12" formatCode="#,##0">
                  <c:v>3358800</c:v>
                </c:pt>
                <c:pt idx="13" formatCode="#,##0">
                  <c:v>3285300</c:v>
                </c:pt>
                <c:pt idx="14" formatCode="#,##0">
                  <c:v>3267600</c:v>
                </c:pt>
                <c:pt idx="15" formatCode="#,##0">
                  <c:v>3288100</c:v>
                </c:pt>
                <c:pt idx="16" formatCode="#,##0">
                  <c:v>3172600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F-4039-AEDD-E805DCD8F44E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('T1-T6'!$Q$61,'T1-T6'!$Q$64,'T1-T6'!$Q$67,'T1-T6'!$Q$70,'T1-T6'!$Q$73,'T1-T6'!$Q$76,'T1-T6'!$Q$79,'T1-T6'!$Q$82,'T1-T6'!$Q$85,'T1-T6'!$Q$88,'T1-T6'!$Q$91,'T1-T6'!$Q$94,'T1-T6'!$Q$97,'T1-T6'!$Q$100,'T1-T6'!$Q$103,'T1-T6'!$Q$106,'T1-T6'!$Q$109)</c:f>
              <c:numCache>
                <c:formatCode>_(* #,##0_);_(* \(#,##0\);_(* "-"??_);_(@_)</c:formatCode>
                <c:ptCount val="17"/>
                <c:pt idx="0">
                  <c:v>3750310.27</c:v>
                </c:pt>
                <c:pt idx="1">
                  <c:v>3751663</c:v>
                </c:pt>
                <c:pt idx="2">
                  <c:v>3753556.89</c:v>
                </c:pt>
                <c:pt idx="3" formatCode="#,##0">
                  <c:v>3727300</c:v>
                </c:pt>
                <c:pt idx="4" formatCode="#,##0">
                  <c:v>3699400</c:v>
                </c:pt>
                <c:pt idx="5" formatCode="#,##0">
                  <c:v>3686200</c:v>
                </c:pt>
                <c:pt idx="6" formatCode="#,##0">
                  <c:v>3645300</c:v>
                </c:pt>
                <c:pt idx="7" formatCode="#,##0">
                  <c:v>3608700</c:v>
                </c:pt>
                <c:pt idx="8" formatCode="#,##0">
                  <c:v>3598700</c:v>
                </c:pt>
                <c:pt idx="9" formatCode="#,##0">
                  <c:v>3579600</c:v>
                </c:pt>
                <c:pt idx="10" formatCode="#,##0">
                  <c:v>3579900</c:v>
                </c:pt>
                <c:pt idx="11" formatCode="#,##0">
                  <c:v>3579000</c:v>
                </c:pt>
                <c:pt idx="12" formatCode="#,##0">
                  <c:v>3562100</c:v>
                </c:pt>
                <c:pt idx="13" formatCode="#,##0">
                  <c:v>3540400</c:v>
                </c:pt>
                <c:pt idx="14" formatCode="#,##0">
                  <c:v>3536900</c:v>
                </c:pt>
                <c:pt idx="15" formatCode="#,##0">
                  <c:v>3571600</c:v>
                </c:pt>
                <c:pt idx="16" formatCode="#,##0">
                  <c:v>3501200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F-4039-AEDD-E805DCD8F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99155544"/>
        <c:axId val="699154888"/>
      </c:lineChart>
      <c:catAx>
        <c:axId val="6991555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54888"/>
        <c:crosses val="autoZero"/>
        <c:auto val="1"/>
        <c:lblAlgn val="ctr"/>
        <c:lblOffset val="100"/>
        <c:noMultiLvlLbl val="0"/>
      </c:catAx>
      <c:valAx>
        <c:axId val="699154888"/>
        <c:scaling>
          <c:orientation val="minMax"/>
          <c:min val="31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55544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5624593461984"/>
          <c:y val="0.62145741397709897"/>
          <c:w val="0.3546038246694097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Single Household (Spouse Absent):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20122484689414"/>
          <c:y val="0.17171296296296296"/>
          <c:w val="0.75489807524059493"/>
          <c:h val="0.48811461067366579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('T1-T6'!$G$9,'T1-T6'!$G$12,'T1-T6'!$G$15,'T1-T6'!$G$18,'T1-T6'!$G$21,'T1-T6'!$G$24,'T1-T6'!$G$27,'T1-T6'!$G$30,'T1-T6'!$G$33,'T1-T6'!$G$36,'T1-T6'!$G$39,'T1-T6'!$G$42,'T1-T6'!$G$45,'T1-T6'!$G$48,'T1-T6'!$G$51,'T1-T6'!$G$54,'T1-T6'!$G$57)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('T1-T6'!$K$9,'T1-T6'!$K$12,'T1-T6'!$K$15,'T1-T6'!$K$18,'T1-T6'!$K$21,'T1-T6'!$K$24,'T1-T6'!$K$27,'T1-T6'!$K$30,'T1-T6'!$K$33,'T1-T6'!$K$36,'T1-T6'!$K$39,'T1-T6'!$K$42,'T1-T6'!$K$45,'T1-T6'!$K$48,'T1-T6'!$K$51,'T1-T6'!$K$54,'T1-T6'!$K$57)</c:f>
              <c:numCache>
                <c:formatCode>_(* #,##0_);_(* \(#,##0\);_(* "-"??_);_(@_)</c:formatCode>
                <c:ptCount val="17"/>
                <c:pt idx="0">
                  <c:v>138052.1</c:v>
                </c:pt>
                <c:pt idx="1">
                  <c:v>155413</c:v>
                </c:pt>
                <c:pt idx="2">
                  <c:v>161108.6</c:v>
                </c:pt>
                <c:pt idx="3" formatCode="#,##0">
                  <c:v>140400</c:v>
                </c:pt>
                <c:pt idx="4" formatCode="#,##0">
                  <c:v>147100</c:v>
                </c:pt>
                <c:pt idx="5" formatCode="#,##0">
                  <c:v>175600</c:v>
                </c:pt>
                <c:pt idx="6" formatCode="#,##0">
                  <c:v>167800</c:v>
                </c:pt>
                <c:pt idx="7" formatCode="#,##0">
                  <c:v>173000</c:v>
                </c:pt>
                <c:pt idx="8" formatCode="#,##0">
                  <c:v>176600</c:v>
                </c:pt>
                <c:pt idx="9" formatCode="#,##0">
                  <c:v>141100</c:v>
                </c:pt>
                <c:pt idx="10" formatCode="#,##0">
                  <c:v>126800</c:v>
                </c:pt>
                <c:pt idx="11" formatCode="#,##0">
                  <c:v>138800</c:v>
                </c:pt>
                <c:pt idx="12" formatCode="#,##0">
                  <c:v>147700</c:v>
                </c:pt>
                <c:pt idx="13" formatCode="#,##0">
                  <c:v>146700</c:v>
                </c:pt>
                <c:pt idx="14" formatCode="#,##0">
                  <c:v>128500</c:v>
                </c:pt>
                <c:pt idx="15" formatCode="#,##0">
                  <c:v>118100</c:v>
                </c:pt>
                <c:pt idx="16" formatCode="#,##0">
                  <c:v>124000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476-A625-EDDE7BC9D52A}"/>
            </c:ext>
          </c:extLst>
        </c:ser>
        <c:ser>
          <c:idx val="1"/>
          <c:order val="1"/>
          <c:tx>
            <c:v>Female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('T1-T6'!$G$9,'T1-T6'!$G$12,'T1-T6'!$G$15,'T1-T6'!$G$18,'T1-T6'!$G$21,'T1-T6'!$G$24,'T1-T6'!$G$27,'T1-T6'!$G$30,'T1-T6'!$G$33,'T1-T6'!$G$36,'T1-T6'!$G$39,'T1-T6'!$G$42,'T1-T6'!$G$45,'T1-T6'!$G$48,'T1-T6'!$G$51,'T1-T6'!$G$54,'T1-T6'!$G$57)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('T1-T6'!$L$9,'T1-T6'!$L$12,'T1-T6'!$L$15,'T1-T6'!$L$18,'T1-T6'!$L$21,'T1-T6'!$L$24,'T1-T6'!$L$27,'T1-T6'!$L$30,'T1-T6'!$L$33,'T1-T6'!$L$36,'T1-T6'!$L$39,'T1-T6'!$L$42,'T1-T6'!$L$45,'T1-T6'!$L$48,'T1-T6'!$L$51,'T1-T6'!$L$54,'T1-T6'!$L$57)</c:f>
              <c:numCache>
                <c:formatCode>_(* #,##0_);_(* \(#,##0\);_(* "-"??_);_(@_)</c:formatCode>
                <c:ptCount val="17"/>
                <c:pt idx="0">
                  <c:v>373248.1</c:v>
                </c:pt>
                <c:pt idx="1">
                  <c:v>394181</c:v>
                </c:pt>
                <c:pt idx="2">
                  <c:v>417711</c:v>
                </c:pt>
                <c:pt idx="3" formatCode="#,##0">
                  <c:v>404700</c:v>
                </c:pt>
                <c:pt idx="4" formatCode="#,##0">
                  <c:v>399200</c:v>
                </c:pt>
                <c:pt idx="5" formatCode="#,##0">
                  <c:v>437200</c:v>
                </c:pt>
                <c:pt idx="6" formatCode="#,##0">
                  <c:v>429900</c:v>
                </c:pt>
                <c:pt idx="7" formatCode="#,##0">
                  <c:v>414800</c:v>
                </c:pt>
                <c:pt idx="8" formatCode="#,##0">
                  <c:v>402000</c:v>
                </c:pt>
                <c:pt idx="9" formatCode="#,##0">
                  <c:v>404900</c:v>
                </c:pt>
                <c:pt idx="10" formatCode="#,##0">
                  <c:v>420400</c:v>
                </c:pt>
                <c:pt idx="11" formatCode="#,##0">
                  <c:v>411800</c:v>
                </c:pt>
                <c:pt idx="12" formatCode="#,##0">
                  <c:v>381200</c:v>
                </c:pt>
                <c:pt idx="13" formatCode="#,##0">
                  <c:v>369900</c:v>
                </c:pt>
                <c:pt idx="14" formatCode="#,##0">
                  <c:v>403300</c:v>
                </c:pt>
                <c:pt idx="15" formatCode="#,##0">
                  <c:v>396600</c:v>
                </c:pt>
                <c:pt idx="16" formatCode="#,##0">
                  <c:v>358900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5-4476-A625-EDDE7BC9D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386528"/>
        <c:axId val="710403256"/>
      </c:lineChart>
      <c:catAx>
        <c:axId val="7103865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403256"/>
        <c:crosses val="autoZero"/>
        <c:auto val="1"/>
        <c:lblAlgn val="ctr"/>
        <c:lblOffset val="100"/>
        <c:noMultiLvlLbl val="0"/>
      </c:catAx>
      <c:valAx>
        <c:axId val="7104032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38652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4840879710919"/>
          <c:y val="0.36159480064991878"/>
          <c:w val="0.4052613260298984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15 Years &amp; Over Widoweds: 2001~2018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29680664916885"/>
          <c:y val="0.17171296296296296"/>
          <c:w val="0.74180249343832017"/>
          <c:h val="0.56107319918343546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  <c:extLst/>
            </c:strRef>
          </c:cat>
          <c:val>
            <c:numRef>
              <c:f>('T1-T6'!$T$12,'T1-T6'!$T$15,'T1-T6'!$T$18,'T1-T6'!$T$21,'T1-T6'!$T$24,'T1-T6'!$T$27,'T1-T6'!$T$30,'T1-T6'!$T$33,'T1-T6'!$T$36,'T1-T6'!$T$39,'T1-T6'!$T$42,'T1-T6'!$T$45,'T1-T6'!$T$48,'T1-T6'!$T$51,'T1-T6'!$T$54,'T1-T6'!$T$57)</c:f>
              <c:numCache>
                <c:formatCode>_(* #,##0_);_(* \(#,##0\);_(* "-"??_);_(@_)</c:formatCode>
                <c:ptCount val="16"/>
                <c:pt idx="0">
                  <c:v>101974</c:v>
                </c:pt>
                <c:pt idx="1">
                  <c:v>103236</c:v>
                </c:pt>
                <c:pt idx="2" formatCode="#,##0">
                  <c:v>96200</c:v>
                </c:pt>
                <c:pt idx="3" formatCode="#,##0">
                  <c:v>92600</c:v>
                </c:pt>
                <c:pt idx="4" formatCode="#,##0">
                  <c:v>89000</c:v>
                </c:pt>
                <c:pt idx="5" formatCode="#,##0">
                  <c:v>88200</c:v>
                </c:pt>
                <c:pt idx="6" formatCode="#,##0">
                  <c:v>92500</c:v>
                </c:pt>
                <c:pt idx="7" formatCode="#,##0">
                  <c:v>91700</c:v>
                </c:pt>
                <c:pt idx="8" formatCode="#,##0">
                  <c:v>80700</c:v>
                </c:pt>
                <c:pt idx="9" formatCode="#,##0">
                  <c:v>66000</c:v>
                </c:pt>
                <c:pt idx="10" formatCode="#,##0">
                  <c:v>68000</c:v>
                </c:pt>
                <c:pt idx="11" formatCode="#,##0">
                  <c:v>94100</c:v>
                </c:pt>
                <c:pt idx="12" formatCode="#,##0">
                  <c:v>102100</c:v>
                </c:pt>
                <c:pt idx="13" formatCode="#,##0">
                  <c:v>94300</c:v>
                </c:pt>
                <c:pt idx="14" formatCode="#,##0">
                  <c:v>87100</c:v>
                </c:pt>
                <c:pt idx="15" formatCode="#,##0">
                  <c:v>87000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1ECB-46D9-879E-EADCE38979A9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  <c:extLst/>
            </c:strRef>
          </c:cat>
          <c:val>
            <c:numRef>
              <c:f>('T1-T6'!$T$64,'T1-T6'!$T$67,'T1-T6'!$T$70,'T1-T6'!$T$73,'T1-T6'!$T$76,'T1-T6'!$T$79,'T1-T6'!$T$82,'T1-T6'!$T$85,'T1-T6'!$T$88,'T1-T6'!$T$91,'T1-T6'!$T$94,'T1-T6'!$T$97,'T1-T6'!$T$100,'T1-T6'!$T$103,'T1-T6'!$T$106,'T1-T6'!$T$109)</c:f>
              <c:numCache>
                <c:formatCode>_(* #,##0_);_(* \(#,##0\);_(* "-"??_);_(@_)</c:formatCode>
                <c:ptCount val="16"/>
                <c:pt idx="0">
                  <c:v>351145</c:v>
                </c:pt>
                <c:pt idx="1">
                  <c:v>342210.4</c:v>
                </c:pt>
                <c:pt idx="2" formatCode="#,##0">
                  <c:v>346900</c:v>
                </c:pt>
                <c:pt idx="3" formatCode="#,##0">
                  <c:v>365400</c:v>
                </c:pt>
                <c:pt idx="4" formatCode="#,##0">
                  <c:v>364100</c:v>
                </c:pt>
                <c:pt idx="5" formatCode="#,##0">
                  <c:v>349800</c:v>
                </c:pt>
                <c:pt idx="6" formatCode="#,##0">
                  <c:v>362800</c:v>
                </c:pt>
                <c:pt idx="7" formatCode="#,##0">
                  <c:v>382000</c:v>
                </c:pt>
                <c:pt idx="8" formatCode="#,##0">
                  <c:v>368400</c:v>
                </c:pt>
                <c:pt idx="9" formatCode="#,##0">
                  <c:v>359400</c:v>
                </c:pt>
                <c:pt idx="10" formatCode="#,##0">
                  <c:v>364500</c:v>
                </c:pt>
                <c:pt idx="11" formatCode="#,##0">
                  <c:v>354400</c:v>
                </c:pt>
                <c:pt idx="12" formatCode="#,##0">
                  <c:v>334300</c:v>
                </c:pt>
                <c:pt idx="13" formatCode="#,##0">
                  <c:v>327400</c:v>
                </c:pt>
                <c:pt idx="14" formatCode="#,##0">
                  <c:v>327500</c:v>
                </c:pt>
                <c:pt idx="15" formatCode="#,##0">
                  <c:v>341200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1ECB-46D9-879E-EADCE3897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20402704"/>
        <c:axId val="320403688"/>
      </c:lineChart>
      <c:catAx>
        <c:axId val="3204027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03688"/>
        <c:crosses val="autoZero"/>
        <c:auto val="1"/>
        <c:lblAlgn val="ctr"/>
        <c:lblOffset val="100"/>
        <c:noMultiLvlLbl val="0"/>
      </c:catAx>
      <c:valAx>
        <c:axId val="320403688"/>
        <c:scaling>
          <c:orientation val="minMax"/>
          <c:max val="400000"/>
          <c:min val="6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0270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372200349956253"/>
          <c:y val="0.38504556722076405"/>
          <c:w val="0.17865796296806649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</a:t>
            </a:r>
            <a:r>
              <a:rPr lang="en-US" baseline="0"/>
              <a:t> 15 Years &amp; Over Widowed: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9099260325673"/>
          <c:y val="5.0925925925925923E-2"/>
          <c:w val="0.63061095150470614"/>
          <c:h val="0.68186023622047243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('T1-T6'!$T$113,'T1-T6'!$T$116,'T1-T6'!$T$119,'T1-T6'!$T$122,'T1-T6'!$T$125,'T1-T6'!$T$128,'T1-T6'!$T$131,'T1-T6'!$T$134,'T1-T6'!$T$137,'T1-T6'!$T$140,'T1-T6'!$T$143,'T1-T6'!$T$146,'T1-T6'!$T$149,'T1-T6'!$T$152,'T1-T6'!$T$155,'T1-T6'!$T$158,'T1-T6'!$T$161)</c:f>
              <c:numCache>
                <c:formatCode>#,##0</c:formatCode>
                <c:ptCount val="17"/>
                <c:pt idx="0">
                  <c:v>3348.0540000000001</c:v>
                </c:pt>
                <c:pt idx="1">
                  <c:v>3379.12</c:v>
                </c:pt>
                <c:pt idx="2">
                  <c:v>3373.4340000000002</c:v>
                </c:pt>
                <c:pt idx="3">
                  <c:v>3171.7620000000002</c:v>
                </c:pt>
                <c:pt idx="4">
                  <c:v>3097.931</c:v>
                </c:pt>
                <c:pt idx="5">
                  <c:v>2995.1489999999999</c:v>
                </c:pt>
                <c:pt idx="6">
                  <c:v>2900</c:v>
                </c:pt>
                <c:pt idx="7">
                  <c:v>3000</c:v>
                </c:pt>
                <c:pt idx="8">
                  <c:v>2894</c:v>
                </c:pt>
                <c:pt idx="9">
                  <c:v>2865</c:v>
                </c:pt>
                <c:pt idx="10">
                  <c:v>2808</c:v>
                </c:pt>
                <c:pt idx="11">
                  <c:v>2700</c:v>
                </c:pt>
                <c:pt idx="12">
                  <c:v>2700</c:v>
                </c:pt>
                <c:pt idx="13">
                  <c:v>2692.1320000000001</c:v>
                </c:pt>
                <c:pt idx="14">
                  <c:v>2676</c:v>
                </c:pt>
                <c:pt idx="15">
                  <c:v>2667.7579999999998</c:v>
                </c:pt>
                <c:pt idx="16">
                  <c:v>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6C-482E-9991-7D82C4DA7523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('T1-T6'!$T$165,'T1-T6'!$T$168,'T1-T6'!$T$171,'T1-T6'!$T$174,'T1-T6'!$T$177,'T1-T6'!$T$180,'T1-T6'!$T$183,'T1-T6'!$T$186,'T1-T6'!$T$189,'T1-T6'!$T$192,'T1-T6'!$T$195,'T1-T6'!$T$198,'T1-T6'!$T$201,'T1-T6'!$T$204,'T1-T6'!$T$207,'T1-T6'!$T$210,'T1-T6'!$T$213)</c:f>
              <c:numCache>
                <c:formatCode>_(* #,##0_);_(* \(#,##0\);_(* "-"??_);_(@_)</c:formatCode>
                <c:ptCount val="17"/>
                <c:pt idx="0">
                  <c:v>11703.25</c:v>
                </c:pt>
                <c:pt idx="1">
                  <c:v>11560.8</c:v>
                </c:pt>
                <c:pt idx="2">
                  <c:v>11383.73</c:v>
                </c:pt>
                <c:pt idx="3" formatCode="#,##0">
                  <c:v>11236.06</c:v>
                </c:pt>
                <c:pt idx="4" formatCode="#,##0">
                  <c:v>11184.21</c:v>
                </c:pt>
                <c:pt idx="5" formatCode="#,##0">
                  <c:v>11217.17</c:v>
                </c:pt>
                <c:pt idx="6" formatCode="#,##0">
                  <c:v>11300</c:v>
                </c:pt>
                <c:pt idx="7" formatCode="#,##0">
                  <c:v>11300</c:v>
                </c:pt>
                <c:pt idx="8" formatCode="#,##0">
                  <c:v>11414</c:v>
                </c:pt>
                <c:pt idx="9" formatCode="#,##0">
                  <c:v>11423</c:v>
                </c:pt>
                <c:pt idx="10" formatCode="#,##0">
                  <c:v>11310</c:v>
                </c:pt>
                <c:pt idx="11" formatCode="#,##0">
                  <c:v>11300</c:v>
                </c:pt>
                <c:pt idx="12" formatCode="#,##0">
                  <c:v>11200</c:v>
                </c:pt>
                <c:pt idx="13" formatCode="#,##0">
                  <c:v>11145.244999999999</c:v>
                </c:pt>
                <c:pt idx="14" formatCode="#,##0">
                  <c:v>11232</c:v>
                </c:pt>
                <c:pt idx="15" formatCode="#,##0">
                  <c:v>11359.02</c:v>
                </c:pt>
                <c:pt idx="16" formatCode="#,##0">
                  <c:v>11299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C-482E-9991-7D82C4DA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4040520"/>
        <c:axId val="334040192"/>
      </c:lineChart>
      <c:catAx>
        <c:axId val="3340405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040192"/>
        <c:crosses val="autoZero"/>
        <c:auto val="1"/>
        <c:lblAlgn val="ctr"/>
        <c:lblOffset val="100"/>
        <c:noMultiLvlLbl val="0"/>
      </c:catAx>
      <c:valAx>
        <c:axId val="334040192"/>
        <c:scaling>
          <c:orientation val="minMax"/>
          <c:max val="12500"/>
          <c:min val="15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0405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872200349956258"/>
          <c:y val="0.36631889763779529"/>
          <c:w val="0.25424409705881107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15 Years &amp; Over Divorced: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97594050743658"/>
          <c:y val="5.0925925925925923E-2"/>
          <c:w val="0.74612335958005249"/>
          <c:h val="0.69204469233012544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('T1-T6'!$P$9,'T1-T6'!$P$12,'T1-T6'!$P$15,'T1-T6'!$P$18,'T1-T6'!$P$21,'T1-T6'!$P$24,'T1-T6'!$P$27,'T1-T6'!$P$30,'T1-T6'!$P$33,'T1-T6'!$P$36,'T1-T6'!$P$39,'T1-T6'!$P$42,'T1-T6'!$P$45,'T1-T6'!$P$48,'T1-T6'!$P$51,'T1-T6'!$P$54,'T1-T6'!$P$57)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('T1-T6'!$U$9,'T1-T6'!$U$12,'T1-T6'!$U$15,'T1-T6'!$U$18,'T1-T6'!$U$21,'T1-T6'!$U$24,'T1-T6'!$U$27,'T1-T6'!$U$30,'T1-T6'!$U$33,'T1-T6'!$U$36,'T1-T6'!$U$39,'T1-T6'!$U$42,'T1-T6'!$U$45,'T1-T6'!$U$48,'T1-T6'!$U$51,'T1-T6'!$U$54,'T1-T6'!$U$57)</c:f>
              <c:numCache>
                <c:formatCode>_(* #,##0_);_(* \(#,##0\);_(* "-"??_);_(@_)</c:formatCode>
                <c:ptCount val="17"/>
                <c:pt idx="0">
                  <c:v>221108.4</c:v>
                </c:pt>
                <c:pt idx="1">
                  <c:v>231473</c:v>
                </c:pt>
                <c:pt idx="2">
                  <c:v>209063.2</c:v>
                </c:pt>
                <c:pt idx="3" formatCode="#,##0">
                  <c:v>204800</c:v>
                </c:pt>
                <c:pt idx="4" formatCode="#,##0">
                  <c:v>217100</c:v>
                </c:pt>
                <c:pt idx="5" formatCode="#,##0">
                  <c:v>235400</c:v>
                </c:pt>
                <c:pt idx="6" formatCode="#,##0">
                  <c:v>222200</c:v>
                </c:pt>
                <c:pt idx="7" formatCode="#,##0">
                  <c:v>195100</c:v>
                </c:pt>
                <c:pt idx="8" formatCode="#,##0">
                  <c:v>203300</c:v>
                </c:pt>
                <c:pt idx="9" formatCode="#,##0">
                  <c:v>189500</c:v>
                </c:pt>
                <c:pt idx="10" formatCode="#,##0">
                  <c:v>197300</c:v>
                </c:pt>
                <c:pt idx="11" formatCode="#,##0">
                  <c:v>200800</c:v>
                </c:pt>
                <c:pt idx="12" formatCode="#,##0">
                  <c:v>173100</c:v>
                </c:pt>
                <c:pt idx="13" formatCode="#,##0">
                  <c:v>200500</c:v>
                </c:pt>
                <c:pt idx="14" formatCode="#,##0">
                  <c:v>205000</c:v>
                </c:pt>
                <c:pt idx="15" formatCode="#,##0">
                  <c:v>198000</c:v>
                </c:pt>
                <c:pt idx="16" formatCode="#,##0">
                  <c:v>200800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2-46E2-8E62-5C558E0934CA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('T1-T6'!$P$9,'T1-T6'!$P$12,'T1-T6'!$P$15,'T1-T6'!$P$18,'T1-T6'!$P$21,'T1-T6'!$P$24,'T1-T6'!$P$27,'T1-T6'!$P$30,'T1-T6'!$P$33,'T1-T6'!$P$36,'T1-T6'!$P$39,'T1-T6'!$P$42,'T1-T6'!$P$45,'T1-T6'!$P$48,'T1-T6'!$P$51,'T1-T6'!$P$54,'T1-T6'!$P$57)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('T1-T6'!$U$61,'T1-T6'!$U$64,'T1-T6'!$U$67,'T1-T6'!$U$70,'T1-T6'!$U$73,'T1-T6'!$U$76,'T1-T6'!$U$79,'T1-T6'!$U$82,'T1-T6'!$U$85,'T1-T6'!$U$88,'T1-T6'!$U$91,'T1-T6'!$U$94,'T1-T6'!$U$97,'T1-T6'!$U$100,'T1-T6'!$U$103,'T1-T6'!$U$106,'T1-T6'!$U$109)</c:f>
              <c:numCache>
                <c:formatCode>_(* #,##0_);_(* \(#,##0\);_(* "-"??_);_(@_)</c:formatCode>
                <c:ptCount val="17"/>
                <c:pt idx="0">
                  <c:v>355066.9</c:v>
                </c:pt>
                <c:pt idx="1">
                  <c:v>327383</c:v>
                </c:pt>
                <c:pt idx="2">
                  <c:v>309595.2</c:v>
                </c:pt>
                <c:pt idx="3" formatCode="#,##0">
                  <c:v>320100</c:v>
                </c:pt>
                <c:pt idx="4" formatCode="#,##0">
                  <c:v>335600</c:v>
                </c:pt>
                <c:pt idx="5" formatCode="#,##0">
                  <c:v>330600</c:v>
                </c:pt>
                <c:pt idx="6" formatCode="#,##0">
                  <c:v>306500</c:v>
                </c:pt>
                <c:pt idx="7" formatCode="#,##0">
                  <c:v>310500</c:v>
                </c:pt>
                <c:pt idx="8" formatCode="#,##0">
                  <c:v>320800</c:v>
                </c:pt>
                <c:pt idx="9" formatCode="#,##0">
                  <c:v>310400</c:v>
                </c:pt>
                <c:pt idx="10" formatCode="#,##0">
                  <c:v>300700</c:v>
                </c:pt>
                <c:pt idx="11" formatCode="#,##0">
                  <c:v>288500</c:v>
                </c:pt>
                <c:pt idx="12" formatCode="#,##0">
                  <c:v>294100</c:v>
                </c:pt>
                <c:pt idx="13" formatCode="#,##0">
                  <c:v>314400</c:v>
                </c:pt>
                <c:pt idx="14" formatCode="#,##0">
                  <c:v>326700</c:v>
                </c:pt>
                <c:pt idx="15" formatCode="#,##0">
                  <c:v>321100</c:v>
                </c:pt>
                <c:pt idx="16" formatCode="#,##0">
                  <c:v>307700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2-46E2-8E62-5C558E09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26620576"/>
        <c:axId val="326620904"/>
      </c:lineChart>
      <c:catAx>
        <c:axId val="3266205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20904"/>
        <c:crosses val="autoZero"/>
        <c:auto val="1"/>
        <c:lblAlgn val="ctr"/>
        <c:lblOffset val="100"/>
        <c:noMultiLvlLbl val="0"/>
      </c:catAx>
      <c:valAx>
        <c:axId val="326620904"/>
        <c:scaling>
          <c:orientation val="minMax"/>
          <c:min val="17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2057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32055662853464"/>
          <c:y val="0.36631889763779529"/>
          <c:w val="0.3517362452334967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Family Households: 2001~2018</a:t>
            </a:r>
          </a:p>
        </c:rich>
      </c:tx>
      <c:layout>
        <c:manualLayout>
          <c:xMode val="edge"/>
          <c:yMode val="edge"/>
          <c:x val="0.21888188976377951"/>
          <c:y val="0.11574074074074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29680664916885"/>
          <c:y val="0.17171296296296296"/>
          <c:w val="0.73420538057742779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All Family Households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('T1-T6'!$A$6,'T1-T6'!$A$9,'T1-T6'!$A$12,'T1-T6'!$A$15,'T1-T6'!$A$18,'T1-T6'!$A$21,'T1-T6'!$A$24,'T1-T6'!$A$27,'T1-T6'!$A$30,'T1-T6'!$A$33,'T1-T6'!$A$36,'T1-T6'!$A$39,'T1-T6'!$A$42,'T1-T6'!$A$45,'T1-T6'!$A$48,'T1-T6'!$A$51,'T1-T6'!$A$54)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('T1-T6'!$C$6,'T1-T6'!$C$9,'T1-T6'!$C$12,'T1-T6'!$C$15,'T1-T6'!$C$18,'T1-T6'!$C$21,'T1-T6'!$C$24,'T1-T6'!$C$27,'T1-T6'!$C$30,'T1-T6'!$C$33,'T1-T6'!$C$36,'T1-T6'!$C$39,'T1-T6'!$C$42,'T1-T6'!$C$45,'T1-T6'!$C$48,'T1-T6'!$C$51,'T1-T6'!$C$54)</c:f>
              <c:numCache>
                <c:formatCode>#,##0</c:formatCode>
                <c:ptCount val="17"/>
                <c:pt idx="0">
                  <c:v>2280687.91</c:v>
                </c:pt>
                <c:pt idx="1">
                  <c:v>2314147.38</c:v>
                </c:pt>
                <c:pt idx="2">
                  <c:v>2304048</c:v>
                </c:pt>
                <c:pt idx="3">
                  <c:v>2234200</c:v>
                </c:pt>
                <c:pt idx="4">
                  <c:v>2217600</c:v>
                </c:pt>
                <c:pt idx="5">
                  <c:v>2220300</c:v>
                </c:pt>
                <c:pt idx="6">
                  <c:v>2175700</c:v>
                </c:pt>
                <c:pt idx="7">
                  <c:v>2217600</c:v>
                </c:pt>
                <c:pt idx="8">
                  <c:v>2232400</c:v>
                </c:pt>
                <c:pt idx="9">
                  <c:v>2188000</c:v>
                </c:pt>
                <c:pt idx="10">
                  <c:v>2246400</c:v>
                </c:pt>
                <c:pt idx="11">
                  <c:v>2296200</c:v>
                </c:pt>
                <c:pt idx="12">
                  <c:v>2268100</c:v>
                </c:pt>
                <c:pt idx="13">
                  <c:v>2243500</c:v>
                </c:pt>
                <c:pt idx="14">
                  <c:v>2259000</c:v>
                </c:pt>
                <c:pt idx="15">
                  <c:v>2291900</c:v>
                </c:pt>
                <c:pt idx="16">
                  <c:v>2216500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0-43F3-A0C7-9AE2D1C2D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21210032"/>
        <c:axId val="121203472"/>
      </c:lineChart>
      <c:catAx>
        <c:axId val="1212100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03472"/>
        <c:crosses val="autoZero"/>
        <c:auto val="1"/>
        <c:lblAlgn val="ctr"/>
        <c:lblOffset val="100"/>
        <c:noMultiLvlLbl val="0"/>
      </c:catAx>
      <c:valAx>
        <c:axId val="1212034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1003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15 Years &amp; Over Divorced: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97594050743658"/>
          <c:y val="0.17171296296296296"/>
          <c:w val="0.77009580052493443"/>
          <c:h val="0.57125765529308836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('T1-T6'!$P$165,'T1-T6'!$P$168,'T1-T6'!$P$171,'T1-T6'!$P$174,'T1-T6'!$P$177,'T1-T6'!$P$180,'T1-T6'!$P$183,'T1-T6'!$P$186,'T1-T6'!$P$189,'T1-T6'!$P$192,'T1-T6'!$P$195,'T1-T6'!$P$198,'T1-T6'!$P$201,'T1-T6'!$P$204,'T1-T6'!$P$207,'T1-T6'!$P$210,'T1-T6'!$P$213)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('T1-T6'!$U$113,'T1-T6'!$U$116,'T1-T6'!$U$119,'T1-T6'!$U$122,'T1-T6'!$U$125,'T1-T6'!$U$128,'T1-T6'!$U$131,'T1-T6'!$U$134,'T1-T6'!$U$137,'T1-T6'!$U$140,'T1-T6'!$U$143,'T1-T6'!$U$146,'T1-T6'!$U$149,'T1-T6'!$U$152,'T1-T6'!$U$155,'T1-T6'!$U$158,'T1-T6'!$U$161)</c:f>
              <c:numCache>
                <c:formatCode>#,##0</c:formatCode>
                <c:ptCount val="17"/>
                <c:pt idx="0">
                  <c:v>10987.36</c:v>
                </c:pt>
                <c:pt idx="1">
                  <c:v>10812.71</c:v>
                </c:pt>
                <c:pt idx="2">
                  <c:v>10837.9</c:v>
                </c:pt>
                <c:pt idx="3">
                  <c:v>10807.7</c:v>
                </c:pt>
                <c:pt idx="4">
                  <c:v>10808.4</c:v>
                </c:pt>
                <c:pt idx="5">
                  <c:v>10829.78</c:v>
                </c:pt>
                <c:pt idx="6">
                  <c:v>10700</c:v>
                </c:pt>
                <c:pt idx="7">
                  <c:v>10300</c:v>
                </c:pt>
                <c:pt idx="8">
                  <c:v>9976</c:v>
                </c:pt>
                <c:pt idx="9">
                  <c:v>9879</c:v>
                </c:pt>
                <c:pt idx="10">
                  <c:v>9717</c:v>
                </c:pt>
                <c:pt idx="11">
                  <c:v>9700</c:v>
                </c:pt>
                <c:pt idx="12">
                  <c:v>9500</c:v>
                </c:pt>
                <c:pt idx="13">
                  <c:v>9117.0210000000006</c:v>
                </c:pt>
                <c:pt idx="14">
                  <c:v>8990</c:v>
                </c:pt>
                <c:pt idx="15">
                  <c:v>8843.7465000000011</c:v>
                </c:pt>
                <c:pt idx="16">
                  <c:v>8664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45-42DF-8C88-F90D711C24F0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('T1-T6'!$P$165,'T1-T6'!$P$168,'T1-T6'!$P$171,'T1-T6'!$P$174,'T1-T6'!$P$177,'T1-T6'!$P$180,'T1-T6'!$P$183,'T1-T6'!$P$186,'T1-T6'!$P$189,'T1-T6'!$P$192,'T1-T6'!$P$195,'T1-T6'!$P$198,'T1-T6'!$P$201,'T1-T6'!$P$204,'T1-T6'!$P$207,'T1-T6'!$P$210,'T1-T6'!$P$213)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('T1-T6'!$U$165,'T1-T6'!$U$168,'T1-T6'!$U$171,'T1-T6'!$U$174,'T1-T6'!$U$177,'T1-T6'!$U$180,'T1-T6'!$U$183,'T1-T6'!$U$186,'T1-T6'!$U$189,'T1-T6'!$U$192,'T1-T6'!$U$195,'T1-T6'!$U$198,'T1-T6'!$U$201,'T1-T6'!$U$204,'T1-T6'!$U$207,'T1-T6'!$U$210,'T1-T6'!$U$213)</c:f>
              <c:numCache>
                <c:formatCode>_(* #,##0_);_(* \(#,##0\);_(* "-"??_);_(@_)</c:formatCode>
                <c:ptCount val="17"/>
                <c:pt idx="0">
                  <c:v>14730.24</c:v>
                </c:pt>
                <c:pt idx="1">
                  <c:v>14734.49</c:v>
                </c:pt>
                <c:pt idx="2">
                  <c:v>14865.24</c:v>
                </c:pt>
                <c:pt idx="3" formatCode="#,##0">
                  <c:v>14762.39</c:v>
                </c:pt>
                <c:pt idx="4" formatCode="#,##0">
                  <c:v>14543.89</c:v>
                </c:pt>
                <c:pt idx="5" formatCode="#,##0">
                  <c:v>14332.94</c:v>
                </c:pt>
                <c:pt idx="6" formatCode="#,##0">
                  <c:v>14000</c:v>
                </c:pt>
                <c:pt idx="7" formatCode="#,##0">
                  <c:v>13800</c:v>
                </c:pt>
                <c:pt idx="8" formatCode="#,##0">
                  <c:v>13542</c:v>
                </c:pt>
                <c:pt idx="9" formatCode="#,##0">
                  <c:v>13441</c:v>
                </c:pt>
                <c:pt idx="10" formatCode="#,##0">
                  <c:v>13397</c:v>
                </c:pt>
                <c:pt idx="11" formatCode="#,##0">
                  <c:v>13200</c:v>
                </c:pt>
                <c:pt idx="12" formatCode="#,##0">
                  <c:v>13100</c:v>
                </c:pt>
                <c:pt idx="13" formatCode="#,##0">
                  <c:v>12913.07</c:v>
                </c:pt>
                <c:pt idx="14" formatCode="#,##0">
                  <c:v>12760</c:v>
                </c:pt>
                <c:pt idx="15" formatCode="#,##0">
                  <c:v>12473.3</c:v>
                </c:pt>
                <c:pt idx="16" formatCode="#,##0">
                  <c:v>12009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5-42DF-8C88-F90D711C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33080288"/>
        <c:axId val="333079960"/>
      </c:lineChart>
      <c:catAx>
        <c:axId val="3330802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079960"/>
        <c:crosses val="autoZero"/>
        <c:auto val="1"/>
        <c:lblAlgn val="ctr"/>
        <c:lblOffset val="100"/>
        <c:noMultiLvlLbl val="0"/>
      </c:catAx>
      <c:valAx>
        <c:axId val="333079960"/>
        <c:scaling>
          <c:orientation val="minMax"/>
          <c:min val="8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0802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5322418170463"/>
          <c:y val="0.38946704578594343"/>
          <c:w val="0.4980692882365254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15 Year &amp; Over Separated: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97594050743658"/>
          <c:y val="5.0925925925925923E-2"/>
          <c:w val="0.74612335958005249"/>
          <c:h val="0.69204469233012544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('T1-T6'!$P$61,'T1-T6'!$P$64,'T1-T6'!$P$67,'T1-T6'!$P$70,'T1-T6'!$P$73,'T1-T6'!$P$76,'T1-T6'!$P$79,'T1-T6'!$P$82,'T1-T6'!$P$85,'T1-T6'!$P$88,'T1-T6'!$P$91,'T1-T6'!$P$94,'T1-T6'!$P$97,'T1-T6'!$P$100,'T1-T6'!$P$103,'T1-T6'!$P$106,'T1-T6'!$P$109)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('T1-T6'!$V$9,'T1-T6'!$V$12,'T1-T6'!$V$15,'T1-T6'!$V$18,'T1-T6'!$V$21,'T1-T6'!$V$24,'T1-T6'!$V$27,'T1-T6'!$V$30,'T1-T6'!$V$33,'T1-T6'!$V$36,'T1-T6'!$V$39,'T1-T6'!$V$42,'T1-T6'!$V$45,'T1-T6'!$V$48,'T1-T6'!$V$51,'T1-T6'!$V$54,'T1-T6'!$V$57)</c:f>
              <c:numCache>
                <c:formatCode>_(* #,##0_);_(* \(#,##0\);_(* "-"??_);_(@_)</c:formatCode>
                <c:ptCount val="17"/>
                <c:pt idx="0">
                  <c:v>56112.52</c:v>
                </c:pt>
                <c:pt idx="1">
                  <c:v>59666</c:v>
                </c:pt>
                <c:pt idx="2">
                  <c:v>61524.83</c:v>
                </c:pt>
                <c:pt idx="3" formatCode="#,##0">
                  <c:v>53400</c:v>
                </c:pt>
                <c:pt idx="4" formatCode="#,##0">
                  <c:v>57800</c:v>
                </c:pt>
                <c:pt idx="5" formatCode="#,##0">
                  <c:v>67500</c:v>
                </c:pt>
                <c:pt idx="6" formatCode="#,##0">
                  <c:v>62100</c:v>
                </c:pt>
                <c:pt idx="7" formatCode="#,##0">
                  <c:v>70600</c:v>
                </c:pt>
                <c:pt idx="8" formatCode="#,##0">
                  <c:v>83600</c:v>
                </c:pt>
                <c:pt idx="9" formatCode="#,##0">
                  <c:v>69100</c:v>
                </c:pt>
                <c:pt idx="10" formatCode="#,##0">
                  <c:v>60000</c:v>
                </c:pt>
                <c:pt idx="11" formatCode="#,##0">
                  <c:v>60900</c:v>
                </c:pt>
                <c:pt idx="12" formatCode="#,##0">
                  <c:v>59900</c:v>
                </c:pt>
                <c:pt idx="13" formatCode="#,##0">
                  <c:v>59800</c:v>
                </c:pt>
                <c:pt idx="14" formatCode="#,##0">
                  <c:v>56700</c:v>
                </c:pt>
                <c:pt idx="15" formatCode="#,##0">
                  <c:v>63600</c:v>
                </c:pt>
                <c:pt idx="16" formatCode="#,##0">
                  <c:v>61500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02-40D2-A98C-45A301128712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('T1-T6'!$P$61,'T1-T6'!$P$64,'T1-T6'!$P$67,'T1-T6'!$P$70,'T1-T6'!$P$73,'T1-T6'!$P$76,'T1-T6'!$P$79,'T1-T6'!$P$82,'T1-T6'!$P$85,'T1-T6'!$P$88,'T1-T6'!$P$91,'T1-T6'!$P$94,'T1-T6'!$P$97,'T1-T6'!$P$100,'T1-T6'!$P$103,'T1-T6'!$P$106,'T1-T6'!$P$109)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('T1-T6'!$V$61,'T1-T6'!$V$64,'T1-T6'!$V$67,'T1-T6'!$V$70,'T1-T6'!$V$73,'T1-T6'!$V$76,'T1-T6'!$V$79,'T1-T6'!$V$82,'T1-T6'!$V$85,'T1-T6'!$V$88,'T1-T6'!$V$91,'T1-T6'!$V$94,'T1-T6'!$V$97,'T1-T6'!$V$100,'T1-T6'!$V$103,'T1-T6'!$V$106,'T1-T6'!$V$109)</c:f>
              <c:numCache>
                <c:formatCode>_(* #,##0_);_(* \(#,##0\);_(* "-"??_);_(@_)</c:formatCode>
                <c:ptCount val="17"/>
                <c:pt idx="0">
                  <c:v>69091.679999999993</c:v>
                </c:pt>
                <c:pt idx="1">
                  <c:v>88557</c:v>
                </c:pt>
                <c:pt idx="2">
                  <c:v>87861.29</c:v>
                </c:pt>
                <c:pt idx="3" formatCode="#,##0">
                  <c:v>79200</c:v>
                </c:pt>
                <c:pt idx="4" formatCode="#,##0">
                  <c:v>91300</c:v>
                </c:pt>
                <c:pt idx="5" formatCode="#,##0">
                  <c:v>87700</c:v>
                </c:pt>
                <c:pt idx="6" formatCode="#,##0">
                  <c:v>78300</c:v>
                </c:pt>
                <c:pt idx="7" formatCode="#,##0">
                  <c:v>78000</c:v>
                </c:pt>
                <c:pt idx="8" formatCode="#,##0">
                  <c:v>71200</c:v>
                </c:pt>
                <c:pt idx="9" formatCode="#,##0">
                  <c:v>82600</c:v>
                </c:pt>
                <c:pt idx="10" formatCode="#,##0">
                  <c:v>96000</c:v>
                </c:pt>
                <c:pt idx="11" formatCode="#,##0">
                  <c:v>94900</c:v>
                </c:pt>
                <c:pt idx="12" formatCode="#,##0">
                  <c:v>101900</c:v>
                </c:pt>
                <c:pt idx="13" formatCode="#,##0">
                  <c:v>85800</c:v>
                </c:pt>
                <c:pt idx="14" formatCode="#,##0">
                  <c:v>66800</c:v>
                </c:pt>
                <c:pt idx="15" formatCode="#,##0">
                  <c:v>83300</c:v>
                </c:pt>
                <c:pt idx="16" formatCode="#,##0">
                  <c:v>96000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02-40D2-A98C-45A301128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9240576"/>
        <c:axId val="489245168"/>
      </c:lineChart>
      <c:catAx>
        <c:axId val="4892405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245168"/>
        <c:crosses val="autoZero"/>
        <c:auto val="1"/>
        <c:lblAlgn val="ctr"/>
        <c:lblOffset val="100"/>
        <c:noMultiLvlLbl val="0"/>
      </c:catAx>
      <c:valAx>
        <c:axId val="489245168"/>
        <c:scaling>
          <c:orientation val="minMax"/>
          <c:min val="5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24057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33565626246301"/>
          <c:y val="0.67187445319335082"/>
          <c:w val="0.350790779568266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15 Years &amp; Over Separated: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5.5504600386490154E-2"/>
          <c:w val="0.8853947944006999"/>
          <c:h val="0.71480497229512974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('T1-T6'!$V$113,'T1-T6'!$V$116,'T1-T6'!$V$119,'T1-T6'!$V$122,'T1-T6'!$V$125,'T1-T6'!$V$128,'T1-T6'!$V$131,'T1-T6'!$V$134,'T1-T6'!$V$137,'T1-T6'!$V$140,'T1-T6'!$V$143,'T1-T6'!$V$146,'T1-T6'!$V$149,'T1-T6'!$V$152,'T1-T6'!$V$155,'T1-T6'!$V$158,'T1-T6'!$V$161)</c:f>
              <c:numCache>
                <c:formatCode>#,##0</c:formatCode>
                <c:ptCount val="17"/>
                <c:pt idx="0">
                  <c:v>2217.009</c:v>
                </c:pt>
                <c:pt idx="1">
                  <c:v>2231.86</c:v>
                </c:pt>
                <c:pt idx="2">
                  <c:v>2234.5630000000001</c:v>
                </c:pt>
                <c:pt idx="3">
                  <c:v>2285.9180000000001</c:v>
                </c:pt>
                <c:pt idx="4">
                  <c:v>2372.694</c:v>
                </c:pt>
                <c:pt idx="5">
                  <c:v>2455.1390000000001</c:v>
                </c:pt>
                <c:pt idx="6">
                  <c:v>2400</c:v>
                </c:pt>
                <c:pt idx="7">
                  <c:v>2400</c:v>
                </c:pt>
                <c:pt idx="8">
                  <c:v>2293</c:v>
                </c:pt>
                <c:pt idx="9">
                  <c:v>2189</c:v>
                </c:pt>
                <c:pt idx="10">
                  <c:v>2080</c:v>
                </c:pt>
                <c:pt idx="11">
                  <c:v>2000</c:v>
                </c:pt>
                <c:pt idx="12">
                  <c:v>2000</c:v>
                </c:pt>
                <c:pt idx="13">
                  <c:v>1878.1215</c:v>
                </c:pt>
                <c:pt idx="14">
                  <c:v>1865</c:v>
                </c:pt>
                <c:pt idx="15">
                  <c:v>1863.386</c:v>
                </c:pt>
                <c:pt idx="16">
                  <c:v>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1-4B4A-813F-7AFE229EF2CB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('T1-T6'!$P$165,'T1-T6'!$P$116,'T1-T6'!$P$119,'T1-T6'!$P$122,'T1-T6'!$P$125,'T1-T6'!$P$128,'T1-T6'!$P$131,'T1-T6'!$P$134,'T1-T6'!$P$137,'T1-T6'!$P$140,'T1-T6'!$P$143,'T1-T6'!$P$146,'T1-T6'!$P$149,'T1-T6'!$P$152,'T1-T6'!$P$155,'T1-T6'!$P$158,'T1-T6'!$P$161)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('T1-T6'!$V$165,'T1-T6'!$V$168,'T1-T6'!$V$171,'T1-T6'!$V$174,'T1-T6'!$V$177,'T1-T6'!$V$180,'T1-T6'!$V$183,'T1-T6'!$V$186,'T1-T6'!$V$189,'T1-T6'!$V$192,'T1-T6'!$V$195,'T1-T6'!$V$198,'T1-T6'!$V$201,'T1-T6'!$V$204,'T1-T6'!$V$207,'T1-T6'!$V$210,'T1-T6'!$V$213)</c:f>
              <c:numCache>
                <c:formatCode>_(* #,##0_);_(* \(#,##0\);_(* "-"??_);_(@_)</c:formatCode>
                <c:ptCount val="17"/>
                <c:pt idx="0">
                  <c:v>2910.0369999999998</c:v>
                </c:pt>
                <c:pt idx="1">
                  <c:v>2982.7</c:v>
                </c:pt>
                <c:pt idx="2">
                  <c:v>3108.5790000000002</c:v>
                </c:pt>
                <c:pt idx="3" formatCode="#,##0">
                  <c:v>3166.9540000000002</c:v>
                </c:pt>
                <c:pt idx="4" formatCode="#,##0">
                  <c:v>3178.3029999999999</c:v>
                </c:pt>
                <c:pt idx="5" formatCode="#,##0">
                  <c:v>3181.5239999999999</c:v>
                </c:pt>
                <c:pt idx="6" formatCode="#,##0">
                  <c:v>3100</c:v>
                </c:pt>
                <c:pt idx="7" formatCode="#,##0">
                  <c:v>3100</c:v>
                </c:pt>
                <c:pt idx="8" formatCode="#,##0">
                  <c:v>3183</c:v>
                </c:pt>
                <c:pt idx="9" formatCode="#,##0">
                  <c:v>3109</c:v>
                </c:pt>
                <c:pt idx="10" formatCode="#,##0">
                  <c:v>3036</c:v>
                </c:pt>
                <c:pt idx="11" formatCode="#,##0">
                  <c:v>3000</c:v>
                </c:pt>
                <c:pt idx="12" formatCode="#,##0">
                  <c:v>2900</c:v>
                </c:pt>
                <c:pt idx="13" formatCode="#,##0">
                  <c:v>2809.8874999999998</c:v>
                </c:pt>
                <c:pt idx="14" formatCode="#,##0">
                  <c:v>2776</c:v>
                </c:pt>
                <c:pt idx="15" formatCode="#,##0">
                  <c:v>2815.2060000000001</c:v>
                </c:pt>
                <c:pt idx="16" formatCode="#,##0">
                  <c:v>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1-4B4A-813F-7AFE229EF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7427328"/>
        <c:axId val="487431264"/>
      </c:lineChart>
      <c:catAx>
        <c:axId val="487427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431264"/>
        <c:crosses val="autoZero"/>
        <c:auto val="1"/>
        <c:lblAlgn val="ctr"/>
        <c:lblOffset val="100"/>
        <c:noMultiLvlLbl val="0"/>
      </c:catAx>
      <c:valAx>
        <c:axId val="487431264"/>
        <c:scaling>
          <c:orientation val="minMax"/>
          <c:min val="15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42732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21200347678886"/>
          <c:y val="0.61631889763779535"/>
          <c:w val="0.4980692882365254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15 Years &amp; Over Never Married: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29680664916885"/>
          <c:y val="0.17171296296296296"/>
          <c:w val="0.72289960629921257"/>
          <c:h val="0.56107319918343546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('T1-T6'!$P$61,'T1-T6'!$P$64,'T1-T6'!$P$67,'T1-T6'!$P$70,'T1-T6'!$P$73,'T1-T6'!$P$76,'T1-T6'!$P$79,'T1-T6'!$P$82,'T1-T6'!$P$85,'T1-T6'!$P$88,'T1-T6'!$P$91,'T1-T6'!$P$94,'T1-T6'!$P$97,'T1-T6'!$P$100,'T1-T6'!$P$103,'T1-T6'!$P$106,'T1-T6'!$P$109)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('T1-T6'!$W$9,'T1-T6'!$W$12,'T1-T6'!$W$15,'T1-T6'!$W$18,'T1-T6'!$W$21,'T1-T6'!$W$24,'T1-T6'!$W$27,'T1-T6'!$W$30,'T1-T6'!$W$33,'T1-T6'!$W$36,'T1-T6'!$W$39,'T1-T6'!$W$42,'T1-T6'!$W$45,'T1-T6'!$W$48,'T1-T6'!$W$51,'T1-T6'!$W$54,'T1-T6'!$W$57)</c:f>
              <c:numCache>
                <c:formatCode>_(* #,##0_);_(* \(#,##0\);_(* "-"??_);_(@_)</c:formatCode>
                <c:ptCount val="17"/>
                <c:pt idx="0">
                  <c:v>1253455</c:v>
                </c:pt>
                <c:pt idx="1">
                  <c:v>1199894</c:v>
                </c:pt>
                <c:pt idx="2">
                  <c:v>1293732</c:v>
                </c:pt>
                <c:pt idx="3" formatCode="#,##0">
                  <c:v>1331400</c:v>
                </c:pt>
                <c:pt idx="4" formatCode="#,##0">
                  <c:v>1263600</c:v>
                </c:pt>
                <c:pt idx="5" formatCode="#,##0">
                  <c:v>1233400</c:v>
                </c:pt>
                <c:pt idx="6" formatCode="#,##0">
                  <c:v>1285700</c:v>
                </c:pt>
                <c:pt idx="7" formatCode="#,##0">
                  <c:v>1294400</c:v>
                </c:pt>
                <c:pt idx="8" formatCode="#,##0">
                  <c:v>1190000</c:v>
                </c:pt>
                <c:pt idx="9" formatCode="#,##0">
                  <c:v>1180400</c:v>
                </c:pt>
                <c:pt idx="10" formatCode="#,##0">
                  <c:v>1182800</c:v>
                </c:pt>
                <c:pt idx="11" formatCode="#,##0">
                  <c:v>1179300</c:v>
                </c:pt>
                <c:pt idx="12" formatCode="#,##0">
                  <c:v>1183600</c:v>
                </c:pt>
                <c:pt idx="13" formatCode="#,##0">
                  <c:v>1109800</c:v>
                </c:pt>
                <c:pt idx="14" formatCode="#,##0">
                  <c:v>1081700</c:v>
                </c:pt>
                <c:pt idx="15" formatCode="#,##0">
                  <c:v>1040800</c:v>
                </c:pt>
                <c:pt idx="16" formatCode="#,##0">
                  <c:v>983000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F-4B12-B0B9-E7B96219DE97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('T1-T6'!$P$61,'T1-T6'!$P$64,'T1-T6'!$P$67,'T1-T6'!$P$70,'T1-T6'!$P$73,'T1-T6'!$P$76,'T1-T6'!$P$79,'T1-T6'!$P$82,'T1-T6'!$P$85,'T1-T6'!$P$88,'T1-T6'!$P$91,'T1-T6'!$P$94,'T1-T6'!$P$97,'T1-T6'!$P$100,'T1-T6'!$P$103,'T1-T6'!$P$106,'T1-T6'!$P$109)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('T1-T6'!$W$61,'T1-T6'!$W$64,'T1-T6'!$W$67,'T1-T6'!$W$70,'T1-T6'!$W$73,'T1-T6'!$W$76,'T1-T6'!$W$79,'T1-T6'!$W$82,'T1-T6'!$W$85,'T1-T6'!$W$88,'T1-T6'!$W$91,'T1-T6'!$W$94,'T1-T6'!$W$97,'T1-T6'!$W$100,'T1-T6'!$W$103,'T1-T6'!$W$106,'T1-T6'!$W$109)</c:f>
              <c:numCache>
                <c:formatCode>_(* #,##0_);_(* \(#,##0\);_(* "-"??_);_(@_)</c:formatCode>
                <c:ptCount val="17"/>
                <c:pt idx="0">
                  <c:v>1111162</c:v>
                </c:pt>
                <c:pt idx="1">
                  <c:v>1105099</c:v>
                </c:pt>
                <c:pt idx="2">
                  <c:v>1174595</c:v>
                </c:pt>
                <c:pt idx="3" formatCode="#,##0">
                  <c:v>1173400</c:v>
                </c:pt>
                <c:pt idx="4" formatCode="#,##0">
                  <c:v>1112400</c:v>
                </c:pt>
                <c:pt idx="5" formatCode="#,##0">
                  <c:v>1158200</c:v>
                </c:pt>
                <c:pt idx="6" formatCode="#,##0">
                  <c:v>1202200</c:v>
                </c:pt>
                <c:pt idx="7" formatCode="#,##0">
                  <c:v>1117800</c:v>
                </c:pt>
                <c:pt idx="8" formatCode="#,##0">
                  <c:v>1062500</c:v>
                </c:pt>
                <c:pt idx="9" formatCode="#,##0">
                  <c:v>1059800</c:v>
                </c:pt>
                <c:pt idx="10" formatCode="#,##0">
                  <c:v>1007200</c:v>
                </c:pt>
                <c:pt idx="11" formatCode="#,##0">
                  <c:v>975500</c:v>
                </c:pt>
                <c:pt idx="12" formatCode="#,##0">
                  <c:v>972000</c:v>
                </c:pt>
                <c:pt idx="13" formatCode="#,##0">
                  <c:v>976100</c:v>
                </c:pt>
                <c:pt idx="14" formatCode="#,##0">
                  <c:v>983200</c:v>
                </c:pt>
                <c:pt idx="15" formatCode="#,##0">
                  <c:v>959000</c:v>
                </c:pt>
                <c:pt idx="16" formatCode="#,##0">
                  <c:v>929700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F-4B12-B0B9-E7B96219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4968024"/>
        <c:axId val="484969008"/>
      </c:lineChart>
      <c:catAx>
        <c:axId val="484968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969008"/>
        <c:crosses val="autoZero"/>
        <c:auto val="1"/>
        <c:lblAlgn val="ctr"/>
        <c:lblOffset val="100"/>
        <c:noMultiLvlLbl val="0"/>
      </c:catAx>
      <c:valAx>
        <c:axId val="484969008"/>
        <c:scaling>
          <c:orientation val="minMax"/>
          <c:min val="9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968024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727029553874244"/>
          <c:y val="0.22763815981335661"/>
          <c:w val="0.17769736702386427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15 Year &amp; Over Never Married: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97594050743658"/>
          <c:y val="0.17171296296296296"/>
          <c:w val="0.77009580052493443"/>
          <c:h val="0.57125765529308836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('T1-T6'!$P$165,'T1-T6'!$P$168,'T1-T6'!$P$171,'T1-T6'!$P$174,'T1-T6'!$P$177,'T1-T6'!$P$180,'T1-T6'!$P$183,'T1-T6'!$P$186,'T1-T6'!$P$189,'T1-T6'!$P$192,'T1-T6'!$P$195,'T1-T6'!$P$198,'T1-T6'!$P$201,'T1-T6'!$P$204,'T1-T6'!$P$207,'T1-T6'!$P$210,'T1-T6'!$P$213)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('T1-T6'!$W$113,'T1-T6'!$W$116,'T1-T6'!$W$119,'T1-T6'!$W$122,'T1-T6'!$W$125,'T1-T6'!$W$128,'T1-T6'!$W$131,'T1-T6'!$W$134,'T1-T6'!$W$137,'T1-T6'!$W$140,'T1-T6'!$W$143,'T1-T6'!$W$146,'T1-T6'!$W$149,'T1-T6'!$W$152,'T1-T6'!$W$155,'T1-T6'!$W$158,'T1-T6'!$W$161)</c:f>
              <c:numCache>
                <c:formatCode>#,##0</c:formatCode>
                <c:ptCount val="17"/>
                <c:pt idx="0">
                  <c:v>44372.160000000003</c:v>
                </c:pt>
                <c:pt idx="1">
                  <c:v>44063.76</c:v>
                </c:pt>
                <c:pt idx="2">
                  <c:v>43655.41</c:v>
                </c:pt>
                <c:pt idx="3">
                  <c:v>42825.67</c:v>
                </c:pt>
                <c:pt idx="4">
                  <c:v>42087.49</c:v>
                </c:pt>
                <c:pt idx="5">
                  <c:v>41360.9</c:v>
                </c:pt>
                <c:pt idx="6">
                  <c:v>41000</c:v>
                </c:pt>
                <c:pt idx="7">
                  <c:v>40600</c:v>
                </c:pt>
                <c:pt idx="8">
                  <c:v>39650</c:v>
                </c:pt>
                <c:pt idx="9">
                  <c:v>38902</c:v>
                </c:pt>
                <c:pt idx="10">
                  <c:v>38142</c:v>
                </c:pt>
                <c:pt idx="11">
                  <c:v>37300</c:v>
                </c:pt>
                <c:pt idx="12">
                  <c:v>36700</c:v>
                </c:pt>
                <c:pt idx="13">
                  <c:v>36186.514999999999</c:v>
                </c:pt>
                <c:pt idx="14">
                  <c:v>35506</c:v>
                </c:pt>
                <c:pt idx="15">
                  <c:v>34615.33</c:v>
                </c:pt>
                <c:pt idx="16">
                  <c:v>33647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7-457D-894B-C45516261D37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('T1-T6'!$P$165,'T1-T6'!$P$168,'T1-T6'!$P$171,'T1-T6'!$P$174,'T1-T6'!$P$177,'T1-T6'!$P$180,'T1-T6'!$P$183,'T1-T6'!$P$186,'T1-T6'!$P$189,'T1-T6'!$P$192,'T1-T6'!$P$195,'T1-T6'!$P$198,'T1-T6'!$P$201,'T1-T6'!$P$204,'T1-T6'!$P$207,'T1-T6'!$P$210,'T1-T6'!$P$213)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('T1-T6'!$W$165,'T1-T6'!$W$168,'T1-T6'!$W$171,'T1-T6'!$W$174,'T1-T6'!$W$177,'T1-T6'!$W$180,'T1-T6'!$W$183,'T1-T6'!$W$186,'T1-T6'!$W$189,'T1-T6'!$W$192,'T1-T6'!$W$195,'T1-T6'!$W$198,'T1-T6'!$W$201,'T1-T6'!$W$204,'T1-T6'!$W$207,'T1-T6'!$W$210,'T1-T6'!$W$213)</c:f>
              <c:numCache>
                <c:formatCode>_(* #,##0_);_(* \(#,##0\);_(* "-"??_);_(@_)</c:formatCode>
                <c:ptCount val="17"/>
                <c:pt idx="0">
                  <c:v>39478.39</c:v>
                </c:pt>
                <c:pt idx="1">
                  <c:v>39121.81</c:v>
                </c:pt>
                <c:pt idx="2">
                  <c:v>38559.46</c:v>
                </c:pt>
                <c:pt idx="3" formatCode="#,##0">
                  <c:v>37665.24</c:v>
                </c:pt>
                <c:pt idx="4" formatCode="#,##0">
                  <c:v>37102.67</c:v>
                </c:pt>
                <c:pt idx="5" formatCode="#,##0">
                  <c:v>36593.78</c:v>
                </c:pt>
                <c:pt idx="6" formatCode="#,##0">
                  <c:v>35600</c:v>
                </c:pt>
                <c:pt idx="7" formatCode="#,##0">
                  <c:v>34500</c:v>
                </c:pt>
                <c:pt idx="8" formatCode="#,##0">
                  <c:v>33556</c:v>
                </c:pt>
                <c:pt idx="9" formatCode="#,##0">
                  <c:v>32939</c:v>
                </c:pt>
                <c:pt idx="10" formatCode="#,##0">
                  <c:v>32303</c:v>
                </c:pt>
                <c:pt idx="11" formatCode="#,##0">
                  <c:v>31600</c:v>
                </c:pt>
                <c:pt idx="12" formatCode="#,##0">
                  <c:v>31000</c:v>
                </c:pt>
                <c:pt idx="13" formatCode="#,##0">
                  <c:v>30275.544999999998</c:v>
                </c:pt>
                <c:pt idx="14" formatCode="#,##0">
                  <c:v>29758</c:v>
                </c:pt>
                <c:pt idx="15" formatCode="#,##0">
                  <c:v>29214.955000000002</c:v>
                </c:pt>
                <c:pt idx="16" formatCode="#,##0">
                  <c:v>28510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07-457D-894B-C4551626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22051648"/>
        <c:axId val="225654360"/>
      </c:lineChart>
      <c:catAx>
        <c:axId val="322051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54360"/>
        <c:crosses val="autoZero"/>
        <c:auto val="1"/>
        <c:lblAlgn val="ctr"/>
        <c:lblOffset val="100"/>
        <c:noMultiLvlLbl val="0"/>
      </c:catAx>
      <c:valAx>
        <c:axId val="225654360"/>
        <c:scaling>
          <c:orientation val="minMax"/>
          <c:min val="28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0516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42760279965007"/>
          <c:y val="0.5746522309711285"/>
          <c:w val="0.4961750924310456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Population</a:t>
            </a:r>
            <a:r>
              <a:rPr lang="en-US" baseline="0"/>
              <a:t> u</a:t>
            </a:r>
            <a:r>
              <a:rPr lang="en-US"/>
              <a:t>nder</a:t>
            </a:r>
            <a:r>
              <a:rPr lang="en-US" baseline="0"/>
              <a:t> 18 Years Old: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70177967627111E-2"/>
          <c:y val="0.16982600732600733"/>
          <c:w val="0.76603089518186074"/>
          <c:h val="0.59135696980185171"/>
        </c:manualLayout>
      </c:layout>
      <c:lineChart>
        <c:grouping val="standard"/>
        <c:varyColors val="0"/>
        <c:ser>
          <c:idx val="0"/>
          <c:order val="0"/>
          <c:tx>
            <c:v>Under 18 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('T1-T6'!$Y$9,'T1-T6'!$Y$12,'T1-T6'!$Y$15,'T1-T6'!$Y$18,'T1-T6'!$Y$21,'T1-T6'!$Y$24,'T1-T6'!$Y$27,'T1-T6'!$Y$30,'T1-T6'!$Y$33,'T1-T6'!$Y$36,'T1-T6'!$Y$39,'T1-T6'!$Y$42,'T1-T6'!$Y$45,'T1-T6'!$Y$48,'T1-T6'!$Y$51,'T1-T6'!$Y$54,'T1-T6'!$Y$57)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('T1-T6'!$Z$9,'T1-T6'!$Z$12,'T1-T6'!$Z$15,'T1-T6'!$Z$18,'T1-T6'!$Z$21,'T1-T6'!$Z$24,'T1-T6'!$Z$27,'T1-T6'!$Z$30,'T1-T6'!$Z$33,'T1-T6'!$Z$36,'T1-T6'!$Z$39,'T1-T6'!$Z$42,'T1-T6'!$Z$45,'T1-T6'!$Z$48,'T1-T6'!$Z$51,'T1-T6'!$Z$54,'T1-T6'!$Z$57)</c:f>
              <c:numCache>
                <c:formatCode>_(* #,##0_);_(* \(#,##0\);_(* "-"??_);_(@_)</c:formatCode>
                <c:ptCount val="17"/>
                <c:pt idx="0">
                  <c:v>2007979</c:v>
                </c:pt>
                <c:pt idx="1">
                  <c:v>1974699</c:v>
                </c:pt>
                <c:pt idx="2">
                  <c:v>1988384.64</c:v>
                </c:pt>
                <c:pt idx="3" formatCode="#,##0">
                  <c:v>2034000</c:v>
                </c:pt>
                <c:pt idx="4" formatCode="#,##0">
                  <c:v>2045700</c:v>
                </c:pt>
                <c:pt idx="5" formatCode="#,##0">
                  <c:v>2028500</c:v>
                </c:pt>
                <c:pt idx="6" formatCode="#,##0">
                  <c:v>2036800</c:v>
                </c:pt>
                <c:pt idx="7" formatCode="#,##0">
                  <c:v>2050400</c:v>
                </c:pt>
                <c:pt idx="8" formatCode="#,##0">
                  <c:v>2047200</c:v>
                </c:pt>
                <c:pt idx="9" formatCode="#,##0">
                  <c:v>2060000</c:v>
                </c:pt>
                <c:pt idx="10" formatCode="#,##0">
                  <c:v>2080000</c:v>
                </c:pt>
                <c:pt idx="11" formatCode="#,##0">
                  <c:v>2099400</c:v>
                </c:pt>
                <c:pt idx="12" formatCode="#,##0">
                  <c:v>2152100</c:v>
                </c:pt>
                <c:pt idx="13" formatCode="#,##0">
                  <c:v>2158300</c:v>
                </c:pt>
                <c:pt idx="14" formatCode="#,##0">
                  <c:v>2126000</c:v>
                </c:pt>
                <c:pt idx="15" formatCode="#,##0">
                  <c:v>1988500</c:v>
                </c:pt>
                <c:pt idx="16" formatCode="#,##0">
                  <c:v>2012400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1-4913-ACFF-0338800F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35626808"/>
        <c:axId val="535627792"/>
      </c:lineChart>
      <c:catAx>
        <c:axId val="5356268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27792"/>
        <c:crosses val="autoZero"/>
        <c:auto val="1"/>
        <c:lblAlgn val="ctr"/>
        <c:lblOffset val="100"/>
        <c:noMultiLvlLbl val="0"/>
      </c:catAx>
      <c:valAx>
        <c:axId val="535627792"/>
        <c:scaling>
          <c:orientation val="minMax"/>
          <c:min val="195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268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Population under 18 Years Old:</a:t>
            </a:r>
            <a:r>
              <a:rPr lang="en-US" baseline="0"/>
              <a:t>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206474190726162E-2"/>
          <c:y val="0.17171296296296296"/>
          <c:w val="0.8454021098989305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US Under 18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('T1-T6'!$Y$61,'T1-T6'!$Y$64,'T1-T6'!$Y$67,'T1-T6'!$Y$70,'T1-T6'!$Y$73,'T1-T6'!$Y$76,'T1-T6'!$Y$79,'T1-T6'!$Y$82,'T1-T6'!$Y$85,'T1-T6'!$Y$88,'T1-T6'!$Y$91,'T1-T6'!$Y$94,'T1-T6'!$Y$97,'T1-T6'!$Y$100,'T1-T6'!$Y$103,'T1-T6'!$Y$106,'T1-T6'!$Y$109)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('T1-T6'!$Z$61,'T1-T6'!$Z$64,'T1-T6'!$Z$67,'T1-T6'!$Z$70,'T1-T6'!$Z$73,'T1-T6'!$Z$76,'T1-T6'!$Z$79,'T1-T6'!$Z$82,'T1-T6'!$Z$85,'T1-T6'!$Z$88,'T1-T6'!$Z$91,'T1-T6'!$Z$94,'T1-T6'!$Z$97,'T1-T6'!$Z$100,'T1-T6'!$Z$103,'T1-T6'!$Z$106,'T1-T6'!$Z$109)</c:f>
              <c:numCache>
                <c:formatCode>_(* #,##0_);_(* \(#,##0\);_(* "-"??_);_(@_)</c:formatCode>
                <c:ptCount val="17"/>
                <c:pt idx="0">
                  <c:v>73773364</c:v>
                </c:pt>
                <c:pt idx="1">
                  <c:v>73770388</c:v>
                </c:pt>
                <c:pt idx="2">
                  <c:v>73693225</c:v>
                </c:pt>
                <c:pt idx="3" formatCode="#,##0">
                  <c:v>73717700</c:v>
                </c:pt>
                <c:pt idx="4" formatCode="#,##0">
                  <c:v>73885800</c:v>
                </c:pt>
                <c:pt idx="5" formatCode="#,##0">
                  <c:v>73912400</c:v>
                </c:pt>
                <c:pt idx="6" formatCode="#,##0">
                  <c:v>74255000</c:v>
                </c:pt>
                <c:pt idx="7" formatCode="#,##0">
                  <c:v>74701000</c:v>
                </c:pt>
                <c:pt idx="8" formatCode="#,##0">
                  <c:v>74496000</c:v>
                </c:pt>
                <c:pt idx="9" formatCode="#,##0">
                  <c:v>74183000</c:v>
                </c:pt>
                <c:pt idx="10" formatCode="#,##0">
                  <c:v>73956000</c:v>
                </c:pt>
                <c:pt idx="11" formatCode="#,##0">
                  <c:v>73300000</c:v>
                </c:pt>
                <c:pt idx="12" formatCode="#,##0">
                  <c:v>72700000</c:v>
                </c:pt>
                <c:pt idx="13" formatCode="#,##0">
                  <c:v>72617700</c:v>
                </c:pt>
                <c:pt idx="14" formatCode="#,##0">
                  <c:v>72347000</c:v>
                </c:pt>
                <c:pt idx="15" formatCode="#,##0">
                  <c:v>71873000</c:v>
                </c:pt>
                <c:pt idx="16" formatCode="#,##0">
                  <c:v>71472000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78-4728-818A-61E347F7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32696960"/>
        <c:axId val="532696632"/>
      </c:lineChart>
      <c:catAx>
        <c:axId val="532696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696632"/>
        <c:crosses val="autoZero"/>
        <c:auto val="1"/>
        <c:lblAlgn val="ctr"/>
        <c:lblOffset val="100"/>
        <c:noMultiLvlLbl val="0"/>
      </c:catAx>
      <c:valAx>
        <c:axId val="532696632"/>
        <c:scaling>
          <c:orientation val="minMax"/>
          <c:min val="710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69696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Children under 18 Living with 1 or 2 Parents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97160369817488"/>
          <c:y val="0.17171296296296296"/>
          <c:w val="0.76162714343527138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Living with Both Parents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('T1-T6'!$Y$9,'T1-T6'!$Y$12,'T1-T6'!$Y$15,'T1-T6'!$Y$18,'T1-T6'!$Y$21,'T1-T6'!$Y$24,'T1-T6'!$Y$27,'T1-T6'!$Y$30,'T1-T6'!$Y$33,'T1-T6'!$Y$36,'T1-T6'!$Y$39,'T1-T6'!$Y$42,'T1-T6'!$Y$45,'T1-T6'!$Y$48,'T1-T6'!$Y$51,'T1-T6'!$Y$54,'T1-T6'!$Y$57)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('T1-T6'!$AA$9,'T1-T6'!$AA$12,'T1-T6'!$AA$15,'T1-T6'!$AA$18,'T1-T6'!$AA$21,'T1-T6'!$AA$24,'T1-T6'!$AA$27,'T1-T6'!$AA$30,'T1-T6'!$AA$33,'T1-T6'!$AA$36,'T1-T6'!$AA$39,'T1-T6'!$AA$42,'T1-T6'!$AA$45,'T1-T6'!$AA$48,'T1-T6'!$AA$51,'T1-T6'!$AA$54,'T1-T6'!$AA$57)</c:f>
              <c:numCache>
                <c:formatCode>_(* #,##0_);_(* \(#,##0\);_(* "-"??_);_(@_)</c:formatCode>
                <c:ptCount val="17"/>
                <c:pt idx="0">
                  <c:v>1527593</c:v>
                </c:pt>
                <c:pt idx="1">
                  <c:v>1518760</c:v>
                </c:pt>
                <c:pt idx="2">
                  <c:v>1525723</c:v>
                </c:pt>
                <c:pt idx="3" formatCode="#,##0">
                  <c:v>1544100</c:v>
                </c:pt>
                <c:pt idx="4" formatCode="#,##0">
                  <c:v>1499000</c:v>
                </c:pt>
                <c:pt idx="5" formatCode="#,##0">
                  <c:v>1428800</c:v>
                </c:pt>
                <c:pt idx="6" formatCode="#,##0">
                  <c:v>1451900</c:v>
                </c:pt>
                <c:pt idx="7" formatCode="#,##0">
                  <c:v>1495100</c:v>
                </c:pt>
                <c:pt idx="8" formatCode="#,##0">
                  <c:v>1524900</c:v>
                </c:pt>
                <c:pt idx="9" formatCode="#,##0">
                  <c:v>1518900</c:v>
                </c:pt>
                <c:pt idx="10" formatCode="#,##0">
                  <c:v>1520600</c:v>
                </c:pt>
                <c:pt idx="11" formatCode="#,##0">
                  <c:v>1567100</c:v>
                </c:pt>
                <c:pt idx="12" formatCode="#,##0">
                  <c:v>1590600</c:v>
                </c:pt>
                <c:pt idx="13" formatCode="#,##0">
                  <c:v>1582300</c:v>
                </c:pt>
                <c:pt idx="14" formatCode="#,##0">
                  <c:v>1575400</c:v>
                </c:pt>
                <c:pt idx="15" formatCode="#,##0">
                  <c:v>1501100</c:v>
                </c:pt>
                <c:pt idx="16" formatCode="#,##0">
                  <c:v>1499500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8-43CF-81F1-C4716807B059}"/>
            </c:ext>
          </c:extLst>
        </c:ser>
        <c:ser>
          <c:idx val="1"/>
          <c:order val="1"/>
          <c:tx>
            <c:v>Living with 1 Parent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('T1-T6'!$Y$9,'T1-T6'!$Y$12,'T1-T6'!$Y$15,'T1-T6'!$Y$18,'T1-T6'!$Y$21,'T1-T6'!$Y$24,'T1-T6'!$Y$27,'T1-T6'!$Y$30,'T1-T6'!$Y$33,'T1-T6'!$Y$36,'T1-T6'!$Y$39,'T1-T6'!$Y$42,'T1-T6'!$Y$45,'T1-T6'!$Y$48,'T1-T6'!$Y$51,'T1-T6'!$Y$54,'T1-T6'!$Y$57)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('T1-T6'!$AB$9,'T1-T6'!$AB$12,'T1-T6'!$AB$15,'T1-T6'!$AB$18,'T1-T6'!$AB$21,'T1-T6'!$AB$24,'T1-T6'!$AB$27,'T1-T6'!$AB$30,'T1-T6'!$AB$33,'T1-T6'!$AB$36,'T1-T6'!$AB$39,'T1-T6'!$AB$42,'T1-T6'!$AB$45,'T1-T6'!$AB$48,'T1-T6'!$AB$51,'T1-T6'!$AB$54,'T1-T6'!$AB$57)</c:f>
              <c:numCache>
                <c:formatCode>_(* #,##0_);_(* \(#,##0\);_(* "-"??_);_(@_)</c:formatCode>
                <c:ptCount val="17"/>
                <c:pt idx="0">
                  <c:v>413036.35</c:v>
                </c:pt>
                <c:pt idx="1">
                  <c:v>378345.71</c:v>
                </c:pt>
                <c:pt idx="2">
                  <c:v>385923</c:v>
                </c:pt>
                <c:pt idx="3" formatCode="#,##0">
                  <c:v>443200</c:v>
                </c:pt>
                <c:pt idx="4" formatCode="#,##0">
                  <c:v>438800</c:v>
                </c:pt>
                <c:pt idx="5" formatCode="#,##0">
                  <c:v>545900</c:v>
                </c:pt>
                <c:pt idx="6" formatCode="#,##0">
                  <c:v>520100</c:v>
                </c:pt>
                <c:pt idx="7" formatCode="#,##0">
                  <c:v>487200</c:v>
                </c:pt>
                <c:pt idx="8" formatCode="#,##0">
                  <c:v>458000</c:v>
                </c:pt>
                <c:pt idx="9" formatCode="#,##0">
                  <c:v>489600</c:v>
                </c:pt>
                <c:pt idx="10" formatCode="#,##0">
                  <c:v>512400</c:v>
                </c:pt>
                <c:pt idx="11" formatCode="#,##0">
                  <c:v>491800</c:v>
                </c:pt>
                <c:pt idx="12" formatCode="#,##0">
                  <c:v>507600</c:v>
                </c:pt>
                <c:pt idx="13" formatCode="#,##0">
                  <c:v>514300</c:v>
                </c:pt>
                <c:pt idx="14" formatCode="#,##0">
                  <c:v>493500</c:v>
                </c:pt>
                <c:pt idx="15" formatCode="#,##0">
                  <c:v>428500</c:v>
                </c:pt>
                <c:pt idx="16" formatCode="#,##0">
                  <c:v>456700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8-43CF-81F1-C4716807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29120192"/>
        <c:axId val="329110352"/>
      </c:lineChart>
      <c:catAx>
        <c:axId val="3291201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110352"/>
        <c:crosses val="autoZero"/>
        <c:auto val="1"/>
        <c:lblAlgn val="ctr"/>
        <c:lblOffset val="100"/>
        <c:noMultiLvlLbl val="0"/>
      </c:catAx>
      <c:valAx>
        <c:axId val="329110352"/>
        <c:scaling>
          <c:orientation val="minMax"/>
          <c:max val="1700000.0000000002"/>
          <c:min val="3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12019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75841012535919"/>
          <c:y val="0.3804159375911344"/>
          <c:w val="0.3348179779309626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Children under 18 Living with 1 or 2 Parents</a:t>
            </a:r>
          </a:p>
        </c:rich>
      </c:tx>
      <c:layout>
        <c:manualLayout>
          <c:xMode val="edge"/>
          <c:yMode val="edge"/>
          <c:x val="9.0374329290820468E-2"/>
          <c:y val="6.481481481481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219880421368069E-2"/>
          <c:y val="0.17171296296296296"/>
          <c:w val="0.78967293694529317"/>
          <c:h val="0.54977909011373582"/>
        </c:manualLayout>
      </c:layout>
      <c:lineChart>
        <c:grouping val="standard"/>
        <c:varyColors val="0"/>
        <c:ser>
          <c:idx val="0"/>
          <c:order val="0"/>
          <c:tx>
            <c:v>with Both Parents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('T1-T6'!$Y$61,'T1-T6'!$Y$64,'T1-T6'!$Y$67,'T1-T6'!$Y$70,'T1-T6'!$Y$73,'T1-T6'!$Y$76,'T1-T6'!$Y$79,'T1-T6'!$Y$82,'T1-T6'!$Y$85,'T1-T6'!$Y$88,'T1-T6'!$Y$91,'T1-T6'!$Y$94,'T1-T6'!$Y$97,'T1-T6'!$Y$100,'T1-T6'!$Y$103,'T1-T6'!$Y$106,'T1-T6'!$Y$109)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('T1-T6'!$AA$61,'T1-T6'!$AA$64,'T1-T6'!$AA$67,'T1-T6'!$AA$70,'T1-T6'!$AA$73,'T1-T6'!$AA$76,'T1-T6'!$AA$79,'T1-T6'!$AA$82,'T1-T6'!$AA$85,'T1-T6'!$AA$88,'T1-T6'!$AA$91,'T1-T6'!$AA$94,'T1-T6'!$AA$97,'T1-T6'!$AA$100,'T1-T6'!$AA$103,'T1-T6'!$AA$106,'T1-T6'!$AA$109)</c:f>
              <c:numCache>
                <c:formatCode>_(* #,##0_);_(* \(#,##0\);_(* "-"??_);_(@_)</c:formatCode>
                <c:ptCount val="17"/>
                <c:pt idx="0">
                  <c:v>50901130</c:v>
                </c:pt>
                <c:pt idx="1">
                  <c:v>50756160</c:v>
                </c:pt>
                <c:pt idx="2">
                  <c:v>50824790</c:v>
                </c:pt>
                <c:pt idx="3" formatCode="#,##0">
                  <c:v>51096400</c:v>
                </c:pt>
                <c:pt idx="4" formatCode="#,##0">
                  <c:v>50945400</c:v>
                </c:pt>
                <c:pt idx="5" formatCode="#,##0">
                  <c:v>50478000</c:v>
                </c:pt>
                <c:pt idx="6" formatCode="#,##0">
                  <c:v>50873700</c:v>
                </c:pt>
                <c:pt idx="7" formatCode="#,##0">
                  <c:v>51646000</c:v>
                </c:pt>
                <c:pt idx="8" formatCode="#,##0">
                  <c:v>51839000</c:v>
                </c:pt>
                <c:pt idx="9" formatCode="#,##0">
                  <c:v>51820000</c:v>
                </c:pt>
                <c:pt idx="10" formatCode="#,##0">
                  <c:v>51985000</c:v>
                </c:pt>
                <c:pt idx="11" formatCode="#,##0">
                  <c:v>50900000</c:v>
                </c:pt>
                <c:pt idx="12" formatCode="#,##0">
                  <c:v>49600000</c:v>
                </c:pt>
                <c:pt idx="13" formatCode="#,##0">
                  <c:v>49579100</c:v>
                </c:pt>
                <c:pt idx="14" formatCode="#,##0">
                  <c:v>49747000</c:v>
                </c:pt>
                <c:pt idx="15" formatCode="#,##0">
                  <c:v>49791000</c:v>
                </c:pt>
                <c:pt idx="16" formatCode="#,##0">
                  <c:v>49926000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73-4822-82B3-F98A2BDA7A5A}"/>
            </c:ext>
          </c:extLst>
        </c:ser>
        <c:ser>
          <c:idx val="1"/>
          <c:order val="1"/>
          <c:tx>
            <c:v>with 1 Parent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('T1-T6'!$Y$61,'T1-T6'!$Y$64,'T1-T6'!$Y$67,'T1-T6'!$Y$70,'T1-T6'!$Y$73,'T1-T6'!$Y$76,'T1-T6'!$Y$79,'T1-T6'!$Y$82,'T1-T6'!$Y$85,'T1-T6'!$Y$88,'T1-T6'!$Y$91,'T1-T6'!$Y$94,'T1-T6'!$Y$97,'T1-T6'!$Y$100,'T1-T6'!$Y$103,'T1-T6'!$Y$106,'T1-T6'!$Y$109)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('T1-T6'!$AB$61,'T1-T6'!$AB$64,'T1-T6'!$AB$67,'T1-T6'!$AB$70,'T1-T6'!$AB$73,'T1-T6'!$AB$76,'T1-T6'!$AB$79,'T1-T6'!$AB$82,'T1-T6'!$AB$85,'T1-T6'!$AB$88,'T1-T6'!$AB$91,'T1-T6'!$AB$94,'T1-T6'!$AB$97,'T1-T6'!$AB$100,'T1-T6'!$AB$103,'T1-T6'!$AB$106,'T1-T6'!$AB$109)</c:f>
              <c:numCache>
                <c:formatCode>_(* #,##0_);_(* \(#,##0\);_(* "-"??_);_(@_)</c:formatCode>
                <c:ptCount val="17"/>
                <c:pt idx="0">
                  <c:v>19811150</c:v>
                </c:pt>
                <c:pt idx="1">
                  <c:v>20102990</c:v>
                </c:pt>
                <c:pt idx="2">
                  <c:v>19997870</c:v>
                </c:pt>
                <c:pt idx="3" formatCode="#,##0">
                  <c:v>19796700</c:v>
                </c:pt>
                <c:pt idx="4" formatCode="#,##0">
                  <c:v>20199300</c:v>
                </c:pt>
                <c:pt idx="5" formatCode="#,##0">
                  <c:v>20751000</c:v>
                </c:pt>
                <c:pt idx="6" formatCode="#,##0">
                  <c:v>20608400</c:v>
                </c:pt>
                <c:pt idx="7" formatCode="#,##0">
                  <c:v>20081000</c:v>
                </c:pt>
                <c:pt idx="8" formatCode="#,##0">
                  <c:v>19647000</c:v>
                </c:pt>
                <c:pt idx="9" formatCode="#,##0">
                  <c:v>19462000</c:v>
                </c:pt>
                <c:pt idx="10" formatCode="#,##0">
                  <c:v>19281000</c:v>
                </c:pt>
                <c:pt idx="11" formatCode="#,##0">
                  <c:v>19800000</c:v>
                </c:pt>
                <c:pt idx="12" formatCode="#,##0">
                  <c:v>20600000</c:v>
                </c:pt>
                <c:pt idx="13" formatCode="#,##0">
                  <c:v>20587200</c:v>
                </c:pt>
                <c:pt idx="14" formatCode="#,##0">
                  <c:v>20305000</c:v>
                </c:pt>
                <c:pt idx="15" formatCode="#,##0">
                  <c:v>19938000</c:v>
                </c:pt>
                <c:pt idx="16" formatCode="#,##0">
                  <c:v>19395000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3-4822-82B3-F98A2BDA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5470360"/>
        <c:axId val="485471016"/>
      </c:lineChart>
      <c:catAx>
        <c:axId val="4854703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471016"/>
        <c:crosses val="autoZero"/>
        <c:auto val="1"/>
        <c:lblAlgn val="ctr"/>
        <c:lblOffset val="100"/>
        <c:noMultiLvlLbl val="0"/>
      </c:catAx>
      <c:valAx>
        <c:axId val="485471016"/>
        <c:scaling>
          <c:orientation val="minMax"/>
          <c:min val="150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47036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66517290244831"/>
          <c:y val="0.44523075240594928"/>
          <c:w val="0.2699020708434381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Children under 18 Not Living with Parent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90534761570694"/>
          <c:y val="9.8112724462274037E-2"/>
          <c:w val="0.75449252835647862"/>
          <c:h val="0.6806532043821848"/>
        </c:manualLayout>
      </c:layout>
      <c:lineChart>
        <c:grouping val="standard"/>
        <c:varyColors val="0"/>
        <c:ser>
          <c:idx val="1"/>
          <c:order val="0"/>
          <c:tx>
            <c:v>Not Living with Parent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('T1-T6'!$Y$9,'T1-T6'!$Y$12,'T1-T6'!$Y$15,'T1-T6'!$Y$18,'T1-T6'!$Y$21,'T1-T6'!$Y$24,'T1-T6'!$Y$27,'T1-T6'!$Y$30,'T1-T6'!$Y$33,'T1-T6'!$Y$36,'T1-T6'!$Y$39,'T1-T6'!$Y$42,'T1-T6'!$Y$45,'T1-T6'!$Y$48,'T1-T6'!$Y$51,'T1-T6'!$Y$54,'T1-T6'!$Y$57)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('T1-T6'!$AC$9,'T1-T6'!$AC$12,'T1-T6'!$AC$15,'T1-T6'!$AC$18,'T1-T6'!$AC$21,'T1-T6'!$AC$24,'T1-T6'!$AC$27,'T1-T6'!$AC$30,'T1-T6'!$AC$33,'T1-T6'!$AC$36,'T1-T6'!$AC$39,'T1-T6'!$AC$42,'T1-T6'!$AC$45,'T1-T6'!$AC$48,'T1-T6'!$AC$51,'T1-T6'!$AC$54,'T1-T6'!$AC$57)</c:f>
              <c:numCache>
                <c:formatCode>_(* #,##0_);_(* \(#,##0\);_(* "-"??_);_(@_)</c:formatCode>
                <c:ptCount val="17"/>
                <c:pt idx="0">
                  <c:v>67349.820000000007</c:v>
                </c:pt>
                <c:pt idx="1">
                  <c:v>77593.48</c:v>
                </c:pt>
                <c:pt idx="2">
                  <c:v>76738.64</c:v>
                </c:pt>
                <c:pt idx="3" formatCode="#,##0">
                  <c:v>46800</c:v>
                </c:pt>
                <c:pt idx="4" formatCode="#,##0">
                  <c:v>75400</c:v>
                </c:pt>
                <c:pt idx="5" formatCode="#,##0">
                  <c:v>53800</c:v>
                </c:pt>
                <c:pt idx="6" formatCode="#,##0">
                  <c:v>64800</c:v>
                </c:pt>
                <c:pt idx="7" formatCode="#,##0">
                  <c:v>68100</c:v>
                </c:pt>
                <c:pt idx="8" formatCode="#,##0">
                  <c:v>64300</c:v>
                </c:pt>
                <c:pt idx="9" formatCode="#,##0">
                  <c:v>51500</c:v>
                </c:pt>
                <c:pt idx="10" formatCode="#,##0">
                  <c:v>47000</c:v>
                </c:pt>
                <c:pt idx="11" formatCode="#,##0">
                  <c:v>40500</c:v>
                </c:pt>
                <c:pt idx="12" formatCode="#,##0">
                  <c:v>53900</c:v>
                </c:pt>
                <c:pt idx="13" formatCode="#,##0">
                  <c:v>61700</c:v>
                </c:pt>
                <c:pt idx="14" formatCode="#,##0">
                  <c:v>57100</c:v>
                </c:pt>
                <c:pt idx="15" formatCode="#,##0">
                  <c:v>58900</c:v>
                </c:pt>
                <c:pt idx="16" formatCode="#,##0">
                  <c:v>56100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4-4C5A-B118-9463CA9D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32747800"/>
        <c:axId val="532743864"/>
      </c:lineChart>
      <c:catAx>
        <c:axId val="5327478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743864"/>
        <c:crosses val="autoZero"/>
        <c:auto val="1"/>
        <c:lblAlgn val="ctr"/>
        <c:lblOffset val="100"/>
        <c:noMultiLvlLbl val="0"/>
      </c:catAx>
      <c:valAx>
        <c:axId val="532743864"/>
        <c:scaling>
          <c:orientation val="minMax"/>
          <c:min val="4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7478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Non-Family Households: 2001~2018</a:t>
            </a:r>
          </a:p>
        </c:rich>
      </c:tx>
      <c:layout>
        <c:manualLayout>
          <c:xMode val="edge"/>
          <c:yMode val="edge"/>
          <c:x val="0.13063888888888889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61045494313211"/>
          <c:y val="0.17171296296296296"/>
          <c:w val="0.7365859580052494"/>
          <c:h val="0.55235126859142603"/>
        </c:manualLayout>
      </c:layout>
      <c:lineChart>
        <c:grouping val="standard"/>
        <c:varyColors val="0"/>
        <c:ser>
          <c:idx val="0"/>
          <c:order val="0"/>
          <c:tx>
            <c:v>Non-Family Households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('T1-T6'!$A$6,'T1-T6'!$A$9,'T1-T6'!$A$12,'T1-T6'!$A$15,'T1-T6'!$A$18,'T1-T6'!$A$21,'T1-T6'!$A$24,'T1-T6'!$A$27,'T1-T6'!$A$30,'T1-T6'!$A$33,'T1-T6'!$A$36,'T1-T6'!$A$39,'T1-T6'!$A$42,'T1-T6'!$A$45,'T1-T6'!$A$48,'T1-T6'!$A$51,'T1-T6'!$A$54)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('T1-T6'!$D$6,'T1-T6'!$D$9,'T1-T6'!$D$12,'T1-T6'!$D$15,'T1-T6'!$D$18,'T1-T6'!$D$21,'T1-T6'!$D$24,'T1-T6'!$D$27,'T1-T6'!$D$30,'T1-T6'!$D$33,'T1-T6'!$D$36,'T1-T6'!$D$39,'T1-T6'!$D$42,'T1-T6'!$D$45,'T1-T6'!$D$48,'T1-T6'!$D$51,'T1-T6'!$D$54)</c:f>
              <c:numCache>
                <c:formatCode>_(* #,##0_);_(* \(#,##0\);_(* "-"??_);_(@_)</c:formatCode>
                <c:ptCount val="17"/>
                <c:pt idx="0">
                  <c:v>1105316.77</c:v>
                </c:pt>
                <c:pt idx="1">
                  <c:v>1105303.31</c:v>
                </c:pt>
                <c:pt idx="2">
                  <c:v>1059171</c:v>
                </c:pt>
                <c:pt idx="3" formatCode="#,##0">
                  <c:v>1079900</c:v>
                </c:pt>
                <c:pt idx="4" formatCode="#,##0">
                  <c:v>1076500</c:v>
                </c:pt>
                <c:pt idx="5" formatCode="#,##0">
                  <c:v>1013100</c:v>
                </c:pt>
                <c:pt idx="6" formatCode="#,##0">
                  <c:v>1012300</c:v>
                </c:pt>
                <c:pt idx="7" formatCode="#,##0">
                  <c:v>985800</c:v>
                </c:pt>
                <c:pt idx="8" formatCode="#,##0">
                  <c:v>967000</c:v>
                </c:pt>
                <c:pt idx="9" formatCode="#,##0">
                  <c:v>1015200</c:v>
                </c:pt>
                <c:pt idx="10" formatCode="#,##0">
                  <c:v>967200</c:v>
                </c:pt>
                <c:pt idx="11" formatCode="#,##0">
                  <c:v>880300</c:v>
                </c:pt>
                <c:pt idx="12" formatCode="#,##0">
                  <c:v>920000</c:v>
                </c:pt>
                <c:pt idx="13" formatCode="#,##0">
                  <c:v>969700</c:v>
                </c:pt>
                <c:pt idx="14" formatCode="#,##0">
                  <c:v>959400</c:v>
                </c:pt>
                <c:pt idx="15" formatCode="#,##0">
                  <c:v>953500</c:v>
                </c:pt>
                <c:pt idx="16" formatCode="#,##0">
                  <c:v>948500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A-4EFC-B201-654D07E01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41875456"/>
        <c:axId val="441874800"/>
      </c:lineChart>
      <c:catAx>
        <c:axId val="441875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74800"/>
        <c:crosses val="autoZero"/>
        <c:auto val="1"/>
        <c:lblAlgn val="ctr"/>
        <c:lblOffset val="100"/>
        <c:noMultiLvlLbl val="0"/>
      </c:catAx>
      <c:valAx>
        <c:axId val="441874800"/>
        <c:scaling>
          <c:orientation val="minMax"/>
          <c:min val="8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754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Children under 18 Not</a:t>
            </a:r>
            <a:r>
              <a:rPr lang="en-US" baseline="0"/>
              <a:t> Living with Parent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783834768340291E-2"/>
          <c:y val="0.17171296296296296"/>
          <c:w val="0.80541247747618483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US Under 18 not living with parent</c:v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('T1-T6'!$Y$61,'T1-T6'!$Y$64,'T1-T6'!$Y$67,'T1-T6'!$Y$70,'T1-T6'!$Y$73,'T1-T6'!$Y$76,'T1-T6'!$Y$79,'T1-T6'!$Y$82,'T1-T6'!$Y$85,'T1-T6'!$Y$88,'T1-T6'!$Y$91,'T1-T6'!$Y$94,'T1-T6'!$Y$97,'T1-T6'!$Y$100,'T1-T6'!$Y$103,'T1-T6'!$Y$106,'T1-T6'!$Y$109)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('T1-T6'!$AC$61,'T1-T6'!$AC$64,'T1-T6'!$AC$67,'T1-T6'!$AC$70,'T1-T6'!$AC$73,'T1-T6'!$AC$76,'T1-T6'!$AC$79,'T1-T6'!$AC$82,'T1-T6'!$AC$85,'T1-T6'!$AC$88,'T1-T6'!$AC$91,'T1-T6'!$AC$94,'T1-T6'!$AC$97,'T1-T6'!$AC$100,'T1-T6'!$AC$103,'T1-T6'!$AC$106,'T1-T6'!$AC$109)</c:f>
              <c:numCache>
                <c:formatCode>_(* #,##0_);_(* \(#,##0\);_(* "-"??_);_(@_)</c:formatCode>
                <c:ptCount val="17"/>
                <c:pt idx="0">
                  <c:v>3061084</c:v>
                </c:pt>
                <c:pt idx="1">
                  <c:v>2911238</c:v>
                </c:pt>
                <c:pt idx="2">
                  <c:v>2870565</c:v>
                </c:pt>
                <c:pt idx="3" formatCode="#,##0">
                  <c:v>2824600</c:v>
                </c:pt>
                <c:pt idx="4" formatCode="#,##0">
                  <c:v>2741100</c:v>
                </c:pt>
                <c:pt idx="5" formatCode="#,##0">
                  <c:v>2683500</c:v>
                </c:pt>
                <c:pt idx="6" formatCode="#,##0">
                  <c:v>2772800</c:v>
                </c:pt>
                <c:pt idx="7" formatCode="#,##0">
                  <c:v>2975000</c:v>
                </c:pt>
                <c:pt idx="8" formatCode="#,##0">
                  <c:v>3010000</c:v>
                </c:pt>
                <c:pt idx="9" formatCode="#,##0">
                  <c:v>2900000</c:v>
                </c:pt>
                <c:pt idx="10" formatCode="#,##0">
                  <c:v>2690000</c:v>
                </c:pt>
                <c:pt idx="11" formatCode="#,##0">
                  <c:v>2500000</c:v>
                </c:pt>
                <c:pt idx="12" formatCode="#,##0">
                  <c:v>2500000</c:v>
                </c:pt>
                <c:pt idx="13" formatCode="#,##0">
                  <c:v>2451400</c:v>
                </c:pt>
                <c:pt idx="14" formatCode="#,##0">
                  <c:v>2296000</c:v>
                </c:pt>
                <c:pt idx="15" formatCode="#,##0">
                  <c:v>2143000</c:v>
                </c:pt>
                <c:pt idx="16" formatCode="#,##0">
                  <c:v>2150000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4-4D26-BF4B-9B5F95B6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92460160"/>
        <c:axId val="492502800"/>
      </c:lineChart>
      <c:catAx>
        <c:axId val="4924601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502800"/>
        <c:crosses val="autoZero"/>
        <c:auto val="1"/>
        <c:lblAlgn val="ctr"/>
        <c:lblOffset val="100"/>
        <c:noMultiLvlLbl val="0"/>
      </c:catAx>
      <c:valAx>
        <c:axId val="492502800"/>
        <c:scaling>
          <c:orientation val="minMax"/>
          <c:min val="20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46016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16 Year &amp; Over Labor Force Participation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98140857392825"/>
          <c:y val="6.0185185185185182E-2"/>
          <c:w val="0.78547922134733161"/>
          <c:h val="0.69470435987168266"/>
        </c:manualLayout>
      </c:layout>
      <c:lineChart>
        <c:grouping val="standard"/>
        <c:varyColors val="0"/>
        <c:ser>
          <c:idx val="0"/>
          <c:order val="0"/>
          <c:tx>
            <c:v>All Person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'T1-T6'!$AH$9:$AH$25</c:f>
              <c:numCache>
                <c:formatCode>0.00%</c:formatCode>
                <c:ptCount val="17"/>
                <c:pt idx="0">
                  <c:v>0.62139999999999995</c:v>
                </c:pt>
                <c:pt idx="1">
                  <c:v>0.63852033226086258</c:v>
                </c:pt>
                <c:pt idx="2">
                  <c:v>0.64504028643599054</c:v>
                </c:pt>
                <c:pt idx="3">
                  <c:v>0.63856716840646865</c:v>
                </c:pt>
                <c:pt idx="4">
                  <c:v>0.64974784563688415</c:v>
                </c:pt>
                <c:pt idx="5">
                  <c:v>0.65921206291857648</c:v>
                </c:pt>
                <c:pt idx="6">
                  <c:v>0.66153868587593689</c:v>
                </c:pt>
                <c:pt idx="7">
                  <c:v>0.67047788280874487</c:v>
                </c:pt>
                <c:pt idx="8">
                  <c:v>0.66470735551921745</c:v>
                </c:pt>
                <c:pt idx="9">
                  <c:v>0.6603013132259552</c:v>
                </c:pt>
                <c:pt idx="10">
                  <c:v>0.66701091767483034</c:v>
                </c:pt>
                <c:pt idx="11">
                  <c:v>0.67400965049939143</c:v>
                </c:pt>
                <c:pt idx="12">
                  <c:v>0.66874659373844403</c:v>
                </c:pt>
                <c:pt idx="13">
                  <c:v>0.66207374644582773</c:v>
                </c:pt>
                <c:pt idx="14">
                  <c:v>0.66411874016657912</c:v>
                </c:pt>
                <c:pt idx="15">
                  <c:v>0.65577705645514739</c:v>
                </c:pt>
                <c:pt idx="16">
                  <c:v>0.65143643031784837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A0-4CE5-B5AA-0DBD4F834B6F}"/>
            </c:ext>
          </c:extLst>
        </c:ser>
        <c:ser>
          <c:idx val="1"/>
          <c:order val="1"/>
          <c:tx>
            <c:v>Men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'T1-T6'!$AH$28:$AH$44</c:f>
              <c:numCache>
                <c:formatCode>0.00%</c:formatCode>
                <c:ptCount val="17"/>
                <c:pt idx="0">
                  <c:v>0.68211762678650756</c:v>
                </c:pt>
                <c:pt idx="1">
                  <c:v>0.71082388227302551</c:v>
                </c:pt>
                <c:pt idx="2">
                  <c:v>0.7214203233256351</c:v>
                </c:pt>
                <c:pt idx="3">
                  <c:v>0.72034848935789519</c:v>
                </c:pt>
                <c:pt idx="4">
                  <c:v>0.7289806324826229</c:v>
                </c:pt>
                <c:pt idx="5">
                  <c:v>0.73491731759400492</c:v>
                </c:pt>
                <c:pt idx="6">
                  <c:v>0.74177145814937739</c:v>
                </c:pt>
                <c:pt idx="7">
                  <c:v>0.75278069254984259</c:v>
                </c:pt>
                <c:pt idx="8">
                  <c:v>0.74513469612921024</c:v>
                </c:pt>
                <c:pt idx="9">
                  <c:v>0.72799900137311202</c:v>
                </c:pt>
                <c:pt idx="10">
                  <c:v>0.74415744157441577</c:v>
                </c:pt>
                <c:pt idx="11">
                  <c:v>0.76702617547261276</c:v>
                </c:pt>
                <c:pt idx="12">
                  <c:v>0.76110403966845719</c:v>
                </c:pt>
                <c:pt idx="13">
                  <c:v>0.74656946061754037</c:v>
                </c:pt>
                <c:pt idx="14">
                  <c:v>0.7365523255578299</c:v>
                </c:pt>
                <c:pt idx="15">
                  <c:v>0.72263159201026006</c:v>
                </c:pt>
                <c:pt idx="16">
                  <c:v>0.72511825076912417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0-4CE5-B5AA-0DBD4F834B6F}"/>
            </c:ext>
          </c:extLst>
        </c:ser>
        <c:ser>
          <c:idx val="2"/>
          <c:order val="2"/>
          <c:tx>
            <c:v>Women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'T1-T6'!$AH$47:$AH$63</c:f>
              <c:numCache>
                <c:formatCode>0.00%</c:formatCode>
                <c:ptCount val="17"/>
                <c:pt idx="0">
                  <c:v>0.564558</c:v>
                </c:pt>
                <c:pt idx="1">
                  <c:v>0.57130741804839213</c:v>
                </c:pt>
                <c:pt idx="2">
                  <c:v>0.57309149972929074</c:v>
                </c:pt>
                <c:pt idx="3">
                  <c:v>0.56225975900080161</c:v>
                </c:pt>
                <c:pt idx="4">
                  <c:v>0.57729271665640192</c:v>
                </c:pt>
                <c:pt idx="5">
                  <c:v>0.59125044720754338</c:v>
                </c:pt>
                <c:pt idx="6">
                  <c:v>0.58781552582974195</c:v>
                </c:pt>
                <c:pt idx="7">
                  <c:v>0.59268596680074792</c:v>
                </c:pt>
                <c:pt idx="8">
                  <c:v>0.59026438216271426</c:v>
                </c:pt>
                <c:pt idx="9">
                  <c:v>0.59869299616422789</c:v>
                </c:pt>
                <c:pt idx="10">
                  <c:v>0.59585933068633012</c:v>
                </c:pt>
                <c:pt idx="11">
                  <c:v>0.58672352523098792</c:v>
                </c:pt>
                <c:pt idx="12">
                  <c:v>0.58220076008707533</c:v>
                </c:pt>
                <c:pt idx="13">
                  <c:v>0.5841857182970982</c:v>
                </c:pt>
                <c:pt idx="14">
                  <c:v>0.59766227411693351</c:v>
                </c:pt>
                <c:pt idx="15">
                  <c:v>0.5945094504582551</c:v>
                </c:pt>
                <c:pt idx="16">
                  <c:v>0.58533085034303889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0-4CE5-B5AA-0DBD4F834B6F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'T1-T6'!$AH$85:$AH$101</c:f>
              <c:numCache>
                <c:formatCode>0.00%</c:formatCode>
                <c:ptCount val="17"/>
                <c:pt idx="0">
                  <c:v>0.61814999999999998</c:v>
                </c:pt>
                <c:pt idx="1">
                  <c:v>0.6397885853526537</c:v>
                </c:pt>
                <c:pt idx="2">
                  <c:v>0.65016872890888644</c:v>
                </c:pt>
                <c:pt idx="3">
                  <c:v>0.64128824592325673</c:v>
                </c:pt>
                <c:pt idx="4">
                  <c:v>0.64635904925532051</c:v>
                </c:pt>
                <c:pt idx="5">
                  <c:v>0.65847626056360753</c:v>
                </c:pt>
                <c:pt idx="6">
                  <c:v>0.664343325588863</c:v>
                </c:pt>
                <c:pt idx="7">
                  <c:v>0.67336881900426959</c:v>
                </c:pt>
                <c:pt idx="8">
                  <c:v>0.67228071526187139</c:v>
                </c:pt>
                <c:pt idx="9">
                  <c:v>0.66866481821376977</c:v>
                </c:pt>
                <c:pt idx="10">
                  <c:v>0.66916714752837081</c:v>
                </c:pt>
                <c:pt idx="11">
                  <c:v>0.67012378094523628</c:v>
                </c:pt>
                <c:pt idx="12">
                  <c:v>0.6655639482745066</c:v>
                </c:pt>
                <c:pt idx="13">
                  <c:v>0.66416737491012268</c:v>
                </c:pt>
                <c:pt idx="14">
                  <c:v>0.66311202748952003</c:v>
                </c:pt>
                <c:pt idx="15">
                  <c:v>0.64679582712369599</c:v>
                </c:pt>
                <c:pt idx="16">
                  <c:v>0.6410125674963516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0-4CE5-B5AA-0DBD4F834B6F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'T1-T6'!$AH$104:$AH$120</c:f>
              <c:numCache>
                <c:formatCode>0.00%</c:formatCode>
                <c:ptCount val="17"/>
                <c:pt idx="0">
                  <c:v>0.62079899999999999</c:v>
                </c:pt>
                <c:pt idx="1">
                  <c:v>0.60085743472273534</c:v>
                </c:pt>
                <c:pt idx="2">
                  <c:v>0.59819639278557113</c:v>
                </c:pt>
                <c:pt idx="3">
                  <c:v>0.5952523436327648</c:v>
                </c:pt>
                <c:pt idx="4">
                  <c:v>0.62196836237107223</c:v>
                </c:pt>
                <c:pt idx="5">
                  <c:v>0.63665891019911813</c:v>
                </c:pt>
                <c:pt idx="6">
                  <c:v>0.62304000000000004</c:v>
                </c:pt>
                <c:pt idx="7">
                  <c:v>0.63931922321623391</c:v>
                </c:pt>
                <c:pt idx="8">
                  <c:v>0.62878285840512482</c:v>
                </c:pt>
                <c:pt idx="9">
                  <c:v>0.60232531888475005</c:v>
                </c:pt>
                <c:pt idx="10">
                  <c:v>0.625</c:v>
                </c:pt>
                <c:pt idx="11">
                  <c:v>0.66045228902371766</c:v>
                </c:pt>
                <c:pt idx="12">
                  <c:v>0.654035815560843</c:v>
                </c:pt>
                <c:pt idx="13">
                  <c:v>0.63309633697163847</c:v>
                </c:pt>
                <c:pt idx="14">
                  <c:v>0.65222091943934168</c:v>
                </c:pt>
                <c:pt idx="15">
                  <c:v>0.67643892456209209</c:v>
                </c:pt>
                <c:pt idx="16">
                  <c:v>0.68438401064571208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A0-4CE5-B5AA-0DBD4F834B6F}"/>
            </c:ext>
          </c:extLst>
        </c:ser>
        <c:ser>
          <c:idx val="5"/>
          <c:order val="5"/>
          <c:tx>
            <c:v>Hispanics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'T1-T6'!$AH$142:$AH$158</c:f>
              <c:numCache>
                <c:formatCode>0.00%</c:formatCode>
                <c:ptCount val="17"/>
                <c:pt idx="0">
                  <c:v>0.65334400000000004</c:v>
                </c:pt>
                <c:pt idx="1">
                  <c:v>0.66738173675705093</c:v>
                </c:pt>
                <c:pt idx="2">
                  <c:v>0.68439459370364253</c:v>
                </c:pt>
                <c:pt idx="3">
                  <c:v>0.68035024532804333</c:v>
                </c:pt>
                <c:pt idx="4">
                  <c:v>0.69946947436059626</c:v>
                </c:pt>
                <c:pt idx="5">
                  <c:v>0.71814656474870664</c:v>
                </c:pt>
                <c:pt idx="6">
                  <c:v>0.72371481273558413</c:v>
                </c:pt>
                <c:pt idx="7">
                  <c:v>0.73228155339805823</c:v>
                </c:pt>
                <c:pt idx="8">
                  <c:v>0.71486393386152258</c:v>
                </c:pt>
                <c:pt idx="9">
                  <c:v>0.71133363677742378</c:v>
                </c:pt>
                <c:pt idx="10">
                  <c:v>0.73198847262247835</c:v>
                </c:pt>
                <c:pt idx="11">
                  <c:v>0.74329355608591885</c:v>
                </c:pt>
                <c:pt idx="12">
                  <c:v>0.73168937718686111</c:v>
                </c:pt>
                <c:pt idx="13">
                  <c:v>0.71183248250988174</c:v>
                </c:pt>
                <c:pt idx="14">
                  <c:v>0.68743192412233767</c:v>
                </c:pt>
                <c:pt idx="15">
                  <c:v>0.67446801393616296</c:v>
                </c:pt>
                <c:pt idx="16">
                  <c:v>0.67044454069861237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A0-4CE5-B5AA-0DBD4F834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31851280"/>
        <c:axId val="531875880"/>
      </c:lineChart>
      <c:catAx>
        <c:axId val="5318512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875880"/>
        <c:crosses val="autoZero"/>
        <c:auto val="1"/>
        <c:lblAlgn val="ctr"/>
        <c:lblOffset val="100"/>
        <c:noMultiLvlLbl val="0"/>
      </c:catAx>
      <c:valAx>
        <c:axId val="531875880"/>
        <c:scaling>
          <c:orientation val="minMax"/>
          <c:min val="0.5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85128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000000000000001E-2"/>
          <c:y val="0.64409667541557303"/>
          <c:w val="0.8999999202919863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16 Years &amp; Over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04068241469816"/>
          <c:y val="5.0925925925925923E-2"/>
          <c:w val="0.7728125546806649"/>
          <c:h val="0.72248213764946045"/>
        </c:manualLayout>
      </c:layout>
      <c:lineChart>
        <c:grouping val="standard"/>
        <c:varyColors val="0"/>
        <c:ser>
          <c:idx val="0"/>
          <c:order val="0"/>
          <c:tx>
            <c:v>All Person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'T1-T6'!$AK$9:$AK$25</c:f>
              <c:numCache>
                <c:formatCode>0.00%</c:formatCode>
                <c:ptCount val="17"/>
                <c:pt idx="0">
                  <c:v>4.1700000000000001E-2</c:v>
                </c:pt>
                <c:pt idx="1">
                  <c:v>5.0505971924150288E-2</c:v>
                </c:pt>
                <c:pt idx="2">
                  <c:v>6.4220735940985055E-2</c:v>
                </c:pt>
                <c:pt idx="3">
                  <c:v>7.0509819709239363E-2</c:v>
                </c:pt>
                <c:pt idx="4">
                  <c:v>8.3405853268646274E-2</c:v>
                </c:pt>
                <c:pt idx="5">
                  <c:v>9.2409218774922877E-2</c:v>
                </c:pt>
                <c:pt idx="6">
                  <c:v>9.996252782859788E-2</c:v>
                </c:pt>
                <c:pt idx="7">
                  <c:v>0.10588056394325811</c:v>
                </c:pt>
                <c:pt idx="8">
                  <c:v>9.4567939540347062E-2</c:v>
                </c:pt>
                <c:pt idx="9">
                  <c:v>6.6512005045272313E-2</c:v>
                </c:pt>
                <c:pt idx="10">
                  <c:v>5.1537270515372706E-2</c:v>
                </c:pt>
                <c:pt idx="11">
                  <c:v>5.4878579510836634E-2</c:v>
                </c:pt>
                <c:pt idx="12">
                  <c:v>5.1773889272579941E-2</c:v>
                </c:pt>
                <c:pt idx="13">
                  <c:v>5.2114418763336619E-2</c:v>
                </c:pt>
                <c:pt idx="14">
                  <c:v>5.9191242550664984E-2</c:v>
                </c:pt>
                <c:pt idx="15">
                  <c:v>6.2728277402932214E-2</c:v>
                </c:pt>
                <c:pt idx="16">
                  <c:v>5.1372273047149891E-2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E-40CC-A564-9D1C58FD841F}"/>
            </c:ext>
          </c:extLst>
        </c:ser>
        <c:ser>
          <c:idx val="1"/>
          <c:order val="1"/>
          <c:tx>
            <c:v>Men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'T1-T6'!$AK$28:$AK$44</c:f>
              <c:numCache>
                <c:formatCode>0.00%</c:formatCode>
                <c:ptCount val="17"/>
                <c:pt idx="0">
                  <c:v>4.2839000000000002E-2</c:v>
                </c:pt>
                <c:pt idx="1">
                  <c:v>4.9009461336537587E-2</c:v>
                </c:pt>
                <c:pt idx="2">
                  <c:v>7.2829131652661069E-2</c:v>
                </c:pt>
                <c:pt idx="3">
                  <c:v>7.9708851713112816E-2</c:v>
                </c:pt>
                <c:pt idx="4">
                  <c:v>8.8558366901018107E-2</c:v>
                </c:pt>
                <c:pt idx="5">
                  <c:v>0.10242630831483387</c:v>
                </c:pt>
                <c:pt idx="6">
                  <c:v>0.11115671948115917</c:v>
                </c:pt>
                <c:pt idx="7">
                  <c:v>0.11274841690230596</c:v>
                </c:pt>
                <c:pt idx="8">
                  <c:v>0.1005223542960556</c:v>
                </c:pt>
                <c:pt idx="9">
                  <c:v>7.3216735253772286E-2</c:v>
                </c:pt>
                <c:pt idx="10">
                  <c:v>5.578512396694215E-2</c:v>
                </c:pt>
                <c:pt idx="11">
                  <c:v>6.0549806461805855E-2</c:v>
                </c:pt>
                <c:pt idx="12">
                  <c:v>5.2564530907645651E-2</c:v>
                </c:pt>
                <c:pt idx="13">
                  <c:v>5.0092700362473104E-2</c:v>
                </c:pt>
                <c:pt idx="14">
                  <c:v>6.5835663787399704E-2</c:v>
                </c:pt>
                <c:pt idx="15">
                  <c:v>6.8357695614789341E-2</c:v>
                </c:pt>
                <c:pt idx="16">
                  <c:v>5.313623712060031E-2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E-40CC-A564-9D1C58FD841F}"/>
            </c:ext>
          </c:extLst>
        </c:ser>
        <c:ser>
          <c:idx val="2"/>
          <c:order val="2"/>
          <c:tx>
            <c:v>Women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'T1-T6'!$AK$47:$AK$63</c:f>
              <c:numCache>
                <c:formatCode>0.00%</c:formatCode>
                <c:ptCount val="17"/>
                <c:pt idx="0">
                  <c:v>4.0593999999999998E-2</c:v>
                </c:pt>
                <c:pt idx="1">
                  <c:v>5.2236842603532375E-2</c:v>
                </c:pt>
                <c:pt idx="2">
                  <c:v>5.3849787435049597E-2</c:v>
                </c:pt>
                <c:pt idx="3">
                  <c:v>5.9513170634203298E-2</c:v>
                </c:pt>
                <c:pt idx="4">
                  <c:v>7.7456040989317923E-2</c:v>
                </c:pt>
                <c:pt idx="5">
                  <c:v>8.1231678967865983E-2</c:v>
                </c:pt>
                <c:pt idx="6">
                  <c:v>8.69792906450845E-2</c:v>
                </c:pt>
                <c:pt idx="7">
                  <c:v>9.7643741337284332E-2</c:v>
                </c:pt>
                <c:pt idx="8">
                  <c:v>8.7610534409842372E-2</c:v>
                </c:pt>
                <c:pt idx="9">
                  <c:v>5.9085947510796835E-2</c:v>
                </c:pt>
                <c:pt idx="10">
                  <c:v>4.6644455021418375E-2</c:v>
                </c:pt>
                <c:pt idx="11">
                  <c:v>4.7921310204477208E-2</c:v>
                </c:pt>
                <c:pt idx="12">
                  <c:v>5.0805332258164103E-2</c:v>
                </c:pt>
                <c:pt idx="13">
                  <c:v>5.4496058003097418E-2</c:v>
                </c:pt>
                <c:pt idx="14">
                  <c:v>5.1678436454138624E-2</c:v>
                </c:pt>
                <c:pt idx="15">
                  <c:v>5.6500909526345761E-2</c:v>
                </c:pt>
                <c:pt idx="16">
                  <c:v>4.9240512590091302E-2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5E-40CC-A564-9D1C58FD841F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'T1-T6'!$AK$85:$AK$101</c:f>
              <c:numCache>
                <c:formatCode>0.00%</c:formatCode>
                <c:ptCount val="17"/>
                <c:pt idx="0">
                  <c:v>4.1110000000000001E-2</c:v>
                </c:pt>
                <c:pt idx="1">
                  <c:v>5.239561676384611E-2</c:v>
                </c:pt>
                <c:pt idx="2">
                  <c:v>6.1707035755478659E-2</c:v>
                </c:pt>
                <c:pt idx="3">
                  <c:v>6.4155842834727222E-2</c:v>
                </c:pt>
                <c:pt idx="4">
                  <c:v>7.8185157668534608E-2</c:v>
                </c:pt>
                <c:pt idx="5">
                  <c:v>8.6748036787421032E-2</c:v>
                </c:pt>
                <c:pt idx="6">
                  <c:v>9.2007619914133809E-2</c:v>
                </c:pt>
                <c:pt idx="7">
                  <c:v>9.6757073824753501E-2</c:v>
                </c:pt>
                <c:pt idx="8">
                  <c:v>9.0417155782059722E-2</c:v>
                </c:pt>
                <c:pt idx="9">
                  <c:v>6.3950941743320194E-2</c:v>
                </c:pt>
                <c:pt idx="10">
                  <c:v>4.8577177349813164E-2</c:v>
                </c:pt>
                <c:pt idx="11">
                  <c:v>4.7941563348352867E-2</c:v>
                </c:pt>
                <c:pt idx="12">
                  <c:v>4.4619243689544001E-2</c:v>
                </c:pt>
                <c:pt idx="13">
                  <c:v>4.8759134619309287E-2</c:v>
                </c:pt>
                <c:pt idx="14">
                  <c:v>5.2076043998363776E-2</c:v>
                </c:pt>
                <c:pt idx="15">
                  <c:v>5.4234766788730182E-2</c:v>
                </c:pt>
                <c:pt idx="16">
                  <c:v>4.4794269927055909E-2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5E-40CC-A564-9D1C58FD841F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'T1-T6'!$AK$104:$AK$120</c:f>
              <c:numCache>
                <c:formatCode>0.00%</c:formatCode>
                <c:ptCount val="17"/>
                <c:pt idx="0">
                  <c:v>6.0608000000000002E-2</c:v>
                </c:pt>
                <c:pt idx="1">
                  <c:v>6.1507983816970806E-2</c:v>
                </c:pt>
                <c:pt idx="2">
                  <c:v>9.7152428810720268E-2</c:v>
                </c:pt>
                <c:pt idx="3">
                  <c:v>0.12406620421219838</c:v>
                </c:pt>
                <c:pt idx="4">
                  <c:v>0.13017598115983581</c:v>
                </c:pt>
                <c:pt idx="5">
                  <c:v>0.13058072977692245</c:v>
                </c:pt>
                <c:pt idx="6">
                  <c:v>0.1593905153227187</c:v>
                </c:pt>
                <c:pt idx="7">
                  <c:v>0.19215017064846415</c:v>
                </c:pt>
                <c:pt idx="8">
                  <c:v>0.14860354821710872</c:v>
                </c:pt>
                <c:pt idx="9">
                  <c:v>9.3328335832083942E-2</c:v>
                </c:pt>
                <c:pt idx="10">
                  <c:v>7.857142857142857E-2</c:v>
                </c:pt>
                <c:pt idx="11">
                  <c:v>0.10940370803407384</c:v>
                </c:pt>
                <c:pt idx="12">
                  <c:v>0.10942914927194855</c:v>
                </c:pt>
                <c:pt idx="13">
                  <c:v>8.045206286412146E-2</c:v>
                </c:pt>
                <c:pt idx="14">
                  <c:v>0.10389398191997674</c:v>
                </c:pt>
                <c:pt idx="15">
                  <c:v>0.11362971368342799</c:v>
                </c:pt>
                <c:pt idx="16">
                  <c:v>8.7345516154145E-2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5E-40CC-A564-9D1C58FD841F}"/>
            </c:ext>
          </c:extLst>
        </c:ser>
        <c:ser>
          <c:idx val="5"/>
          <c:order val="5"/>
          <c:tx>
            <c:v>Hispanics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'T1-T6'!$AK$142:$AK$158</c:f>
              <c:numCache>
                <c:formatCode>0.00%</c:formatCode>
                <c:ptCount val="17"/>
                <c:pt idx="0">
                  <c:v>6.4868999999999996E-2</c:v>
                </c:pt>
                <c:pt idx="1">
                  <c:v>6.2643555024150394E-2</c:v>
                </c:pt>
                <c:pt idx="2">
                  <c:v>7.3604686839961839E-2</c:v>
                </c:pt>
                <c:pt idx="3">
                  <c:v>8.871017490167879E-2</c:v>
                </c:pt>
                <c:pt idx="4">
                  <c:v>8.9641745434341766E-2</c:v>
                </c:pt>
                <c:pt idx="5">
                  <c:v>9.4308018178045239E-2</c:v>
                </c:pt>
                <c:pt idx="6">
                  <c:v>0.11724290780141844</c:v>
                </c:pt>
                <c:pt idx="7">
                  <c:v>0.13777483151033035</c:v>
                </c:pt>
                <c:pt idx="8">
                  <c:v>0.12637031682929767</c:v>
                </c:pt>
                <c:pt idx="9">
                  <c:v>8.3312004095213721E-2</c:v>
                </c:pt>
                <c:pt idx="10">
                  <c:v>7.4803149606299218E-2</c:v>
                </c:pt>
                <c:pt idx="11">
                  <c:v>8.8492165425121949E-2</c:v>
                </c:pt>
                <c:pt idx="12">
                  <c:v>7.1600947425100758E-2</c:v>
                </c:pt>
                <c:pt idx="13">
                  <c:v>6.0440146834541353E-2</c:v>
                </c:pt>
                <c:pt idx="14">
                  <c:v>7.5533272802571966E-2</c:v>
                </c:pt>
                <c:pt idx="15">
                  <c:v>8.8398424638845549E-2</c:v>
                </c:pt>
                <c:pt idx="16">
                  <c:v>7.6596922127092709E-2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5E-40CC-A564-9D1C58FD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53543184"/>
        <c:axId val="553543512"/>
      </c:lineChart>
      <c:catAx>
        <c:axId val="553543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43512"/>
        <c:crosses val="autoZero"/>
        <c:auto val="1"/>
        <c:lblAlgn val="ctr"/>
        <c:lblOffset val="100"/>
        <c:noMultiLvlLbl val="0"/>
      </c:catAx>
      <c:valAx>
        <c:axId val="553543512"/>
        <c:scaling>
          <c:orientation val="minMax"/>
          <c:max val="0.2"/>
          <c:min val="4.0000000000000008E-2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431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358194931964214E-2"/>
          <c:y val="0.17650408282298047"/>
          <c:w val="0.46388888888888891"/>
          <c:h val="0.24479221347331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16 Year &amp; Over Labor Force Participation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171296296296296"/>
          <c:w val="0.87990507436570431"/>
          <c:h val="0.58211468358121898"/>
        </c:manualLayout>
      </c:layout>
      <c:lineChart>
        <c:grouping val="standard"/>
        <c:varyColors val="0"/>
        <c:ser>
          <c:idx val="0"/>
          <c:order val="0"/>
          <c:tx>
            <c:v>All Person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'T1-T6'!$AO$9:$AO$25</c:f>
              <c:numCache>
                <c:formatCode>0.0%</c:formatCode>
                <c:ptCount val="17"/>
                <c:pt idx="0">
                  <c:v>0.62856630503263111</c:v>
                </c:pt>
                <c:pt idx="1">
                  <c:v>0.62851029497243183</c:v>
                </c:pt>
                <c:pt idx="2">
                  <c:v>0.62715821543772843</c:v>
                </c:pt>
                <c:pt idx="3">
                  <c:v>0.62719936741598348</c:v>
                </c:pt>
                <c:pt idx="4">
                  <c:v>0.62974271249721714</c:v>
                </c:pt>
                <c:pt idx="5">
                  <c:v>0.63323378309231582</c:v>
                </c:pt>
                <c:pt idx="6">
                  <c:v>0.63762454013295111</c:v>
                </c:pt>
                <c:pt idx="7">
                  <c:v>0.64345718630028814</c:v>
                </c:pt>
                <c:pt idx="8">
                  <c:v>0.64933805405680112</c:v>
                </c:pt>
                <c:pt idx="9">
                  <c:v>0.65420327542160506</c:v>
                </c:pt>
                <c:pt idx="10">
                  <c:v>0.65814562914306896</c:v>
                </c:pt>
                <c:pt idx="11">
                  <c:v>0.65795206971677556</c:v>
                </c:pt>
                <c:pt idx="12">
                  <c:v>0.65558525779952359</c:v>
                </c:pt>
                <c:pt idx="13">
                  <c:v>0.65553344944335423</c:v>
                </c:pt>
                <c:pt idx="14">
                  <c:v>0.65872174568233022</c:v>
                </c:pt>
                <c:pt idx="15">
                  <c:v>0.66285785021321497</c:v>
                </c:pt>
                <c:pt idx="16">
                  <c:v>0.66781686319544686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9-4BE2-82D2-62B21879F183}"/>
            </c:ext>
          </c:extLst>
        </c:ser>
        <c:ser>
          <c:idx val="1"/>
          <c:order val="1"/>
          <c:tx>
            <c:v>Men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'T1-T6'!$AO$28:$AO$44</c:f>
              <c:numCache>
                <c:formatCode>0.0%</c:formatCode>
                <c:ptCount val="17"/>
                <c:pt idx="0">
                  <c:v>0.68729707869018852</c:v>
                </c:pt>
                <c:pt idx="1">
                  <c:v>0.68758980636999856</c:v>
                </c:pt>
                <c:pt idx="2">
                  <c:v>0.68870239820793255</c:v>
                </c:pt>
                <c:pt idx="3">
                  <c:v>0.68822649466298047</c:v>
                </c:pt>
                <c:pt idx="4">
                  <c:v>0.69019672886636463</c:v>
                </c:pt>
                <c:pt idx="5">
                  <c:v>0.69493116205247007</c:v>
                </c:pt>
                <c:pt idx="6">
                  <c:v>0.69923609092907857</c:v>
                </c:pt>
                <c:pt idx="7">
                  <c:v>0.70591752380787332</c:v>
                </c:pt>
                <c:pt idx="8">
                  <c:v>0.71307824900034122</c:v>
                </c:pt>
                <c:pt idx="9">
                  <c:v>0.7195035786706987</c:v>
                </c:pt>
                <c:pt idx="10">
                  <c:v>0.72633539487051524</c:v>
                </c:pt>
                <c:pt idx="11">
                  <c:v>0.72948602344454461</c:v>
                </c:pt>
                <c:pt idx="12">
                  <c:v>0.72703221691172504</c:v>
                </c:pt>
                <c:pt idx="13">
                  <c:v>0.72571814953915859</c:v>
                </c:pt>
                <c:pt idx="14">
                  <c:v>0.7280755692643559</c:v>
                </c:pt>
                <c:pt idx="15">
                  <c:v>0.73313492461007534</c:v>
                </c:pt>
                <c:pt idx="16">
                  <c:v>0.73804650873510469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9-4BE2-82D2-62B21879F183}"/>
            </c:ext>
          </c:extLst>
        </c:ser>
        <c:ser>
          <c:idx val="2"/>
          <c:order val="2"/>
          <c:tx>
            <c:v>Women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'T1-T6'!$AO$47:$AO$63</c:f>
              <c:numCache>
                <c:formatCode>0.0%</c:formatCode>
                <c:ptCount val="17"/>
                <c:pt idx="0">
                  <c:v>0.57360496281937168</c:v>
                </c:pt>
                <c:pt idx="1">
                  <c:v>0.5732781280352931</c:v>
                </c:pt>
                <c:pt idx="2">
                  <c:v>0.56966592050708087</c:v>
                </c:pt>
                <c:pt idx="3">
                  <c:v>0.57022311222267597</c:v>
                </c:pt>
                <c:pt idx="4">
                  <c:v>0.57333819094535332</c:v>
                </c:pt>
                <c:pt idx="5">
                  <c:v>0.57574666278251196</c:v>
                </c:pt>
                <c:pt idx="6">
                  <c:v>0.57989386721901393</c:v>
                </c:pt>
                <c:pt idx="7">
                  <c:v>0.58469125738740579</c:v>
                </c:pt>
                <c:pt idx="8">
                  <c:v>0.58954470463667474</c:v>
                </c:pt>
                <c:pt idx="9">
                  <c:v>0.59300476684349535</c:v>
                </c:pt>
                <c:pt idx="10">
                  <c:v>0.59427378964941568</c:v>
                </c:pt>
                <c:pt idx="11">
                  <c:v>0.59106239460370991</c:v>
                </c:pt>
                <c:pt idx="12">
                  <c:v>0.5888591248185</c:v>
                </c:pt>
                <c:pt idx="13">
                  <c:v>0.59015067589541359</c:v>
                </c:pt>
                <c:pt idx="14">
                  <c:v>0.5943123319868594</c:v>
                </c:pt>
                <c:pt idx="15">
                  <c:v>0.59778428683843321</c:v>
                </c:pt>
                <c:pt idx="16">
                  <c:v>0.60283747471070326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A9-4BE2-82D2-62B21879F183}"/>
            </c:ext>
          </c:extLst>
        </c:ser>
        <c:ser>
          <c:idx val="3"/>
          <c:order val="3"/>
          <c:tx>
            <c:v>White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'T1-T6'!$AO$85:$AO$101</c:f>
              <c:numCache>
                <c:formatCode>0.0%</c:formatCode>
                <c:ptCount val="17"/>
                <c:pt idx="0">
                  <c:v>0.62897618404856381</c:v>
                </c:pt>
                <c:pt idx="1">
                  <c:v>0.62983701044745322</c:v>
                </c:pt>
                <c:pt idx="2">
                  <c:v>0.62939875632741249</c:v>
                </c:pt>
                <c:pt idx="3">
                  <c:v>0.6298918556346258</c:v>
                </c:pt>
                <c:pt idx="4">
                  <c:v>0.63263148603156905</c:v>
                </c:pt>
                <c:pt idx="5">
                  <c:v>0.63628137970513865</c:v>
                </c:pt>
                <c:pt idx="6">
                  <c:v>0.64176646996990638</c:v>
                </c:pt>
                <c:pt idx="7">
                  <c:v>0.64769399611981748</c:v>
                </c:pt>
                <c:pt idx="8">
                  <c:v>0.65319833608037048</c:v>
                </c:pt>
                <c:pt idx="9">
                  <c:v>0.65754529071421797</c:v>
                </c:pt>
                <c:pt idx="10">
                  <c:v>0.66121677646072097</c:v>
                </c:pt>
                <c:pt idx="11">
                  <c:v>0.66095340117836099</c:v>
                </c:pt>
                <c:pt idx="12">
                  <c:v>0.65851540100569805</c:v>
                </c:pt>
                <c:pt idx="13">
                  <c:v>0.65870703030981181</c:v>
                </c:pt>
                <c:pt idx="14">
                  <c:v>0.66223179633021501</c:v>
                </c:pt>
                <c:pt idx="15">
                  <c:v>0.6657511183431617</c:v>
                </c:pt>
                <c:pt idx="16">
                  <c:v>0.66975892927937619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BE2-82D2-62B21879F183}"/>
            </c:ext>
          </c:extLst>
        </c:ser>
        <c:ser>
          <c:idx val="4"/>
          <c:order val="4"/>
          <c:tx>
            <c:v>Black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'T1-T6'!$AO$104:$AO$120</c:f>
              <c:numCache>
                <c:formatCode>0.0%</c:formatCode>
                <c:ptCount val="17"/>
                <c:pt idx="0">
                  <c:v>0.62045087258938125</c:v>
                </c:pt>
                <c:pt idx="1">
                  <c:v>0.61495768376954174</c:v>
                </c:pt>
                <c:pt idx="2">
                  <c:v>0.60931945149822242</c:v>
                </c:pt>
                <c:pt idx="3">
                  <c:v>0.60920792247589162</c:v>
                </c:pt>
                <c:pt idx="4">
                  <c:v>0.61037199530695685</c:v>
                </c:pt>
                <c:pt idx="5">
                  <c:v>0.61137189309197892</c:v>
                </c:pt>
                <c:pt idx="6">
                  <c:v>0.60952481627816335</c:v>
                </c:pt>
                <c:pt idx="7">
                  <c:v>0.61377921311247696</c:v>
                </c:pt>
                <c:pt idx="8">
                  <c:v>0.62164068561754959</c:v>
                </c:pt>
                <c:pt idx="9">
                  <c:v>0.62805861068319424</c:v>
                </c:pt>
                <c:pt idx="10">
                  <c:v>0.63348712173502375</c:v>
                </c:pt>
                <c:pt idx="11">
                  <c:v>0.63468634686346859</c:v>
                </c:pt>
                <c:pt idx="12">
                  <c:v>0.63411023718589088</c:v>
                </c:pt>
                <c:pt idx="13">
                  <c:v>0.63202744877251915</c:v>
                </c:pt>
                <c:pt idx="14">
                  <c:v>0.63418241047078283</c:v>
                </c:pt>
                <c:pt idx="15">
                  <c:v>0.64316268799800691</c:v>
                </c:pt>
                <c:pt idx="16">
                  <c:v>0.65541728767653396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BE2-82D2-62B21879F183}"/>
            </c:ext>
          </c:extLst>
        </c:ser>
        <c:ser>
          <c:idx val="5"/>
          <c:order val="5"/>
          <c:tx>
            <c:v>Hispanics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'T1-T6'!$AO$142:$AO$158</c:f>
              <c:numCache>
                <c:formatCode>0.0%</c:formatCode>
                <c:ptCount val="17"/>
                <c:pt idx="0">
                  <c:v>0.65785859450290574</c:v>
                </c:pt>
                <c:pt idx="1">
                  <c:v>0.65641854335332772</c:v>
                </c:pt>
                <c:pt idx="2">
                  <c:v>0.65414533774967376</c:v>
                </c:pt>
                <c:pt idx="3">
                  <c:v>0.6547360849979571</c:v>
                </c:pt>
                <c:pt idx="4">
                  <c:v>0.65390880300023502</c:v>
                </c:pt>
                <c:pt idx="5">
                  <c:v>0.65611016679693668</c:v>
                </c:pt>
                <c:pt idx="6">
                  <c:v>0.6596180574019177</c:v>
                </c:pt>
                <c:pt idx="7">
                  <c:v>0.66439734785697369</c:v>
                </c:pt>
                <c:pt idx="8">
                  <c:v>0.67180823661323075</c:v>
                </c:pt>
                <c:pt idx="9">
                  <c:v>0.67891190261776857</c:v>
                </c:pt>
                <c:pt idx="10">
                  <c:v>0.68572064764449536</c:v>
                </c:pt>
                <c:pt idx="11">
                  <c:v>0.68421052631578949</c:v>
                </c:pt>
                <c:pt idx="12">
                  <c:v>0.67810483015763134</c:v>
                </c:pt>
                <c:pt idx="13">
                  <c:v>0.67745483293971964</c:v>
                </c:pt>
                <c:pt idx="14">
                  <c:v>0.66544782256763779</c:v>
                </c:pt>
                <c:pt idx="15">
                  <c:v>0.66907188102552906</c:v>
                </c:pt>
                <c:pt idx="16">
                  <c:v>0.67117837240136191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A9-4BE2-82D2-62B21879F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315152"/>
        <c:axId val="536310232"/>
      </c:lineChart>
      <c:catAx>
        <c:axId val="5363151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310232"/>
        <c:crosses val="autoZero"/>
        <c:auto val="1"/>
        <c:lblAlgn val="ctr"/>
        <c:lblOffset val="100"/>
        <c:noMultiLvlLbl val="0"/>
      </c:catAx>
      <c:valAx>
        <c:axId val="536310232"/>
        <c:scaling>
          <c:orientation val="minMax"/>
          <c:min val="0.55000000000000004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31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9956255468066496E-4"/>
          <c:y val="0.31212780694079906"/>
          <c:w val="0.1988410162311765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</a:t>
            </a:r>
            <a:r>
              <a:rPr lang="en-US" baseline="0"/>
              <a:t> 16 Years &amp; Over Unemployment Rate</a:t>
            </a:r>
            <a:endParaRPr lang="en-US"/>
          </a:p>
        </c:rich>
      </c:tx>
      <c:layout>
        <c:manualLayout>
          <c:xMode val="edge"/>
          <c:yMode val="edge"/>
          <c:x val="0.2331039878392458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171296296296296"/>
          <c:w val="0.86723840769903759"/>
          <c:h val="0.58211468358121898"/>
        </c:manualLayout>
      </c:layout>
      <c:lineChart>
        <c:grouping val="standard"/>
        <c:varyColors val="0"/>
        <c:ser>
          <c:idx val="0"/>
          <c:order val="0"/>
          <c:tx>
            <c:v>All Person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'T1-T6'!$AR$9:$AR$25</c:f>
              <c:numCache>
                <c:formatCode>0.00%</c:formatCode>
                <c:ptCount val="17"/>
                <c:pt idx="0">
                  <c:v>4.4001741512946925E-2</c:v>
                </c:pt>
                <c:pt idx="1">
                  <c:v>4.9093383392791491E-2</c:v>
                </c:pt>
                <c:pt idx="2">
                  <c:v>5.4470389771819235E-2</c:v>
                </c:pt>
                <c:pt idx="3">
                  <c:v>6.2938509827893757E-2</c:v>
                </c:pt>
                <c:pt idx="4">
                  <c:v>7.3768599896158499E-2</c:v>
                </c:pt>
                <c:pt idx="5">
                  <c:v>8.2081304473258274E-2</c:v>
                </c:pt>
                <c:pt idx="6">
                  <c:v>9.020695056159192E-2</c:v>
                </c:pt>
                <c:pt idx="7">
                  <c:v>9.8640277297265544E-2</c:v>
                </c:pt>
                <c:pt idx="8">
                  <c:v>9.7617448132374135E-2</c:v>
                </c:pt>
                <c:pt idx="9">
                  <c:v>7.3379365657848153E-2</c:v>
                </c:pt>
                <c:pt idx="10">
                  <c:v>5.0740345385365981E-2</c:v>
                </c:pt>
                <c:pt idx="11">
                  <c:v>4.900662251655629E-2</c:v>
                </c:pt>
                <c:pt idx="12">
                  <c:v>5.2823811262012528E-2</c:v>
                </c:pt>
                <c:pt idx="13">
                  <c:v>5.8206039724738041E-2</c:v>
                </c:pt>
                <c:pt idx="14">
                  <c:v>6.2567714879705E-2</c:v>
                </c:pt>
                <c:pt idx="15">
                  <c:v>6.3116559049380017E-2</c:v>
                </c:pt>
                <c:pt idx="16">
                  <c:v>5.4052419974059032E-2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6-456E-B45D-C21AEEDC63EC}"/>
            </c:ext>
          </c:extLst>
        </c:ser>
        <c:ser>
          <c:idx val="1"/>
          <c:order val="1"/>
          <c:tx>
            <c:v>Men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'T1-T6'!$AR$28:$AR$44</c:f>
              <c:numCache>
                <c:formatCode>0.00%</c:formatCode>
                <c:ptCount val="17"/>
                <c:pt idx="0">
                  <c:v>4.6870902883332191E-2</c:v>
                </c:pt>
                <c:pt idx="1">
                  <c:v>5.1782200452802456E-2</c:v>
                </c:pt>
                <c:pt idx="2">
                  <c:v>5.8343796711509716E-2</c:v>
                </c:pt>
                <c:pt idx="3">
                  <c:v>6.7320060280190969E-2</c:v>
                </c:pt>
                <c:pt idx="4">
                  <c:v>7.806338437335629E-2</c:v>
                </c:pt>
                <c:pt idx="5">
                  <c:v>8.746303072848001E-2</c:v>
                </c:pt>
                <c:pt idx="6">
                  <c:v>9.8588710449707406E-2</c:v>
                </c:pt>
                <c:pt idx="7">
                  <c:v>0.11176578898913644</c:v>
                </c:pt>
                <c:pt idx="8">
                  <c:v>0.11331705461550733</c:v>
                </c:pt>
                <c:pt idx="9">
                  <c:v>8.3840288313767081E-2</c:v>
                </c:pt>
                <c:pt idx="10">
                  <c:v>5.5738911723207163E-2</c:v>
                </c:pt>
                <c:pt idx="11">
                  <c:v>5.3152039555006178E-2</c:v>
                </c:pt>
                <c:pt idx="12">
                  <c:v>5.642001729454172E-2</c:v>
                </c:pt>
                <c:pt idx="13">
                  <c:v>6.2603347289716768E-2</c:v>
                </c:pt>
                <c:pt idx="14">
                  <c:v>6.7542758333259567E-2</c:v>
                </c:pt>
                <c:pt idx="15">
                  <c:v>6.8423428580634812E-2</c:v>
                </c:pt>
                <c:pt idx="16">
                  <c:v>5.851204425018023E-2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6-456E-B45D-C21AEEDC63EC}"/>
            </c:ext>
          </c:extLst>
        </c:ser>
        <c:ser>
          <c:idx val="2"/>
          <c:order val="2"/>
          <c:tx>
            <c:v>Women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'T1-T6'!$AR$47:$AR$63</c:f>
              <c:numCache>
                <c:formatCode>0.00%</c:formatCode>
                <c:ptCount val="17"/>
                <c:pt idx="0">
                  <c:v>4.0784540616422775E-2</c:v>
                </c:pt>
                <c:pt idx="1">
                  <c:v>4.6078420020456472E-2</c:v>
                </c:pt>
                <c:pt idx="2">
                  <c:v>5.0097223722588312E-2</c:v>
                </c:pt>
                <c:pt idx="3">
                  <c:v>5.8001257046339828E-2</c:v>
                </c:pt>
                <c:pt idx="4">
                  <c:v>6.8944768052989075E-2</c:v>
                </c:pt>
                <c:pt idx="5">
                  <c:v>7.6028790507079044E-2</c:v>
                </c:pt>
                <c:pt idx="6">
                  <c:v>8.0736840743657251E-2</c:v>
                </c:pt>
                <c:pt idx="7">
                  <c:v>8.3720216933651212E-2</c:v>
                </c:pt>
                <c:pt idx="8">
                  <c:v>7.9803970706986332E-2</c:v>
                </c:pt>
                <c:pt idx="9">
                  <c:v>6.1485334945026109E-2</c:v>
                </c:pt>
                <c:pt idx="10">
                  <c:v>4.5017838581902968E-2</c:v>
                </c:pt>
                <c:pt idx="11">
                  <c:v>4.4222539229671898E-2</c:v>
                </c:pt>
                <c:pt idx="12">
                  <c:v>4.8677145608386728E-2</c:v>
                </c:pt>
                <c:pt idx="13">
                  <c:v>5.316856581770818E-2</c:v>
                </c:pt>
                <c:pt idx="14">
                  <c:v>5.6907439882466625E-2</c:v>
                </c:pt>
                <c:pt idx="15">
                  <c:v>5.7090009390992819E-2</c:v>
                </c:pt>
                <c:pt idx="16">
                  <c:v>4.9000727523634789E-2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6-456E-B45D-C21AEEDC63EC}"/>
            </c:ext>
          </c:extLst>
        </c:ser>
        <c:ser>
          <c:idx val="3"/>
          <c:order val="3"/>
          <c:tx>
            <c:v>White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'T1-T6'!$AR$85:$AR$101</c:f>
              <c:numCache>
                <c:formatCode>0.00%</c:formatCode>
                <c:ptCount val="17"/>
                <c:pt idx="0">
                  <c:v>3.8703275509990892E-2</c:v>
                </c:pt>
                <c:pt idx="1">
                  <c:v>4.2669305382804723E-2</c:v>
                </c:pt>
                <c:pt idx="2">
                  <c:v>4.7279818842623555E-2</c:v>
                </c:pt>
                <c:pt idx="3">
                  <c:v>5.4778255598904785E-2</c:v>
                </c:pt>
                <c:pt idx="4">
                  <c:v>6.4877550088035418E-2</c:v>
                </c:pt>
                <c:pt idx="5">
                  <c:v>7.3201132618871595E-2</c:v>
                </c:pt>
                <c:pt idx="6">
                  <c:v>8.1167797053572521E-2</c:v>
                </c:pt>
                <c:pt idx="7">
                  <c:v>8.9668741216623174E-2</c:v>
                </c:pt>
                <c:pt idx="8">
                  <c:v>8.9925982889551087E-2</c:v>
                </c:pt>
                <c:pt idx="9">
                  <c:v>6.7187562607685214E-2</c:v>
                </c:pt>
                <c:pt idx="10">
                  <c:v>4.5077953147829995E-2</c:v>
                </c:pt>
                <c:pt idx="11">
                  <c:v>4.2139384116693678E-2</c:v>
                </c:pt>
                <c:pt idx="12">
                  <c:v>4.5536315300060193E-2</c:v>
                </c:pt>
                <c:pt idx="13">
                  <c:v>5.1185048848215293E-2</c:v>
                </c:pt>
                <c:pt idx="14">
                  <c:v>5.5486937435786983E-2</c:v>
                </c:pt>
                <c:pt idx="15">
                  <c:v>5.5898798440552934E-2</c:v>
                </c:pt>
                <c:pt idx="16">
                  <c:v>4.7718433583627352E-2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6-456E-B45D-C21AEEDC63EC}"/>
            </c:ext>
          </c:extLst>
        </c:ser>
        <c:ser>
          <c:idx val="4"/>
          <c:order val="4"/>
          <c:tx>
            <c:v>Black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'T1-T6'!$AR$104:$AR$120</c:f>
              <c:numCache>
                <c:formatCode>0.00%</c:formatCode>
                <c:ptCount val="17"/>
                <c:pt idx="0">
                  <c:v>7.4371296529034236E-2</c:v>
                </c:pt>
                <c:pt idx="1">
                  <c:v>8.7802600534200095E-2</c:v>
                </c:pt>
                <c:pt idx="2">
                  <c:v>0.10022921441967077</c:v>
                </c:pt>
                <c:pt idx="3">
                  <c:v>0.11573606432512894</c:v>
                </c:pt>
                <c:pt idx="4">
                  <c:v>0.13222669263285808</c:v>
                </c:pt>
                <c:pt idx="5">
                  <c:v>0.14007875931683228</c:v>
                </c:pt>
                <c:pt idx="6">
                  <c:v>0.15143466705212622</c:v>
                </c:pt>
                <c:pt idx="7">
                  <c:v>0.16311173974540311</c:v>
                </c:pt>
                <c:pt idx="8">
                  <c:v>0.15409054805401112</c:v>
                </c:pt>
                <c:pt idx="9">
                  <c:v>0.11830471735782329</c:v>
                </c:pt>
                <c:pt idx="10">
                  <c:v>8.9345108383988986E-2</c:v>
                </c:pt>
                <c:pt idx="11">
                  <c:v>9.3023255813953487E-2</c:v>
                </c:pt>
                <c:pt idx="12">
                  <c:v>0.10457741562491242</c:v>
                </c:pt>
                <c:pt idx="13">
                  <c:v>0.1072697950560843</c:v>
                </c:pt>
                <c:pt idx="14">
                  <c:v>0.1096369763207391</c:v>
                </c:pt>
                <c:pt idx="15">
                  <c:v>0.11038446761800219</c:v>
                </c:pt>
                <c:pt idx="16">
                  <c:v>9.749363526848398E-2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D6-456E-B45D-C21AEEDC63EC}"/>
            </c:ext>
          </c:extLst>
        </c:ser>
        <c:ser>
          <c:idx val="5"/>
          <c:order val="5"/>
          <c:tx>
            <c:v>Hispanics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'T1-T6'!$AE$9:$AE$25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'T1-T6'!$AR$142:$AR$158</c:f>
              <c:numCache>
                <c:formatCode>0.00%</c:formatCode>
                <c:ptCount val="17"/>
                <c:pt idx="0">
                  <c:v>5.1835365248891631E-2</c:v>
                </c:pt>
                <c:pt idx="1">
                  <c:v>5.6446129345225055E-2</c:v>
                </c:pt>
                <c:pt idx="2">
                  <c:v>6.5748590279642485E-2</c:v>
                </c:pt>
                <c:pt idx="3">
                  <c:v>7.6086124811053341E-2</c:v>
                </c:pt>
                <c:pt idx="4">
                  <c:v>8.7689786549484519E-2</c:v>
                </c:pt>
                <c:pt idx="5">
                  <c:v>0.10158186976234129</c:v>
                </c:pt>
                <c:pt idx="6">
                  <c:v>0.1163122514790095</c:v>
                </c:pt>
                <c:pt idx="7">
                  <c:v>0.12848614452463691</c:v>
                </c:pt>
                <c:pt idx="8">
                  <c:v>0.12697911498037801</c:v>
                </c:pt>
                <c:pt idx="9">
                  <c:v>9.8888533138178664E-2</c:v>
                </c:pt>
                <c:pt idx="10">
                  <c:v>6.5918263209166397E-2</c:v>
                </c:pt>
                <c:pt idx="11">
                  <c:v>5.7692307692307696E-2</c:v>
                </c:pt>
                <c:pt idx="12">
                  <c:v>6.1051591599681369E-2</c:v>
                </c:pt>
                <c:pt idx="13">
                  <c:v>7.0352091686407339E-2</c:v>
                </c:pt>
                <c:pt idx="14">
                  <c:v>8.1258314423351685E-2</c:v>
                </c:pt>
                <c:pt idx="15">
                  <c:v>8.3754563328786863E-2</c:v>
                </c:pt>
                <c:pt idx="16">
                  <c:v>7.5761842273843139E-2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D6-456E-B45D-C21AEEDC6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667304"/>
        <c:axId val="563671568"/>
      </c:lineChart>
      <c:catAx>
        <c:axId val="5636673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71568"/>
        <c:crosses val="autoZero"/>
        <c:auto val="1"/>
        <c:lblAlgn val="ctr"/>
        <c:lblOffset val="100"/>
        <c:noMultiLvlLbl val="0"/>
      </c:catAx>
      <c:valAx>
        <c:axId val="563671568"/>
        <c:scaling>
          <c:orientation val="minMax"/>
          <c:max val="0.17"/>
          <c:min val="3.5000000000000003E-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6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044400699912511E-2"/>
          <c:y val="8.9905584718576848E-2"/>
          <c:w val="0.1988410162311765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Family Average</a:t>
            </a:r>
            <a:r>
              <a:rPr lang="en-US" baseline="0"/>
              <a:t> Income (in 2017 $), NJ &amp; 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NJ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'T1-T6'!$AT$10:$AT$25</c:f>
              <c:strCache>
                <c:ptCount val="16"/>
                <c:pt idx="0">
                  <c:v>2016~2017</c:v>
                </c:pt>
                <c:pt idx="1">
                  <c:v>2015~2016</c:v>
                </c:pt>
                <c:pt idx="2">
                  <c:v>2014~2015</c:v>
                </c:pt>
                <c:pt idx="3">
                  <c:v>2013~2014</c:v>
                </c:pt>
                <c:pt idx="4">
                  <c:v>2012~2013</c:v>
                </c:pt>
                <c:pt idx="5">
                  <c:v>2011~2012</c:v>
                </c:pt>
                <c:pt idx="6">
                  <c:v>2010~2011</c:v>
                </c:pt>
                <c:pt idx="7">
                  <c:v>2009~2010</c:v>
                </c:pt>
                <c:pt idx="8">
                  <c:v>2008~2009</c:v>
                </c:pt>
                <c:pt idx="9">
                  <c:v>2007~2008</c:v>
                </c:pt>
                <c:pt idx="10">
                  <c:v>2006~2007</c:v>
                </c:pt>
                <c:pt idx="11">
                  <c:v>2005~2006</c:v>
                </c:pt>
                <c:pt idx="12">
                  <c:v>2004~2005</c:v>
                </c:pt>
                <c:pt idx="13">
                  <c:v>2003~2004</c:v>
                </c:pt>
                <c:pt idx="14">
                  <c:v>2002~2003</c:v>
                </c:pt>
                <c:pt idx="15">
                  <c:v>2001~2002</c:v>
                </c:pt>
              </c:strCache>
            </c:strRef>
          </c:cat>
          <c:val>
            <c:numRef>
              <c:f>'T1-T6'!$AU$10:$AU$25</c:f>
              <c:numCache>
                <c:formatCode>_("$"* #,##0_);_("$"* \(#,##0\);_("$"* "-"??_);_(@_)</c:formatCode>
                <c:ptCount val="16"/>
                <c:pt idx="0">
                  <c:v>89367.914351206273</c:v>
                </c:pt>
                <c:pt idx="1">
                  <c:v>91562.757908514614</c:v>
                </c:pt>
                <c:pt idx="2">
                  <c:v>88471.11491837044</c:v>
                </c:pt>
                <c:pt idx="3">
                  <c:v>84655.690302300733</c:v>
                </c:pt>
                <c:pt idx="4">
                  <c:v>85425.380316543451</c:v>
                </c:pt>
                <c:pt idx="5">
                  <c:v>86034.244150838334</c:v>
                </c:pt>
                <c:pt idx="6">
                  <c:v>86269.896598271676</c:v>
                </c:pt>
                <c:pt idx="7">
                  <c:v>87412.140988697065</c:v>
                </c:pt>
                <c:pt idx="8">
                  <c:v>91689.497800978046</c:v>
                </c:pt>
                <c:pt idx="9">
                  <c:v>94360.920391729887</c:v>
                </c:pt>
                <c:pt idx="10">
                  <c:v>95945.212375720876</c:v>
                </c:pt>
                <c:pt idx="11">
                  <c:v>98473.546434899094</c:v>
                </c:pt>
                <c:pt idx="12">
                  <c:v>95878.826159990887</c:v>
                </c:pt>
                <c:pt idx="13">
                  <c:v>93564.434733482543</c:v>
                </c:pt>
                <c:pt idx="14">
                  <c:v>93447.090623525903</c:v>
                </c:pt>
                <c:pt idx="15">
                  <c:v>91778.148563966854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D-4A94-AE55-6D4E88B51CAA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'T1-T6'!$AT$10:$AT$25</c:f>
              <c:strCache>
                <c:ptCount val="16"/>
                <c:pt idx="0">
                  <c:v>2016~2017</c:v>
                </c:pt>
                <c:pt idx="1">
                  <c:v>2015~2016</c:v>
                </c:pt>
                <c:pt idx="2">
                  <c:v>2014~2015</c:v>
                </c:pt>
                <c:pt idx="3">
                  <c:v>2013~2014</c:v>
                </c:pt>
                <c:pt idx="4">
                  <c:v>2012~2013</c:v>
                </c:pt>
                <c:pt idx="5">
                  <c:v>2011~2012</c:v>
                </c:pt>
                <c:pt idx="6">
                  <c:v>2010~2011</c:v>
                </c:pt>
                <c:pt idx="7">
                  <c:v>2009~2010</c:v>
                </c:pt>
                <c:pt idx="8">
                  <c:v>2008~2009</c:v>
                </c:pt>
                <c:pt idx="9">
                  <c:v>2007~2008</c:v>
                </c:pt>
                <c:pt idx="10">
                  <c:v>2006~2007</c:v>
                </c:pt>
                <c:pt idx="11">
                  <c:v>2005~2006</c:v>
                </c:pt>
                <c:pt idx="12">
                  <c:v>2004~2005</c:v>
                </c:pt>
                <c:pt idx="13">
                  <c:v>2003~2004</c:v>
                </c:pt>
                <c:pt idx="14">
                  <c:v>2002~2003</c:v>
                </c:pt>
                <c:pt idx="15">
                  <c:v>2001~2002</c:v>
                </c:pt>
              </c:strCache>
            </c:strRef>
          </c:cat>
          <c:val>
            <c:numRef>
              <c:f>'T1-T6'!$AV$10:$AV$25</c:f>
              <c:numCache>
                <c:formatCode>"$"#,##0</c:formatCode>
                <c:ptCount val="16"/>
                <c:pt idx="0">
                  <c:v>72582.372308861726</c:v>
                </c:pt>
                <c:pt idx="1">
                  <c:v>72430.858038761988</c:v>
                </c:pt>
                <c:pt idx="2">
                  <c:v>71066.027336273575</c:v>
                </c:pt>
                <c:pt idx="3">
                  <c:v>68061.900518102892</c:v>
                </c:pt>
                <c:pt idx="4">
                  <c:v>66796.312883211882</c:v>
                </c:pt>
                <c:pt idx="5">
                  <c:v>66447.35621696047</c:v>
                </c:pt>
                <c:pt idx="6">
                  <c:v>67166.53082680708</c:v>
                </c:pt>
                <c:pt idx="7">
                  <c:v>68324.958064341743</c:v>
                </c:pt>
                <c:pt idx="8">
                  <c:v>69444.678995173977</c:v>
                </c:pt>
                <c:pt idx="9">
                  <c:v>71383.275839249633</c:v>
                </c:pt>
                <c:pt idx="10">
                  <c:v>71889.477335397663</c:v>
                </c:pt>
                <c:pt idx="11">
                  <c:v>70901.357362028706</c:v>
                </c:pt>
                <c:pt idx="12">
                  <c:v>70472.883296649903</c:v>
                </c:pt>
                <c:pt idx="13">
                  <c:v>70296.862077800411</c:v>
                </c:pt>
                <c:pt idx="14">
                  <c:v>70386.977467268094</c:v>
                </c:pt>
                <c:pt idx="15">
                  <c:v>70877.67805570089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D-4A94-AE55-6D4E88B51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66344"/>
        <c:axId val="491573184"/>
      </c:lineChart>
      <c:catAx>
        <c:axId val="5386663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573184"/>
        <c:crosses val="autoZero"/>
        <c:auto val="1"/>
        <c:lblAlgn val="ctr"/>
        <c:lblOffset val="100"/>
        <c:noMultiLvlLbl val="0"/>
      </c:catAx>
      <c:valAx>
        <c:axId val="491573184"/>
        <c:scaling>
          <c:orientation val="minMax"/>
          <c:max val="100000"/>
          <c:min val="63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66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01662292213471"/>
          <c:y val="0.42187445319335076"/>
          <c:w val="0.2219667541557305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Average Income(in 2017 $): NJ vs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60039370078741"/>
          <c:y val="0.17171296296296298"/>
          <c:w val="0.75980468066491691"/>
          <c:h val="0.57030475357247012"/>
        </c:manualLayout>
      </c:layout>
      <c:lineChart>
        <c:grouping val="standard"/>
        <c:varyColors val="0"/>
        <c:ser>
          <c:idx val="0"/>
          <c:order val="0"/>
          <c:tx>
            <c:v>NJ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'T1-T6'!$AT$29:$AT$44</c:f>
              <c:strCache>
                <c:ptCount val="16"/>
                <c:pt idx="0">
                  <c:v>2016~2017</c:v>
                </c:pt>
                <c:pt idx="1">
                  <c:v>2015~2016</c:v>
                </c:pt>
                <c:pt idx="2">
                  <c:v>2014~2015</c:v>
                </c:pt>
                <c:pt idx="3">
                  <c:v>2013~2014</c:v>
                </c:pt>
                <c:pt idx="4">
                  <c:v>2012~2013</c:v>
                </c:pt>
                <c:pt idx="5">
                  <c:v>2011~2012</c:v>
                </c:pt>
                <c:pt idx="6">
                  <c:v>2010~2011</c:v>
                </c:pt>
                <c:pt idx="7">
                  <c:v>2009~2010</c:v>
                </c:pt>
                <c:pt idx="8">
                  <c:v>2008~2009</c:v>
                </c:pt>
                <c:pt idx="9">
                  <c:v>2007~2008</c:v>
                </c:pt>
                <c:pt idx="10">
                  <c:v>2006~2007</c:v>
                </c:pt>
                <c:pt idx="11">
                  <c:v>2005~2006</c:v>
                </c:pt>
                <c:pt idx="12">
                  <c:v>2004~2005</c:v>
                </c:pt>
                <c:pt idx="13">
                  <c:v>2003~2004</c:v>
                </c:pt>
                <c:pt idx="14">
                  <c:v>2002~2003</c:v>
                </c:pt>
                <c:pt idx="15">
                  <c:v>2001~2002</c:v>
                </c:pt>
              </c:strCache>
            </c:strRef>
          </c:cat>
          <c:val>
            <c:numRef>
              <c:f>'T1-T6'!$AU$29:$AU$44</c:f>
              <c:numCache>
                <c:formatCode>_("$"* #,##0_);_("$"* \(#,##0\);_("$"* "-"??_);_(@_)</c:formatCode>
                <c:ptCount val="16"/>
                <c:pt idx="0">
                  <c:v>68849.235528743971</c:v>
                </c:pt>
                <c:pt idx="1">
                  <c:v>67387.356730917323</c:v>
                </c:pt>
                <c:pt idx="2">
                  <c:v>67317.601007229561</c:v>
                </c:pt>
                <c:pt idx="3">
                  <c:v>65691.590641251416</c:v>
                </c:pt>
                <c:pt idx="4">
                  <c:v>67376.123921841208</c:v>
                </c:pt>
                <c:pt idx="5">
                  <c:v>68700.587731315551</c:v>
                </c:pt>
                <c:pt idx="6">
                  <c:v>68622.136496054969</c:v>
                </c:pt>
                <c:pt idx="7">
                  <c:v>71809.110350796778</c:v>
                </c:pt>
                <c:pt idx="8">
                  <c:v>73431.879403117622</c:v>
                </c:pt>
                <c:pt idx="9">
                  <c:v>72197.579542150459</c:v>
                </c:pt>
                <c:pt idx="10">
                  <c:v>76261.71452623044</c:v>
                </c:pt>
                <c:pt idx="11">
                  <c:v>80689.361121264461</c:v>
                </c:pt>
                <c:pt idx="12">
                  <c:v>75809.752227153804</c:v>
                </c:pt>
                <c:pt idx="13">
                  <c:v>73614.900776894152</c:v>
                </c:pt>
                <c:pt idx="14">
                  <c:v>75301.072501514107</c:v>
                </c:pt>
                <c:pt idx="15">
                  <c:v>74174.499742013082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49-470C-95C8-5392B24055DD}"/>
            </c:ext>
          </c:extLst>
        </c:ser>
        <c:ser>
          <c:idx val="1"/>
          <c:order val="1"/>
          <c:tx>
            <c:v>US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'T1-T6'!$AT$29:$AT$44</c:f>
              <c:strCache>
                <c:ptCount val="16"/>
                <c:pt idx="0">
                  <c:v>2016~2017</c:v>
                </c:pt>
                <c:pt idx="1">
                  <c:v>2015~2016</c:v>
                </c:pt>
                <c:pt idx="2">
                  <c:v>2014~2015</c:v>
                </c:pt>
                <c:pt idx="3">
                  <c:v>2013~2014</c:v>
                </c:pt>
                <c:pt idx="4">
                  <c:v>2012~2013</c:v>
                </c:pt>
                <c:pt idx="5">
                  <c:v>2011~2012</c:v>
                </c:pt>
                <c:pt idx="6">
                  <c:v>2010~2011</c:v>
                </c:pt>
                <c:pt idx="7">
                  <c:v>2009~2010</c:v>
                </c:pt>
                <c:pt idx="8">
                  <c:v>2008~2009</c:v>
                </c:pt>
                <c:pt idx="9">
                  <c:v>2007~2008</c:v>
                </c:pt>
                <c:pt idx="10">
                  <c:v>2006~2007</c:v>
                </c:pt>
                <c:pt idx="11">
                  <c:v>2005~2006</c:v>
                </c:pt>
                <c:pt idx="12">
                  <c:v>2004~2005</c:v>
                </c:pt>
                <c:pt idx="13">
                  <c:v>2003~2004</c:v>
                </c:pt>
                <c:pt idx="14">
                  <c:v>2002~2003</c:v>
                </c:pt>
                <c:pt idx="15">
                  <c:v>2001~2002</c:v>
                </c:pt>
              </c:strCache>
            </c:strRef>
          </c:cat>
          <c:val>
            <c:numRef>
              <c:f>'T1-T6'!$AV$29:$AV$44</c:f>
              <c:numCache>
                <c:formatCode>"$"#,##0</c:formatCode>
                <c:ptCount val="16"/>
                <c:pt idx="0">
                  <c:v>58210.289245605949</c:v>
                </c:pt>
                <c:pt idx="1">
                  <c:v>57953.65136231319</c:v>
                </c:pt>
                <c:pt idx="2">
                  <c:v>56904.797831998694</c:v>
                </c:pt>
                <c:pt idx="3">
                  <c:v>55058.126005118233</c:v>
                </c:pt>
                <c:pt idx="4">
                  <c:v>54527.527315256055</c:v>
                </c:pt>
                <c:pt idx="5">
                  <c:v>54480.30081196838</c:v>
                </c:pt>
                <c:pt idx="6">
                  <c:v>55050.299910177913</c:v>
                </c:pt>
                <c:pt idx="7">
                  <c:v>56274.860097856712</c:v>
                </c:pt>
                <c:pt idx="8">
                  <c:v>57175.420872624614</c:v>
                </c:pt>
                <c:pt idx="9">
                  <c:v>58414.318743281809</c:v>
                </c:pt>
                <c:pt idx="10">
                  <c:v>59075.012408137431</c:v>
                </c:pt>
                <c:pt idx="11">
                  <c:v>58417.162028537306</c:v>
                </c:pt>
                <c:pt idx="12">
                  <c:v>57892.771476220878</c:v>
                </c:pt>
                <c:pt idx="13">
                  <c:v>57677.432539063266</c:v>
                </c:pt>
                <c:pt idx="14">
                  <c:v>57762.68980522413</c:v>
                </c:pt>
                <c:pt idx="15">
                  <c:v>58148.899123357376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9-470C-95C8-5392B2405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5165512"/>
        <c:axId val="565162560"/>
      </c:lineChart>
      <c:catAx>
        <c:axId val="5651655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62560"/>
        <c:crosses val="autoZero"/>
        <c:auto val="1"/>
        <c:lblAlgn val="ctr"/>
        <c:lblOffset val="100"/>
        <c:noMultiLvlLbl val="0"/>
      </c:catAx>
      <c:valAx>
        <c:axId val="565162560"/>
        <c:scaling>
          <c:orientation val="minMax"/>
          <c:max val="82000"/>
          <c:min val="50000"/>
        </c:scaling>
        <c:delete val="0"/>
        <c:axPos val="r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655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97595026416816"/>
          <c:y val="0.42248492976839425"/>
          <c:w val="0.2219667541557305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Median Family Income by Selected Family Characteristics (in 2017 $)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6159230096238"/>
          <c:y val="0.17171296296296296"/>
          <c:w val="0.86817104111985999"/>
          <c:h val="0.61347987751531063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'T7-T10'!$B$9:$Q$9</c:f>
              <c:numCache>
                <c:formatCode>"$"#,##0</c:formatCode>
                <c:ptCount val="16"/>
                <c:pt idx="0">
                  <c:v>91778.148563966854</c:v>
                </c:pt>
                <c:pt idx="1">
                  <c:v>93447.090623525903</c:v>
                </c:pt>
                <c:pt idx="2">
                  <c:v>93564.434733482543</c:v>
                </c:pt>
                <c:pt idx="3">
                  <c:v>95878.826159990887</c:v>
                </c:pt>
                <c:pt idx="4">
                  <c:v>98473.546434899094</c:v>
                </c:pt>
                <c:pt idx="5">
                  <c:v>95945.212375720876</c:v>
                </c:pt>
                <c:pt idx="6">
                  <c:v>94360.920391729887</c:v>
                </c:pt>
                <c:pt idx="7">
                  <c:v>91689.497800978046</c:v>
                </c:pt>
                <c:pt idx="8">
                  <c:v>87412.140988697065</c:v>
                </c:pt>
                <c:pt idx="9">
                  <c:v>86269.896598271676</c:v>
                </c:pt>
                <c:pt idx="10">
                  <c:v>86034.244150838334</c:v>
                </c:pt>
                <c:pt idx="11">
                  <c:v>85425.380316543451</c:v>
                </c:pt>
                <c:pt idx="12">
                  <c:v>84655.690302300733</c:v>
                </c:pt>
                <c:pt idx="13">
                  <c:v>88471.11491837044</c:v>
                </c:pt>
                <c:pt idx="14">
                  <c:v>91562.757908514614</c:v>
                </c:pt>
                <c:pt idx="15">
                  <c:v>89367.914351206273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8-4EF8-B442-900F135D7751}"/>
            </c:ext>
          </c:extLst>
        </c:ser>
        <c:ser>
          <c:idx val="1"/>
          <c:order val="1"/>
          <c:tx>
            <c:v>White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'T7-T10'!$B$12:$Q$12</c:f>
              <c:numCache>
                <c:formatCode>_("$"* #,##0_);_("$"* \(#,##0\);_("$"* "-"??_);_(@_)</c:formatCode>
                <c:ptCount val="16"/>
                <c:pt idx="0">
                  <c:v>96180.02890641363</c:v>
                </c:pt>
                <c:pt idx="1">
                  <c:v>97536.054782660241</c:v>
                </c:pt>
                <c:pt idx="2">
                  <c:v>98603.706668081752</c:v>
                </c:pt>
                <c:pt idx="3">
                  <c:v>101416.90418179381</c:v>
                </c:pt>
                <c:pt idx="4">
                  <c:v>102789.17370528253</c:v>
                </c:pt>
                <c:pt idx="5">
                  <c:v>101116.05435930261</c:v>
                </c:pt>
                <c:pt idx="6">
                  <c:v>100392.85163437887</c:v>
                </c:pt>
                <c:pt idx="7">
                  <c:v>98102.606913087555</c:v>
                </c:pt>
                <c:pt idx="8">
                  <c:v>94787.656761877734</c:v>
                </c:pt>
                <c:pt idx="9">
                  <c:v>91390.44953083474</c:v>
                </c:pt>
                <c:pt idx="10">
                  <c:v>90441.211192791248</c:v>
                </c:pt>
                <c:pt idx="11">
                  <c:v>88766.2711424726</c:v>
                </c:pt>
                <c:pt idx="12">
                  <c:v>86565.720107790708</c:v>
                </c:pt>
                <c:pt idx="13">
                  <c:v>90692.659249606877</c:v>
                </c:pt>
                <c:pt idx="14">
                  <c:v>93101.650658719329</c:v>
                </c:pt>
                <c:pt idx="15">
                  <c:v>90878.081793218356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8-4EF8-B442-900F135D7751}"/>
            </c:ext>
          </c:extLst>
        </c:ser>
        <c:ser>
          <c:idx val="2"/>
          <c:order val="2"/>
          <c:tx>
            <c:v>Black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'T7-T10'!$B$13:$Q$13</c:f>
              <c:numCache>
                <c:formatCode>_("$"* #,##0_);_("$"* \(#,##0\);_("$"* "-"??_);_(@_)</c:formatCode>
                <c:ptCount val="16"/>
                <c:pt idx="0">
                  <c:v>58481.534611043913</c:v>
                </c:pt>
                <c:pt idx="1">
                  <c:v>57275.153465960975</c:v>
                </c:pt>
                <c:pt idx="2">
                  <c:v>57276.3339048817</c:v>
                </c:pt>
                <c:pt idx="3">
                  <c:v>61203.186850968472</c:v>
                </c:pt>
                <c:pt idx="4">
                  <c:v>59165.168551054921</c:v>
                </c:pt>
                <c:pt idx="5">
                  <c:v>53982.822653938056</c:v>
                </c:pt>
                <c:pt idx="6">
                  <c:v>51578.809796582209</c:v>
                </c:pt>
                <c:pt idx="7">
                  <c:v>52595.271287469033</c:v>
                </c:pt>
                <c:pt idx="8">
                  <c:v>53020.028787031115</c:v>
                </c:pt>
                <c:pt idx="9">
                  <c:v>52608.317390663593</c:v>
                </c:pt>
                <c:pt idx="10">
                  <c:v>54672.872823392587</c:v>
                </c:pt>
                <c:pt idx="11">
                  <c:v>55842.43017974621</c:v>
                </c:pt>
                <c:pt idx="12">
                  <c:v>54552.27472450801</c:v>
                </c:pt>
                <c:pt idx="13">
                  <c:v>62231.243368039301</c:v>
                </c:pt>
                <c:pt idx="14">
                  <c:v>60918.820137391798</c:v>
                </c:pt>
                <c:pt idx="15">
                  <c:v>59219.597042694091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8-4EF8-B442-900F135D7751}"/>
            </c:ext>
          </c:extLst>
        </c:ser>
        <c:ser>
          <c:idx val="3"/>
          <c:order val="3"/>
          <c:tx>
            <c:v>Hispanics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'T7-T10'!$B$15:$Q$15</c:f>
              <c:numCache>
                <c:formatCode>_("$"* #,##0_);_("$"* \(#,##0\);_("$"* "-"??_);_(@_)</c:formatCode>
                <c:ptCount val="16"/>
                <c:pt idx="0">
                  <c:v>56975.59879107897</c:v>
                </c:pt>
                <c:pt idx="1">
                  <c:v>59607.131970470975</c:v>
                </c:pt>
                <c:pt idx="2">
                  <c:v>52088.168870714275</c:v>
                </c:pt>
                <c:pt idx="3">
                  <c:v>50969.416907921142</c:v>
                </c:pt>
                <c:pt idx="4">
                  <c:v>53995.99290618232</c:v>
                </c:pt>
                <c:pt idx="5">
                  <c:v>57124.865591281145</c:v>
                </c:pt>
                <c:pt idx="6">
                  <c:v>55513.605637594286</c:v>
                </c:pt>
                <c:pt idx="7">
                  <c:v>55222.551227132411</c:v>
                </c:pt>
                <c:pt idx="8">
                  <c:v>57400.333458889116</c:v>
                </c:pt>
                <c:pt idx="9">
                  <c:v>50187.122542555022</c:v>
                </c:pt>
                <c:pt idx="10">
                  <c:v>43341.654485144682</c:v>
                </c:pt>
                <c:pt idx="11">
                  <c:v>46290.259149486883</c:v>
                </c:pt>
                <c:pt idx="12">
                  <c:v>48557.018933719228</c:v>
                </c:pt>
                <c:pt idx="13">
                  <c:v>49136.053155415029</c:v>
                </c:pt>
                <c:pt idx="14">
                  <c:v>48526.817244493286</c:v>
                </c:pt>
                <c:pt idx="15">
                  <c:v>49604.564989137638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8-4EF8-B442-900F135D7751}"/>
            </c:ext>
          </c:extLst>
        </c:ser>
        <c:ser>
          <c:idx val="4"/>
          <c:order val="4"/>
          <c:tx>
            <c:v>Female Household (no husband)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'T7-T10'!$B$22:$Q$22</c:f>
              <c:numCache>
                <c:formatCode>_("$"* #,##0_);_("$"* \(#,##0\);_("$"* "-"??_);_(@_)</c:formatCode>
                <c:ptCount val="16"/>
                <c:pt idx="0">
                  <c:v>47236.972973428012</c:v>
                </c:pt>
                <c:pt idx="1">
                  <c:v>49931.802149981922</c:v>
                </c:pt>
                <c:pt idx="2">
                  <c:v>51571.501779349877</c:v>
                </c:pt>
                <c:pt idx="3">
                  <c:v>51056.810294020303</c:v>
                </c:pt>
                <c:pt idx="4">
                  <c:v>47812.573981821559</c:v>
                </c:pt>
                <c:pt idx="5">
                  <c:v>43948.869444266857</c:v>
                </c:pt>
                <c:pt idx="6">
                  <c:v>41471.775849283658</c:v>
                </c:pt>
                <c:pt idx="7">
                  <c:v>42205.959983140769</c:v>
                </c:pt>
                <c:pt idx="8">
                  <c:v>42354.450523001127</c:v>
                </c:pt>
                <c:pt idx="9">
                  <c:v>40514.54488668577</c:v>
                </c:pt>
                <c:pt idx="10">
                  <c:v>39237.041604542144</c:v>
                </c:pt>
                <c:pt idx="11">
                  <c:v>39177.786538365035</c:v>
                </c:pt>
                <c:pt idx="12">
                  <c:v>40400.637308225632</c:v>
                </c:pt>
                <c:pt idx="13">
                  <c:v>43129.087283311361</c:v>
                </c:pt>
                <c:pt idx="14">
                  <c:v>44334.448154629863</c:v>
                </c:pt>
                <c:pt idx="15">
                  <c:v>39392.177323713171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D8-4EF8-B442-900F135D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6898912"/>
        <c:axId val="486896944"/>
      </c:lineChart>
      <c:catAx>
        <c:axId val="4868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896944"/>
        <c:crosses val="autoZero"/>
        <c:auto val="1"/>
        <c:lblAlgn val="ctr"/>
        <c:lblOffset val="100"/>
        <c:noMultiLvlLbl val="0"/>
      </c:catAx>
      <c:valAx>
        <c:axId val="486896944"/>
        <c:scaling>
          <c:orientation val="minMax"/>
          <c:min val="350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8989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044619422572178E-3"/>
          <c:y val="0.93460484106153396"/>
          <c:w val="0.9903622047244095"/>
          <c:h val="6.539515893846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Median Income of Married Couple Family</a:t>
            </a:r>
          </a:p>
          <a:p>
            <a:pPr>
              <a:defRPr/>
            </a:pPr>
            <a:r>
              <a:rPr lang="en-US"/>
              <a:t>(in 2017 $)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15048118985126"/>
          <c:y val="0.17171296296296296"/>
          <c:w val="0.83329396325459315"/>
          <c:h val="0.56252989209682125"/>
        </c:manualLayout>
      </c:layout>
      <c:lineChart>
        <c:grouping val="standard"/>
        <c:varyColors val="0"/>
        <c:ser>
          <c:idx val="0"/>
          <c:order val="0"/>
          <c:tx>
            <c:v>Married Couple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'T7-T10'!$B$18:$Q$18</c:f>
              <c:numCache>
                <c:formatCode>_("$"* #,##0_);_("$"* \(#,##0\);_("$"* "-"??_);_(@_)</c:formatCode>
                <c:ptCount val="16"/>
                <c:pt idx="0">
                  <c:v>105100.65423775678</c:v>
                </c:pt>
                <c:pt idx="1">
                  <c:v>107584.45403061122</c:v>
                </c:pt>
                <c:pt idx="2">
                  <c:v>109232.3590308353</c:v>
                </c:pt>
                <c:pt idx="3">
                  <c:v>110506.58774699213</c:v>
                </c:pt>
                <c:pt idx="4">
                  <c:v>112447.08552899005</c:v>
                </c:pt>
                <c:pt idx="5">
                  <c:v>112191.65123718925</c:v>
                </c:pt>
                <c:pt idx="6">
                  <c:v>112333.0067890377</c:v>
                </c:pt>
                <c:pt idx="7">
                  <c:v>113408.17438022332</c:v>
                </c:pt>
                <c:pt idx="8">
                  <c:v>110094.8375265029</c:v>
                </c:pt>
                <c:pt idx="9">
                  <c:v>104438.9309589121</c:v>
                </c:pt>
                <c:pt idx="10">
                  <c:v>104146.55826484758</c:v>
                </c:pt>
                <c:pt idx="11">
                  <c:v>103264.60913036158</c:v>
                </c:pt>
                <c:pt idx="12">
                  <c:v>102920.99894773556</c:v>
                </c:pt>
                <c:pt idx="13">
                  <c:v>104620.69852116067</c:v>
                </c:pt>
                <c:pt idx="14">
                  <c:v>103399.95225804916</c:v>
                </c:pt>
                <c:pt idx="15">
                  <c:v>105501.3852680717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7-4DBF-81D0-8CAA974A7030}"/>
            </c:ext>
          </c:extLst>
        </c:ser>
        <c:ser>
          <c:idx val="1"/>
          <c:order val="1"/>
          <c:tx>
            <c:v>Spouse in Labor Force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'T7-T10'!$B$19:$Q$19</c:f>
              <c:numCache>
                <c:formatCode>_("$"* #,##0_);_("$"* \(#,##0\);_("$"* "-"??_);_(@_)</c:formatCode>
                <c:ptCount val="16"/>
                <c:pt idx="0">
                  <c:v>127798.04344757731</c:v>
                </c:pt>
                <c:pt idx="1">
                  <c:v>125488.27767400866</c:v>
                </c:pt>
                <c:pt idx="2">
                  <c:v>124400.04133434864</c:v>
                </c:pt>
                <c:pt idx="3">
                  <c:v>124633.28916482357</c:v>
                </c:pt>
                <c:pt idx="4">
                  <c:v>127704.99348884451</c:v>
                </c:pt>
                <c:pt idx="5">
                  <c:v>129596.08956544157</c:v>
                </c:pt>
                <c:pt idx="6">
                  <c:v>129526.16785175171</c:v>
                </c:pt>
                <c:pt idx="7">
                  <c:v>130157.53850218203</c:v>
                </c:pt>
                <c:pt idx="8">
                  <c:v>120701.23072403089</c:v>
                </c:pt>
                <c:pt idx="9">
                  <c:v>115840.57922354396</c:v>
                </c:pt>
                <c:pt idx="10">
                  <c:v>123121.68591446031</c:v>
                </c:pt>
                <c:pt idx="11">
                  <c:v>123015.62225234663</c:v>
                </c:pt>
                <c:pt idx="12">
                  <c:v>118813.81139061735</c:v>
                </c:pt>
                <c:pt idx="13">
                  <c:v>121719.82202605534</c:v>
                </c:pt>
                <c:pt idx="14">
                  <c:v>127051.08147114601</c:v>
                </c:pt>
                <c:pt idx="15">
                  <c:v>125477.00721570634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7-4DBF-81D0-8CAA974A7030}"/>
            </c:ext>
          </c:extLst>
        </c:ser>
        <c:ser>
          <c:idx val="2"/>
          <c:order val="2"/>
          <c:tx>
            <c:v>Spouse no in Labor Force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'T7-T10'!$B$20:$Q$20</c:f>
              <c:numCache>
                <c:formatCode>_("$"* #,##0_);_("$"* \(#,##0\);_("$"* "-"??_);_(@_)</c:formatCode>
                <c:ptCount val="16"/>
                <c:pt idx="0">
                  <c:v>62803.743839352086</c:v>
                </c:pt>
                <c:pt idx="1">
                  <c:v>64367.468615989281</c:v>
                </c:pt>
                <c:pt idx="2">
                  <c:v>67396.133680967076</c:v>
                </c:pt>
                <c:pt idx="3">
                  <c:v>69345.835243648355</c:v>
                </c:pt>
                <c:pt idx="4">
                  <c:v>69166.104071533802</c:v>
                </c:pt>
                <c:pt idx="5">
                  <c:v>66012.577686857607</c:v>
                </c:pt>
                <c:pt idx="6">
                  <c:v>70979.517321536187</c:v>
                </c:pt>
                <c:pt idx="7">
                  <c:v>75566.604364842438</c:v>
                </c:pt>
                <c:pt idx="8">
                  <c:v>66553.754759751784</c:v>
                </c:pt>
                <c:pt idx="9">
                  <c:v>62580.938756592019</c:v>
                </c:pt>
                <c:pt idx="10">
                  <c:v>64377.427115360479</c:v>
                </c:pt>
                <c:pt idx="11">
                  <c:v>63683.397866760788</c:v>
                </c:pt>
                <c:pt idx="12">
                  <c:v>68835.795669861691</c:v>
                </c:pt>
                <c:pt idx="13">
                  <c:v>70050.317214786599</c:v>
                </c:pt>
                <c:pt idx="14">
                  <c:v>68532.743558636779</c:v>
                </c:pt>
                <c:pt idx="15">
                  <c:v>69878.589478972834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E7-4DBF-81D0-8CAA974A7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4137272"/>
        <c:axId val="564139240"/>
      </c:lineChart>
      <c:catAx>
        <c:axId val="56413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39240"/>
        <c:crosses val="autoZero"/>
        <c:auto val="1"/>
        <c:lblAlgn val="ctr"/>
        <c:lblOffset val="100"/>
        <c:noMultiLvlLbl val="0"/>
      </c:catAx>
      <c:valAx>
        <c:axId val="564139240"/>
        <c:scaling>
          <c:orientation val="minMax"/>
          <c:min val="55000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3727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846894138232523E-3"/>
          <c:y val="0.90161927675707199"/>
          <c:w val="0.98758617672790905"/>
          <c:h val="9.8380723242927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Median Family Income by Selected Family Characteristics (in 2017 $)</a:t>
            </a:r>
          </a:p>
        </c:rich>
      </c:tx>
      <c:layout>
        <c:manualLayout>
          <c:xMode val="edge"/>
          <c:yMode val="edge"/>
          <c:x val="0.1194444444444444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37270341207348"/>
          <c:y val="0.17171296296296296"/>
          <c:w val="0.87651618547681542"/>
          <c:h val="0.59088582677165358"/>
        </c:manualLayout>
      </c:layout>
      <c:lineChart>
        <c:grouping val="standard"/>
        <c:varyColors val="0"/>
        <c:ser>
          <c:idx val="0"/>
          <c:order val="0"/>
          <c:tx>
            <c:v>All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'T7-T10'!$B$26:$Q$26</c:f>
              <c:numCache>
                <c:formatCode>_("$"* #,##0_);_("$"* \(#,##0\);_("$"* "-"??_);_(@_)</c:formatCode>
                <c:ptCount val="16"/>
                <c:pt idx="0">
                  <c:v>70877.67805570089</c:v>
                </c:pt>
                <c:pt idx="1">
                  <c:v>70386.977467268094</c:v>
                </c:pt>
                <c:pt idx="2">
                  <c:v>70296.862077800411</c:v>
                </c:pt>
                <c:pt idx="3">
                  <c:v>70472.883296649903</c:v>
                </c:pt>
                <c:pt idx="4">
                  <c:v>70901.357362028706</c:v>
                </c:pt>
                <c:pt idx="5">
                  <c:v>71889.477335397663</c:v>
                </c:pt>
                <c:pt idx="6">
                  <c:v>71383.275839249633</c:v>
                </c:pt>
                <c:pt idx="7">
                  <c:v>69444.678995173977</c:v>
                </c:pt>
                <c:pt idx="8">
                  <c:v>68324.958064341743</c:v>
                </c:pt>
                <c:pt idx="9">
                  <c:v>67166.53082680708</c:v>
                </c:pt>
                <c:pt idx="10">
                  <c:v>66447.35621696047</c:v>
                </c:pt>
                <c:pt idx="11">
                  <c:v>66796.312883211882</c:v>
                </c:pt>
                <c:pt idx="12">
                  <c:v>68061.900518102892</c:v>
                </c:pt>
                <c:pt idx="13">
                  <c:v>71066.027336273575</c:v>
                </c:pt>
                <c:pt idx="14">
                  <c:v>72430.858038761988</c:v>
                </c:pt>
                <c:pt idx="15">
                  <c:v>72582.372308861726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A-4EE0-B2F2-1019309777AF}"/>
            </c:ext>
          </c:extLst>
        </c:ser>
        <c:ser>
          <c:idx val="1"/>
          <c:order val="1"/>
          <c:tx>
            <c:v>White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'T7-T10'!$B$29:$Q$29</c:f>
              <c:numCache>
                <c:formatCode>_("$"* #,##0_);_("$"* \(#,##0\);_("$"* "-"??_);_(@_)</c:formatCode>
                <c:ptCount val="16"/>
                <c:pt idx="0">
                  <c:v>74792.549077465665</c:v>
                </c:pt>
                <c:pt idx="1">
                  <c:v>74474.609789353271</c:v>
                </c:pt>
                <c:pt idx="2">
                  <c:v>74083.715203594358</c:v>
                </c:pt>
                <c:pt idx="3">
                  <c:v>74204.447865312744</c:v>
                </c:pt>
                <c:pt idx="4">
                  <c:v>74650.245832519402</c:v>
                </c:pt>
                <c:pt idx="5">
                  <c:v>75479.566805824026</c:v>
                </c:pt>
                <c:pt idx="6">
                  <c:v>75210.36737960059</c:v>
                </c:pt>
                <c:pt idx="7">
                  <c:v>72855.922665288643</c:v>
                </c:pt>
                <c:pt idx="8">
                  <c:v>71305.054799720703</c:v>
                </c:pt>
                <c:pt idx="9">
                  <c:v>70414.897703599563</c:v>
                </c:pt>
                <c:pt idx="10">
                  <c:v>70082.012644981151</c:v>
                </c:pt>
                <c:pt idx="11">
                  <c:v>70542.098222650849</c:v>
                </c:pt>
                <c:pt idx="12">
                  <c:v>71936.502782612413</c:v>
                </c:pt>
                <c:pt idx="13">
                  <c:v>74981.668029431152</c:v>
                </c:pt>
                <c:pt idx="14">
                  <c:v>76088.300422092274</c:v>
                </c:pt>
                <c:pt idx="15">
                  <c:v>76302.820649429545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A-4EE0-B2F2-1019309777AF}"/>
            </c:ext>
          </c:extLst>
        </c:ser>
        <c:ser>
          <c:idx val="2"/>
          <c:order val="2"/>
          <c:tx>
            <c:v>Black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'T7-T10'!$B$30:$Q$30</c:f>
              <c:numCache>
                <c:formatCode>_("$"* #,##0_);_("$"* \(#,##0\);_("$"* "-"??_);_(@_)</c:formatCode>
                <c:ptCount val="16"/>
                <c:pt idx="0">
                  <c:v>46148.00807776647</c:v>
                </c:pt>
                <c:pt idx="1">
                  <c:v>45770.508080920161</c:v>
                </c:pt>
                <c:pt idx="2">
                  <c:v>45709.897191597091</c:v>
                </c:pt>
                <c:pt idx="3">
                  <c:v>45068.324439975309</c:v>
                </c:pt>
                <c:pt idx="4">
                  <c:v>45543.187617266791</c:v>
                </c:pt>
                <c:pt idx="5">
                  <c:v>47019.94237397633</c:v>
                </c:pt>
                <c:pt idx="6">
                  <c:v>46425.097141227838</c:v>
                </c:pt>
                <c:pt idx="7">
                  <c:v>44661.858311148695</c:v>
                </c:pt>
                <c:pt idx="8">
                  <c:v>43619.069996338745</c:v>
                </c:pt>
                <c:pt idx="9">
                  <c:v>43710.537641746945</c:v>
                </c:pt>
                <c:pt idx="10">
                  <c:v>43740.915968307469</c:v>
                </c:pt>
                <c:pt idx="11">
                  <c:v>43555.185640716409</c:v>
                </c:pt>
                <c:pt idx="12">
                  <c:v>43900.934834673419</c:v>
                </c:pt>
                <c:pt idx="13">
                  <c:v>45695.532709140891</c:v>
                </c:pt>
                <c:pt idx="14">
                  <c:v>47615.079686723162</c:v>
                </c:pt>
                <c:pt idx="15">
                  <c:v>47985.046510654836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A-4EE0-B2F2-1019309777AF}"/>
            </c:ext>
          </c:extLst>
        </c:ser>
        <c:ser>
          <c:idx val="3"/>
          <c:order val="3"/>
          <c:tx>
            <c:v>Hispanics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'T7-T10'!$B$32:$Q$32</c:f>
              <c:numCache>
                <c:formatCode>_("$"* #,##0_);_("$"* \(#,##0\);_("$"* "-"??_);_(@_)</c:formatCode>
                <c:ptCount val="16"/>
                <c:pt idx="0">
                  <c:v>47171.609031486092</c:v>
                </c:pt>
                <c:pt idx="1">
                  <c:v>46147.745830287837</c:v>
                </c:pt>
                <c:pt idx="2">
                  <c:v>45838.604721418291</c:v>
                </c:pt>
                <c:pt idx="3">
                  <c:v>46776.592379421549</c:v>
                </c:pt>
                <c:pt idx="4">
                  <c:v>48121.884223124085</c:v>
                </c:pt>
                <c:pt idx="5">
                  <c:v>48304.744526352995</c:v>
                </c:pt>
                <c:pt idx="6">
                  <c:v>47014.148760500073</c:v>
                </c:pt>
                <c:pt idx="7">
                  <c:v>45766.480905328848</c:v>
                </c:pt>
                <c:pt idx="8">
                  <c:v>44968.848734931744</c:v>
                </c:pt>
                <c:pt idx="9">
                  <c:v>44072.054532082228</c:v>
                </c:pt>
                <c:pt idx="10">
                  <c:v>43595.255679799367</c:v>
                </c:pt>
                <c:pt idx="11">
                  <c:v>43999.898960153885</c:v>
                </c:pt>
                <c:pt idx="12">
                  <c:v>45543.151891711059</c:v>
                </c:pt>
                <c:pt idx="13">
                  <c:v>47780.080079357867</c:v>
                </c:pt>
                <c:pt idx="14">
                  <c:v>49301.103845042089</c:v>
                </c:pt>
                <c:pt idx="15">
                  <c:v>50400.158130474949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6A-4EE0-B2F2-1019309777AF}"/>
            </c:ext>
          </c:extLst>
        </c:ser>
        <c:ser>
          <c:idx val="4"/>
          <c:order val="4"/>
          <c:tx>
            <c:v>Female Household (no husband)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'T7-T10'!$B$39:$Q$39</c:f>
              <c:numCache>
                <c:formatCode>_("$"* #,##0_);_("$"* \(#,##0\);_("$"* "-"??_);_(@_)</c:formatCode>
                <c:ptCount val="16"/>
                <c:pt idx="0">
                  <c:v>35852.43366474584</c:v>
                </c:pt>
                <c:pt idx="1">
                  <c:v>35721.236706463482</c:v>
                </c:pt>
                <c:pt idx="2">
                  <c:v>35219.011686333542</c:v>
                </c:pt>
                <c:pt idx="3">
                  <c:v>34627.880188005845</c:v>
                </c:pt>
                <c:pt idx="4">
                  <c:v>34687.109419618886</c:v>
                </c:pt>
                <c:pt idx="5">
                  <c:v>35504.428524116294</c:v>
                </c:pt>
                <c:pt idx="6">
                  <c:v>35109.055150922839</c:v>
                </c:pt>
                <c:pt idx="7">
                  <c:v>34244.935324010003</c:v>
                </c:pt>
                <c:pt idx="8">
                  <c:v>33496.44524663128</c:v>
                </c:pt>
                <c:pt idx="9">
                  <c:v>32935.790722236321</c:v>
                </c:pt>
                <c:pt idx="10">
                  <c:v>32893.115697830275</c:v>
                </c:pt>
                <c:pt idx="11">
                  <c:v>32922.645288359825</c:v>
                </c:pt>
                <c:pt idx="12">
                  <c:v>32064.944407577772</c:v>
                </c:pt>
                <c:pt idx="13">
                  <c:v>33176.334253334477</c:v>
                </c:pt>
                <c:pt idx="14">
                  <c:v>35078.557982426835</c:v>
                </c:pt>
                <c:pt idx="15">
                  <c:v>34738.053013748628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6A-4EE0-B2F2-101930977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0440544"/>
        <c:axId val="570422832"/>
      </c:lineChart>
      <c:catAx>
        <c:axId val="5704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2832"/>
        <c:crosses val="autoZero"/>
        <c:auto val="1"/>
        <c:lblAlgn val="ctr"/>
        <c:lblOffset val="100"/>
        <c:noMultiLvlLbl val="0"/>
      </c:catAx>
      <c:valAx>
        <c:axId val="570422832"/>
        <c:scaling>
          <c:orientation val="minMax"/>
          <c:min val="30000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405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923447069116361"/>
          <c:w val="1"/>
          <c:h val="6.0765529308836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Persons per Household: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45844269466317"/>
          <c:y val="3.7453703703703718E-2"/>
          <c:w val="0.79065507436570426"/>
          <c:h val="0.72827682997958598"/>
        </c:manualLayout>
      </c:layout>
      <c:lineChart>
        <c:grouping val="standard"/>
        <c:varyColors val="0"/>
        <c:ser>
          <c:idx val="0"/>
          <c:order val="0"/>
          <c:tx>
            <c:strRef>
              <c:f>'T1-T6'!$E$3:$E$4</c:f>
              <c:strCache>
                <c:ptCount val="2"/>
                <c:pt idx="0">
                  <c:v>Persons per</c:v>
                </c:pt>
                <c:pt idx="1">
                  <c:v>Household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('T1-T6'!$A$6,'T1-T6'!$A$9,'T1-T6'!$A$12,'T1-T6'!$A$15,'T1-T6'!$A$18,'T1-T6'!$A$21,'T1-T6'!$A$24,'T1-T6'!$A$27,'T1-T6'!$A$30,'T1-T6'!$A$33,'T1-T6'!$A$36,'T1-T6'!$A$39,'T1-T6'!$A$42,'T1-T6'!$A$45,'T1-T6'!$A$48,'T1-T6'!$A$51,'T1-T6'!$A$54)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('T1-T6'!$E$6,'T1-T6'!$E$9,'T1-T6'!$E$12,'T1-T6'!$E$15,'T1-T6'!$E$18,'T1-T6'!$E$21,'T1-T6'!$E$24,'T1-T6'!$E$27,'T1-T6'!$E$30,'T1-T6'!$E$33,'T1-T6'!$E$36,'T1-T6'!$E$39,'T1-T6'!$E$42,'T1-T6'!$E$45,'T1-T6'!$E$48,'T1-T6'!$E$51,'T1-T6'!$E$54)</c:f>
              <c:numCache>
                <c:formatCode>General</c:formatCode>
                <c:ptCount val="17"/>
                <c:pt idx="0">
                  <c:v>2.5499999999999998</c:v>
                </c:pt>
                <c:pt idx="1">
                  <c:v>2.5499999999999998</c:v>
                </c:pt>
                <c:pt idx="2">
                  <c:v>2.61</c:v>
                </c:pt>
                <c:pt idx="3" formatCode="0.00">
                  <c:v>2.6837432293755259</c:v>
                </c:pt>
                <c:pt idx="4" formatCode="#,##0.00">
                  <c:v>2.67</c:v>
                </c:pt>
                <c:pt idx="5" formatCode="#,##0.00">
                  <c:v>2.69</c:v>
                </c:pt>
                <c:pt idx="6" formatCode="#,##0.00">
                  <c:v>2.72</c:v>
                </c:pt>
                <c:pt idx="7" formatCode="#,##0.00">
                  <c:v>2.71</c:v>
                </c:pt>
                <c:pt idx="8" formatCode="#,##0.00">
                  <c:v>2.69</c:v>
                </c:pt>
                <c:pt idx="9" formatCode="#,##0.00">
                  <c:v>2.67</c:v>
                </c:pt>
                <c:pt idx="10" formatCode="#,##0.00">
                  <c:v>2.68</c:v>
                </c:pt>
                <c:pt idx="11" formatCode="#,##0.00">
                  <c:v>2.68</c:v>
                </c:pt>
                <c:pt idx="12" formatCode="0.00">
                  <c:v>2.6694887441186124</c:v>
                </c:pt>
                <c:pt idx="13" formatCode="0.00">
                  <c:v>2.6246594458787333</c:v>
                </c:pt>
                <c:pt idx="14" formatCode="0.00">
                  <c:v>2.6091016442417079</c:v>
                </c:pt>
                <c:pt idx="15" formatCode="0.00">
                  <c:v>2.6134092260202282</c:v>
                </c:pt>
                <c:pt idx="16" formatCode="0.00">
                  <c:v>2.6280853571524663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D-473A-BEC8-ED93B5E2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78071296"/>
        <c:axId val="378073592"/>
      </c:lineChart>
      <c:catAx>
        <c:axId val="3780712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73592"/>
        <c:crosses val="autoZero"/>
        <c:auto val="1"/>
        <c:lblAlgn val="ctr"/>
        <c:lblOffset val="100"/>
        <c:noMultiLvlLbl val="0"/>
      </c:catAx>
      <c:valAx>
        <c:axId val="378073592"/>
        <c:scaling>
          <c:orientation val="minMax"/>
          <c:min val="2.5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712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Median Income of Married</a:t>
            </a:r>
            <a:r>
              <a:rPr lang="en-US" baseline="0"/>
              <a:t> Couple Family</a:t>
            </a:r>
          </a:p>
          <a:p>
            <a:pPr>
              <a:defRPr/>
            </a:pPr>
            <a:r>
              <a:rPr lang="en-US" baseline="0"/>
              <a:t>(in 2017 $)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15048118985126"/>
          <c:y val="0.11615740740740743"/>
          <c:w val="0.83329396325459315"/>
          <c:h val="0.639954797317002"/>
        </c:manualLayout>
      </c:layout>
      <c:lineChart>
        <c:grouping val="standard"/>
        <c:varyColors val="0"/>
        <c:ser>
          <c:idx val="0"/>
          <c:order val="0"/>
          <c:tx>
            <c:v>Married Couple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'T7-T10'!$B$35:$Q$35</c:f>
              <c:numCache>
                <c:formatCode>_("$"* #,##0_);_("$"* \(#,##0\);_("$"* "-"??_);_(@_)</c:formatCode>
                <c:ptCount val="16"/>
                <c:pt idx="0">
                  <c:v>83572.84969070775</c:v>
                </c:pt>
                <c:pt idx="1">
                  <c:v>83290.319124678179</c:v>
                </c:pt>
                <c:pt idx="2">
                  <c:v>82981.653063224803</c:v>
                </c:pt>
                <c:pt idx="3">
                  <c:v>82821.792304269271</c:v>
                </c:pt>
                <c:pt idx="4">
                  <c:v>83757.819733682394</c:v>
                </c:pt>
                <c:pt idx="5">
                  <c:v>85398.013961077435</c:v>
                </c:pt>
                <c:pt idx="6">
                  <c:v>84540.161583526264</c:v>
                </c:pt>
                <c:pt idx="7">
                  <c:v>82482.035301552358</c:v>
                </c:pt>
                <c:pt idx="8">
                  <c:v>81706.079284149921</c:v>
                </c:pt>
                <c:pt idx="9">
                  <c:v>80903.317224281796</c:v>
                </c:pt>
                <c:pt idx="10">
                  <c:v>80521.729286132904</c:v>
                </c:pt>
                <c:pt idx="11">
                  <c:v>80494.420730353697</c:v>
                </c:pt>
                <c:pt idx="12">
                  <c:v>81588.714515365922</c:v>
                </c:pt>
                <c:pt idx="13">
                  <c:v>82788.218580276472</c:v>
                </c:pt>
                <c:pt idx="14">
                  <c:v>84421.723219170206</c:v>
                </c:pt>
                <c:pt idx="15">
                  <c:v>86892.444046764387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A-4C4D-92EF-AC419309092C}"/>
            </c:ext>
          </c:extLst>
        </c:ser>
        <c:ser>
          <c:idx val="1"/>
          <c:order val="1"/>
          <c:tx>
            <c:v>Spouse in Labor Force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'T7-T10'!$B$36:$Q$36</c:f>
              <c:numCache>
                <c:formatCode>_("$"* #,##0_);_("$"* \(#,##0\);_("$"* "-"??_);_(@_)</c:formatCode>
                <c:ptCount val="16"/>
                <c:pt idx="0">
                  <c:v>97884.618611543789</c:v>
                </c:pt>
                <c:pt idx="1">
                  <c:v>98418.271243110386</c:v>
                </c:pt>
                <c:pt idx="2">
                  <c:v>98255.314827337061</c:v>
                </c:pt>
                <c:pt idx="3">
                  <c:v>97353.033876416681</c:v>
                </c:pt>
                <c:pt idx="4">
                  <c:v>97955.339137219591</c:v>
                </c:pt>
                <c:pt idx="5">
                  <c:v>99917.627377126584</c:v>
                </c:pt>
                <c:pt idx="6">
                  <c:v>99009.36521991773</c:v>
                </c:pt>
                <c:pt idx="7">
                  <c:v>97099.896271824779</c:v>
                </c:pt>
                <c:pt idx="8">
                  <c:v>96918.607663891176</c:v>
                </c:pt>
                <c:pt idx="9">
                  <c:v>95891.476970330987</c:v>
                </c:pt>
                <c:pt idx="10">
                  <c:v>95627.466913354438</c:v>
                </c:pt>
                <c:pt idx="11">
                  <c:v>96514.680638219375</c:v>
                </c:pt>
                <c:pt idx="12">
                  <c:v>97539.552942299822</c:v>
                </c:pt>
                <c:pt idx="13">
                  <c:v>101934.69017758136</c:v>
                </c:pt>
                <c:pt idx="14">
                  <c:v>104556.55941016608</c:v>
                </c:pt>
                <c:pt idx="15">
                  <c:v>104681.48574019656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A-4C4D-92EF-AC419309092C}"/>
            </c:ext>
          </c:extLst>
        </c:ser>
        <c:ser>
          <c:idx val="2"/>
          <c:order val="2"/>
          <c:tx>
            <c:v>Spouce not in Labor Force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'T7-T10'!$B$5:$Q$5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'T7-T10'!$B$37:$Q$37</c:f>
              <c:numCache>
                <c:formatCode>_("$"* #,##0_);_("$"* \(#,##0\);_("$"* "-"??_);_(@_)</c:formatCode>
                <c:ptCount val="16"/>
                <c:pt idx="0">
                  <c:v>51530.665898204767</c:v>
                </c:pt>
                <c:pt idx="1">
                  <c:v>51177.333717246613</c:v>
                </c:pt>
                <c:pt idx="2">
                  <c:v>51483.156990021256</c:v>
                </c:pt>
                <c:pt idx="3">
                  <c:v>52014.347243676028</c:v>
                </c:pt>
                <c:pt idx="4">
                  <c:v>52534.198795498458</c:v>
                </c:pt>
                <c:pt idx="5">
                  <c:v>52512.876873578163</c:v>
                </c:pt>
                <c:pt idx="6">
                  <c:v>52502.972916038081</c:v>
                </c:pt>
                <c:pt idx="7">
                  <c:v>52002.656038781453</c:v>
                </c:pt>
                <c:pt idx="8">
                  <c:v>51894.783165467532</c:v>
                </c:pt>
                <c:pt idx="9">
                  <c:v>52113.673553122535</c:v>
                </c:pt>
                <c:pt idx="10">
                  <c:v>51903.051161134528</c:v>
                </c:pt>
                <c:pt idx="11">
                  <c:v>52121.117306929751</c:v>
                </c:pt>
                <c:pt idx="12">
                  <c:v>52087.696875130336</c:v>
                </c:pt>
                <c:pt idx="13">
                  <c:v>53278.521916886595</c:v>
                </c:pt>
                <c:pt idx="14">
                  <c:v>54748.663118335717</c:v>
                </c:pt>
                <c:pt idx="15">
                  <c:v>56000.966027899936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A-4C4D-92EF-AC4193090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0424144"/>
        <c:axId val="570431688"/>
      </c:lineChart>
      <c:catAx>
        <c:axId val="57042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31688"/>
        <c:crosses val="autoZero"/>
        <c:auto val="1"/>
        <c:lblAlgn val="ctr"/>
        <c:lblOffset val="100"/>
        <c:noMultiLvlLbl val="0"/>
      </c:catAx>
      <c:valAx>
        <c:axId val="570431688"/>
        <c:scaling>
          <c:orientation val="minMax"/>
          <c:max val="105000"/>
          <c:min val="45000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41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161927675707199"/>
          <c:w val="1"/>
          <c:h val="9.8380723242927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Median Household Income by Selected Household Characteristics (in 2017 $)</a:t>
            </a:r>
          </a:p>
        </c:rich>
      </c:tx>
      <c:layout>
        <c:manualLayout>
          <c:xMode val="edge"/>
          <c:yMode val="edge"/>
          <c:x val="0.21161111111111117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15048118985126"/>
          <c:y val="0.15319444444444447"/>
          <c:w val="0.83329396325459315"/>
          <c:h val="0.535330271216098"/>
        </c:manualLayout>
      </c:layout>
      <c:lineChart>
        <c:grouping val="standard"/>
        <c:varyColors val="0"/>
        <c:ser>
          <c:idx val="3"/>
          <c:order val="0"/>
          <c:tx>
            <c:v>All Household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'T7-T10'!$T$9:$AI$9</c:f>
              <c:numCache>
                <c:formatCode>_("$"* #,##0_);_("$"* \(#,##0\);_("$"* "-"??_);_(@_)</c:formatCode>
                <c:ptCount val="16"/>
                <c:pt idx="0">
                  <c:v>74174.499742013082</c:v>
                </c:pt>
                <c:pt idx="1">
                  <c:v>75301.072501514107</c:v>
                </c:pt>
                <c:pt idx="2">
                  <c:v>73614.900776894152</c:v>
                </c:pt>
                <c:pt idx="3">
                  <c:v>75809.752227153804</c:v>
                </c:pt>
                <c:pt idx="4">
                  <c:v>80689.361121264461</c:v>
                </c:pt>
                <c:pt idx="5">
                  <c:v>76261.71452623044</c:v>
                </c:pt>
                <c:pt idx="6">
                  <c:v>72197.579542150459</c:v>
                </c:pt>
                <c:pt idx="7">
                  <c:v>73431.879403117622</c:v>
                </c:pt>
                <c:pt idx="8">
                  <c:v>71809.110350796778</c:v>
                </c:pt>
                <c:pt idx="9">
                  <c:v>68622.136496054969</c:v>
                </c:pt>
                <c:pt idx="10">
                  <c:v>68700.587731315551</c:v>
                </c:pt>
                <c:pt idx="11">
                  <c:v>67376.123921841208</c:v>
                </c:pt>
                <c:pt idx="12">
                  <c:v>65691.590641251416</c:v>
                </c:pt>
                <c:pt idx="13">
                  <c:v>67317.601007229561</c:v>
                </c:pt>
                <c:pt idx="14">
                  <c:v>67387.356730917323</c:v>
                </c:pt>
                <c:pt idx="15">
                  <c:v>68849.235528743971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B9-4096-B622-81F5E3AD55D5}"/>
            </c:ext>
          </c:extLst>
        </c:ser>
        <c:ser>
          <c:idx val="6"/>
          <c:order val="1"/>
          <c:tx>
            <c:v>White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'T7-T10'!$T$12:$AI$12</c:f>
              <c:numCache>
                <c:formatCode>_("$"* #,##0_);_("$"* \(#,##0\);_("$"* "-"??_);_(@_)</c:formatCode>
                <c:ptCount val="16"/>
                <c:pt idx="0">
                  <c:v>78297.857896564732</c:v>
                </c:pt>
                <c:pt idx="1">
                  <c:v>78855.062686343314</c:v>
                </c:pt>
                <c:pt idx="2">
                  <c:v>77299.963454847661</c:v>
                </c:pt>
                <c:pt idx="3">
                  <c:v>81134.700163074973</c:v>
                </c:pt>
                <c:pt idx="4">
                  <c:v>86222.114806823811</c:v>
                </c:pt>
                <c:pt idx="5">
                  <c:v>82155.806014845555</c:v>
                </c:pt>
                <c:pt idx="6">
                  <c:v>78418.727039877005</c:v>
                </c:pt>
                <c:pt idx="7">
                  <c:v>78540.507491487922</c:v>
                </c:pt>
                <c:pt idx="8">
                  <c:v>76463.239810463012</c:v>
                </c:pt>
                <c:pt idx="9">
                  <c:v>73111.715842565158</c:v>
                </c:pt>
                <c:pt idx="10">
                  <c:v>73221.620925554467</c:v>
                </c:pt>
                <c:pt idx="11">
                  <c:v>70183.983546169868</c:v>
                </c:pt>
                <c:pt idx="12">
                  <c:v>68893.896400714846</c:v>
                </c:pt>
                <c:pt idx="13">
                  <c:v>69885.865688782331</c:v>
                </c:pt>
                <c:pt idx="14">
                  <c:v>68840.844527407258</c:v>
                </c:pt>
                <c:pt idx="15">
                  <c:v>71136.63371962271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B9-4096-B622-81F5E3AD55D5}"/>
            </c:ext>
          </c:extLst>
        </c:ser>
        <c:ser>
          <c:idx val="7"/>
          <c:order val="2"/>
          <c:tx>
            <c:v>Black</c:v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'T7-T10'!$T$13:$AI$13</c:f>
              <c:numCache>
                <c:formatCode>_("$"* #,##0_);_("$"* \(#,##0\);_("$"* "-"??_);_(@_)</c:formatCode>
                <c:ptCount val="16"/>
                <c:pt idx="0">
                  <c:v>46421.945966710649</c:v>
                </c:pt>
                <c:pt idx="1">
                  <c:v>49109.214168040577</c:v>
                </c:pt>
                <c:pt idx="2">
                  <c:v>48698.414207854126</c:v>
                </c:pt>
                <c:pt idx="3">
                  <c:v>53567.069699820364</c:v>
                </c:pt>
                <c:pt idx="4">
                  <c:v>52658.601689260628</c:v>
                </c:pt>
                <c:pt idx="5">
                  <c:v>43469.213151819116</c:v>
                </c:pt>
                <c:pt idx="6">
                  <c:v>43622.317296211011</c:v>
                </c:pt>
                <c:pt idx="7">
                  <c:v>44114.140001372703</c:v>
                </c:pt>
                <c:pt idx="8">
                  <c:v>40130.420718491354</c:v>
                </c:pt>
                <c:pt idx="9">
                  <c:v>39103.727474356376</c:v>
                </c:pt>
                <c:pt idx="10">
                  <c:v>40918.916729402546</c:v>
                </c:pt>
                <c:pt idx="11">
                  <c:v>40833.954205930335</c:v>
                </c:pt>
                <c:pt idx="12">
                  <c:v>42437.896786885307</c:v>
                </c:pt>
                <c:pt idx="13">
                  <c:v>43965.689668014325</c:v>
                </c:pt>
                <c:pt idx="14">
                  <c:v>41612.967277624601</c:v>
                </c:pt>
                <c:pt idx="15">
                  <c:v>45754.632085751509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B9-4096-B622-81F5E3AD55D5}"/>
            </c:ext>
          </c:extLst>
        </c:ser>
        <c:ser>
          <c:idx val="9"/>
          <c:order val="3"/>
          <c:tx>
            <c:v>Hispanics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'T7-T10'!$T$15:$AI$15</c:f>
              <c:numCache>
                <c:formatCode>_("$"* #,##0_);_("$"* \(#,##0\);_("$"* "-"??_);_(@_)</c:formatCode>
                <c:ptCount val="16"/>
                <c:pt idx="0">
                  <c:v>53735.416324787599</c:v>
                </c:pt>
                <c:pt idx="1">
                  <c:v>54862.464372950111</c:v>
                </c:pt>
                <c:pt idx="2">
                  <c:v>48982.014131307355</c:v>
                </c:pt>
                <c:pt idx="3">
                  <c:v>50913.641123784153</c:v>
                </c:pt>
                <c:pt idx="4">
                  <c:v>55716.577573304574</c:v>
                </c:pt>
                <c:pt idx="5">
                  <c:v>55814.207901578164</c:v>
                </c:pt>
                <c:pt idx="6">
                  <c:v>52623.652050114513</c:v>
                </c:pt>
                <c:pt idx="7">
                  <c:v>54116.169373786848</c:v>
                </c:pt>
                <c:pt idx="8">
                  <c:v>55756.255894659946</c:v>
                </c:pt>
                <c:pt idx="9">
                  <c:v>48464.659672237467</c:v>
                </c:pt>
                <c:pt idx="10">
                  <c:v>43619.904094989106</c:v>
                </c:pt>
                <c:pt idx="11">
                  <c:v>43298.513105143866</c:v>
                </c:pt>
                <c:pt idx="12">
                  <c:v>42720.25228513046</c:v>
                </c:pt>
                <c:pt idx="13">
                  <c:v>42845.117584136227</c:v>
                </c:pt>
                <c:pt idx="14">
                  <c:v>41752.553782546987</c:v>
                </c:pt>
                <c:pt idx="15">
                  <c:v>41930.78096315416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B9-4096-B622-81F5E3AD55D5}"/>
            </c:ext>
          </c:extLst>
        </c:ser>
        <c:ser>
          <c:idx val="12"/>
          <c:order val="4"/>
          <c:tx>
            <c:v>Male Household</c:v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'T7-T10'!$T$18:$AI$18</c:f>
              <c:numCache>
                <c:formatCode>_("$"* #,##0_);_("$"* \(#,##0\);_("$"* "-"??_);_(@_)</c:formatCode>
                <c:ptCount val="16"/>
                <c:pt idx="0">
                  <c:v>87051.411927359411</c:v>
                </c:pt>
                <c:pt idx="1">
                  <c:v>88833.152390246309</c:v>
                </c:pt>
                <c:pt idx="2">
                  <c:v>86789.897983429299</c:v>
                </c:pt>
                <c:pt idx="3">
                  <c:v>88613.965324821678</c:v>
                </c:pt>
                <c:pt idx="4">
                  <c:v>93961.816950789507</c:v>
                </c:pt>
                <c:pt idx="5">
                  <c:v>91160.848248095484</c:v>
                </c:pt>
                <c:pt idx="6">
                  <c:v>89096.896261554852</c:v>
                </c:pt>
                <c:pt idx="7">
                  <c:v>88093.937548548143</c:v>
                </c:pt>
                <c:pt idx="8">
                  <c:v>85110.115362937519</c:v>
                </c:pt>
                <c:pt idx="9">
                  <c:v>85916.669973443961</c:v>
                </c:pt>
                <c:pt idx="10">
                  <c:v>86545.803870443429</c:v>
                </c:pt>
                <c:pt idx="11">
                  <c:v>82189.922540230953</c:v>
                </c:pt>
                <c:pt idx="12">
                  <c:v>76039.19457498769</c:v>
                </c:pt>
                <c:pt idx="13">
                  <c:v>74079.748728137318</c:v>
                </c:pt>
                <c:pt idx="14">
                  <c:v>77856.329115843459</c:v>
                </c:pt>
                <c:pt idx="15">
                  <c:v>82371.34178602093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DB9-4096-B622-81F5E3AD55D5}"/>
            </c:ext>
          </c:extLst>
        </c:ser>
        <c:ser>
          <c:idx val="13"/>
          <c:order val="5"/>
          <c:tx>
            <c:v>Female Household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'T7-T10'!$T$19:$AI$19</c:f>
              <c:numCache>
                <c:formatCode>_("$"* #,##0_);_("$"* \(#,##0\);_("$"* "-"??_);_(@_)</c:formatCode>
                <c:ptCount val="16"/>
                <c:pt idx="0">
                  <c:v>58200.720996994191</c:v>
                </c:pt>
                <c:pt idx="1">
                  <c:v>59643.098319664052</c:v>
                </c:pt>
                <c:pt idx="2">
                  <c:v>59813.856612452801</c:v>
                </c:pt>
                <c:pt idx="3">
                  <c:v>63214.964147136212</c:v>
                </c:pt>
                <c:pt idx="4">
                  <c:v>66924.560010642905</c:v>
                </c:pt>
                <c:pt idx="5">
                  <c:v>60770.126206184214</c:v>
                </c:pt>
                <c:pt idx="6">
                  <c:v>56318.169714693198</c:v>
                </c:pt>
                <c:pt idx="7">
                  <c:v>58125.608350012568</c:v>
                </c:pt>
                <c:pt idx="8">
                  <c:v>56449.823823389088</c:v>
                </c:pt>
                <c:pt idx="9">
                  <c:v>52024.925908979974</c:v>
                </c:pt>
                <c:pt idx="10">
                  <c:v>52081.111483661727</c:v>
                </c:pt>
                <c:pt idx="11">
                  <c:v>51760.660760071019</c:v>
                </c:pt>
                <c:pt idx="12">
                  <c:v>53412.667867921191</c:v>
                </c:pt>
                <c:pt idx="13">
                  <c:v>56025.274485943868</c:v>
                </c:pt>
                <c:pt idx="14">
                  <c:v>54033.605431427219</c:v>
                </c:pt>
                <c:pt idx="15">
                  <c:v>55677.153242493958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DB9-4096-B622-81F5E3AD55D5}"/>
            </c:ext>
          </c:extLst>
        </c:ser>
        <c:ser>
          <c:idx val="16"/>
          <c:order val="6"/>
          <c:tx>
            <c:v>Owner</c:v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'T7-T10'!$T$22:$AI$22</c:f>
              <c:numCache>
                <c:formatCode>_("$"* #,##0_);_("$"* \(#,##0\);_("$"* "-"??_);_(@_)</c:formatCode>
                <c:ptCount val="16"/>
                <c:pt idx="0">
                  <c:v>95004.734160023625</c:v>
                </c:pt>
                <c:pt idx="1">
                  <c:v>95798.820083386585</c:v>
                </c:pt>
                <c:pt idx="2">
                  <c:v>94830.422097913834</c:v>
                </c:pt>
                <c:pt idx="3">
                  <c:v>98091.832308650948</c:v>
                </c:pt>
                <c:pt idx="4">
                  <c:v>103697.20697728818</c:v>
                </c:pt>
                <c:pt idx="5">
                  <c:v>99934.706621335004</c:v>
                </c:pt>
                <c:pt idx="6">
                  <c:v>95487.38309041693</c:v>
                </c:pt>
                <c:pt idx="7">
                  <c:v>93729.559451252775</c:v>
                </c:pt>
                <c:pt idx="8">
                  <c:v>91098.601151491079</c:v>
                </c:pt>
                <c:pt idx="9">
                  <c:v>91919.163642407017</c:v>
                </c:pt>
                <c:pt idx="10">
                  <c:v>91664.044573483639</c:v>
                </c:pt>
                <c:pt idx="11">
                  <c:v>86488.638445886056</c:v>
                </c:pt>
                <c:pt idx="12">
                  <c:v>86030.647425628587</c:v>
                </c:pt>
                <c:pt idx="13">
                  <c:v>89408.461363060982</c:v>
                </c:pt>
                <c:pt idx="14">
                  <c:v>90538.172184992596</c:v>
                </c:pt>
                <c:pt idx="15">
                  <c:v>91527.626271710906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DB9-4096-B622-81F5E3AD55D5}"/>
            </c:ext>
          </c:extLst>
        </c:ser>
        <c:ser>
          <c:idx val="17"/>
          <c:order val="7"/>
          <c:tx>
            <c:v>Renter</c:v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'T7-T10'!$T$23:$AI$23</c:f>
              <c:numCache>
                <c:formatCode>_("$"* #,##0_);_("$"* \(#,##0\);_("$"* "-"??_);_(@_)</c:formatCode>
                <c:ptCount val="16"/>
                <c:pt idx="0">
                  <c:v>44969.128401964597</c:v>
                </c:pt>
                <c:pt idx="1">
                  <c:v>45757.771448891377</c:v>
                </c:pt>
                <c:pt idx="2">
                  <c:v>41896.605239517245</c:v>
                </c:pt>
                <c:pt idx="3">
                  <c:v>43125.514984782509</c:v>
                </c:pt>
                <c:pt idx="4">
                  <c:v>47501.21930905676</c:v>
                </c:pt>
                <c:pt idx="5">
                  <c:v>45911.955656150436</c:v>
                </c:pt>
                <c:pt idx="6">
                  <c:v>44837.205276425229</c:v>
                </c:pt>
                <c:pt idx="7">
                  <c:v>46010.246998888542</c:v>
                </c:pt>
                <c:pt idx="8">
                  <c:v>44574.159675408198</c:v>
                </c:pt>
                <c:pt idx="9">
                  <c:v>41219.65839020686</c:v>
                </c:pt>
                <c:pt idx="10">
                  <c:v>36709.960914282419</c:v>
                </c:pt>
                <c:pt idx="11">
                  <c:v>34129.068391066656</c:v>
                </c:pt>
                <c:pt idx="12">
                  <c:v>37354.434496433751</c:v>
                </c:pt>
                <c:pt idx="13">
                  <c:v>42838.42822059249</c:v>
                </c:pt>
                <c:pt idx="14">
                  <c:v>42773.355712105389</c:v>
                </c:pt>
                <c:pt idx="15">
                  <c:v>40180.197258634784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DB9-4096-B622-81F5E3AD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48297528"/>
        <c:axId val="548297200"/>
      </c:lineChart>
      <c:catAx>
        <c:axId val="54829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297200"/>
        <c:crosses val="autoZero"/>
        <c:auto val="1"/>
        <c:lblAlgn val="ctr"/>
        <c:lblOffset val="100"/>
        <c:noMultiLvlLbl val="0"/>
      </c:catAx>
      <c:valAx>
        <c:axId val="548297200"/>
        <c:scaling>
          <c:orientation val="minMax"/>
          <c:max val="110000"/>
          <c:min val="30000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29752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053076698745989"/>
          <c:w val="1"/>
          <c:h val="0.13946923301254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Median Household Income by Selected Household Characteristics (in 2017 $)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4838145231846"/>
          <c:y val="0.18138888888888888"/>
          <c:w val="0.84596062992125987"/>
          <c:h val="0.48398767862350539"/>
        </c:manualLayout>
      </c:layout>
      <c:lineChart>
        <c:grouping val="standard"/>
        <c:varyColors val="0"/>
        <c:ser>
          <c:idx val="0"/>
          <c:order val="0"/>
          <c:tx>
            <c:v>All Household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'T7-T10'!$T$27:$AI$27</c:f>
              <c:numCache>
                <c:formatCode>_("$"* #,##0_);_("$"* \(#,##0\);_("$"* "-"??_);_(@_)</c:formatCode>
                <c:ptCount val="16"/>
                <c:pt idx="0">
                  <c:v>58148.899123357376</c:v>
                </c:pt>
                <c:pt idx="1">
                  <c:v>57762.68980522413</c:v>
                </c:pt>
                <c:pt idx="2">
                  <c:v>57677.432539063266</c:v>
                </c:pt>
                <c:pt idx="3">
                  <c:v>57892.771476220878</c:v>
                </c:pt>
                <c:pt idx="4">
                  <c:v>58417.162028537306</c:v>
                </c:pt>
                <c:pt idx="5">
                  <c:v>59075.012408137431</c:v>
                </c:pt>
                <c:pt idx="6">
                  <c:v>58414.318743281809</c:v>
                </c:pt>
                <c:pt idx="7">
                  <c:v>57175.420872624614</c:v>
                </c:pt>
                <c:pt idx="8">
                  <c:v>56274.860097856712</c:v>
                </c:pt>
                <c:pt idx="9">
                  <c:v>55050.299910177913</c:v>
                </c:pt>
                <c:pt idx="10">
                  <c:v>54480.30081196838</c:v>
                </c:pt>
                <c:pt idx="11">
                  <c:v>54527.527315256055</c:v>
                </c:pt>
                <c:pt idx="12">
                  <c:v>55058.126005118233</c:v>
                </c:pt>
                <c:pt idx="13">
                  <c:v>56904.797831998694</c:v>
                </c:pt>
                <c:pt idx="14">
                  <c:v>57953.65136231319</c:v>
                </c:pt>
                <c:pt idx="15">
                  <c:v>58210.289245605949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F-4993-8FAD-27C99078005D}"/>
            </c:ext>
          </c:extLst>
        </c:ser>
        <c:ser>
          <c:idx val="3"/>
          <c:order val="1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'T7-T10'!$T$30:$AI$30</c:f>
              <c:numCache>
                <c:formatCode>_("$"* #,##0_);_("$"* \(#,##0\);_("$"* "-"??_);_(@_)</c:formatCode>
                <c:ptCount val="16"/>
                <c:pt idx="0">
                  <c:v>61599.647290303241</c:v>
                </c:pt>
                <c:pt idx="1">
                  <c:v>61150.519813182851</c:v>
                </c:pt>
                <c:pt idx="2">
                  <c:v>60738.041769080293</c:v>
                </c:pt>
                <c:pt idx="3">
                  <c:v>60818.509854423326</c:v>
                </c:pt>
                <c:pt idx="4">
                  <c:v>61335.148892622427</c:v>
                </c:pt>
                <c:pt idx="5">
                  <c:v>61698.927800114005</c:v>
                </c:pt>
                <c:pt idx="6">
                  <c:v>60691.848270242444</c:v>
                </c:pt>
                <c:pt idx="7">
                  <c:v>59509.767089291083</c:v>
                </c:pt>
                <c:pt idx="8">
                  <c:v>58811.399677496862</c:v>
                </c:pt>
                <c:pt idx="9">
                  <c:v>57574.109831659094</c:v>
                </c:pt>
                <c:pt idx="10">
                  <c:v>57088.462629073707</c:v>
                </c:pt>
                <c:pt idx="11">
                  <c:v>57703.536757077716</c:v>
                </c:pt>
                <c:pt idx="12">
                  <c:v>57527.498354375668</c:v>
                </c:pt>
                <c:pt idx="13">
                  <c:v>59506.720679707883</c:v>
                </c:pt>
                <c:pt idx="14">
                  <c:v>61294.32993271263</c:v>
                </c:pt>
                <c:pt idx="15">
                  <c:v>61628.699774094814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F-4993-8FAD-27C99078005D}"/>
            </c:ext>
          </c:extLst>
        </c:ser>
        <c:ser>
          <c:idx val="4"/>
          <c:order val="2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'T7-T10'!$T$31:$AI$31</c:f>
              <c:numCache>
                <c:formatCode>_("$"* #,##0_);_("$"* \(#,##0\);_("$"* "-"??_);_(@_)</c:formatCode>
                <c:ptCount val="16"/>
                <c:pt idx="0">
                  <c:v>40110.00376746893</c:v>
                </c:pt>
                <c:pt idx="1">
                  <c:v>39453.332474991403</c:v>
                </c:pt>
                <c:pt idx="2">
                  <c:v>39249.54832575412</c:v>
                </c:pt>
                <c:pt idx="3">
                  <c:v>38856.563349800468</c:v>
                </c:pt>
                <c:pt idx="4">
                  <c:v>38762.35458844302</c:v>
                </c:pt>
                <c:pt idx="5">
                  <c:v>39462.121834262289</c:v>
                </c:pt>
                <c:pt idx="6">
                  <c:v>39499.7062776151</c:v>
                </c:pt>
                <c:pt idx="7">
                  <c:v>38078.312616501193</c:v>
                </c:pt>
                <c:pt idx="8">
                  <c:v>36630.067842676799</c:v>
                </c:pt>
                <c:pt idx="9">
                  <c:v>35571.789075157911</c:v>
                </c:pt>
                <c:pt idx="10">
                  <c:v>35307.352353471972</c:v>
                </c:pt>
                <c:pt idx="11">
                  <c:v>35939.278661678487</c:v>
                </c:pt>
                <c:pt idx="12">
                  <c:v>36308.386099331517</c:v>
                </c:pt>
                <c:pt idx="13">
                  <c:v>35700.415451959874</c:v>
                </c:pt>
                <c:pt idx="14">
                  <c:v>36428.250725285907</c:v>
                </c:pt>
                <c:pt idx="15">
                  <c:v>36481.552053312233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BF-4993-8FAD-27C99078005D}"/>
            </c:ext>
          </c:extLst>
        </c:ser>
        <c:ser>
          <c:idx val="6"/>
          <c:order val="3"/>
          <c:tx>
            <c:v>Hispanics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'T7-T10'!$T$33:$AI$33</c:f>
              <c:numCache>
                <c:formatCode>_("$"* #,##0_);_("$"* \(#,##0\);_("$"* "-"??_);_(@_)</c:formatCode>
                <c:ptCount val="16"/>
                <c:pt idx="0">
                  <c:v>46976.251217492172</c:v>
                </c:pt>
                <c:pt idx="1">
                  <c:v>44529.142256805979</c:v>
                </c:pt>
                <c:pt idx="2">
                  <c:v>44215.228588857928</c:v>
                </c:pt>
                <c:pt idx="3">
                  <c:v>44754.623911526134</c:v>
                </c:pt>
                <c:pt idx="4">
                  <c:v>45505.71063482474</c:v>
                </c:pt>
                <c:pt idx="5">
                  <c:v>45838.267050017101</c:v>
                </c:pt>
                <c:pt idx="6">
                  <c:v>44466.311049226075</c:v>
                </c:pt>
                <c:pt idx="7">
                  <c:v>43320.737079030921</c:v>
                </c:pt>
                <c:pt idx="8">
                  <c:v>42938.108452824948</c:v>
                </c:pt>
                <c:pt idx="9">
                  <c:v>42239.911796101303</c:v>
                </c:pt>
                <c:pt idx="10">
                  <c:v>41849.098159264351</c:v>
                </c:pt>
                <c:pt idx="11">
                  <c:v>42358.692627857934</c:v>
                </c:pt>
                <c:pt idx="12">
                  <c:v>42258.038218634683</c:v>
                </c:pt>
                <c:pt idx="13">
                  <c:v>44038.276137375375</c:v>
                </c:pt>
                <c:pt idx="14">
                  <c:v>46301.542216302274</c:v>
                </c:pt>
                <c:pt idx="15">
                  <c:v>46957.721296852811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BF-4993-8FAD-27C99078005D}"/>
            </c:ext>
          </c:extLst>
        </c:ser>
        <c:ser>
          <c:idx val="9"/>
          <c:order val="4"/>
          <c:tx>
            <c:v>Male Household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'T7-T10'!$T$36:$AI$36</c:f>
              <c:numCache>
                <c:formatCode>_("$"* #,##0_);_("$"* \(#,##0\);_("$"* "-"??_);_(@_)</c:formatCode>
                <c:ptCount val="16"/>
                <c:pt idx="0">
                  <c:v>69366.858654236406</c:v>
                </c:pt>
                <c:pt idx="1">
                  <c:v>68430.344521411171</c:v>
                </c:pt>
                <c:pt idx="2">
                  <c:v>67712.982210213799</c:v>
                </c:pt>
                <c:pt idx="3">
                  <c:v>67524.781465086242</c:v>
                </c:pt>
                <c:pt idx="4">
                  <c:v>67917.225311952236</c:v>
                </c:pt>
                <c:pt idx="5">
                  <c:v>68894.625427554827</c:v>
                </c:pt>
                <c:pt idx="6">
                  <c:v>68424.232591476495</c:v>
                </c:pt>
                <c:pt idx="7">
                  <c:v>66490.729474473381</c:v>
                </c:pt>
                <c:pt idx="8">
                  <c:v>65139.9107458824</c:v>
                </c:pt>
                <c:pt idx="9">
                  <c:v>63857.785520218778</c:v>
                </c:pt>
                <c:pt idx="10">
                  <c:v>63400.328929946067</c:v>
                </c:pt>
                <c:pt idx="11">
                  <c:v>63701.325049505293</c:v>
                </c:pt>
                <c:pt idx="12">
                  <c:v>64199.178867640134</c:v>
                </c:pt>
                <c:pt idx="13">
                  <c:v>66303.07033268841</c:v>
                </c:pt>
                <c:pt idx="14">
                  <c:v>67539.31883912909</c:v>
                </c:pt>
                <c:pt idx="15">
                  <c:v>68234.946709136129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BF-4993-8FAD-27C99078005D}"/>
            </c:ext>
          </c:extLst>
        </c:ser>
        <c:ser>
          <c:idx val="10"/>
          <c:order val="5"/>
          <c:tx>
            <c:v>Female Household</c:v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'T7-T10'!$T$37:$AI$37</c:f>
              <c:numCache>
                <c:formatCode>_("$"* #,##0_);_("$"* \(#,##0\);_("$"* "-"??_);_(@_)</c:formatCode>
                <c:ptCount val="16"/>
                <c:pt idx="0">
                  <c:v>47178.882361570839</c:v>
                </c:pt>
                <c:pt idx="1">
                  <c:v>47615.622045828226</c:v>
                </c:pt>
                <c:pt idx="2">
                  <c:v>47524.965933895481</c:v>
                </c:pt>
                <c:pt idx="3">
                  <c:v>47600.084689920172</c:v>
                </c:pt>
                <c:pt idx="4">
                  <c:v>48281.361758315863</c:v>
                </c:pt>
                <c:pt idx="5">
                  <c:v>48803.126972725877</c:v>
                </c:pt>
                <c:pt idx="6">
                  <c:v>48119.734206044319</c:v>
                </c:pt>
                <c:pt idx="7">
                  <c:v>47332.377182184136</c:v>
                </c:pt>
                <c:pt idx="8">
                  <c:v>46720.019883347421</c:v>
                </c:pt>
                <c:pt idx="9">
                  <c:v>45746.385119026119</c:v>
                </c:pt>
                <c:pt idx="10">
                  <c:v>45412.691601968618</c:v>
                </c:pt>
                <c:pt idx="11">
                  <c:v>46173.557006533607</c:v>
                </c:pt>
                <c:pt idx="12">
                  <c:v>46763.695987882849</c:v>
                </c:pt>
                <c:pt idx="13">
                  <c:v>47830.848369897663</c:v>
                </c:pt>
                <c:pt idx="14">
                  <c:v>48899.669462009304</c:v>
                </c:pt>
                <c:pt idx="15">
                  <c:v>48716.423619139889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BF-4993-8FAD-27C99078005D}"/>
            </c:ext>
          </c:extLst>
        </c:ser>
        <c:ser>
          <c:idx val="13"/>
          <c:order val="6"/>
          <c:tx>
            <c:v>Owner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'T7-T10'!$T$40:$AI$40</c:f>
              <c:numCache>
                <c:formatCode>_("$"* #,##0_);_("$"* \(#,##0\);_("$"* "-"??_);_(@_)</c:formatCode>
                <c:ptCount val="16"/>
                <c:pt idx="0">
                  <c:v>71353.441465856551</c:v>
                </c:pt>
                <c:pt idx="1">
                  <c:v>71330.149466982213</c:v>
                </c:pt>
                <c:pt idx="2">
                  <c:v>71365.998050559385</c:v>
                </c:pt>
                <c:pt idx="3">
                  <c:v>71446.667043886191</c:v>
                </c:pt>
                <c:pt idx="4">
                  <c:v>72331.974090550924</c:v>
                </c:pt>
                <c:pt idx="5">
                  <c:v>72983.574626091213</c:v>
                </c:pt>
                <c:pt idx="6">
                  <c:v>71936.490947178216</c:v>
                </c:pt>
                <c:pt idx="7">
                  <c:v>70711.974228429695</c:v>
                </c:pt>
                <c:pt idx="8">
                  <c:v>69922.059480372132</c:v>
                </c:pt>
                <c:pt idx="9">
                  <c:v>68683.912662251838</c:v>
                </c:pt>
                <c:pt idx="10">
                  <c:v>68266.04807172899</c:v>
                </c:pt>
                <c:pt idx="11">
                  <c:v>68429.898568527933</c:v>
                </c:pt>
                <c:pt idx="12">
                  <c:v>69164.24964029601</c:v>
                </c:pt>
                <c:pt idx="13">
                  <c:v>71661.793303651182</c:v>
                </c:pt>
                <c:pt idx="14">
                  <c:v>72859.529078535023</c:v>
                </c:pt>
                <c:pt idx="15">
                  <c:v>72909.62592000881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BF-4993-8FAD-27C99078005D}"/>
            </c:ext>
          </c:extLst>
        </c:ser>
        <c:ser>
          <c:idx val="14"/>
          <c:order val="7"/>
          <c:tx>
            <c:v>Renter</c:v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'T7-T10'!$T$5:$AI$5</c:f>
              <c:strCache>
                <c:ptCount val="16"/>
                <c:pt idx="0">
                  <c:v>2001-02  </c:v>
                </c:pt>
                <c:pt idx="1">
                  <c:v>2002-03 </c:v>
                </c:pt>
                <c:pt idx="2">
                  <c:v>2003-04 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'T7-T10'!$T$41:$AI$41</c:f>
              <c:numCache>
                <c:formatCode>_("$"* #,##0_);_("$"* \(#,##0\);_("$"* "-"??_);_(@_)</c:formatCode>
                <c:ptCount val="16"/>
                <c:pt idx="0">
                  <c:v>38419.156574401728</c:v>
                </c:pt>
                <c:pt idx="1">
                  <c:v>37029.982556720126</c:v>
                </c:pt>
                <c:pt idx="2">
                  <c:v>36161.063616833984</c:v>
                </c:pt>
                <c:pt idx="3">
                  <c:v>35934.443093076683</c:v>
                </c:pt>
                <c:pt idx="4">
                  <c:v>36551.152459197518</c:v>
                </c:pt>
                <c:pt idx="5">
                  <c:v>37238.051683524609</c:v>
                </c:pt>
                <c:pt idx="6">
                  <c:v>36677.74955169751</c:v>
                </c:pt>
                <c:pt idx="7">
                  <c:v>35903.622665869741</c:v>
                </c:pt>
                <c:pt idx="8">
                  <c:v>35166.684728492153</c:v>
                </c:pt>
                <c:pt idx="9">
                  <c:v>34503.695089362154</c:v>
                </c:pt>
                <c:pt idx="10">
                  <c:v>34450.851762157552</c:v>
                </c:pt>
                <c:pt idx="11">
                  <c:v>35412.71766567741</c:v>
                </c:pt>
                <c:pt idx="12">
                  <c:v>36303.462804368872</c:v>
                </c:pt>
                <c:pt idx="13">
                  <c:v>36223.589015845457</c:v>
                </c:pt>
                <c:pt idx="14">
                  <c:v>37392.843709938184</c:v>
                </c:pt>
                <c:pt idx="15">
                  <c:v>38566.345532343134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BF-4993-8FAD-27C990780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0430376"/>
        <c:axId val="570434968"/>
      </c:lineChart>
      <c:catAx>
        <c:axId val="57043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34968"/>
        <c:crosses val="autoZero"/>
        <c:auto val="1"/>
        <c:lblAlgn val="ctr"/>
        <c:lblOffset val="100"/>
        <c:noMultiLvlLbl val="0"/>
      </c:catAx>
      <c:valAx>
        <c:axId val="570434968"/>
        <c:scaling>
          <c:orientation val="minMax"/>
          <c:max val="75000"/>
          <c:min val="30000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3037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516039661708954"/>
          <c:w val="1"/>
          <c:h val="0.13483960338291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Percentage of Different Families in Poverty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28082679348944E-2"/>
          <c:y val="3.8434661076170509E-2"/>
          <c:w val="0.93311956013817743"/>
          <c:h val="0.7582154431953867"/>
        </c:manualLayout>
      </c:layout>
      <c:lineChart>
        <c:grouping val="standard"/>
        <c:varyColors val="0"/>
        <c:ser>
          <c:idx val="0"/>
          <c:order val="0"/>
          <c:tx>
            <c:v>All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('T7-T10'!$AN$8,'T7-T10'!$AP$8,'T7-T10'!$AR$8,'T7-T10'!$AT$8,'T7-T10'!$AV$8,'T7-T10'!$AX$8,'T7-T10'!$AZ$8,'T7-T10'!$BB$8,'T7-T10'!$BD$8,'T7-T10'!$BF$8,'T7-T10'!$BH$8,'T7-T10'!$BJ$8,'T7-T10'!$BL$8,'T7-T10'!$BN$8,'T7-T10'!$BP$8,'T7-T10'!$BR$8,'T7-T10'!$BT$8)</c:f>
              <c:numCache>
                <c:formatCode>0.0%</c:formatCode>
                <c:ptCount val="17"/>
                <c:pt idx="0">
                  <c:v>5.9200519007569466E-2</c:v>
                </c:pt>
                <c:pt idx="1">
                  <c:v>6.1734315435272337E-2</c:v>
                </c:pt>
                <c:pt idx="2">
                  <c:v>6.4008137320717876E-2</c:v>
                </c:pt>
                <c:pt idx="3">
                  <c:v>6.4544088549293027E-2</c:v>
                </c:pt>
                <c:pt idx="4">
                  <c:v>5.7820528816815556E-2</c:v>
                </c:pt>
                <c:pt idx="5">
                  <c:v>6.1150613299061927E-2</c:v>
                </c:pt>
                <c:pt idx="6">
                  <c:v>6.6157020185790935E-2</c:v>
                </c:pt>
                <c:pt idx="7">
                  <c:v>6.5556082078983849E-2</c:v>
                </c:pt>
                <c:pt idx="8">
                  <c:v>7.1004132711939699E-2</c:v>
                </c:pt>
                <c:pt idx="9">
                  <c:v>7.7108125691258758E-2</c:v>
                </c:pt>
                <c:pt idx="10">
                  <c:v>8.6034922400509029E-2</c:v>
                </c:pt>
                <c:pt idx="11">
                  <c:v>8.4050065081002212E-2</c:v>
                </c:pt>
                <c:pt idx="12">
                  <c:v>7.8702098310772572E-2</c:v>
                </c:pt>
                <c:pt idx="13">
                  <c:v>8.4093352465847482E-2</c:v>
                </c:pt>
                <c:pt idx="14">
                  <c:v>8.4000000000000005E-2</c:v>
                </c:pt>
                <c:pt idx="15">
                  <c:v>7.3200000000000001E-2</c:v>
                </c:pt>
                <c:pt idx="16">
                  <c:v>6.54E-2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3C9-4CA8-9205-2263B0E225CD}"/>
            </c:ext>
          </c:extLst>
        </c:ser>
        <c:ser>
          <c:idx val="1"/>
          <c:order val="1"/>
          <c:tx>
            <c:v>Married Couple Families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('T7-T10'!$AN$11,'T7-T10'!$AP$11,'T7-T10'!$AR$11,'T7-T10'!$AT$11,'T7-T10'!$AV$11,'T7-T10'!$AX$11,'T7-T10'!$AZ$11,'T7-T10'!$BB$11,'T7-T10'!$BD$11,'T7-T10'!$BF$11,'T7-T10'!$BH$11,'T7-T10'!$BJ$11,'T7-T10'!$BL$11,'T7-T10'!$BN$11,'T7-T10'!$BP$11,'T7-T10'!$BR$11,'T7-T10'!$BT$11)</c:f>
              <c:numCache>
                <c:formatCode>0.0%</c:formatCode>
                <c:ptCount val="17"/>
                <c:pt idx="0">
                  <c:v>2.7953643588975872E-2</c:v>
                </c:pt>
                <c:pt idx="1">
                  <c:v>3.3208869653773412E-2</c:v>
                </c:pt>
                <c:pt idx="2">
                  <c:v>3.6361534766903104E-2</c:v>
                </c:pt>
                <c:pt idx="3">
                  <c:v>3.7006684524447268E-2</c:v>
                </c:pt>
                <c:pt idx="4">
                  <c:v>3.3100392736526089E-2</c:v>
                </c:pt>
                <c:pt idx="5">
                  <c:v>3.0862308968155918E-2</c:v>
                </c:pt>
                <c:pt idx="6">
                  <c:v>2.8638574351723164E-2</c:v>
                </c:pt>
                <c:pt idx="7">
                  <c:v>3.5142984918826982E-2</c:v>
                </c:pt>
                <c:pt idx="8">
                  <c:v>3.2216197267759719E-2</c:v>
                </c:pt>
                <c:pt idx="9">
                  <c:v>2.935471582210665E-2</c:v>
                </c:pt>
                <c:pt idx="10">
                  <c:v>3.4344648627166671E-2</c:v>
                </c:pt>
                <c:pt idx="11">
                  <c:v>3.9467895636353036E-2</c:v>
                </c:pt>
                <c:pt idx="12">
                  <c:v>4.219792234984248E-2</c:v>
                </c:pt>
                <c:pt idx="13">
                  <c:v>4.5538737208764342E-2</c:v>
                </c:pt>
                <c:pt idx="14">
                  <c:v>4.3999999999999997E-2</c:v>
                </c:pt>
                <c:pt idx="15">
                  <c:v>4.3992999999999997E-2</c:v>
                </c:pt>
                <c:pt idx="16">
                  <c:v>3.8283412835174266E-2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3C9-4CA8-9205-2263B0E225CD}"/>
            </c:ext>
          </c:extLst>
        </c:ser>
        <c:ser>
          <c:idx val="2"/>
          <c:order val="2"/>
          <c:tx>
            <c:v>Female HH Spouse Absent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('T7-T10'!$AN$13,'T7-T10'!$AP$13,'T7-T10'!$AR$13,'T7-T10'!$AT$13,'T7-T10'!$AV$13,'T7-T10'!$AX$13,'T7-T10'!$AZ$13,'T7-T10'!$BB$13,'T7-T10'!$BD$13,'T7-T10'!$BF$13,'T7-T10'!$BH$13,'T7-T10'!$BJ$13,'T7-T10'!$BL$13,'T7-T10'!$BN$13,'T7-T10'!$BP$13,'T7-T10'!$BR$13,'T7-T10'!$BT$13)</c:f>
              <c:numCache>
                <c:formatCode>0.0%</c:formatCode>
                <c:ptCount val="17"/>
                <c:pt idx="0">
                  <c:v>0.22976847382645249</c:v>
                </c:pt>
                <c:pt idx="1">
                  <c:v>0.18078357970910777</c:v>
                </c:pt>
                <c:pt idx="2">
                  <c:v>0.17318135081830818</c:v>
                </c:pt>
                <c:pt idx="3">
                  <c:v>0.18099301707144166</c:v>
                </c:pt>
                <c:pt idx="4">
                  <c:v>0.1672821397448877</c:v>
                </c:pt>
                <c:pt idx="5">
                  <c:v>0.18431291703990083</c:v>
                </c:pt>
                <c:pt idx="6">
                  <c:v>0.20508699738744404</c:v>
                </c:pt>
                <c:pt idx="7">
                  <c:v>0.17953717574563541</c:v>
                </c:pt>
                <c:pt idx="8">
                  <c:v>0.21014058496519944</c:v>
                </c:pt>
                <c:pt idx="9">
                  <c:v>0.25335271336728954</c:v>
                </c:pt>
                <c:pt idx="10">
                  <c:v>0.27495698578563232</c:v>
                </c:pt>
                <c:pt idx="11">
                  <c:v>0.24626015857941744</c:v>
                </c:pt>
                <c:pt idx="12">
                  <c:v>0.23051416003866462</c:v>
                </c:pt>
                <c:pt idx="13">
                  <c:v>0.24492497618978187</c:v>
                </c:pt>
                <c:pt idx="14">
                  <c:v>0.23599999999999999</c:v>
                </c:pt>
                <c:pt idx="15">
                  <c:v>0.19287499999999999</c:v>
                </c:pt>
                <c:pt idx="16">
                  <c:v>0.18732391739843191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3C9-4CA8-9205-2263B0E225CD}"/>
            </c:ext>
          </c:extLst>
        </c:ser>
        <c:ser>
          <c:idx val="3"/>
          <c:order val="3"/>
          <c:tx>
            <c:v>White Family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('T7-T10'!$AN$16,'T7-T10'!$AP$16,'T7-T10'!$AR$16,'T7-T10'!$AT$16,'T7-T10'!$AV$16,'T7-T10'!$AX$16,'T7-T10'!$AZ$16,'T7-T10'!$BB$16,'T7-T10'!$BD$16,'T7-T10'!$BF$16,'T7-T10'!$BH$16,'T7-T10'!$BJ$16,'T7-T10'!$BL$16,'T7-T10'!$BN$16,'T7-T10'!$BP$16,'T7-T10'!$BR$16,'T7-T10'!$BT$16)</c:f>
              <c:numCache>
                <c:formatCode>0.0%</c:formatCode>
                <c:ptCount val="17"/>
                <c:pt idx="0">
                  <c:v>4.694602100204464E-2</c:v>
                </c:pt>
                <c:pt idx="1">
                  <c:v>5.2367952198267599E-2</c:v>
                </c:pt>
                <c:pt idx="2">
                  <c:v>5.0420869681834714E-2</c:v>
                </c:pt>
                <c:pt idx="3">
                  <c:v>5.3800342015427154E-2</c:v>
                </c:pt>
                <c:pt idx="4">
                  <c:v>5.2509535575296591E-2</c:v>
                </c:pt>
                <c:pt idx="5">
                  <c:v>5.0348213139367111E-2</c:v>
                </c:pt>
                <c:pt idx="6">
                  <c:v>5.3400426214565026E-2</c:v>
                </c:pt>
                <c:pt idx="7">
                  <c:v>5.2014754235276156E-2</c:v>
                </c:pt>
                <c:pt idx="8">
                  <c:v>5.6881165309482715E-2</c:v>
                </c:pt>
                <c:pt idx="9">
                  <c:v>5.6461433743243937E-2</c:v>
                </c:pt>
                <c:pt idx="10">
                  <c:v>5.9002451237298983E-2</c:v>
                </c:pt>
                <c:pt idx="11">
                  <c:v>6.6421591498098523E-2</c:v>
                </c:pt>
                <c:pt idx="12">
                  <c:v>6.6464693357187743E-2</c:v>
                </c:pt>
                <c:pt idx="13">
                  <c:v>6.9672405515996516E-2</c:v>
                </c:pt>
                <c:pt idx="14">
                  <c:v>7.2999999999999995E-2</c:v>
                </c:pt>
                <c:pt idx="15">
                  <c:v>6.157E-2</c:v>
                </c:pt>
                <c:pt idx="16">
                  <c:v>5.0836210080736681E-2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3C9-4CA8-9205-2263B0E225CD}"/>
            </c:ext>
          </c:extLst>
        </c:ser>
        <c:ser>
          <c:idx val="4"/>
          <c:order val="4"/>
          <c:tx>
            <c:v>Black Families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('T7-T10'!$AN$17,'T7-T10'!$AP$17,'T7-T10'!$AR$17,'T7-T10'!$AT$17,'T7-T10'!$AV$17,'T7-T10'!$AX$17,'T7-T10'!$AZ$17,'T7-T10'!$BB$17,'T7-T10'!$BD$17,'T7-T10'!$BF$17,'T7-T10'!$BH$17,'T7-T10'!$BJ$17,'T7-T10'!$BL$17,'T7-T10'!$BN$17,'T7-T10'!$BP$17,'T7-T10'!$BR$17,'T7-T10'!$BT$17)</c:f>
              <c:numCache>
                <c:formatCode>0.0%</c:formatCode>
                <c:ptCount val="17"/>
                <c:pt idx="0">
                  <c:v>0.12953205351452926</c:v>
                </c:pt>
                <c:pt idx="1">
                  <c:v>0.13405878425431814</c:v>
                </c:pt>
                <c:pt idx="2">
                  <c:v>0.15127763813534401</c:v>
                </c:pt>
                <c:pt idx="3">
                  <c:v>0.12989624972916172</c:v>
                </c:pt>
                <c:pt idx="4">
                  <c:v>9.658627360317644E-2</c:v>
                </c:pt>
                <c:pt idx="5">
                  <c:v>0.14976519258687432</c:v>
                </c:pt>
                <c:pt idx="6">
                  <c:v>0.17443193670271134</c:v>
                </c:pt>
                <c:pt idx="7">
                  <c:v>0.15090301565108891</c:v>
                </c:pt>
                <c:pt idx="8">
                  <c:v>0.17064804344375639</c:v>
                </c:pt>
                <c:pt idx="9">
                  <c:v>0.1989124805197218</c:v>
                </c:pt>
                <c:pt idx="10">
                  <c:v>0.23073804929372244</c:v>
                </c:pt>
                <c:pt idx="11">
                  <c:v>0.18760067336578101</c:v>
                </c:pt>
                <c:pt idx="12">
                  <c:v>0.16578419964443517</c:v>
                </c:pt>
                <c:pt idx="13">
                  <c:v>0.18204005030996248</c:v>
                </c:pt>
                <c:pt idx="14">
                  <c:v>0.154</c:v>
                </c:pt>
                <c:pt idx="15">
                  <c:v>0.136962</c:v>
                </c:pt>
                <c:pt idx="16">
                  <c:v>0.11970338071772887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3C9-4CA8-9205-2263B0E225CD}"/>
            </c:ext>
          </c:extLst>
        </c:ser>
        <c:ser>
          <c:idx val="5"/>
          <c:order val="5"/>
          <c:tx>
            <c:v>Hispanic Families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('T7-T10'!$AN$19,'T7-T10'!$AP$19,'T7-T10'!$AR$19,'T7-T10'!$AT$19,'T7-T10'!$AV$19,'T7-T10'!$AX$19,'T7-T10'!$AZ$19,'T7-T10'!$BB$19,'T7-T10'!$BD$19,'T7-T10'!$BF$19,'T7-T10'!$BH$19,'T7-T10'!$BJ$19,'T7-T10'!$BL$19,'T7-T10'!$BN$19,'T7-T10'!$BP$19,'T7-T10'!$BR$19,'T7-T10'!$BT$19)</c:f>
              <c:numCache>
                <c:formatCode>0.0%</c:formatCode>
                <c:ptCount val="17"/>
                <c:pt idx="0">
                  <c:v>0.15025787123618128</c:v>
                </c:pt>
                <c:pt idx="1">
                  <c:v>0.1582470415707446</c:v>
                </c:pt>
                <c:pt idx="2">
                  <c:v>0.14740802091482325</c:v>
                </c:pt>
                <c:pt idx="3">
                  <c:v>0.1657618446420481</c:v>
                </c:pt>
                <c:pt idx="4">
                  <c:v>0.16474632644851422</c:v>
                </c:pt>
                <c:pt idx="5">
                  <c:v>0.15366121819273898</c:v>
                </c:pt>
                <c:pt idx="6">
                  <c:v>0.13872248548823055</c:v>
                </c:pt>
                <c:pt idx="7">
                  <c:v>0.15685537837095573</c:v>
                </c:pt>
                <c:pt idx="8">
                  <c:v>0.15362200599427769</c:v>
                </c:pt>
                <c:pt idx="9">
                  <c:v>0.15110971299449324</c:v>
                </c:pt>
                <c:pt idx="10">
                  <c:v>0.17912216466257913</c:v>
                </c:pt>
                <c:pt idx="11">
                  <c:v>0.20356546289299696</c:v>
                </c:pt>
                <c:pt idx="12">
                  <c:v>0.21723012021826485</c:v>
                </c:pt>
                <c:pt idx="13">
                  <c:v>0.22972239106396838</c:v>
                </c:pt>
                <c:pt idx="14">
                  <c:v>0.21299999999999999</c:v>
                </c:pt>
                <c:pt idx="15">
                  <c:v>0.17407800000000001</c:v>
                </c:pt>
                <c:pt idx="16">
                  <c:v>0.13686298371498354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3C9-4CA8-9205-2263B0E225CD}"/>
            </c:ext>
          </c:extLst>
        </c:ser>
        <c:ser>
          <c:idx val="6"/>
          <c:order val="6"/>
          <c:tx>
            <c:v>No Kid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('T7-T10'!$AN$23,'T7-T10'!$AP$23,'T7-T10'!$AR$23,'T7-T10'!$AT$23,'T7-T10'!$AV$23,'T7-T10'!$AX$23,'T7-T10'!$AZ$23,'T7-T10'!$BB$23,'T7-T10'!$BD$23,'T7-T10'!$BF$23,'T7-T10'!$BH$23,'T7-T10'!$BJ$23,'T7-T10'!$BL$23,'T7-T10'!$BN$23,'T7-T10'!$BP$23,'T7-T10'!$BR$23,'T7-T10'!$BT$23)</c:f>
              <c:numCache>
                <c:formatCode>0.0%</c:formatCode>
                <c:ptCount val="17"/>
                <c:pt idx="0">
                  <c:v>3.9213313873347033E-2</c:v>
                </c:pt>
                <c:pt idx="1">
                  <c:v>4.5875765125986491E-2</c:v>
                </c:pt>
                <c:pt idx="2">
                  <c:v>4.7844606071883206E-2</c:v>
                </c:pt>
                <c:pt idx="3">
                  <c:v>5.0440104479684472E-2</c:v>
                </c:pt>
                <c:pt idx="4">
                  <c:v>4.3039796130458947E-2</c:v>
                </c:pt>
                <c:pt idx="5">
                  <c:v>3.9344308405378288E-2</c:v>
                </c:pt>
                <c:pt idx="6">
                  <c:v>3.7606678034313376E-2</c:v>
                </c:pt>
                <c:pt idx="7">
                  <c:v>3.020497417605169E-2</c:v>
                </c:pt>
                <c:pt idx="8">
                  <c:v>4.0294408415108715E-2</c:v>
                </c:pt>
                <c:pt idx="9">
                  <c:v>5.136902199890192E-2</c:v>
                </c:pt>
                <c:pt idx="10">
                  <c:v>5.0329995960539255E-2</c:v>
                </c:pt>
                <c:pt idx="11">
                  <c:v>4.4288019149428218E-2</c:v>
                </c:pt>
                <c:pt idx="12">
                  <c:v>3.8050390587593297E-2</c:v>
                </c:pt>
                <c:pt idx="13">
                  <c:v>4.3165880451629016E-2</c:v>
                </c:pt>
                <c:pt idx="14">
                  <c:v>5.1999999999999998E-2</c:v>
                </c:pt>
                <c:pt idx="15">
                  <c:v>4.8000000000000001E-2</c:v>
                </c:pt>
                <c:pt idx="16">
                  <c:v>4.1266554456643123E-2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3C9-4CA8-9205-2263B0E225CD}"/>
            </c:ext>
          </c:extLst>
        </c:ser>
        <c:ser>
          <c:idx val="7"/>
          <c:order val="7"/>
          <c:tx>
            <c:v>1 kid</c:v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('T7-T10'!$AN$24,'T7-T10'!$AP$24,'T7-T10'!$AR$24,'T7-T10'!$AT$24,'T7-T10'!$AV$24,'T7-T10'!$AX$24,'T7-T10'!$AZ$24,'T7-T10'!$BB$24,'T7-T10'!$BD$24,'T7-T10'!$BF$24,'T7-T10'!$BH$24,'T7-T10'!$BJ$24,'T7-T10'!$BL$24,'T7-T10'!$BN$24,'T7-T10'!$BP$24,'T7-T10'!$BR$24,'T7-T10'!$BT$24)</c:f>
              <c:numCache>
                <c:formatCode>0.0%</c:formatCode>
                <c:ptCount val="17"/>
                <c:pt idx="0">
                  <c:v>7.2735713945751471E-2</c:v>
                </c:pt>
                <c:pt idx="1">
                  <c:v>8.8753085168311624E-2</c:v>
                </c:pt>
                <c:pt idx="2">
                  <c:v>8.5924518002025232E-2</c:v>
                </c:pt>
                <c:pt idx="3">
                  <c:v>7.229913829077661E-2</c:v>
                </c:pt>
                <c:pt idx="4">
                  <c:v>5.6874207624541456E-2</c:v>
                </c:pt>
                <c:pt idx="5">
                  <c:v>6.8317068568548606E-2</c:v>
                </c:pt>
                <c:pt idx="6">
                  <c:v>8.9836324322960043E-2</c:v>
                </c:pt>
                <c:pt idx="7">
                  <c:v>6.4775448311723244E-2</c:v>
                </c:pt>
                <c:pt idx="8">
                  <c:v>7.6605819913812614E-2</c:v>
                </c:pt>
                <c:pt idx="9">
                  <c:v>8.4517228784355414E-2</c:v>
                </c:pt>
                <c:pt idx="10">
                  <c:v>8.698772130844841E-2</c:v>
                </c:pt>
                <c:pt idx="11">
                  <c:v>0.10291733379156044</c:v>
                </c:pt>
                <c:pt idx="12">
                  <c:v>9.7862977628740536E-2</c:v>
                </c:pt>
                <c:pt idx="13">
                  <c:v>8.9412180870452398E-2</c:v>
                </c:pt>
                <c:pt idx="14">
                  <c:v>0.10299999999999999</c:v>
                </c:pt>
                <c:pt idx="15">
                  <c:v>0.09</c:v>
                </c:pt>
                <c:pt idx="16">
                  <c:v>6.7593425963181297E-2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3C9-4CA8-9205-2263B0E225CD}"/>
            </c:ext>
          </c:extLst>
        </c:ser>
        <c:ser>
          <c:idx val="8"/>
          <c:order val="8"/>
          <c:tx>
            <c:v>2 Kids</c:v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('T7-T10'!$AN$25,'T7-T10'!$AP$25,'T7-T10'!$AR$25,'T7-T10'!$AT$25,'T7-T10'!$AV$25,'T7-T10'!$AX$25,'T7-T10'!$AZ$25,'T7-T10'!$BB$25,'T7-T10'!$BD$25,'T7-T10'!$BF$25,'T7-T10'!$BH$25,'T7-T10'!$BJ$25,'T7-T10'!$BL$25,'T7-T10'!$BN$25,'T7-T10'!$BP$25,'T7-T10'!$BR$25,'T7-T10'!$BT$25)</c:f>
              <c:numCache>
                <c:formatCode>0.0%</c:formatCode>
                <c:ptCount val="17"/>
                <c:pt idx="0">
                  <c:v>7.3527807477975424E-2</c:v>
                </c:pt>
                <c:pt idx="1">
                  <c:v>5.7578759558743267E-2</c:v>
                </c:pt>
                <c:pt idx="2">
                  <c:v>5.2707551700097735E-2</c:v>
                </c:pt>
                <c:pt idx="3">
                  <c:v>6.8451454173628232E-2</c:v>
                </c:pt>
                <c:pt idx="4">
                  <c:v>7.6535219101153407E-2</c:v>
                </c:pt>
                <c:pt idx="5">
                  <c:v>6.5845075102097958E-2</c:v>
                </c:pt>
                <c:pt idx="6">
                  <c:v>7.0415232360802035E-2</c:v>
                </c:pt>
                <c:pt idx="7">
                  <c:v>0.10478748053675613</c:v>
                </c:pt>
                <c:pt idx="8">
                  <c:v>9.4740878450948363E-2</c:v>
                </c:pt>
                <c:pt idx="9">
                  <c:v>0.10781243733777297</c:v>
                </c:pt>
                <c:pt idx="10">
                  <c:v>0.16363993013581707</c:v>
                </c:pt>
                <c:pt idx="11">
                  <c:v>0.14861833002151092</c:v>
                </c:pt>
                <c:pt idx="12">
                  <c:v>0.15538567414868637</c:v>
                </c:pt>
                <c:pt idx="13">
                  <c:v>0.17194522566045642</c:v>
                </c:pt>
                <c:pt idx="14">
                  <c:v>0.106</c:v>
                </c:pt>
                <c:pt idx="15">
                  <c:v>7.2999999999999995E-2</c:v>
                </c:pt>
                <c:pt idx="16">
                  <c:v>9.3196793595596752E-2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3C9-4CA8-9205-2263B0E225CD}"/>
            </c:ext>
          </c:extLst>
        </c:ser>
        <c:ser>
          <c:idx val="9"/>
          <c:order val="9"/>
          <c:tx>
            <c:v>3 or more Kids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('T7-T10'!$AN$26,'T7-T10'!$AP$26,'T7-T10'!$AR$26,'T7-T10'!$AT$26,'T7-T10'!$AV$26,'T7-T10'!$AX$26,'T7-T10'!$AZ$26,'T7-T10'!$BB$26,'T7-T10'!$BD$26,'T7-T10'!$BF$26,'T7-T10'!$BH$26,'T7-T10'!$BJ$26,'T7-T10'!$BL$26,'T7-T10'!$BN$26,'T7-T10'!$BP$26,'T7-T10'!$BR$26,'T7-T10'!$BT$26)</c:f>
              <c:numCache>
                <c:formatCode>0.0%</c:formatCode>
                <c:ptCount val="17"/>
                <c:pt idx="0">
                  <c:v>0.11743595396886687</c:v>
                </c:pt>
                <c:pt idx="1">
                  <c:v>0.1069532062506295</c:v>
                </c:pt>
                <c:pt idx="2">
                  <c:v>0.12494440045144367</c:v>
                </c:pt>
                <c:pt idx="3">
                  <c:v>0.11135833420235708</c:v>
                </c:pt>
                <c:pt idx="4">
                  <c:v>0.10137948349709533</c:v>
                </c:pt>
                <c:pt idx="5">
                  <c:v>0.16519277470538477</c:v>
                </c:pt>
                <c:pt idx="6">
                  <c:v>0.1781905735119412</c:v>
                </c:pt>
                <c:pt idx="7">
                  <c:v>0.18550244647853781</c:v>
                </c:pt>
                <c:pt idx="8">
                  <c:v>0.18998234872627043</c:v>
                </c:pt>
                <c:pt idx="9">
                  <c:v>0.1698909881784588</c:v>
                </c:pt>
                <c:pt idx="10">
                  <c:v>0.17513140838608621</c:v>
                </c:pt>
                <c:pt idx="11">
                  <c:v>0.1860908713735093</c:v>
                </c:pt>
                <c:pt idx="12">
                  <c:v>0.10171483908850676</c:v>
                </c:pt>
                <c:pt idx="13">
                  <c:v>0.18873301384227831</c:v>
                </c:pt>
                <c:pt idx="14">
                  <c:v>0.22800000000000001</c:v>
                </c:pt>
                <c:pt idx="15">
                  <c:v>0.23442199999999999</c:v>
                </c:pt>
                <c:pt idx="16">
                  <c:v>0.19337855766368153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3C9-4CA8-9205-2263B0E225CD}"/>
            </c:ext>
          </c:extLst>
        </c:ser>
        <c:ser>
          <c:idx val="11"/>
          <c:order val="10"/>
          <c:tx>
            <c:v>Family has no one in Labor Force</c:v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('T7-T10'!$AN$33,'T7-T10'!$AP$33,'T7-T10'!$AR$33,'T7-T10'!$AT$33,'T7-T10'!$AV$33,'T7-T10'!$AX$33,'T7-T10'!$AZ$33,'T7-T10'!$BB$33,'T7-T10'!$BD$33,'T7-T10'!$BF$33,'T7-T10'!$BH$33,'T7-T10'!$BJ$33,'T7-T10'!$BL$33,'T7-T10'!$BN$33,'T7-T10'!$BP$33,'T7-T10'!$BR$33,'T7-T10'!$BT$33)</c:f>
              <c:numCache>
                <c:formatCode>0.0%</c:formatCode>
                <c:ptCount val="17"/>
                <c:pt idx="0">
                  <c:v>0.12193840487450736</c:v>
                </c:pt>
                <c:pt idx="1">
                  <c:v>0.13986097899607838</c:v>
                </c:pt>
                <c:pt idx="2">
                  <c:v>0.18146469032268947</c:v>
                </c:pt>
                <c:pt idx="3">
                  <c:v>0.21116211513220642</c:v>
                </c:pt>
                <c:pt idx="4">
                  <c:v>0.1886786352179026</c:v>
                </c:pt>
                <c:pt idx="5">
                  <c:v>0.18260270850368082</c:v>
                </c:pt>
                <c:pt idx="6">
                  <c:v>0.20301377133949075</c:v>
                </c:pt>
                <c:pt idx="7">
                  <c:v>0.21105051412550407</c:v>
                </c:pt>
                <c:pt idx="8">
                  <c:v>0.21324102446479365</c:v>
                </c:pt>
                <c:pt idx="9">
                  <c:v>0.22220599972977942</c:v>
                </c:pt>
                <c:pt idx="10">
                  <c:v>0.22725062833492096</c:v>
                </c:pt>
                <c:pt idx="11">
                  <c:v>0.19169038950237538</c:v>
                </c:pt>
                <c:pt idx="12">
                  <c:v>0.19160253454663967</c:v>
                </c:pt>
                <c:pt idx="13">
                  <c:v>0.20132590172386902</c:v>
                </c:pt>
                <c:pt idx="14">
                  <c:v>0.20799999999999999</c:v>
                </c:pt>
                <c:pt idx="15">
                  <c:v>0.19548199999999999</c:v>
                </c:pt>
                <c:pt idx="16">
                  <c:v>0.13783732049282543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3C9-4CA8-9205-2263B0E225CD}"/>
            </c:ext>
          </c:extLst>
        </c:ser>
        <c:ser>
          <c:idx val="12"/>
          <c:order val="11"/>
          <c:tx>
            <c:v>Family has 1 in Labor Force</c:v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('T7-T10'!$AN$34,'T7-T10'!$AP$34,'T7-T10'!$AR$34,'T7-T10'!$AT$34,'T7-T10'!$AV$34,'T7-T10'!$AX$34,'T7-T10'!$AZ$34,'T7-T10'!$BB$34,'T7-T10'!$BD$34,'T7-T10'!$BF$34,'T7-T10'!$BH$34,'T7-T10'!$BJ$34,'T7-T10'!$BL$34,'T7-T10'!$BN$34,'T7-T10'!$BP$34,'T7-T10'!$BR$34,'T7-T10'!$BT$34)</c:f>
              <c:numCache>
                <c:formatCode>0.0%</c:formatCode>
                <c:ptCount val="17"/>
                <c:pt idx="0">
                  <c:v>0.10023853786266362</c:v>
                </c:pt>
                <c:pt idx="1">
                  <c:v>0.10292130927571184</c:v>
                </c:pt>
                <c:pt idx="2">
                  <c:v>9.8819497857521879E-2</c:v>
                </c:pt>
                <c:pt idx="3">
                  <c:v>8.6971159144547311E-2</c:v>
                </c:pt>
                <c:pt idx="4">
                  <c:v>7.2175080215470894E-2</c:v>
                </c:pt>
                <c:pt idx="5">
                  <c:v>9.5230062514574804E-2</c:v>
                </c:pt>
                <c:pt idx="6">
                  <c:v>0.10310280506539801</c:v>
                </c:pt>
                <c:pt idx="7">
                  <c:v>8.2462552088795257E-2</c:v>
                </c:pt>
                <c:pt idx="8">
                  <c:v>0.10145894564939603</c:v>
                </c:pt>
                <c:pt idx="9">
                  <c:v>0.11005183044782674</c:v>
                </c:pt>
                <c:pt idx="10">
                  <c:v>0.12086248521709135</c:v>
                </c:pt>
                <c:pt idx="11">
                  <c:v>0.16905684227261791</c:v>
                </c:pt>
                <c:pt idx="12">
                  <c:v>0.12445979066672072</c:v>
                </c:pt>
                <c:pt idx="13">
                  <c:v>0.14049307606611761</c:v>
                </c:pt>
                <c:pt idx="14">
                  <c:v>0.125</c:v>
                </c:pt>
                <c:pt idx="15">
                  <c:v>0.12746199999999999</c:v>
                </c:pt>
                <c:pt idx="16">
                  <c:v>0.1060738632345041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73C9-4CA8-9205-2263B0E225CD}"/>
            </c:ext>
          </c:extLst>
        </c:ser>
        <c:ser>
          <c:idx val="13"/>
          <c:order val="12"/>
          <c:tx>
            <c:v>Family has 2 in Labor Force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('T7-T10'!$AN$35,'T7-T10'!$AP$35,'T7-T10'!$AR$35,'T7-T10'!$AT$35,'T7-T10'!$AV$35,'T7-T10'!$AX$35,'T7-T10'!$AZ$35,'T7-T10'!$BB$35,'T7-T10'!$BD$35,'T7-T10'!$BF$35,'T7-T10'!$BH$35,'T7-T10'!$BJ$35,'T7-T10'!$BL$35,'T7-T10'!$BN$35,'T7-T10'!$BP$35,'T7-T10'!$BR$35,'T7-T10'!$BT$35)</c:f>
              <c:numCache>
                <c:formatCode>0.0%</c:formatCode>
                <c:ptCount val="17"/>
                <c:pt idx="0">
                  <c:v>2.2764018550863047E-2</c:v>
                </c:pt>
                <c:pt idx="1">
                  <c:v>2.2064029107747921E-2</c:v>
                </c:pt>
                <c:pt idx="2">
                  <c:v>2.0804817822814389E-2</c:v>
                </c:pt>
                <c:pt idx="3">
                  <c:v>2.0943641738763015E-2</c:v>
                </c:pt>
                <c:pt idx="4">
                  <c:v>2.3567485905067215E-2</c:v>
                </c:pt>
                <c:pt idx="5">
                  <c:v>2.0663106315770206E-2</c:v>
                </c:pt>
                <c:pt idx="6">
                  <c:v>1.8949330250872483E-2</c:v>
                </c:pt>
                <c:pt idx="7">
                  <c:v>2.4839464433057842E-2</c:v>
                </c:pt>
                <c:pt idx="8">
                  <c:v>2.5384516005807982E-2</c:v>
                </c:pt>
                <c:pt idx="9">
                  <c:v>2.9406901258787088E-2</c:v>
                </c:pt>
                <c:pt idx="10">
                  <c:v>3.3365337029588826E-2</c:v>
                </c:pt>
                <c:pt idx="11">
                  <c:v>7.0026917346166145E-2</c:v>
                </c:pt>
                <c:pt idx="12">
                  <c:v>6.2334719227017756E-2</c:v>
                </c:pt>
                <c:pt idx="13">
                  <c:v>3.2928910133966025E-2</c:v>
                </c:pt>
                <c:pt idx="14">
                  <c:v>0.04</c:v>
                </c:pt>
                <c:pt idx="15">
                  <c:v>4.5108000000000002E-2</c:v>
                </c:pt>
                <c:pt idx="16">
                  <c:v>3.049445393736467E-2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3C9-4CA8-9205-2263B0E225CD}"/>
            </c:ext>
          </c:extLst>
        </c:ser>
        <c:ser>
          <c:idx val="14"/>
          <c:order val="13"/>
          <c:tx>
            <c:v>Family has 3 or more in Labor Force</c:v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('T7-T10'!$AM$4,'T7-T10'!$AO$4,'T7-T10'!$AQ$4,'T7-T10'!$AS$4,'T7-T10'!$AU$4,'T7-T10'!$AW$4,'T7-T10'!$AY$4,'T7-T10'!$BA$4,'T7-T10'!$BC$4,'T7-T10'!$BE$4,'T7-T10'!$BG$4,'T7-T10'!$BI$4,'T7-T10'!$BK$4,'T7-T10'!$BM$4,'T7-T10'!$BO$4,'T7-T10'!$BQ$4,'T7-T10'!$BS$4)</c:f>
              <c:strCache>
                <c:ptCount val="17"/>
                <c:pt idx="0">
                  <c:v>2001-02</c:v>
                </c:pt>
                <c:pt idx="1">
                  <c:v>2002-03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('T7-T10'!$AN$36,'T7-T10'!$AP$36,'T7-T10'!$AR$36,'T7-T10'!$AT$36,'T7-T10'!$AV$36,'T7-T10'!$AX$36,'T7-T10'!$AZ$36,'T7-T10'!$BB$36,'T7-T10'!$BD$36,'T7-T10'!$BF$36,'T7-T10'!$BH$36,'T7-T10'!$BJ$36)</c:f>
              <c:numCache>
                <c:formatCode>0.0%</c:formatCode>
                <c:ptCount val="12"/>
                <c:pt idx="0">
                  <c:v>1.112292145401917E-2</c:v>
                </c:pt>
                <c:pt idx="1">
                  <c:v>1.3824968472517166E-2</c:v>
                </c:pt>
                <c:pt idx="2">
                  <c:v>1.0699767278345901E-2</c:v>
                </c:pt>
                <c:pt idx="3">
                  <c:v>1.8764449428113224E-2</c:v>
                </c:pt>
                <c:pt idx="4">
                  <c:v>1.9313350277286499E-2</c:v>
                </c:pt>
                <c:pt idx="5">
                  <c:v>1.5714664941760378E-2</c:v>
                </c:pt>
                <c:pt idx="6">
                  <c:v>1.6538226578410017E-2</c:v>
                </c:pt>
                <c:pt idx="7">
                  <c:v>2.6325251486031081E-2</c:v>
                </c:pt>
                <c:pt idx="8">
                  <c:v>3.2876809851156159E-2</c:v>
                </c:pt>
                <c:pt idx="9">
                  <c:v>4.2382050994644753E-2</c:v>
                </c:pt>
                <c:pt idx="10">
                  <c:v>4.7594450738060949E-2</c:v>
                </c:pt>
                <c:pt idx="11">
                  <c:v>4.5563589985068424E-2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3C9-4CA8-9205-2263B0E2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2439296"/>
        <c:axId val="572438968"/>
      </c:lineChart>
      <c:catAx>
        <c:axId val="5724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38968"/>
        <c:crosses val="autoZero"/>
        <c:auto val="1"/>
        <c:lblAlgn val="ctr"/>
        <c:lblOffset val="100"/>
        <c:noMultiLvlLbl val="0"/>
      </c:catAx>
      <c:valAx>
        <c:axId val="57243896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392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023594534959857"/>
          <c:w val="1"/>
          <c:h val="0.13976405465040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Percentage</a:t>
            </a:r>
            <a:r>
              <a:rPr lang="en-US" baseline="0"/>
              <a:t> of Different Families in Poverty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19860017497813"/>
          <c:y val="6.9861111111111124E-2"/>
          <c:w val="0.80348447069116358"/>
          <c:h val="0.62277522601341495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'T7-T10'!$BV$8:$BV$24</c:f>
              <c:strCache>
                <c:ptCount val="17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  <c:pt idx="16">
                  <c:v>2001-02</c:v>
                </c:pt>
              </c:strCache>
            </c:strRef>
          </c:cat>
          <c:val>
            <c:numRef>
              <c:f>'T7-T10'!$BX$27:$BX$42</c:f>
              <c:numCache>
                <c:formatCode>0.0%</c:formatCode>
                <c:ptCount val="16"/>
                <c:pt idx="0">
                  <c:v>6.54E-2</c:v>
                </c:pt>
                <c:pt idx="1">
                  <c:v>7.3200000000000001E-2</c:v>
                </c:pt>
                <c:pt idx="2">
                  <c:v>8.4000000000000005E-2</c:v>
                </c:pt>
                <c:pt idx="3">
                  <c:v>8.4093352465847482E-2</c:v>
                </c:pt>
                <c:pt idx="4">
                  <c:v>7.8702098310772572E-2</c:v>
                </c:pt>
                <c:pt idx="5">
                  <c:v>8.4050065081002212E-2</c:v>
                </c:pt>
                <c:pt idx="6">
                  <c:v>8.6034922400509029E-2</c:v>
                </c:pt>
                <c:pt idx="7">
                  <c:v>7.7108125691258758E-2</c:v>
                </c:pt>
                <c:pt idx="8">
                  <c:v>7.1004132711939699E-2</c:v>
                </c:pt>
                <c:pt idx="9">
                  <c:v>6.5556082078983849E-2</c:v>
                </c:pt>
                <c:pt idx="10">
                  <c:v>6.6157020185790935E-2</c:v>
                </c:pt>
                <c:pt idx="11">
                  <c:v>6.1150613299061927E-2</c:v>
                </c:pt>
                <c:pt idx="12">
                  <c:v>5.7820528816815556E-2</c:v>
                </c:pt>
                <c:pt idx="13">
                  <c:v>6.4544088549293027E-2</c:v>
                </c:pt>
                <c:pt idx="14">
                  <c:v>6.4008137320717876E-2</c:v>
                </c:pt>
                <c:pt idx="15">
                  <c:v>6.1734315435272337E-2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5-4E73-BB93-9D6869074548}"/>
            </c:ext>
          </c:extLst>
        </c:ser>
        <c:ser>
          <c:idx val="1"/>
          <c:order val="1"/>
          <c:tx>
            <c:v>Marrid Couples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'T7-T10'!$BV$8:$BV$24</c:f>
              <c:strCache>
                <c:ptCount val="17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  <c:pt idx="16">
                  <c:v>2001-02</c:v>
                </c:pt>
              </c:strCache>
            </c:strRef>
          </c:cat>
          <c:val>
            <c:numRef>
              <c:f>'T7-T10'!$BX$45:$BX$60</c:f>
              <c:numCache>
                <c:formatCode>0.0%</c:formatCode>
                <c:ptCount val="16"/>
                <c:pt idx="0">
                  <c:v>3.8283412835174266E-2</c:v>
                </c:pt>
                <c:pt idx="1">
                  <c:v>4.3992999999999997E-2</c:v>
                </c:pt>
                <c:pt idx="2">
                  <c:v>4.3999999999999997E-2</c:v>
                </c:pt>
                <c:pt idx="3">
                  <c:v>4.5538737208764342E-2</c:v>
                </c:pt>
                <c:pt idx="4">
                  <c:v>4.219792234984248E-2</c:v>
                </c:pt>
                <c:pt idx="5">
                  <c:v>3.9467895636353036E-2</c:v>
                </c:pt>
                <c:pt idx="6">
                  <c:v>3.4344648627166671E-2</c:v>
                </c:pt>
                <c:pt idx="7">
                  <c:v>2.935471582210665E-2</c:v>
                </c:pt>
                <c:pt idx="8">
                  <c:v>3.2216197267759719E-2</c:v>
                </c:pt>
                <c:pt idx="9">
                  <c:v>3.5142984918826982E-2</c:v>
                </c:pt>
                <c:pt idx="10">
                  <c:v>2.8638574351723164E-2</c:v>
                </c:pt>
                <c:pt idx="11">
                  <c:v>3.0862308968155918E-2</c:v>
                </c:pt>
                <c:pt idx="12">
                  <c:v>3.3100392736526089E-2</c:v>
                </c:pt>
                <c:pt idx="13">
                  <c:v>3.7006684524447268E-2</c:v>
                </c:pt>
                <c:pt idx="14">
                  <c:v>3.6361534766903104E-2</c:v>
                </c:pt>
                <c:pt idx="15">
                  <c:v>3.3208869653773412E-2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5-4E73-BB93-9D6869074548}"/>
            </c:ext>
          </c:extLst>
        </c:ser>
        <c:ser>
          <c:idx val="2"/>
          <c:order val="2"/>
          <c:tx>
            <c:v>Female HH, Spouse Absent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'T7-T10'!$BV$8:$BV$24</c:f>
              <c:strCache>
                <c:ptCount val="17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  <c:pt idx="16">
                  <c:v>2001-02</c:v>
                </c:pt>
              </c:strCache>
            </c:strRef>
          </c:cat>
          <c:val>
            <c:numRef>
              <c:f>'T7-T10'!$BX$63:$BX$78</c:f>
              <c:numCache>
                <c:formatCode>0.0%</c:formatCode>
                <c:ptCount val="16"/>
                <c:pt idx="0">
                  <c:v>0.18732391739843191</c:v>
                </c:pt>
                <c:pt idx="1">
                  <c:v>0.19287499999999999</c:v>
                </c:pt>
                <c:pt idx="2">
                  <c:v>0.23599999999999999</c:v>
                </c:pt>
                <c:pt idx="3">
                  <c:v>0.24492497618978187</c:v>
                </c:pt>
                <c:pt idx="4">
                  <c:v>0.23051416003866462</c:v>
                </c:pt>
                <c:pt idx="5">
                  <c:v>0.24626015857941744</c:v>
                </c:pt>
                <c:pt idx="6">
                  <c:v>0.27495698578563232</c:v>
                </c:pt>
                <c:pt idx="7">
                  <c:v>0.25335271336728954</c:v>
                </c:pt>
                <c:pt idx="8">
                  <c:v>0.21014058496519944</c:v>
                </c:pt>
                <c:pt idx="9">
                  <c:v>0.17953717574563541</c:v>
                </c:pt>
                <c:pt idx="10">
                  <c:v>0.20508699738744404</c:v>
                </c:pt>
                <c:pt idx="11">
                  <c:v>0.18431291703990083</c:v>
                </c:pt>
                <c:pt idx="12">
                  <c:v>0.1672821397448877</c:v>
                </c:pt>
                <c:pt idx="13">
                  <c:v>0.18099301707144166</c:v>
                </c:pt>
                <c:pt idx="14">
                  <c:v>0.17318135081830818</c:v>
                </c:pt>
                <c:pt idx="15">
                  <c:v>0.18078357970910777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C5-4E73-BB93-9D6869074548}"/>
            </c:ext>
          </c:extLst>
        </c:ser>
        <c:ser>
          <c:idx val="3"/>
          <c:order val="3"/>
          <c:tx>
            <c:v>White Household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'T7-T10'!$BV$8:$BV$24</c:f>
              <c:strCache>
                <c:ptCount val="17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  <c:pt idx="16">
                  <c:v>2001-02</c:v>
                </c:pt>
              </c:strCache>
            </c:strRef>
          </c:cat>
          <c:val>
            <c:numRef>
              <c:f>'T7-T10'!$BX$81:$BX$96</c:f>
              <c:numCache>
                <c:formatCode>0.0%</c:formatCode>
                <c:ptCount val="16"/>
                <c:pt idx="0">
                  <c:v>5.0836210080736681E-2</c:v>
                </c:pt>
                <c:pt idx="1">
                  <c:v>6.157E-2</c:v>
                </c:pt>
                <c:pt idx="2">
                  <c:v>7.2999999999999995E-2</c:v>
                </c:pt>
                <c:pt idx="3">
                  <c:v>6.9672405515996516E-2</c:v>
                </c:pt>
                <c:pt idx="4">
                  <c:v>6.6464693357187743E-2</c:v>
                </c:pt>
                <c:pt idx="5">
                  <c:v>6.6421591498098523E-2</c:v>
                </c:pt>
                <c:pt idx="6">
                  <c:v>5.9002451237298983E-2</c:v>
                </c:pt>
                <c:pt idx="7">
                  <c:v>5.6461433743243937E-2</c:v>
                </c:pt>
                <c:pt idx="8">
                  <c:v>5.6881165309482715E-2</c:v>
                </c:pt>
                <c:pt idx="9">
                  <c:v>5.2014754235276156E-2</c:v>
                </c:pt>
                <c:pt idx="10">
                  <c:v>5.3400426214565026E-2</c:v>
                </c:pt>
                <c:pt idx="11">
                  <c:v>5.0348213139367111E-2</c:v>
                </c:pt>
                <c:pt idx="12">
                  <c:v>5.2509535575296591E-2</c:v>
                </c:pt>
                <c:pt idx="13">
                  <c:v>5.3800342015427154E-2</c:v>
                </c:pt>
                <c:pt idx="14">
                  <c:v>5.0420869681834714E-2</c:v>
                </c:pt>
                <c:pt idx="15">
                  <c:v>5.2367952198267599E-2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C5-4E73-BB93-9D6869074548}"/>
            </c:ext>
          </c:extLst>
        </c:ser>
        <c:ser>
          <c:idx val="4"/>
          <c:order val="4"/>
          <c:tx>
            <c:v>Black Household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'T7-T10'!$BV$8:$BV$24</c:f>
              <c:strCache>
                <c:ptCount val="17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  <c:pt idx="16">
                  <c:v>2001-02</c:v>
                </c:pt>
              </c:strCache>
            </c:strRef>
          </c:cat>
          <c:val>
            <c:numRef>
              <c:f>'T7-T10'!$BX$99:$BX$114</c:f>
              <c:numCache>
                <c:formatCode>0.0%</c:formatCode>
                <c:ptCount val="16"/>
                <c:pt idx="0">
                  <c:v>0.11970338071772887</c:v>
                </c:pt>
                <c:pt idx="1">
                  <c:v>0.136962</c:v>
                </c:pt>
                <c:pt idx="2">
                  <c:v>0.154</c:v>
                </c:pt>
                <c:pt idx="3">
                  <c:v>0.18204005030996248</c:v>
                </c:pt>
                <c:pt idx="4">
                  <c:v>0.16578419964443517</c:v>
                </c:pt>
                <c:pt idx="5">
                  <c:v>0.18760067336578101</c:v>
                </c:pt>
                <c:pt idx="6">
                  <c:v>0.23073804929372244</c:v>
                </c:pt>
                <c:pt idx="7">
                  <c:v>0.1989124805197218</c:v>
                </c:pt>
                <c:pt idx="8">
                  <c:v>0.17064804344375639</c:v>
                </c:pt>
                <c:pt idx="9">
                  <c:v>0.15090301565108891</c:v>
                </c:pt>
                <c:pt idx="10">
                  <c:v>0.17443193670271134</c:v>
                </c:pt>
                <c:pt idx="11">
                  <c:v>0.14976519258687432</c:v>
                </c:pt>
                <c:pt idx="12">
                  <c:v>9.658627360317644E-2</c:v>
                </c:pt>
                <c:pt idx="13">
                  <c:v>0.12989624972916172</c:v>
                </c:pt>
                <c:pt idx="14">
                  <c:v>0.15127763813534401</c:v>
                </c:pt>
                <c:pt idx="15">
                  <c:v>0.13405878425431814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C5-4E73-BB93-9D6869074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5591024"/>
        <c:axId val="485614640"/>
      </c:lineChart>
      <c:catAx>
        <c:axId val="485591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14640"/>
        <c:crosses val="autoZero"/>
        <c:auto val="1"/>
        <c:lblAlgn val="ctr"/>
        <c:lblOffset val="100"/>
        <c:noMultiLvlLbl val="0"/>
      </c:catAx>
      <c:valAx>
        <c:axId val="4856146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9102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053076698745989"/>
          <c:w val="1"/>
          <c:h val="0.13946923301254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Percentage</a:t>
            </a:r>
            <a:r>
              <a:rPr lang="en-US" baseline="0"/>
              <a:t> of Different Families in Poverty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19860017497813"/>
          <c:y val="6.5231481481481501E-2"/>
          <c:w val="0.80348447069116358"/>
          <c:h val="0.61351596675415576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'T7-T10'!$BV$27:$BV$42</c:f>
              <c:strCache>
                <c:ptCount val="16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</c:strCache>
            </c:strRef>
          </c:cat>
          <c:val>
            <c:numRef>
              <c:f>'T7-T10'!$CA$27:$CA$42</c:f>
              <c:numCache>
                <c:formatCode>0.0%</c:formatCode>
                <c:ptCount val="16"/>
                <c:pt idx="0">
                  <c:v>9.5446899154302212E-2</c:v>
                </c:pt>
                <c:pt idx="1">
                  <c:v>0.101009</c:v>
                </c:pt>
                <c:pt idx="2">
                  <c:v>0.11</c:v>
                </c:pt>
                <c:pt idx="3">
                  <c:v>0.11411752905582029</c:v>
                </c:pt>
                <c:pt idx="4">
                  <c:v>0.11496017543463516</c:v>
                </c:pt>
                <c:pt idx="5">
                  <c:v>0.11765760427597835</c:v>
                </c:pt>
                <c:pt idx="6">
                  <c:v>0.11751424277793183</c:v>
                </c:pt>
                <c:pt idx="7">
                  <c:v>0.11427851547400636</c:v>
                </c:pt>
                <c:pt idx="8">
                  <c:v>0.1073382796748943</c:v>
                </c:pt>
                <c:pt idx="9">
                  <c:v>0.10058169909796695</c:v>
                </c:pt>
                <c:pt idx="10">
                  <c:v>9.7740100269117697E-2</c:v>
                </c:pt>
                <c:pt idx="11">
                  <c:v>9.8279908123493187E-2</c:v>
                </c:pt>
                <c:pt idx="12">
                  <c:v>0.10042712518960596</c:v>
                </c:pt>
                <c:pt idx="13">
                  <c:v>0.10087222173819264</c:v>
                </c:pt>
                <c:pt idx="14">
                  <c:v>9.76789880240235E-2</c:v>
                </c:pt>
                <c:pt idx="15">
                  <c:v>9.361249508502778E-2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0-451B-9159-7074CF865F12}"/>
            </c:ext>
          </c:extLst>
        </c:ser>
        <c:ser>
          <c:idx val="1"/>
          <c:order val="1"/>
          <c:tx>
            <c:v>Marrid Families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'T7-T10'!$BV$27:$BV$42</c:f>
              <c:strCache>
                <c:ptCount val="16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</c:strCache>
            </c:strRef>
          </c:cat>
          <c:val>
            <c:numRef>
              <c:f>'T7-T10'!$CA$45:$CA$60</c:f>
              <c:numCache>
                <c:formatCode>0.0%</c:formatCode>
                <c:ptCount val="16"/>
                <c:pt idx="0">
                  <c:v>3.6762509684172127E-2</c:v>
                </c:pt>
                <c:pt idx="1">
                  <c:v>3.8427000000000003E-2</c:v>
                </c:pt>
                <c:pt idx="2">
                  <c:v>4.2599999999999999E-2</c:v>
                </c:pt>
                <c:pt idx="3">
                  <c:v>6.0235963735947549E-2</c:v>
                </c:pt>
                <c:pt idx="4">
                  <c:v>6.0385525675540778E-2</c:v>
                </c:pt>
                <c:pt idx="5">
                  <c:v>6.2218703086147749E-2</c:v>
                </c:pt>
                <c:pt idx="6">
                  <c:v>6.1927243809471198E-2</c:v>
                </c:pt>
                <c:pt idx="7">
                  <c:v>6.0141443649049185E-2</c:v>
                </c:pt>
                <c:pt idx="8">
                  <c:v>5.6738347851638005E-2</c:v>
                </c:pt>
                <c:pt idx="9">
                  <c:v>5.2008241948746398E-2</c:v>
                </c:pt>
                <c:pt idx="10">
                  <c:v>4.9081790604515591E-2</c:v>
                </c:pt>
                <c:pt idx="11">
                  <c:v>4.9974843834376129E-2</c:v>
                </c:pt>
                <c:pt idx="12">
                  <c:v>5.3005054458988794E-2</c:v>
                </c:pt>
                <c:pt idx="13">
                  <c:v>5.4688267097546026E-2</c:v>
                </c:pt>
                <c:pt idx="14">
                  <c:v>5.3586275587650473E-2</c:v>
                </c:pt>
                <c:pt idx="15">
                  <c:v>5.0934252072991085E-2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0-451B-9159-7074CF865F12}"/>
            </c:ext>
          </c:extLst>
        </c:ser>
        <c:ser>
          <c:idx val="2"/>
          <c:order val="2"/>
          <c:tx>
            <c:v>Female HH, Spouse Absent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'T7-T10'!$BV$27:$BV$42</c:f>
              <c:strCache>
                <c:ptCount val="16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</c:strCache>
            </c:strRef>
          </c:cat>
          <c:val>
            <c:numRef>
              <c:f>'T7-T10'!$CA$63:$CA$78</c:f>
              <c:numCache>
                <c:formatCode>0.0%</c:formatCode>
                <c:ptCount val="16"/>
                <c:pt idx="0">
                  <c:v>0.26120412300886214</c:v>
                </c:pt>
                <c:pt idx="1">
                  <c:v>0.27377484789684264</c:v>
                </c:pt>
                <c:pt idx="2">
                  <c:v>0.29399999999999998</c:v>
                </c:pt>
                <c:pt idx="3">
                  <c:v>0.30600421154112184</c:v>
                </c:pt>
                <c:pt idx="4">
                  <c:v>0.3074642121120309</c:v>
                </c:pt>
                <c:pt idx="5">
                  <c:v>0.31049328396939507</c:v>
                </c:pt>
                <c:pt idx="6">
                  <c:v>0.313674210953441</c:v>
                </c:pt>
                <c:pt idx="7">
                  <c:v>0.30707549167985643</c:v>
                </c:pt>
                <c:pt idx="8">
                  <c:v>0.29308607669095321</c:v>
                </c:pt>
                <c:pt idx="9">
                  <c:v>0.28525480528184971</c:v>
                </c:pt>
                <c:pt idx="10">
                  <c:v>0.28308552407964077</c:v>
                </c:pt>
                <c:pt idx="11">
                  <c:v>0.28499599976365309</c:v>
                </c:pt>
                <c:pt idx="12">
                  <c:v>0.28524352436725814</c:v>
                </c:pt>
                <c:pt idx="13">
                  <c:v>0.28165116611243979</c:v>
                </c:pt>
                <c:pt idx="14">
                  <c:v>0.27240429472375893</c:v>
                </c:pt>
                <c:pt idx="15">
                  <c:v>0.26445247707688013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C0-451B-9159-7074CF865F12}"/>
            </c:ext>
          </c:extLst>
        </c:ser>
        <c:ser>
          <c:idx val="3"/>
          <c:order val="3"/>
          <c:tx>
            <c:v>White Household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'T7-T10'!$BV$27:$BV$42</c:f>
              <c:strCache>
                <c:ptCount val="16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</c:strCache>
            </c:strRef>
          </c:cat>
          <c:val>
            <c:numRef>
              <c:f>'T7-T10'!$CA$81:$CA$96</c:f>
              <c:numCache>
                <c:formatCode>0.0%</c:formatCode>
                <c:ptCount val="16"/>
                <c:pt idx="0">
                  <c:v>8.0690111089783773E-2</c:v>
                </c:pt>
                <c:pt idx="1">
                  <c:v>8.5306999999999994E-2</c:v>
                </c:pt>
                <c:pt idx="2">
                  <c:v>9.2499999999999999E-2</c:v>
                </c:pt>
                <c:pt idx="3">
                  <c:v>9.5162520895631902E-2</c:v>
                </c:pt>
                <c:pt idx="4">
                  <c:v>9.5263925160650006E-2</c:v>
                </c:pt>
                <c:pt idx="5">
                  <c:v>9.760712063682192E-2</c:v>
                </c:pt>
                <c:pt idx="6">
                  <c:v>9.8013783612426006E-2</c:v>
                </c:pt>
                <c:pt idx="7">
                  <c:v>9.5751012368117325E-2</c:v>
                </c:pt>
                <c:pt idx="8">
                  <c:v>8.8879928648248244E-2</c:v>
                </c:pt>
                <c:pt idx="9">
                  <c:v>8.1865782668765166E-2</c:v>
                </c:pt>
                <c:pt idx="10">
                  <c:v>7.9533942045604669E-2</c:v>
                </c:pt>
                <c:pt idx="11">
                  <c:v>7.9815314652180253E-2</c:v>
                </c:pt>
                <c:pt idx="12">
                  <c:v>7.992027190025168E-2</c:v>
                </c:pt>
                <c:pt idx="13">
                  <c:v>8.2418571273033897E-2</c:v>
                </c:pt>
                <c:pt idx="14">
                  <c:v>7.9399923114650689E-2</c:v>
                </c:pt>
                <c:pt idx="15">
                  <c:v>7.6137844234703794E-2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C0-451B-9159-7074CF865F12}"/>
            </c:ext>
          </c:extLst>
        </c:ser>
        <c:ser>
          <c:idx val="4"/>
          <c:order val="4"/>
          <c:tx>
            <c:v>Black Household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'T7-T10'!$BV$27:$BV$42</c:f>
              <c:strCache>
                <c:ptCount val="16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2013-14</c:v>
                </c:pt>
                <c:pt idx="5">
                  <c:v>2012-13</c:v>
                </c:pt>
                <c:pt idx="6">
                  <c:v>2011-12</c:v>
                </c:pt>
                <c:pt idx="7">
                  <c:v>2010-11</c:v>
                </c:pt>
                <c:pt idx="8">
                  <c:v>2009-10</c:v>
                </c:pt>
                <c:pt idx="9">
                  <c:v>2008-09</c:v>
                </c:pt>
                <c:pt idx="10">
                  <c:v>2007-08</c:v>
                </c:pt>
                <c:pt idx="11">
                  <c:v>2006-07</c:v>
                </c:pt>
                <c:pt idx="12">
                  <c:v>2005-06</c:v>
                </c:pt>
                <c:pt idx="13">
                  <c:v>2004-05</c:v>
                </c:pt>
                <c:pt idx="14">
                  <c:v>2003-04</c:v>
                </c:pt>
                <c:pt idx="15">
                  <c:v>2002-03</c:v>
                </c:pt>
              </c:strCache>
            </c:strRef>
          </c:cat>
          <c:val>
            <c:numRef>
              <c:f>'T7-T10'!$CA$99:$CA$114</c:f>
              <c:numCache>
                <c:formatCode>0.0%</c:formatCode>
                <c:ptCount val="16"/>
                <c:pt idx="0">
                  <c:v>0.18595139331302282</c:v>
                </c:pt>
                <c:pt idx="1">
                  <c:v>0.20061599999999999</c:v>
                </c:pt>
                <c:pt idx="2">
                  <c:v>0.22</c:v>
                </c:pt>
                <c:pt idx="3">
                  <c:v>0.22861338155229338</c:v>
                </c:pt>
                <c:pt idx="4">
                  <c:v>0.23227578266713081</c:v>
                </c:pt>
                <c:pt idx="5">
                  <c:v>0.23871177425750056</c:v>
                </c:pt>
                <c:pt idx="6">
                  <c:v>0.24175357794270622</c:v>
                </c:pt>
                <c:pt idx="7">
                  <c:v>0.23421170854881132</c:v>
                </c:pt>
                <c:pt idx="8">
                  <c:v>0.22299021544658709</c:v>
                </c:pt>
                <c:pt idx="9">
                  <c:v>0.22011963095132264</c:v>
                </c:pt>
                <c:pt idx="10">
                  <c:v>0.21851934900385953</c:v>
                </c:pt>
                <c:pt idx="11">
                  <c:v>0.21856619504407349</c:v>
                </c:pt>
                <c:pt idx="12">
                  <c:v>0.22074279215736073</c:v>
                </c:pt>
                <c:pt idx="13">
                  <c:v>0.22545289206804828</c:v>
                </c:pt>
                <c:pt idx="14">
                  <c:v>0.21887805811443206</c:v>
                </c:pt>
                <c:pt idx="15">
                  <c:v>0.21101218956991719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C0-451B-9159-7074CF86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5620216"/>
        <c:axId val="485608080"/>
      </c:lineChart>
      <c:catAx>
        <c:axId val="4856202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08080"/>
        <c:crosses val="autoZero"/>
        <c:auto val="1"/>
        <c:lblAlgn val="ctr"/>
        <c:lblOffset val="100"/>
        <c:noMultiLvlLbl val="0"/>
      </c:catAx>
      <c:valAx>
        <c:axId val="4856080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202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960192475940513E-3"/>
          <c:y val="0.86053076698745989"/>
          <c:w val="0.99790398075240594"/>
          <c:h val="0.13946923301254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Population: 2001~2018 (number in thousand)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217204821825691E-2"/>
          <c:y val="3.2461700266190129E-2"/>
          <c:w val="0.91634129641536055"/>
          <c:h val="0.83281165652165823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('T11-S4'!$B$5:$I$5,'T11-S4'!$J$5:$R$5)</c:f>
              <c:numCache>
                <c:formatCode>#,##0</c:formatCode>
                <c:ptCount val="17"/>
                <c:pt idx="0">
                  <c:v>8501.1095000000005</c:v>
                </c:pt>
                <c:pt idx="1">
                  <c:v>8537.4334999999992</c:v>
                </c:pt>
                <c:pt idx="2">
                  <c:v>8592</c:v>
                </c:pt>
                <c:pt idx="3">
                  <c:v>8622</c:v>
                </c:pt>
                <c:pt idx="4">
                  <c:v>8694.9645</c:v>
                </c:pt>
                <c:pt idx="5">
                  <c:v>8692.6176500000001</c:v>
                </c:pt>
                <c:pt idx="6">
                  <c:v>8608</c:v>
                </c:pt>
                <c:pt idx="7">
                  <c:v>8540.0414999999994</c:v>
                </c:pt>
                <c:pt idx="8">
                  <c:v>8602.0385000000006</c:v>
                </c:pt>
                <c:pt idx="9">
                  <c:v>8675.6509999999998</c:v>
                </c:pt>
                <c:pt idx="10">
                  <c:v>8661.7720000000008</c:v>
                </c:pt>
                <c:pt idx="11">
                  <c:v>8688.5939999999991</c:v>
                </c:pt>
                <c:pt idx="12">
                  <c:v>8787.2389999999996</c:v>
                </c:pt>
                <c:pt idx="13">
                  <c:v>8894.2819999999992</c:v>
                </c:pt>
                <c:pt idx="14">
                  <c:v>8940</c:v>
                </c:pt>
                <c:pt idx="15">
                  <c:v>8896.56</c:v>
                </c:pt>
                <c:pt idx="16">
                  <c:v>8937.4189999999999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8-4ED8-97CC-55322B68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4034504"/>
        <c:axId val="574065992"/>
      </c:lineChart>
      <c:catAx>
        <c:axId val="57403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65992"/>
        <c:crosses val="autoZero"/>
        <c:auto val="1"/>
        <c:lblAlgn val="ctr"/>
        <c:lblOffset val="100"/>
        <c:noMultiLvlLbl val="0"/>
      </c:catAx>
      <c:valAx>
        <c:axId val="574065992"/>
        <c:scaling>
          <c:orientation val="minMax"/>
          <c:max val="8950"/>
          <c:min val="845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3450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Families in Selected Characteristics</a:t>
            </a:r>
          </a:p>
        </c:rich>
      </c:tx>
      <c:layout>
        <c:manualLayout>
          <c:xMode val="edge"/>
          <c:yMode val="edge"/>
          <c:x val="0.20288213443658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833188753948139E-2"/>
          <c:y val="4.6296296296296294E-2"/>
          <c:w val="0.92737610658837133"/>
          <c:h val="0.74870990084572764"/>
        </c:manualLayout>
      </c:layout>
      <c:lineChart>
        <c:grouping val="standard"/>
        <c:varyColors val="0"/>
        <c:ser>
          <c:idx val="0"/>
          <c:order val="0"/>
          <c:tx>
            <c:v>All Households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('T11-S4'!$B$8:$I$8,'T11-S4'!$J$8:$R$8)</c:f>
              <c:numCache>
                <c:formatCode>0.0%</c:formatCode>
                <c:ptCount val="17"/>
                <c:pt idx="0">
                  <c:v>0.37226593775788913</c:v>
                </c:pt>
                <c:pt idx="1">
                  <c:v>0.38014029626116563</c:v>
                </c:pt>
                <c:pt idx="2">
                  <c:v>0.37459515336902405</c:v>
                </c:pt>
                <c:pt idx="3">
                  <c:v>0.372677959618333</c:v>
                </c:pt>
                <c:pt idx="4">
                  <c:v>0.36666710945168324</c:v>
                </c:pt>
                <c:pt idx="5">
                  <c:v>0.36543060190850574</c:v>
                </c:pt>
                <c:pt idx="6">
                  <c:v>0.37333774605006881</c:v>
                </c:pt>
                <c:pt idx="7">
                  <c:v>0.3750775098692436</c:v>
                </c:pt>
                <c:pt idx="8">
                  <c:v>0.37193009540703637</c:v>
                </c:pt>
                <c:pt idx="9">
                  <c:v>0.36924831346950215</c:v>
                </c:pt>
                <c:pt idx="10">
                  <c:v>0.36805990737230204</c:v>
                </c:pt>
                <c:pt idx="11">
                  <c:v>0.37213892144114458</c:v>
                </c:pt>
                <c:pt idx="12">
                  <c:v>0.37487486114808077</c:v>
                </c:pt>
                <c:pt idx="13">
                  <c:v>0.37261388833859777</c:v>
                </c:pt>
                <c:pt idx="14">
                  <c:v>0.376</c:v>
                </c:pt>
                <c:pt idx="15">
                  <c:v>0.38439200000000001</c:v>
                </c:pt>
                <c:pt idx="16">
                  <c:v>0.37885713985212061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0-471F-B5D5-E75321F6F820}"/>
            </c:ext>
          </c:extLst>
        </c:ser>
        <c:ser>
          <c:idx val="1"/>
          <c:order val="1"/>
          <c:tx>
            <c:v>Family Household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('T11-S4'!$B$9:$I$9,'T11-S4'!$J$9:$R$9)</c:f>
              <c:numCache>
                <c:formatCode>0.0%</c:formatCode>
                <c:ptCount val="17"/>
                <c:pt idx="0">
                  <c:v>0.26069404822982223</c:v>
                </c:pt>
                <c:pt idx="1">
                  <c:v>0.26845147900712785</c:v>
                </c:pt>
                <c:pt idx="2">
                  <c:v>0.26262365815670846</c:v>
                </c:pt>
                <c:pt idx="3">
                  <c:v>0.26056260122223773</c:v>
                </c:pt>
                <c:pt idx="4">
                  <c:v>0.25946544692620649</c:v>
                </c:pt>
                <c:pt idx="5">
                  <c:v>0.26339589433109373</c:v>
                </c:pt>
                <c:pt idx="6">
                  <c:v>0.26097392169099526</c:v>
                </c:pt>
                <c:pt idx="7">
                  <c:v>0.25620727955478906</c:v>
                </c:pt>
                <c:pt idx="8">
                  <c:v>0.25952039159090023</c:v>
                </c:pt>
                <c:pt idx="9">
                  <c:v>0.25561748622668201</c:v>
                </c:pt>
                <c:pt idx="10">
                  <c:v>0.25075597596375837</c:v>
                </c:pt>
                <c:pt idx="11">
                  <c:v>0.2553955219912451</c:v>
                </c:pt>
                <c:pt idx="12">
                  <c:v>0.25237073897728285</c:v>
                </c:pt>
                <c:pt idx="13">
                  <c:v>0.25119981579176376</c:v>
                </c:pt>
                <c:pt idx="14">
                  <c:v>0.25800000000000001</c:v>
                </c:pt>
                <c:pt idx="15">
                  <c:v>0.26006000000000001</c:v>
                </c:pt>
                <c:pt idx="16">
                  <c:v>0.25518418684409894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80-471F-B5D5-E75321F6F820}"/>
            </c:ext>
          </c:extLst>
        </c:ser>
        <c:ser>
          <c:idx val="2"/>
          <c:order val="2"/>
          <c:tx>
            <c:v>Nonfamily Households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('T11-S4'!$B$10:$I$10,'T11-S4'!$J$10:$R$10)</c:f>
              <c:numCache>
                <c:formatCode>0.0%</c:formatCode>
                <c:ptCount val="17"/>
                <c:pt idx="0">
                  <c:v>0.1115718895280669</c:v>
                </c:pt>
                <c:pt idx="1">
                  <c:v>0.11168881725403777</c:v>
                </c:pt>
                <c:pt idx="2">
                  <c:v>0.11197149521231559</c:v>
                </c:pt>
                <c:pt idx="3">
                  <c:v>0.11340188082349545</c:v>
                </c:pt>
                <c:pt idx="4">
                  <c:v>0.10720166252547667</c:v>
                </c:pt>
                <c:pt idx="5">
                  <c:v>0.10203470757741198</c:v>
                </c:pt>
                <c:pt idx="6">
                  <c:v>0.11236382435907351</c:v>
                </c:pt>
                <c:pt idx="7">
                  <c:v>0.11887023031445457</c:v>
                </c:pt>
                <c:pt idx="8">
                  <c:v>0.11240970381613614</c:v>
                </c:pt>
                <c:pt idx="9">
                  <c:v>0.11363082724282017</c:v>
                </c:pt>
                <c:pt idx="10">
                  <c:v>0.11688797602095675</c:v>
                </c:pt>
                <c:pt idx="11">
                  <c:v>0.11674339944989949</c:v>
                </c:pt>
                <c:pt idx="12">
                  <c:v>0.12250412217079791</c:v>
                </c:pt>
                <c:pt idx="13">
                  <c:v>0.12141407254683402</c:v>
                </c:pt>
                <c:pt idx="14">
                  <c:v>0.11899999999999999</c:v>
                </c:pt>
                <c:pt idx="15">
                  <c:v>0.124332</c:v>
                </c:pt>
                <c:pt idx="16">
                  <c:v>0.12367295300802167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80-471F-B5D5-E75321F6F820}"/>
            </c:ext>
          </c:extLst>
        </c:ser>
        <c:ser>
          <c:idx val="3"/>
          <c:order val="3"/>
          <c:tx>
            <c:v>Spouse of Households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('T11-S4'!$B$12:$I$12,'T11-S4'!$J$12:$R$12)</c:f>
              <c:numCache>
                <c:formatCode>0.0%</c:formatCode>
                <c:ptCount val="17"/>
                <c:pt idx="0">
                  <c:v>0.20379281080898912</c:v>
                </c:pt>
                <c:pt idx="1">
                  <c:v>0.20817245604314225</c:v>
                </c:pt>
                <c:pt idx="2">
                  <c:v>0.20102839031646838</c:v>
                </c:pt>
                <c:pt idx="3">
                  <c:v>0.20029220087641705</c:v>
                </c:pt>
                <c:pt idx="4">
                  <c:v>0.20002663610644988</c:v>
                </c:pt>
                <c:pt idx="5">
                  <c:v>0.20075149629985167</c:v>
                </c:pt>
                <c:pt idx="6">
                  <c:v>0.19733233824154553</c:v>
                </c:pt>
                <c:pt idx="7">
                  <c:v>0.19226885489959269</c:v>
                </c:pt>
                <c:pt idx="8">
                  <c:v>0.19225884655131453</c:v>
                </c:pt>
                <c:pt idx="9">
                  <c:v>0.1878667664247905</c:v>
                </c:pt>
                <c:pt idx="10">
                  <c:v>0.18208583647780152</c:v>
                </c:pt>
                <c:pt idx="11">
                  <c:v>0.18492370572269806</c:v>
                </c:pt>
                <c:pt idx="12">
                  <c:v>0.1901991057714488</c:v>
                </c:pt>
                <c:pt idx="13">
                  <c:v>0.18991437420131271</c:v>
                </c:pt>
                <c:pt idx="14">
                  <c:v>0.193</c:v>
                </c:pt>
                <c:pt idx="15">
                  <c:v>0.198128</c:v>
                </c:pt>
                <c:pt idx="16">
                  <c:v>0.19785499594457864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80-471F-B5D5-E75321F6F820}"/>
            </c:ext>
          </c:extLst>
        </c:ser>
        <c:ser>
          <c:idx val="4"/>
          <c:order val="4"/>
          <c:tx>
            <c:v>Child under 18 Households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('T11-S4'!$B$13:$I$13,'T11-S4'!$J$13:$R$13)</c:f>
              <c:numCache>
                <c:formatCode>0.0%</c:formatCode>
                <c:ptCount val="17"/>
                <c:pt idx="0">
                  <c:v>0.2296151461171039</c:v>
                </c:pt>
                <c:pt idx="1">
                  <c:v>0.21316643813389585</c:v>
                </c:pt>
                <c:pt idx="2">
                  <c:v>0.22831170552858729</c:v>
                </c:pt>
                <c:pt idx="3">
                  <c:v>0.23006598209644763</c:v>
                </c:pt>
                <c:pt idx="4">
                  <c:v>0.22901794251143867</c:v>
                </c:pt>
                <c:pt idx="5">
                  <c:v>0.22493764982289316</c:v>
                </c:pt>
                <c:pt idx="6">
                  <c:v>0.22328382694764121</c:v>
                </c:pt>
                <c:pt idx="7">
                  <c:v>0.22284985383267752</c:v>
                </c:pt>
                <c:pt idx="8">
                  <c:v>0.21836900171976675</c:v>
                </c:pt>
                <c:pt idx="9">
                  <c:v>0.21394563589521987</c:v>
                </c:pt>
                <c:pt idx="10">
                  <c:v>0.21053989183737459</c:v>
                </c:pt>
                <c:pt idx="11">
                  <c:v>0.21229747816505179</c:v>
                </c:pt>
                <c:pt idx="12">
                  <c:v>0.21334144092359386</c:v>
                </c:pt>
                <c:pt idx="13">
                  <c:v>0.20636617548218056</c:v>
                </c:pt>
                <c:pt idx="14">
                  <c:v>0.19800000000000001</c:v>
                </c:pt>
                <c:pt idx="15">
                  <c:v>0.19950399999999999</c:v>
                </c:pt>
                <c:pt idx="16">
                  <c:v>0.20381891013501774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80-471F-B5D5-E75321F6F820}"/>
            </c:ext>
          </c:extLst>
        </c:ser>
        <c:ser>
          <c:idx val="5"/>
          <c:order val="5"/>
          <c:tx>
            <c:v>Child 18 &amp; over Households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('T11-S4'!$B$3:$I$3,'T11-S4'!$J$3:$R$3)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('T11-S4'!$B$14:$I$14,'T11-S4'!$J$14:$R$14)</c:f>
              <c:numCache>
                <c:formatCode>0.0%</c:formatCode>
                <c:ptCount val="17"/>
                <c:pt idx="0">
                  <c:v>9.1403004513704936E-2</c:v>
                </c:pt>
                <c:pt idx="1">
                  <c:v>8.9436532653519349E-2</c:v>
                </c:pt>
                <c:pt idx="2">
                  <c:v>9.081072565614208E-2</c:v>
                </c:pt>
                <c:pt idx="3">
                  <c:v>9.5845019058356476E-2</c:v>
                </c:pt>
                <c:pt idx="4">
                  <c:v>9.9902202015890923E-2</c:v>
                </c:pt>
                <c:pt idx="5">
                  <c:v>0.1018211873151927</c:v>
                </c:pt>
                <c:pt idx="6">
                  <c:v>9.7230502697645452E-2</c:v>
                </c:pt>
                <c:pt idx="7">
                  <c:v>9.5528803929114392E-2</c:v>
                </c:pt>
                <c:pt idx="8">
                  <c:v>9.6208253427370716E-2</c:v>
                </c:pt>
                <c:pt idx="9">
                  <c:v>9.9439823017315937E-2</c:v>
                </c:pt>
                <c:pt idx="10">
                  <c:v>0.10923919493609391</c:v>
                </c:pt>
                <c:pt idx="11">
                  <c:v>0.11558671057710833</c:v>
                </c:pt>
                <c:pt idx="12">
                  <c:v>0.11986347475014621</c:v>
                </c:pt>
                <c:pt idx="13">
                  <c:v>0.12217422384403823</c:v>
                </c:pt>
                <c:pt idx="14">
                  <c:v>0.11700000000000001</c:v>
                </c:pt>
                <c:pt idx="15">
                  <c:v>0.114579</c:v>
                </c:pt>
                <c:pt idx="16">
                  <c:v>0.11638438345567104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80-471F-B5D5-E75321F6F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71344"/>
        <c:axId val="485576920"/>
      </c:lineChart>
      <c:catAx>
        <c:axId val="48557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76920"/>
        <c:crosses val="autoZero"/>
        <c:auto val="1"/>
        <c:lblAlgn val="ctr"/>
        <c:lblOffset val="100"/>
        <c:noMultiLvlLbl val="0"/>
      </c:catAx>
      <c:valAx>
        <c:axId val="485576920"/>
        <c:scaling>
          <c:orientation val="minMax"/>
          <c:max val="0.4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7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23600174978128"/>
          <c:w val="0.99977298256150182"/>
          <c:h val="0.10763998250218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Percentage of Persons 15 Years &amp; Over</a:t>
            </a:r>
            <a:r>
              <a:rPr lang="en-US" baseline="0"/>
              <a:t> </a:t>
            </a:r>
            <a:r>
              <a:rPr lang="en-US"/>
              <a:t>Married with Spouse Present</a:t>
            </a:r>
          </a:p>
        </c:rich>
      </c:tx>
      <c:layout>
        <c:manualLayout>
          <c:xMode val="edge"/>
          <c:yMode val="edge"/>
          <c:x val="0.1419978517722878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02376079642026E-2"/>
          <c:y val="0.10127369495479732"/>
          <c:w val="0.93630733520644727"/>
          <c:h val="0.74986840186643333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('T11-S4'!$AN$8:$AU$8,'T11-S4'!$AV$8:$BD$8)</c:f>
              <c:numCache>
                <c:formatCode>0.0%</c:formatCode>
                <c:ptCount val="17"/>
                <c:pt idx="0">
                  <c:v>0.53011300817088824</c:v>
                </c:pt>
                <c:pt idx="1">
                  <c:v>0.53070867851951942</c:v>
                </c:pt>
                <c:pt idx="2">
                  <c:v>0.52084093100486895</c:v>
                </c:pt>
                <c:pt idx="3">
                  <c:v>0.5183744897974385</c:v>
                </c:pt>
                <c:pt idx="4">
                  <c:v>0.51447066133017383</c:v>
                </c:pt>
                <c:pt idx="5">
                  <c:v>0.51939951453670208</c:v>
                </c:pt>
                <c:pt idx="6">
                  <c:v>0.51257938976577311</c:v>
                </c:pt>
                <c:pt idx="7">
                  <c:v>0.49849184723213896</c:v>
                </c:pt>
                <c:pt idx="8">
                  <c:v>0.49549822526188209</c:v>
                </c:pt>
                <c:pt idx="9">
                  <c:v>0.48335593982430897</c:v>
                </c:pt>
                <c:pt idx="10">
                  <c:v>0.46733040114703711</c:v>
                </c:pt>
                <c:pt idx="11">
                  <c:v>0.47299404152735613</c:v>
                </c:pt>
                <c:pt idx="12">
                  <c:v>0.48767353669940944</c:v>
                </c:pt>
                <c:pt idx="13">
                  <c:v>0.48664362365068581</c:v>
                </c:pt>
                <c:pt idx="14">
                  <c:v>0.49199999999999999</c:v>
                </c:pt>
                <c:pt idx="15">
                  <c:v>0.50396200000000002</c:v>
                </c:pt>
                <c:pt idx="16">
                  <c:v>0.50684788367775668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C-4EAA-969F-FABB915E433C}"/>
            </c:ext>
          </c:extLst>
        </c:ser>
        <c:ser>
          <c:idx val="1"/>
          <c:order val="1"/>
          <c:tx>
            <c:v>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('T11-S4'!$AN$18:$AU$18,'T11-S4'!$AV$18:$BD$18)</c:f>
              <c:numCache>
                <c:formatCode>0.0%</c:formatCode>
                <c:ptCount val="17"/>
                <c:pt idx="0">
                  <c:v>0.55755531740528275</c:v>
                </c:pt>
                <c:pt idx="1">
                  <c:v>0.55359055964588788</c:v>
                </c:pt>
                <c:pt idx="2">
                  <c:v>0.5423008817448105</c:v>
                </c:pt>
                <c:pt idx="3">
                  <c:v>0.53654677370880033</c:v>
                </c:pt>
                <c:pt idx="4">
                  <c:v>0.53004049065142311</c:v>
                </c:pt>
                <c:pt idx="5">
                  <c:v>0.53464670030327666</c:v>
                </c:pt>
                <c:pt idx="6">
                  <c:v>0.5316307544565152</c:v>
                </c:pt>
                <c:pt idx="7">
                  <c:v>0.52100149249185224</c:v>
                </c:pt>
                <c:pt idx="8">
                  <c:v>0.51535160118851109</c:v>
                </c:pt>
                <c:pt idx="9">
                  <c:v>0.49791261283574961</c:v>
                </c:pt>
                <c:pt idx="10">
                  <c:v>0.48705286028286088</c:v>
                </c:pt>
                <c:pt idx="11">
                  <c:v>0.49685911946825195</c:v>
                </c:pt>
                <c:pt idx="12">
                  <c:v>0.50685018627330192</c:v>
                </c:pt>
                <c:pt idx="13">
                  <c:v>0.50186402062880731</c:v>
                </c:pt>
                <c:pt idx="14">
                  <c:v>0.50714300000000001</c:v>
                </c:pt>
                <c:pt idx="15">
                  <c:v>0.52158599999999999</c:v>
                </c:pt>
                <c:pt idx="16">
                  <c:v>0.52135006950256446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AC-4EAA-969F-FABB915E433C}"/>
            </c:ext>
          </c:extLst>
        </c:ser>
        <c:ser>
          <c:idx val="2"/>
          <c:order val="2"/>
          <c:tx>
            <c:v>Female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('T11-S4'!$AN$26:$AU$26,'T11-S4'!$AV$26:$BD$26)</c:f>
              <c:numCache>
                <c:formatCode>0.0%</c:formatCode>
                <c:ptCount val="17"/>
                <c:pt idx="0">
                  <c:v>0.50522677938992344</c:v>
                </c:pt>
                <c:pt idx="1">
                  <c:v>0.50964329527526941</c:v>
                </c:pt>
                <c:pt idx="2">
                  <c:v>0.50101475636012338</c:v>
                </c:pt>
                <c:pt idx="3">
                  <c:v>0.49788001161330109</c:v>
                </c:pt>
                <c:pt idx="4">
                  <c:v>0.49978945004351366</c:v>
                </c:pt>
                <c:pt idx="5">
                  <c:v>0.50499786162542815</c:v>
                </c:pt>
                <c:pt idx="6">
                  <c:v>0.49484622475488144</c:v>
                </c:pt>
                <c:pt idx="7">
                  <c:v>0.4778466867806459</c:v>
                </c:pt>
                <c:pt idx="8">
                  <c:v>0.47714452441159305</c:v>
                </c:pt>
                <c:pt idx="9">
                  <c:v>0.46962623043786567</c:v>
                </c:pt>
                <c:pt idx="10">
                  <c:v>0.44914304200310101</c:v>
                </c:pt>
                <c:pt idx="11">
                  <c:v>0.45131646302650469</c:v>
                </c:pt>
                <c:pt idx="12">
                  <c:v>0.46989508152861276</c:v>
                </c:pt>
                <c:pt idx="13">
                  <c:v>0.47231925245204448</c:v>
                </c:pt>
                <c:pt idx="14">
                  <c:v>0.477551</c:v>
                </c:pt>
                <c:pt idx="15">
                  <c:v>0.48748900000000001</c:v>
                </c:pt>
                <c:pt idx="16">
                  <c:v>0.49313066569289477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AC-4EAA-969F-FABB915E433C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('T11-S4'!$AN$36:$AU$36,'T11-S4'!$AV$36:$BD$36)</c:f>
              <c:numCache>
                <c:formatCode>0.0%</c:formatCode>
                <c:ptCount val="17"/>
                <c:pt idx="0">
                  <c:v>0.56070350093941845</c:v>
                </c:pt>
                <c:pt idx="1">
                  <c:v>0.56211605292813149</c:v>
                </c:pt>
                <c:pt idx="2">
                  <c:v>0.54859976074626915</c:v>
                </c:pt>
                <c:pt idx="3">
                  <c:v>0.54195485081870098</c:v>
                </c:pt>
                <c:pt idx="4">
                  <c:v>0.53896962545900684</c:v>
                </c:pt>
                <c:pt idx="5">
                  <c:v>0.53976785447666753</c:v>
                </c:pt>
                <c:pt idx="6">
                  <c:v>0.53044578290504696</c:v>
                </c:pt>
                <c:pt idx="7">
                  <c:v>0.52005903662954511</c:v>
                </c:pt>
                <c:pt idx="8">
                  <c:v>0.51888802972295045</c:v>
                </c:pt>
                <c:pt idx="9">
                  <c:v>0.50796321823495805</c:v>
                </c:pt>
                <c:pt idx="10">
                  <c:v>0.49587324143818651</c:v>
                </c:pt>
                <c:pt idx="11">
                  <c:v>0.49811927911813192</c:v>
                </c:pt>
                <c:pt idx="12">
                  <c:v>0.50223895385666806</c:v>
                </c:pt>
                <c:pt idx="13">
                  <c:v>0.50379169798533385</c:v>
                </c:pt>
                <c:pt idx="14">
                  <c:v>0.51118699999999995</c:v>
                </c:pt>
                <c:pt idx="15">
                  <c:v>0.52312700000000001</c:v>
                </c:pt>
                <c:pt idx="16">
                  <c:v>0.5227706373130111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AC-4EAA-969F-FABB915E433C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('T11-S4'!$AN$44:$AU$44,'T11-S4'!$AV$44:$BD$44)</c:f>
              <c:numCache>
                <c:formatCode>0.0%</c:formatCode>
                <c:ptCount val="17"/>
                <c:pt idx="0">
                  <c:v>0.32516053878600709</c:v>
                </c:pt>
                <c:pt idx="1">
                  <c:v>0.29600737987922177</c:v>
                </c:pt>
                <c:pt idx="2">
                  <c:v>0.29336156645937222</c:v>
                </c:pt>
                <c:pt idx="3">
                  <c:v>0.30312807422718058</c:v>
                </c:pt>
                <c:pt idx="4">
                  <c:v>0.31155713479755986</c:v>
                </c:pt>
                <c:pt idx="5">
                  <c:v>0.32283942024146728</c:v>
                </c:pt>
                <c:pt idx="6">
                  <c:v>0.31892359234842754</c:v>
                </c:pt>
                <c:pt idx="7">
                  <c:v>0.29257355353822595</c:v>
                </c:pt>
                <c:pt idx="8">
                  <c:v>0.29080086580086578</c:v>
                </c:pt>
                <c:pt idx="9">
                  <c:v>0.27566808751679517</c:v>
                </c:pt>
                <c:pt idx="10">
                  <c:v>0.2386604709950681</c:v>
                </c:pt>
                <c:pt idx="11">
                  <c:v>0.25540727288752585</c:v>
                </c:pt>
                <c:pt idx="12">
                  <c:v>0.32293804285680561</c:v>
                </c:pt>
                <c:pt idx="13">
                  <c:v>0.32157078713730908</c:v>
                </c:pt>
                <c:pt idx="14">
                  <c:v>0.31426300000000001</c:v>
                </c:pt>
                <c:pt idx="15">
                  <c:v>0.32605699999999999</c:v>
                </c:pt>
                <c:pt idx="16">
                  <c:v>0.33868594587563544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AC-4EAA-969F-FABB915E433C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('T11-S4'!$AN$53:$AU$53,'T11-S4'!$AV$53:$BD$53)</c:f>
              <c:numCache>
                <c:formatCode>0.0%</c:formatCode>
                <c:ptCount val="17"/>
                <c:pt idx="0">
                  <c:v>0.43935493955197263</c:v>
                </c:pt>
                <c:pt idx="1">
                  <c:v>0.45946087152560733</c:v>
                </c:pt>
                <c:pt idx="2">
                  <c:v>0.45827042628794029</c:v>
                </c:pt>
                <c:pt idx="3">
                  <c:v>0.40975647603654214</c:v>
                </c:pt>
                <c:pt idx="4">
                  <c:v>0.39873235346087521</c:v>
                </c:pt>
                <c:pt idx="5">
                  <c:v>0.42298030065240927</c:v>
                </c:pt>
                <c:pt idx="6">
                  <c:v>0.42535702711720247</c:v>
                </c:pt>
                <c:pt idx="7">
                  <c:v>0.39574808752890944</c:v>
                </c:pt>
                <c:pt idx="8">
                  <c:v>0.36160676532769553</c:v>
                </c:pt>
                <c:pt idx="9">
                  <c:v>0.35790016541356395</c:v>
                </c:pt>
                <c:pt idx="10">
                  <c:v>0.37015312128408812</c:v>
                </c:pt>
                <c:pt idx="11">
                  <c:v>0.40180719166223305</c:v>
                </c:pt>
                <c:pt idx="12">
                  <c:v>0.42362743191854996</c:v>
                </c:pt>
                <c:pt idx="13">
                  <c:v>0.41462495637889901</c:v>
                </c:pt>
                <c:pt idx="14">
                  <c:v>0.40623300000000001</c:v>
                </c:pt>
                <c:pt idx="15">
                  <c:v>0.41605399999999998</c:v>
                </c:pt>
                <c:pt idx="16">
                  <c:v>0.40842319550524714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AC-4EAA-969F-FABB915E4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2005640"/>
        <c:axId val="562034176"/>
      </c:lineChart>
      <c:catAx>
        <c:axId val="56200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34176"/>
        <c:crosses val="autoZero"/>
        <c:auto val="1"/>
        <c:lblAlgn val="ctr"/>
        <c:lblOffset val="100"/>
        <c:noMultiLvlLbl val="0"/>
      </c:catAx>
      <c:valAx>
        <c:axId val="562034176"/>
        <c:scaling>
          <c:orientation val="minMax"/>
          <c:max val="0.58000000000000007"/>
          <c:min val="0.22000000000000003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0564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777449212020304"/>
          <c:y val="0.94502260134149896"/>
          <c:w val="0.6644508712292021"/>
          <c:h val="5.4977398658501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Percentage of Persons</a:t>
            </a:r>
            <a:r>
              <a:rPr lang="en-US" baseline="0"/>
              <a:t> 15 Years &amp; Over Married with Spouse Absent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8678199401608E-2"/>
          <c:y val="5.0925925925925923E-2"/>
          <c:w val="0.94042503298497804"/>
          <c:h val="0.82373432487605736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('T11-S4'!$AN$9:$AU$9,'T11-S4'!$AV$9:$BD$9)</c:f>
              <c:numCache>
                <c:formatCode>0.0%</c:formatCode>
                <c:ptCount val="17"/>
                <c:pt idx="0">
                  <c:v>1.9326795295624932E-2</c:v>
                </c:pt>
                <c:pt idx="1">
                  <c:v>2.0241602621684007E-2</c:v>
                </c:pt>
                <c:pt idx="2">
                  <c:v>1.7447943102369048E-2</c:v>
                </c:pt>
                <c:pt idx="3">
                  <c:v>1.8160025336014355E-2</c:v>
                </c:pt>
                <c:pt idx="4">
                  <c:v>1.8379112543166352E-2</c:v>
                </c:pt>
                <c:pt idx="5">
                  <c:v>1.6143139769569652E-2</c:v>
                </c:pt>
                <c:pt idx="6">
                  <c:v>1.4423981134532197E-2</c:v>
                </c:pt>
                <c:pt idx="7">
                  <c:v>1.4673524997449984E-2</c:v>
                </c:pt>
                <c:pt idx="8">
                  <c:v>1.3173462615069402E-2</c:v>
                </c:pt>
                <c:pt idx="9">
                  <c:v>1.4439218201159338E-2</c:v>
                </c:pt>
                <c:pt idx="10">
                  <c:v>1.9597411027328995E-2</c:v>
                </c:pt>
                <c:pt idx="11">
                  <c:v>2.0091985955245958E-2</c:v>
                </c:pt>
                <c:pt idx="12">
                  <c:v>1.6358450144762254E-2</c:v>
                </c:pt>
                <c:pt idx="13">
                  <c:v>1.5054299411903409E-2</c:v>
                </c:pt>
                <c:pt idx="14">
                  <c:v>1.7000000000000001E-2</c:v>
                </c:pt>
                <c:pt idx="15">
                  <c:v>1.8613000000000001E-2</c:v>
                </c:pt>
                <c:pt idx="16">
                  <c:v>1.842218012883429E-2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4C-4B8C-A129-8E30B71E7F05}"/>
            </c:ext>
          </c:extLst>
        </c:ser>
        <c:ser>
          <c:idx val="1"/>
          <c:order val="1"/>
          <c:tx>
            <c:v>Males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('T11-S4'!$AN$19:$AU$19,'T11-S4'!$AV$19:$BD$19)</c:f>
              <c:numCache>
                <c:formatCode>0.0%</c:formatCode>
                <c:ptCount val="17"/>
                <c:pt idx="0">
                  <c:v>2.2473680892643257E-2</c:v>
                </c:pt>
                <c:pt idx="1">
                  <c:v>2.3818734459133264E-2</c:v>
                </c:pt>
                <c:pt idx="2">
                  <c:v>1.7729207358184083E-2</c:v>
                </c:pt>
                <c:pt idx="3">
                  <c:v>1.5328708101985207E-2</c:v>
                </c:pt>
                <c:pt idx="4">
                  <c:v>2.0185780635941408E-2</c:v>
                </c:pt>
                <c:pt idx="5">
                  <c:v>1.8964892963591273E-2</c:v>
                </c:pt>
                <c:pt idx="6">
                  <c:v>1.6355560890702839E-2</c:v>
                </c:pt>
                <c:pt idx="7">
                  <c:v>1.6112820200420333E-2</c:v>
                </c:pt>
                <c:pt idx="8">
                  <c:v>1.3865962363816441E-2</c:v>
                </c:pt>
                <c:pt idx="9">
                  <c:v>1.6556952576418212E-2</c:v>
                </c:pt>
                <c:pt idx="10">
                  <c:v>1.9659274951465661E-2</c:v>
                </c:pt>
                <c:pt idx="11">
                  <c:v>1.7742890328060052E-2</c:v>
                </c:pt>
                <c:pt idx="12">
                  <c:v>1.7566811321195711E-2</c:v>
                </c:pt>
                <c:pt idx="13">
                  <c:v>1.7583220148043002E-2</c:v>
                </c:pt>
                <c:pt idx="14">
                  <c:v>2.1068E-2</c:v>
                </c:pt>
                <c:pt idx="15">
                  <c:v>2.4101000000000001E-2</c:v>
                </c:pt>
                <c:pt idx="16">
                  <c:v>2.3035444144284729E-2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4C-4B8C-A129-8E30B71E7F05}"/>
            </c:ext>
          </c:extLst>
        </c:ser>
        <c:ser>
          <c:idx val="2"/>
          <c:order val="2"/>
          <c:tx>
            <c:v>Female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('T11-S4'!$AN$27:$AU$27,'T11-S4'!$AV$27:$BD$27)</c:f>
              <c:numCache>
                <c:formatCode>0.0%</c:formatCode>
                <c:ptCount val="17"/>
                <c:pt idx="0">
                  <c:v>1.6480063978064664E-2</c:v>
                </c:pt>
                <c:pt idx="1">
                  <c:v>1.6948444482502833E-2</c:v>
                </c:pt>
                <c:pt idx="2">
                  <c:v>1.7188091888137955E-2</c:v>
                </c:pt>
                <c:pt idx="3">
                  <c:v>1.894801852453731E-2</c:v>
                </c:pt>
                <c:pt idx="4">
                  <c:v>1.6675556553718312E-2</c:v>
                </c:pt>
                <c:pt idx="5">
                  <c:v>1.34778669301276E-2</c:v>
                </c:pt>
                <c:pt idx="6">
                  <c:v>1.262605100701137E-2</c:v>
                </c:pt>
                <c:pt idx="7">
                  <c:v>1.3381383394792714E-2</c:v>
                </c:pt>
                <c:pt idx="8">
                  <c:v>1.253230333175869E-2</c:v>
                </c:pt>
                <c:pt idx="9">
                  <c:v>1.2441792174818464E-2</c:v>
                </c:pt>
                <c:pt idx="10">
                  <c:v>1.954036228920876E-2</c:v>
                </c:pt>
                <c:pt idx="11">
                  <c:v>2.2225760879025572E-2</c:v>
                </c:pt>
                <c:pt idx="12">
                  <c:v>1.5238192149611708E-2</c:v>
                </c:pt>
                <c:pt idx="13">
                  <c:v>1.267425640721195E-2</c:v>
                </c:pt>
                <c:pt idx="14">
                  <c:v>1.2463E-2</c:v>
                </c:pt>
                <c:pt idx="15">
                  <c:v>1.3483E-2</c:v>
                </c:pt>
                <c:pt idx="16">
                  <c:v>1.4058620808459136E-2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4C-4B8C-A129-8E30B71E7F05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('T11-S4'!$AN$37:$AU$37,'T11-S4'!$AV$37:$BD$37)</c:f>
              <c:numCache>
                <c:formatCode>0.0%</c:formatCode>
                <c:ptCount val="17"/>
                <c:pt idx="0">
                  <c:v>1.224009138659362E-2</c:v>
                </c:pt>
                <c:pt idx="1">
                  <c:v>1.5059541970715146E-2</c:v>
                </c:pt>
                <c:pt idx="2">
                  <c:v>1.4036407690341864E-2</c:v>
                </c:pt>
                <c:pt idx="3">
                  <c:v>1.4668417371963548E-2</c:v>
                </c:pt>
                <c:pt idx="4">
                  <c:v>1.6428295616126663E-2</c:v>
                </c:pt>
                <c:pt idx="5">
                  <c:v>1.4218674324027536E-2</c:v>
                </c:pt>
                <c:pt idx="6">
                  <c:v>1.2574816381247286E-2</c:v>
                </c:pt>
                <c:pt idx="7">
                  <c:v>1.3034061068409653E-2</c:v>
                </c:pt>
                <c:pt idx="8">
                  <c:v>1.0825490824736436E-2</c:v>
                </c:pt>
                <c:pt idx="9">
                  <c:v>1.2433831997710287E-2</c:v>
                </c:pt>
                <c:pt idx="10">
                  <c:v>1.7401008357491744E-2</c:v>
                </c:pt>
                <c:pt idx="11">
                  <c:v>1.5961024149335368E-2</c:v>
                </c:pt>
                <c:pt idx="12">
                  <c:v>1.2482812490662855E-2</c:v>
                </c:pt>
                <c:pt idx="13">
                  <c:v>1.2999976830531309E-2</c:v>
                </c:pt>
                <c:pt idx="14">
                  <c:v>1.3032E-2</c:v>
                </c:pt>
                <c:pt idx="15">
                  <c:v>1.2605999999999999E-2</c:v>
                </c:pt>
                <c:pt idx="16">
                  <c:v>1.3339827964155721E-2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4C-4B8C-A129-8E30B71E7F05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('T11-S4'!$AN$45:$AU$45,'T11-S4'!$AV$45:$BD$45)</c:f>
              <c:numCache>
                <c:formatCode>0.0%</c:formatCode>
                <c:ptCount val="17"/>
                <c:pt idx="0">
                  <c:v>3.9746234338587143E-2</c:v>
                </c:pt>
                <c:pt idx="1">
                  <c:v>3.4399397515310515E-2</c:v>
                </c:pt>
                <c:pt idx="2">
                  <c:v>2.8583624782881005E-2</c:v>
                </c:pt>
                <c:pt idx="3">
                  <c:v>2.3969877289611842E-2</c:v>
                </c:pt>
                <c:pt idx="4">
                  <c:v>2.2574294989392424E-2</c:v>
                </c:pt>
                <c:pt idx="5">
                  <c:v>1.9459792821874586E-2</c:v>
                </c:pt>
                <c:pt idx="6">
                  <c:v>1.7291689181886956E-2</c:v>
                </c:pt>
                <c:pt idx="7">
                  <c:v>1.0499835940063436E-2</c:v>
                </c:pt>
                <c:pt idx="8">
                  <c:v>8.3333333333333332E-3</c:v>
                </c:pt>
                <c:pt idx="9">
                  <c:v>1.5732525322546539E-2</c:v>
                </c:pt>
                <c:pt idx="10">
                  <c:v>2.3968243001661105E-2</c:v>
                </c:pt>
                <c:pt idx="11">
                  <c:v>2.6755669738071142E-2</c:v>
                </c:pt>
                <c:pt idx="12">
                  <c:v>1.7189794184093523E-2</c:v>
                </c:pt>
                <c:pt idx="13">
                  <c:v>9.6313826747938917E-3</c:v>
                </c:pt>
                <c:pt idx="14">
                  <c:v>1.9613999999999999E-2</c:v>
                </c:pt>
                <c:pt idx="15">
                  <c:v>3.8746999999999997E-2</c:v>
                </c:pt>
                <c:pt idx="16">
                  <c:v>3.3981132161616794E-2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4C-4B8C-A129-8E30B71E7F05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('T11-S4'!$AN$54:$AU$54,'T11-S4'!$AV$54:$BD$54)</c:f>
              <c:numCache>
                <c:formatCode>0.0%</c:formatCode>
                <c:ptCount val="17"/>
                <c:pt idx="0">
                  <c:v>3.7376044302041493E-2</c:v>
                </c:pt>
                <c:pt idx="1">
                  <c:v>5.0588012167715198E-2</c:v>
                </c:pt>
                <c:pt idx="2">
                  <c:v>4.2397717806880356E-2</c:v>
                </c:pt>
                <c:pt idx="3">
                  <c:v>3.6540863888577191E-2</c:v>
                </c:pt>
                <c:pt idx="4">
                  <c:v>4.2584563683609279E-2</c:v>
                </c:pt>
                <c:pt idx="5">
                  <c:v>4.6429854532989805E-2</c:v>
                </c:pt>
                <c:pt idx="6">
                  <c:v>4.1701186052207448E-2</c:v>
                </c:pt>
                <c:pt idx="7">
                  <c:v>3.6915139654865682E-2</c:v>
                </c:pt>
                <c:pt idx="8">
                  <c:v>3.382663847780127E-2</c:v>
                </c:pt>
                <c:pt idx="9">
                  <c:v>3.3590057177596444E-2</c:v>
                </c:pt>
                <c:pt idx="10">
                  <c:v>4.4470701090127247E-2</c:v>
                </c:pt>
                <c:pt idx="11">
                  <c:v>4.329548220638222E-2</c:v>
                </c:pt>
                <c:pt idx="12">
                  <c:v>2.8110421603076242E-2</c:v>
                </c:pt>
                <c:pt idx="13">
                  <c:v>2.4362512376849162E-2</c:v>
                </c:pt>
                <c:pt idx="14">
                  <c:v>2.5881000000000001E-2</c:v>
                </c:pt>
                <c:pt idx="15">
                  <c:v>2.9850999999999999E-2</c:v>
                </c:pt>
                <c:pt idx="16">
                  <c:v>3.5549085588561458E-2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4C-4B8C-A129-8E30B71E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4045984"/>
        <c:axId val="574069272"/>
      </c:lineChart>
      <c:catAx>
        <c:axId val="5740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69272"/>
        <c:crosses val="autoZero"/>
        <c:auto val="1"/>
        <c:lblAlgn val="ctr"/>
        <c:lblOffset val="100"/>
        <c:noMultiLvlLbl val="0"/>
      </c:catAx>
      <c:valAx>
        <c:axId val="574069272"/>
        <c:scaling>
          <c:orientation val="minMax"/>
          <c:max val="5.3000000000000012E-2"/>
          <c:min val="8.0000000000000019E-3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459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49546968631074"/>
          <c:y val="0.93113371245261012"/>
          <c:w val="0.65700906062737852"/>
          <c:h val="6.8866287547389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Married Couple Family: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9636920384951"/>
          <c:y val="0.17171296296296296"/>
          <c:w val="0.73240004374453194"/>
          <c:h val="0.56845079282445066"/>
        </c:manualLayout>
      </c:layout>
      <c:lineChart>
        <c:grouping val="standard"/>
        <c:varyColors val="0"/>
        <c:ser>
          <c:idx val="0"/>
          <c:order val="0"/>
          <c:tx>
            <c:v>Married Couple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('T1-T6'!$G$9,'T1-T6'!$G$12,'T1-T6'!$G$15,'T1-T6'!$G$18,'T1-T6'!$G$21,'T1-T6'!$G$24,'T1-T6'!$G$27,'T1-T6'!$G$30,'T1-T6'!$G$33,'T1-T6'!$G$36,'T1-T6'!$G$39,'T1-T6'!$G$42,'T1-T6'!$G$45,'T1-T6'!$G$48,'T1-T6'!$G$51,'T1-T6'!$G$54,'T1-T6'!$G$57)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('T1-T6'!$J$9,'T1-T6'!$J$12,'T1-T6'!$J$15,'T1-T6'!$J$18,'T1-T6'!$J$21,'T1-T6'!$J$24,'T1-T6'!$J$27,'T1-T6'!$J$30,'T1-T6'!$J$33,'T1-T6'!$J$36,'T1-T6'!$J$39,'T1-T6'!$J$42,'T1-T6'!$J$45,'T1-T6'!$J$48,'T1-T6'!$J$51,'T1-T6'!$J$54,'T1-T6'!$J$57)</c:f>
              <c:numCache>
                <c:formatCode>_(* #,##0_);_(* \(#,##0\);_(* "-"??_);_(@_)</c:formatCode>
                <c:ptCount val="17"/>
                <c:pt idx="0">
                  <c:v>1768313</c:v>
                </c:pt>
                <c:pt idx="1">
                  <c:v>1762494</c:v>
                </c:pt>
                <c:pt idx="2">
                  <c:v>1724244</c:v>
                </c:pt>
                <c:pt idx="3" formatCode="#,##0">
                  <c:v>1689200</c:v>
                </c:pt>
                <c:pt idx="4" formatCode="#,##0">
                  <c:v>1671300</c:v>
                </c:pt>
                <c:pt idx="5" formatCode="#,##0">
                  <c:v>1606700</c:v>
                </c:pt>
                <c:pt idx="6" formatCode="#,##0">
                  <c:v>1577200</c:v>
                </c:pt>
                <c:pt idx="7" formatCode="#,##0">
                  <c:v>1629900</c:v>
                </c:pt>
                <c:pt idx="8" formatCode="#,##0">
                  <c:v>1653800</c:v>
                </c:pt>
                <c:pt idx="9" formatCode="#,##0">
                  <c:v>1642000</c:v>
                </c:pt>
                <c:pt idx="10" formatCode="#,##0">
                  <c:v>1698600</c:v>
                </c:pt>
                <c:pt idx="11" formatCode="#,##0">
                  <c:v>1745100</c:v>
                </c:pt>
                <c:pt idx="12" formatCode="#,##0">
                  <c:v>1739200</c:v>
                </c:pt>
                <c:pt idx="13" formatCode="#,##0">
                  <c:v>1726900</c:v>
                </c:pt>
                <c:pt idx="14" formatCode="#,##0">
                  <c:v>1727200</c:v>
                </c:pt>
                <c:pt idx="15" formatCode="#,##0">
                  <c:v>1777300</c:v>
                </c:pt>
                <c:pt idx="16" formatCode="#,##0">
                  <c:v>1732600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4-4BD2-883D-5A1822ED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57296160"/>
        <c:axId val="457297800"/>
      </c:lineChart>
      <c:catAx>
        <c:axId val="457296160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297800"/>
        <c:crossesAt val="1450000000000"/>
        <c:auto val="1"/>
        <c:lblAlgn val="ctr"/>
        <c:lblOffset val="100"/>
        <c:noMultiLvlLbl val="0"/>
      </c:catAx>
      <c:valAx>
        <c:axId val="457297800"/>
        <c:scaling>
          <c:orientation val="minMax"/>
          <c:min val="1550000"/>
        </c:scaling>
        <c:delete val="0"/>
        <c:axPos val="r"/>
        <c:numFmt formatCode="_(* #,##0_);_(* \(#,##0\);_(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296160"/>
        <c:crossesAt val="1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Percentage of Persons 15 Years &amp; Over Widowed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136661315393829E-2"/>
          <c:y val="7.407407407407407E-2"/>
          <c:w val="0.92975222757349507"/>
          <c:h val="0.78967811315252256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('T11-S4'!$AN$10:$AU$10,'T11-S4'!$AV$10:$BD$10)</c:f>
              <c:numCache>
                <c:formatCode>0.0%</c:formatCode>
                <c:ptCount val="17"/>
                <c:pt idx="0">
                  <c:v>6.414896932745065E-2</c:v>
                </c:pt>
                <c:pt idx="1">
                  <c:v>6.0435737422315498E-2</c:v>
                </c:pt>
                <c:pt idx="2">
                  <c:v>6.1968822549389353E-2</c:v>
                </c:pt>
                <c:pt idx="3">
                  <c:v>6.3766081974259148E-2</c:v>
                </c:pt>
                <c:pt idx="4">
                  <c:v>6.4803710500079464E-2</c:v>
                </c:pt>
                <c:pt idx="5">
                  <c:v>6.2143034833277509E-2</c:v>
                </c:pt>
                <c:pt idx="6">
                  <c:v>6.154424849177529E-2</c:v>
                </c:pt>
                <c:pt idx="7">
                  <c:v>6.5440715753274953E-2</c:v>
                </c:pt>
                <c:pt idx="8">
                  <c:v>6.8349060687386373E-2</c:v>
                </c:pt>
                <c:pt idx="9">
                  <c:v>6.493772751324392E-2</c:v>
                </c:pt>
                <c:pt idx="10">
                  <c:v>6.2521527793574699E-2</c:v>
                </c:pt>
                <c:pt idx="11">
                  <c:v>6.4416090792465852E-2</c:v>
                </c:pt>
                <c:pt idx="12">
                  <c:v>6.4238724375263401E-2</c:v>
                </c:pt>
                <c:pt idx="13">
                  <c:v>6.1241588766840757E-2</c:v>
                </c:pt>
                <c:pt idx="14">
                  <c:v>6.1120000000000001E-2</c:v>
                </c:pt>
                <c:pt idx="15">
                  <c:v>6.2429999999999999E-2</c:v>
                </c:pt>
                <c:pt idx="16">
                  <c:v>5.4593751675459386E-2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9-40AB-98A2-AA4A55A7E4E6}"/>
            </c:ext>
          </c:extLst>
        </c:ser>
        <c:ser>
          <c:idx val="1"/>
          <c:order val="1"/>
          <c:tx>
            <c:v>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('T11-S4'!$AN$20:$AU$20,'T11-S4'!$AV$20:$BD$20)</c:f>
              <c:numCache>
                <c:formatCode>0.0%</c:formatCode>
                <c:ptCount val="17"/>
                <c:pt idx="0">
                  <c:v>2.7422303473491772E-2</c:v>
                </c:pt>
                <c:pt idx="1">
                  <c:v>2.647975320665483E-2</c:v>
                </c:pt>
                <c:pt idx="2">
                  <c:v>2.8847061566909103E-2</c:v>
                </c:pt>
                <c:pt idx="3">
                  <c:v>3.1080454301651208E-2</c:v>
                </c:pt>
                <c:pt idx="4">
                  <c:v>2.8015958080266763E-2</c:v>
                </c:pt>
                <c:pt idx="5">
                  <c:v>2.0102679842503191E-2</c:v>
                </c:pt>
                <c:pt idx="6">
                  <c:v>1.9806734289658484E-2</c:v>
                </c:pt>
                <c:pt idx="7">
                  <c:v>2.4580427035423836E-2</c:v>
                </c:pt>
                <c:pt idx="8">
                  <c:v>2.7521834388787178E-2</c:v>
                </c:pt>
                <c:pt idx="9">
                  <c:v>2.7189860191822641E-2</c:v>
                </c:pt>
                <c:pt idx="10">
                  <c:v>2.6251338807175773E-2</c:v>
                </c:pt>
                <c:pt idx="11">
                  <c:v>2.6578656462592654E-2</c:v>
                </c:pt>
                <c:pt idx="12">
                  <c:v>2.6986460365938859E-2</c:v>
                </c:pt>
                <c:pt idx="13">
                  <c:v>2.7421905869845303E-2</c:v>
                </c:pt>
                <c:pt idx="14">
                  <c:v>2.9208000000000001E-2</c:v>
                </c:pt>
                <c:pt idx="15">
                  <c:v>2.98082E-2</c:v>
                </c:pt>
                <c:pt idx="16">
                  <c:v>2.4111827222343073E-2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9-40AB-98A2-AA4A55A7E4E6}"/>
            </c:ext>
          </c:extLst>
        </c:ser>
        <c:ser>
          <c:idx val="2"/>
          <c:order val="2"/>
          <c:tx>
            <c:v>Female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('T11-S4'!$AN$28:$AU$28,'T11-S4'!$AV$28:$BD$28)</c:f>
              <c:numCache>
                <c:formatCode>0.0%</c:formatCode>
                <c:ptCount val="17"/>
                <c:pt idx="0">
                  <c:v>9.7452302067862442E-2</c:v>
                </c:pt>
                <c:pt idx="1">
                  <c:v>9.1696096524273463E-2</c:v>
                </c:pt>
                <c:pt idx="2">
                  <c:v>9.2568977495595797E-2</c:v>
                </c:pt>
                <c:pt idx="3">
                  <c:v>9.4435879055198388E-2</c:v>
                </c:pt>
                <c:pt idx="4">
                  <c:v>9.9491872771679632E-2</c:v>
                </c:pt>
                <c:pt idx="5">
                  <c:v>0.1018520414731242</c:v>
                </c:pt>
                <c:pt idx="6">
                  <c:v>0.10039386575043996</c:v>
                </c:pt>
                <c:pt idx="7">
                  <c:v>0.10291652698625545</c:v>
                </c:pt>
                <c:pt idx="8">
                  <c:v>0.10614944285436408</c:v>
                </c:pt>
                <c:pt idx="9">
                  <c:v>0.10054114100434913</c:v>
                </c:pt>
                <c:pt idx="10">
                  <c:v>9.5968622234037917E-2</c:v>
                </c:pt>
                <c:pt idx="11">
                  <c:v>9.8785304041548977E-2</c:v>
                </c:pt>
                <c:pt idx="12">
                  <c:v>9.8774877478989706E-2</c:v>
                </c:pt>
                <c:pt idx="13">
                  <c:v>9.3070304688854785E-2</c:v>
                </c:pt>
                <c:pt idx="14">
                  <c:v>9.1170000000000001E-2</c:v>
                </c:pt>
                <c:pt idx="15">
                  <c:v>9.3597E-2</c:v>
                </c:pt>
                <c:pt idx="16">
                  <c:v>8.3425764130176883E-2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D9-40AB-98A2-AA4A55A7E4E6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('T11-S4'!$AN$38:$AU$38,'T11-S4'!$AV$38:$BD$38)</c:f>
              <c:numCache>
                <c:formatCode>0.0%</c:formatCode>
                <c:ptCount val="17"/>
                <c:pt idx="0">
                  <c:v>6.739625595392558E-2</c:v>
                </c:pt>
                <c:pt idx="1">
                  <c:v>6.4466481592608774E-2</c:v>
                </c:pt>
                <c:pt idx="2">
                  <c:v>6.6489970879430552E-2</c:v>
                </c:pt>
                <c:pt idx="3">
                  <c:v>6.9310318660684031E-2</c:v>
                </c:pt>
                <c:pt idx="4">
                  <c:v>6.9296696367926638E-2</c:v>
                </c:pt>
                <c:pt idx="5">
                  <c:v>6.5892504755252559E-2</c:v>
                </c:pt>
                <c:pt idx="6">
                  <c:v>6.5744009969223804E-2</c:v>
                </c:pt>
                <c:pt idx="7">
                  <c:v>6.9732226715991649E-2</c:v>
                </c:pt>
                <c:pt idx="8">
                  <c:v>7.2836316315561173E-2</c:v>
                </c:pt>
                <c:pt idx="9">
                  <c:v>7.0141657736309107E-2</c:v>
                </c:pt>
                <c:pt idx="10">
                  <c:v>6.8194754644843383E-2</c:v>
                </c:pt>
                <c:pt idx="11">
                  <c:v>7.1844349730919563E-2</c:v>
                </c:pt>
                <c:pt idx="12">
                  <c:v>7.1081221266663344E-2</c:v>
                </c:pt>
                <c:pt idx="13">
                  <c:v>6.4603543003222477E-2</c:v>
                </c:pt>
                <c:pt idx="14">
                  <c:v>6.5706000000000001E-2</c:v>
                </c:pt>
                <c:pt idx="15">
                  <c:v>6.8590999999999999E-2</c:v>
                </c:pt>
                <c:pt idx="16">
                  <c:v>5.8495564320098094E-2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D9-40AB-98A2-AA4A55A7E4E6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('T11-S4'!$AN$46:$AU$46,'T11-S4'!$AV$46:$BD$46)</c:f>
              <c:numCache>
                <c:formatCode>0.0%</c:formatCode>
                <c:ptCount val="17"/>
                <c:pt idx="0">
                  <c:v>5.6495846042459177E-2</c:v>
                </c:pt>
                <c:pt idx="1">
                  <c:v>5.2012458147987495E-2</c:v>
                </c:pt>
                <c:pt idx="2">
                  <c:v>5.5909354765762101E-2</c:v>
                </c:pt>
                <c:pt idx="3">
                  <c:v>5.6425160100779928E-2</c:v>
                </c:pt>
                <c:pt idx="4">
                  <c:v>5.7795813722586978E-2</c:v>
                </c:pt>
                <c:pt idx="5">
                  <c:v>6.2731797310314835E-2</c:v>
                </c:pt>
                <c:pt idx="6">
                  <c:v>6.2898519399113798E-2</c:v>
                </c:pt>
                <c:pt idx="7">
                  <c:v>6.9233293229793283E-2</c:v>
                </c:pt>
                <c:pt idx="8">
                  <c:v>6.9264069264069264E-2</c:v>
                </c:pt>
                <c:pt idx="9">
                  <c:v>5.569096173964351E-2</c:v>
                </c:pt>
                <c:pt idx="10">
                  <c:v>5.0668679912558627E-2</c:v>
                </c:pt>
                <c:pt idx="11">
                  <c:v>4.9086647459331445E-2</c:v>
                </c:pt>
                <c:pt idx="12">
                  <c:v>5.6888796682492582E-2</c:v>
                </c:pt>
                <c:pt idx="13">
                  <c:v>6.209341671770624E-2</c:v>
                </c:pt>
                <c:pt idx="14">
                  <c:v>5.8495999999999999E-2</c:v>
                </c:pt>
                <c:pt idx="15">
                  <c:v>5.9563999999999999E-2</c:v>
                </c:pt>
                <c:pt idx="16">
                  <c:v>5.413732613818785E-2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D9-40AB-98A2-AA4A55A7E4E6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('T11-S4'!$AN$4:$AU$4,'T11-S4'!$AV$4:$BD$4)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('T11-S4'!$AN$55:$AU$55,'T11-S4'!$AV$55:$BD$55)</c:f>
              <c:numCache>
                <c:formatCode>0.0%</c:formatCode>
                <c:ptCount val="17"/>
                <c:pt idx="0">
                  <c:v>4.6829644610610906E-2</c:v>
                </c:pt>
                <c:pt idx="1">
                  <c:v>3.6362146392527848E-2</c:v>
                </c:pt>
                <c:pt idx="2">
                  <c:v>3.4245528899054037E-2</c:v>
                </c:pt>
                <c:pt idx="3">
                  <c:v>3.9464879554992637E-2</c:v>
                </c:pt>
                <c:pt idx="4">
                  <c:v>3.2081960568616091E-2</c:v>
                </c:pt>
                <c:pt idx="5">
                  <c:v>2.8575999370987707E-2</c:v>
                </c:pt>
                <c:pt idx="6">
                  <c:v>2.6555618740356311E-2</c:v>
                </c:pt>
                <c:pt idx="7">
                  <c:v>2.6062978117772639E-2</c:v>
                </c:pt>
                <c:pt idx="8">
                  <c:v>2.9682875264270613E-2</c:v>
                </c:pt>
                <c:pt idx="9">
                  <c:v>2.1273743717594266E-2</c:v>
                </c:pt>
                <c:pt idx="10">
                  <c:v>2.0747948564263284E-2</c:v>
                </c:pt>
                <c:pt idx="11">
                  <c:v>2.2574148649963266E-2</c:v>
                </c:pt>
                <c:pt idx="12">
                  <c:v>1.9637869834782655E-2</c:v>
                </c:pt>
                <c:pt idx="13">
                  <c:v>2.5873231630159355E-2</c:v>
                </c:pt>
                <c:pt idx="14">
                  <c:v>3.0359000000000001E-2</c:v>
                </c:pt>
                <c:pt idx="15">
                  <c:v>3.3492000000000001E-2</c:v>
                </c:pt>
                <c:pt idx="16">
                  <c:v>2.9887089885629221E-2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D9-40AB-98A2-AA4A55A7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4027616"/>
        <c:axId val="574044016"/>
      </c:lineChart>
      <c:catAx>
        <c:axId val="5740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44016"/>
        <c:crosses val="autoZero"/>
        <c:auto val="1"/>
        <c:lblAlgn val="ctr"/>
        <c:lblOffset val="100"/>
        <c:noMultiLvlLbl val="0"/>
      </c:catAx>
      <c:valAx>
        <c:axId val="574044016"/>
        <c:scaling>
          <c:orientation val="minMax"/>
          <c:max val="0.11000000000000001"/>
          <c:min val="1.5000000000000003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276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3328958880139876E-3"/>
          <c:y val="0.93712780694079911"/>
          <c:w val="0.997667104111986"/>
          <c:h val="6.1345873432487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Percentage of Persons 15 Years &amp; Over Divorced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829517811888151E-2"/>
          <c:y val="5.1342592592592606E-2"/>
          <c:w val="0.93217794088978922"/>
          <c:h val="0.81703922426363373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('T11-S4'!$AN$4:$AU$4,'T11-S4'!$AV$4:$BC$4)</c:f>
              <c:strCache>
                <c:ptCount val="16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('T11-S4'!$AN$11:$AU$11,'T11-S4'!$AV$11:$BC$11)</c:f>
              <c:numCache>
                <c:formatCode>0.0%</c:formatCode>
                <c:ptCount val="16"/>
                <c:pt idx="0">
                  <c:v>7.6200704112985435E-2</c:v>
                </c:pt>
                <c:pt idx="1">
                  <c:v>7.5674471720474909E-2</c:v>
                </c:pt>
                <c:pt idx="2">
                  <c:v>7.8126624628030855E-2</c:v>
                </c:pt>
                <c:pt idx="3">
                  <c:v>7.3841462719039616E-2</c:v>
                </c:pt>
                <c:pt idx="4">
                  <c:v>6.7505671227730504E-2</c:v>
                </c:pt>
                <c:pt idx="5">
                  <c:v>7.0308019801064936E-2</c:v>
                </c:pt>
                <c:pt idx="6">
                  <c:v>7.2047568756239064E-2</c:v>
                </c:pt>
                <c:pt idx="7">
                  <c:v>7.2843050111472157E-2</c:v>
                </c:pt>
                <c:pt idx="8">
                  <c:v>7.562115834126916E-2</c:v>
                </c:pt>
                <c:pt idx="9">
                  <c:v>7.2091675470755845E-2</c:v>
                </c:pt>
                <c:pt idx="10">
                  <c:v>7.5444462054225794E-2</c:v>
                </c:pt>
                <c:pt idx="11">
                  <c:v>8.0462119232288604E-2</c:v>
                </c:pt>
                <c:pt idx="12">
                  <c:v>7.7519707904612059E-2</c:v>
                </c:pt>
                <c:pt idx="13">
                  <c:v>7.2549356334647777E-2</c:v>
                </c:pt>
                <c:pt idx="14">
                  <c:v>7.1165000000000006E-2</c:v>
                </c:pt>
                <c:pt idx="15">
                  <c:v>7.6997999999999997E-2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0-4B09-8472-574B0982B8B7}"/>
            </c:ext>
          </c:extLst>
        </c:ser>
        <c:ser>
          <c:idx val="1"/>
          <c:order val="1"/>
          <c:tx>
            <c:v>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('T11-S4'!$AN$21:$AU$21,'T11-S4'!$AV$21:$BC$21)</c:f>
              <c:numCache>
                <c:formatCode>0.0%</c:formatCode>
                <c:ptCount val="16"/>
                <c:pt idx="0">
                  <c:v>6.3291937212381008E-2</c:v>
                </c:pt>
                <c:pt idx="1">
                  <c:v>6.0229686725475247E-2</c:v>
                </c:pt>
                <c:pt idx="2">
                  <c:v>6.2724028569241988E-2</c:v>
                </c:pt>
                <c:pt idx="3">
                  <c:v>6.1031975019291453E-2</c:v>
                </c:pt>
                <c:pt idx="4">
                  <c:v>5.153626295105395E-2</c:v>
                </c:pt>
                <c:pt idx="5">
                  <c:v>5.9408378747491719E-2</c:v>
                </c:pt>
                <c:pt idx="6">
                  <c:v>5.9210131444691193E-2</c:v>
                </c:pt>
                <c:pt idx="7">
                  <c:v>5.7719837958027473E-2</c:v>
                </c:pt>
                <c:pt idx="8">
                  <c:v>6.1016236981902221E-2</c:v>
                </c:pt>
                <c:pt idx="9">
                  <c:v>5.7312124174450911E-2</c:v>
                </c:pt>
                <c:pt idx="10">
                  <c:v>6.6085322835281762E-2</c:v>
                </c:pt>
                <c:pt idx="11">
                  <c:v>7.0305234194413924E-2</c:v>
                </c:pt>
                <c:pt idx="12">
                  <c:v>6.3291682526306098E-2</c:v>
                </c:pt>
                <c:pt idx="13">
                  <c:v>5.839140022301844E-2</c:v>
                </c:pt>
                <c:pt idx="14">
                  <c:v>5.9149E-2</c:v>
                </c:pt>
                <c:pt idx="15">
                  <c:v>6.6014000000000003E-2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00-4B09-8472-574B0982B8B7}"/>
            </c:ext>
          </c:extLst>
        </c:ser>
        <c:ser>
          <c:idx val="2"/>
          <c:order val="2"/>
          <c:tx>
            <c:v>Female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('T11-S4'!$AN$29:$AU$29,'T11-S4'!$AV$29:$BC$29)</c:f>
              <c:numCache>
                <c:formatCode>0.0%</c:formatCode>
                <c:ptCount val="16"/>
                <c:pt idx="0">
                  <c:v>8.7884154004341367E-2</c:v>
                </c:pt>
                <c:pt idx="1">
                  <c:v>8.9893159128556194E-2</c:v>
                </c:pt>
                <c:pt idx="2">
                  <c:v>9.2356599484200913E-2</c:v>
                </c:pt>
                <c:pt idx="3">
                  <c:v>8.8802031897509279E-2</c:v>
                </c:pt>
                <c:pt idx="4">
                  <c:v>8.2563656270177699E-2</c:v>
                </c:pt>
                <c:pt idx="5">
                  <c:v>8.0603221139475739E-2</c:v>
                </c:pt>
                <c:pt idx="6">
                  <c:v>8.3996759686024755E-2</c:v>
                </c:pt>
                <c:pt idx="7">
                  <c:v>8.6713599284836296E-2</c:v>
                </c:pt>
                <c:pt idx="8">
                  <c:v>8.9143301747853398E-2</c:v>
                </c:pt>
                <c:pt idx="9">
                  <c:v>8.6031601441533351E-2</c:v>
                </c:pt>
                <c:pt idx="10">
                  <c:v>8.4075131540256073E-2</c:v>
                </c:pt>
                <c:pt idx="11">
                  <c:v>8.9688012953563725E-2</c:v>
                </c:pt>
                <c:pt idx="12">
                  <c:v>9.0710349491010187E-2</c:v>
                </c:pt>
                <c:pt idx="13">
                  <c:v>8.5873832631065877E-2</c:v>
                </c:pt>
                <c:pt idx="14">
                  <c:v>8.2479999999999998E-2</c:v>
                </c:pt>
                <c:pt idx="15">
                  <c:v>8.7262999999999993E-2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0-4B09-8472-574B0982B8B7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('T11-S4'!$AN$39:$AU$39,'T11-S4'!$AV$39:$BC$39)</c:f>
              <c:numCache>
                <c:formatCode>0.0%</c:formatCode>
                <c:ptCount val="16"/>
                <c:pt idx="0">
                  <c:v>7.8602627436899913E-2</c:v>
                </c:pt>
                <c:pt idx="1">
                  <c:v>7.7729935552909274E-2</c:v>
                </c:pt>
                <c:pt idx="2">
                  <c:v>7.9699663746810576E-2</c:v>
                </c:pt>
                <c:pt idx="3">
                  <c:v>7.6847431216195181E-2</c:v>
                </c:pt>
                <c:pt idx="4">
                  <c:v>7.0102418376194034E-2</c:v>
                </c:pt>
                <c:pt idx="5">
                  <c:v>7.3322258002010435E-2</c:v>
                </c:pt>
                <c:pt idx="6">
                  <c:v>7.5694352661291847E-2</c:v>
                </c:pt>
                <c:pt idx="7">
                  <c:v>7.8472714726572232E-2</c:v>
                </c:pt>
                <c:pt idx="8">
                  <c:v>7.9229768213794016E-2</c:v>
                </c:pt>
                <c:pt idx="9">
                  <c:v>7.2247219872415558E-2</c:v>
                </c:pt>
                <c:pt idx="10">
                  <c:v>7.524016690897592E-2</c:v>
                </c:pt>
                <c:pt idx="11">
                  <c:v>8.2287696578711142E-2</c:v>
                </c:pt>
                <c:pt idx="12">
                  <c:v>8.2830572770671934E-2</c:v>
                </c:pt>
                <c:pt idx="13">
                  <c:v>7.7182738673379242E-2</c:v>
                </c:pt>
                <c:pt idx="14">
                  <c:v>7.6754000000000003E-2</c:v>
                </c:pt>
                <c:pt idx="15">
                  <c:v>8.5581000000000004E-2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00-4B09-8472-574B0982B8B7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('T11-S4'!$AN$47:$AU$47,'T11-S4'!$AV$47:$BC$47)</c:f>
              <c:numCache>
                <c:formatCode>0.0%</c:formatCode>
                <c:ptCount val="16"/>
                <c:pt idx="0">
                  <c:v>7.8907681915700231E-2</c:v>
                </c:pt>
                <c:pt idx="1">
                  <c:v>8.5357363257845098E-2</c:v>
                </c:pt>
                <c:pt idx="2">
                  <c:v>9.2097697410782678E-2</c:v>
                </c:pt>
                <c:pt idx="3">
                  <c:v>8.2689561033593498E-2</c:v>
                </c:pt>
                <c:pt idx="4">
                  <c:v>6.6179079805417373E-2</c:v>
                </c:pt>
                <c:pt idx="5">
                  <c:v>7.656942888788848E-2</c:v>
                </c:pt>
                <c:pt idx="6">
                  <c:v>8.4080838646925324E-2</c:v>
                </c:pt>
                <c:pt idx="7">
                  <c:v>7.5795690692332926E-2</c:v>
                </c:pt>
                <c:pt idx="8">
                  <c:v>8.4632034632034628E-2</c:v>
                </c:pt>
                <c:pt idx="9">
                  <c:v>9.6353303403498042E-2</c:v>
                </c:pt>
                <c:pt idx="10">
                  <c:v>0.10773047567694555</c:v>
                </c:pt>
                <c:pt idx="11">
                  <c:v>0.1022436768682624</c:v>
                </c:pt>
                <c:pt idx="12">
                  <c:v>8.334163360446023E-2</c:v>
                </c:pt>
                <c:pt idx="13">
                  <c:v>8.0385667369319402E-2</c:v>
                </c:pt>
                <c:pt idx="14">
                  <c:v>7.5412999999999994E-2</c:v>
                </c:pt>
                <c:pt idx="15">
                  <c:v>7.1459999999999996E-2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00-4B09-8472-574B0982B8B7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('T11-S4'!$AN$56:$AU$56,'T11-S4'!$AV$56:$BC$56)</c:f>
              <c:numCache>
                <c:formatCode>0.0%</c:formatCode>
                <c:ptCount val="16"/>
                <c:pt idx="0">
                  <c:v>7.7445494716685867E-2</c:v>
                </c:pt>
                <c:pt idx="1">
                  <c:v>6.7128688801776443E-2</c:v>
                </c:pt>
                <c:pt idx="2">
                  <c:v>6.689475437703446E-2</c:v>
                </c:pt>
                <c:pt idx="3">
                  <c:v>8.0327690528135057E-2</c:v>
                </c:pt>
                <c:pt idx="4">
                  <c:v>8.1018676952796895E-2</c:v>
                </c:pt>
                <c:pt idx="5">
                  <c:v>7.7701691388144492E-2</c:v>
                </c:pt>
                <c:pt idx="6">
                  <c:v>7.9574564055781311E-2</c:v>
                </c:pt>
                <c:pt idx="7">
                  <c:v>8.8507383027930972E-2</c:v>
                </c:pt>
                <c:pt idx="8">
                  <c:v>9.5391120507399577E-2</c:v>
                </c:pt>
                <c:pt idx="9">
                  <c:v>7.4858131487477692E-2</c:v>
                </c:pt>
                <c:pt idx="10">
                  <c:v>6.5169759433884603E-2</c:v>
                </c:pt>
                <c:pt idx="11">
                  <c:v>6.555836760633231E-2</c:v>
                </c:pt>
                <c:pt idx="12">
                  <c:v>7.2877203559398043E-2</c:v>
                </c:pt>
                <c:pt idx="13">
                  <c:v>7.5314604538509938E-2</c:v>
                </c:pt>
                <c:pt idx="14">
                  <c:v>6.8746000000000002E-2</c:v>
                </c:pt>
                <c:pt idx="15">
                  <c:v>8.4136000000000002E-2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00-4B09-8472-574B0982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14051816"/>
        <c:axId val="614018032"/>
      </c:lineChart>
      <c:catAx>
        <c:axId val="6140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018032"/>
        <c:crosses val="autoZero"/>
        <c:auto val="1"/>
        <c:lblAlgn val="ctr"/>
        <c:lblOffset val="100"/>
        <c:noMultiLvlLbl val="0"/>
      </c:catAx>
      <c:valAx>
        <c:axId val="614018032"/>
        <c:scaling>
          <c:orientation val="minMax"/>
          <c:max val="0.11000000000000001"/>
          <c:min val="4.9000000000000009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0518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3028797934163422E-4"/>
          <c:y val="0.93249817731116946"/>
          <c:w val="0.99956971202065836"/>
          <c:h val="6.5975503062117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Percentage of Persons 15 Years &amp; Over</a:t>
            </a:r>
            <a:r>
              <a:rPr lang="en-US" baseline="0"/>
              <a:t> Separated</a:t>
            </a:r>
            <a:endParaRPr lang="en-US"/>
          </a:p>
        </c:rich>
      </c:tx>
      <c:layout>
        <c:manualLayout>
          <c:xMode val="edge"/>
          <c:yMode val="edge"/>
          <c:x val="0.3178493449781659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329917821408E-2"/>
          <c:y val="2.5428331875182269E-2"/>
          <c:w val="0.94588218776146449"/>
          <c:h val="0.8348344998541849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('T11-S4'!$AN$4:$AU$4,'T11-S4'!$AV$4:$BC$4)</c:f>
              <c:strCache>
                <c:ptCount val="16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('T11-S4'!$AN$12:$AU$12,'T11-S4'!$AV$12:$BC$12)</c:f>
              <c:numCache>
                <c:formatCode>0.0%</c:formatCode>
                <c:ptCount val="16"/>
                <c:pt idx="0">
                  <c:v>2.3599285592270623E-2</c:v>
                </c:pt>
                <c:pt idx="1">
                  <c:v>2.1409478290674831E-2</c:v>
                </c:pt>
                <c:pt idx="2">
                  <c:v>1.815147909743867E-2</c:v>
                </c:pt>
                <c:pt idx="3">
                  <c:v>2.0924432054469439E-2</c:v>
                </c:pt>
                <c:pt idx="4">
                  <c:v>2.3392911326561575E-2</c:v>
                </c:pt>
                <c:pt idx="5">
                  <c:v>2.2387192564555534E-2</c:v>
                </c:pt>
                <c:pt idx="6">
                  <c:v>2.2569117923641149E-2</c:v>
                </c:pt>
                <c:pt idx="7">
                  <c:v>2.2105002404301514E-2</c:v>
                </c:pt>
                <c:pt idx="8">
                  <c:v>2.2335728508354254E-2</c:v>
                </c:pt>
                <c:pt idx="9">
                  <c:v>2.1187214758384351E-2</c:v>
                </c:pt>
                <c:pt idx="10">
                  <c:v>2.0039044905571818E-2</c:v>
                </c:pt>
                <c:pt idx="11">
                  <c:v>2.205638654948644E-2</c:v>
                </c:pt>
                <c:pt idx="12">
                  <c:v>2.0920732083311199E-2</c:v>
                </c:pt>
                <c:pt idx="13">
                  <c:v>1.8323960099998385E-2</c:v>
                </c:pt>
                <c:pt idx="14">
                  <c:v>2.0497000000000001E-2</c:v>
                </c:pt>
                <c:pt idx="15">
                  <c:v>2.0421999999999999E-2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0-4391-BBDD-4094386B1996}"/>
            </c:ext>
          </c:extLst>
        </c:ser>
        <c:ser>
          <c:idx val="1"/>
          <c:order val="1"/>
          <c:tx>
            <c:v>Males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('T11-S4'!$AN$22:$AU$22,'T11-S4'!$AV$22:$BC$22)</c:f>
              <c:numCache>
                <c:formatCode>0.0%</c:formatCode>
                <c:ptCount val="16"/>
                <c:pt idx="0">
                  <c:v>1.9384731765744186E-2</c:v>
                </c:pt>
                <c:pt idx="1">
                  <c:v>1.9336996264166382E-2</c:v>
                </c:pt>
                <c:pt idx="2">
                  <c:v>1.7363540113332576E-2</c:v>
                </c:pt>
                <c:pt idx="3">
                  <c:v>1.8192210357357165E-2</c:v>
                </c:pt>
                <c:pt idx="4">
                  <c:v>1.7833750148862688E-2</c:v>
                </c:pt>
                <c:pt idx="5">
                  <c:v>1.8027841716675846E-2</c:v>
                </c:pt>
                <c:pt idx="6">
                  <c:v>1.8006122081507713E-2</c:v>
                </c:pt>
                <c:pt idx="7">
                  <c:v>2.1047181017940363E-2</c:v>
                </c:pt>
                <c:pt idx="8">
                  <c:v>2.5090789039286892E-2</c:v>
                </c:pt>
                <c:pt idx="9">
                  <c:v>2.0743424542914911E-2</c:v>
                </c:pt>
                <c:pt idx="10">
                  <c:v>1.8482527546933466E-2</c:v>
                </c:pt>
                <c:pt idx="11">
                  <c:v>2.0144583439498345E-2</c:v>
                </c:pt>
                <c:pt idx="12">
                  <c:v>1.6867397140781677E-2</c:v>
                </c:pt>
                <c:pt idx="13">
                  <c:v>1.5209647989777447E-2</c:v>
                </c:pt>
                <c:pt idx="14">
                  <c:v>1.7406999999999999E-2</c:v>
                </c:pt>
                <c:pt idx="15">
                  <c:v>1.7016E-2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0-4391-BBDD-4094386B1996}"/>
            </c:ext>
          </c:extLst>
        </c:ser>
        <c:ser>
          <c:idx val="2"/>
          <c:order val="2"/>
          <c:tx>
            <c:v>Females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('T11-S4'!$AN$30:$AU$30,'T11-S4'!$AV$30:$BC$30)</c:f>
              <c:numCache>
                <c:formatCode>0.0%</c:formatCode>
                <c:ptCount val="16"/>
                <c:pt idx="0">
                  <c:v>2.7419170570090256E-2</c:v>
                </c:pt>
                <c:pt idx="1">
                  <c:v>2.3317434542790404E-2</c:v>
                </c:pt>
                <c:pt idx="2">
                  <c:v>1.8879431183517557E-2</c:v>
                </c:pt>
                <c:pt idx="3">
                  <c:v>2.4240756987071822E-2</c:v>
                </c:pt>
                <c:pt idx="4">
                  <c:v>2.8606720754611042E-2</c:v>
                </c:pt>
                <c:pt idx="5">
                  <c:v>2.650479556295704E-2</c:v>
                </c:pt>
                <c:pt idx="6">
                  <c:v>2.6816391519316182E-2</c:v>
                </c:pt>
                <c:pt idx="7">
                  <c:v>2.307520393340038E-2</c:v>
                </c:pt>
                <c:pt idx="8">
                  <c:v>1.9784922333064718E-2</c:v>
                </c:pt>
                <c:pt idx="9">
                  <c:v>2.1605793281248308E-2</c:v>
                </c:pt>
                <c:pt idx="10">
                  <c:v>2.1474410547369826E-2</c:v>
                </c:pt>
                <c:pt idx="11">
                  <c:v>2.3792951671862201E-2</c:v>
                </c:pt>
                <c:pt idx="12">
                  <c:v>2.4678533115775784E-2</c:v>
                </c:pt>
                <c:pt idx="13">
                  <c:v>2.1254932449757367E-2</c:v>
                </c:pt>
                <c:pt idx="14">
                  <c:v>2.3407000000000001E-2</c:v>
                </c:pt>
                <c:pt idx="15">
                  <c:v>2.3605000000000001E-2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0-4391-BBDD-4094386B1996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('T11-S4'!$AN$40:$AU$40,'T11-S4'!$AV$40:$BC$40)</c:f>
              <c:numCache>
                <c:formatCode>0.0%</c:formatCode>
                <c:ptCount val="16"/>
                <c:pt idx="0">
                  <c:v>1.9402427301443689E-2</c:v>
                </c:pt>
                <c:pt idx="1">
                  <c:v>1.7279309897188594E-2</c:v>
                </c:pt>
                <c:pt idx="2">
                  <c:v>1.5400453088650309E-2</c:v>
                </c:pt>
                <c:pt idx="3">
                  <c:v>2.0219936477001883E-2</c:v>
                </c:pt>
                <c:pt idx="4">
                  <c:v>2.1451145138010684E-2</c:v>
                </c:pt>
                <c:pt idx="5">
                  <c:v>1.9191353186866534E-2</c:v>
                </c:pt>
                <c:pt idx="6">
                  <c:v>1.973075543303816E-2</c:v>
                </c:pt>
                <c:pt idx="7">
                  <c:v>2.0375304287822738E-2</c:v>
                </c:pt>
                <c:pt idx="8">
                  <c:v>1.9934745299209775E-2</c:v>
                </c:pt>
                <c:pt idx="9">
                  <c:v>1.8395894120608009E-2</c:v>
                </c:pt>
                <c:pt idx="10">
                  <c:v>1.8331519722999873E-2</c:v>
                </c:pt>
                <c:pt idx="11">
                  <c:v>2.0920388836323849E-2</c:v>
                </c:pt>
                <c:pt idx="12">
                  <c:v>2.1060115179707746E-2</c:v>
                </c:pt>
                <c:pt idx="13">
                  <c:v>1.8548206828472497E-2</c:v>
                </c:pt>
                <c:pt idx="14">
                  <c:v>1.7357999999999998E-2</c:v>
                </c:pt>
                <c:pt idx="15">
                  <c:v>1.7228E-2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D0-4391-BBDD-4094386B1996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('T11-S4'!$AN$48:$AU$48,'T11-S4'!$AV$48:$BC$48)</c:f>
              <c:numCache>
                <c:formatCode>0.0%</c:formatCode>
                <c:ptCount val="16"/>
                <c:pt idx="0">
                  <c:v>5.1174738557325211E-2</c:v>
                </c:pt>
                <c:pt idx="1">
                  <c:v>5.0927039456517116E-2</c:v>
                </c:pt>
                <c:pt idx="2">
                  <c:v>4.0629020024253983E-2</c:v>
                </c:pt>
                <c:pt idx="3">
                  <c:v>3.6368856827320745E-2</c:v>
                </c:pt>
                <c:pt idx="4">
                  <c:v>4.2048996813201935E-2</c:v>
                </c:pt>
                <c:pt idx="5">
                  <c:v>4.4849308936827023E-2</c:v>
                </c:pt>
                <c:pt idx="6">
                  <c:v>4.4418026585972117E-2</c:v>
                </c:pt>
                <c:pt idx="7">
                  <c:v>3.8827518320026247E-2</c:v>
                </c:pt>
                <c:pt idx="8">
                  <c:v>3.7987012987012986E-2</c:v>
                </c:pt>
                <c:pt idx="9">
                  <c:v>3.7603663162007007E-2</c:v>
                </c:pt>
                <c:pt idx="10">
                  <c:v>3.1309447395652605E-2</c:v>
                </c:pt>
                <c:pt idx="11">
                  <c:v>3.4408978373299204E-2</c:v>
                </c:pt>
                <c:pt idx="12">
                  <c:v>3.3951953612549761E-2</c:v>
                </c:pt>
                <c:pt idx="13">
                  <c:v>2.9093174524657466E-2</c:v>
                </c:pt>
                <c:pt idx="14">
                  <c:v>3.7645999999999999E-2</c:v>
                </c:pt>
                <c:pt idx="15">
                  <c:v>3.3536999999999997E-2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0-4391-BBDD-4094386B1996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('T11-S4'!$AN$57:$AU$57,'T11-S4'!$AV$57:$BC$57)</c:f>
              <c:numCache>
                <c:formatCode>0.0%</c:formatCode>
                <c:ptCount val="16"/>
                <c:pt idx="0">
                  <c:v>4.976441692974902E-2</c:v>
                </c:pt>
                <c:pt idx="1">
                  <c:v>4.1805759563866708E-2</c:v>
                </c:pt>
                <c:pt idx="2">
                  <c:v>3.7866478916102078E-2</c:v>
                </c:pt>
                <c:pt idx="3">
                  <c:v>5.5280562308449729E-2</c:v>
                </c:pt>
                <c:pt idx="4">
                  <c:v>5.454757267297454E-2</c:v>
                </c:pt>
                <c:pt idx="5">
                  <c:v>4.3175750011214056E-2</c:v>
                </c:pt>
                <c:pt idx="6">
                  <c:v>4.2644656197248249E-2</c:v>
                </c:pt>
                <c:pt idx="7">
                  <c:v>4.5454545454545456E-2</c:v>
                </c:pt>
                <c:pt idx="8">
                  <c:v>4.7272727272727272E-2</c:v>
                </c:pt>
                <c:pt idx="9">
                  <c:v>3.8096084506568144E-2</c:v>
                </c:pt>
                <c:pt idx="10">
                  <c:v>3.7577077750901834E-2</c:v>
                </c:pt>
                <c:pt idx="11">
                  <c:v>4.9296104953011843E-2</c:v>
                </c:pt>
                <c:pt idx="12">
                  <c:v>4.083561483823684E-2</c:v>
                </c:pt>
                <c:pt idx="13">
                  <c:v>3.0916743451182976E-2</c:v>
                </c:pt>
                <c:pt idx="14">
                  <c:v>4.6018999999999997E-2</c:v>
                </c:pt>
                <c:pt idx="15">
                  <c:v>4.8446999999999997E-2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D0-4391-BBDD-4094386B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06433000"/>
        <c:axId val="606435952"/>
      </c:lineChart>
      <c:catAx>
        <c:axId val="60643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435952"/>
        <c:crosses val="autoZero"/>
        <c:auto val="1"/>
        <c:lblAlgn val="ctr"/>
        <c:lblOffset val="100"/>
        <c:noMultiLvlLbl val="0"/>
      </c:catAx>
      <c:valAx>
        <c:axId val="606435952"/>
        <c:scaling>
          <c:orientation val="minMax"/>
          <c:max val="5.6000000000000008E-2"/>
          <c:min val="1.4000000000000002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4330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556463254593176"/>
          <c:w val="1"/>
          <c:h val="4.2827354913969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Percentage of Persons 15 Years &amp; Over Never Married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46442916614648E-2"/>
          <c:y val="9.3009259259259264E-2"/>
          <c:w val="0.93197694191998548"/>
          <c:h val="0.75813283756197147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('T11-S4'!$AN$4:$AU$4,'T11-S4'!$AV$4:$BC$4)</c:f>
              <c:strCache>
                <c:ptCount val="16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('T11-S4'!$AN$13:$AU$13,'T11-S4'!$AV$13:$BC$13)</c:f>
              <c:numCache>
                <c:formatCode>0.0%</c:formatCode>
                <c:ptCount val="16"/>
                <c:pt idx="0">
                  <c:v>0.28661123750078005</c:v>
                </c:pt>
                <c:pt idx="1">
                  <c:v>0.29153003142533135</c:v>
                </c:pt>
                <c:pt idx="2">
                  <c:v>0.30346419961790316</c:v>
                </c:pt>
                <c:pt idx="3">
                  <c:v>0.30493350811877901</c:v>
                </c:pt>
                <c:pt idx="4">
                  <c:v>0.31146238206013671</c:v>
                </c:pt>
                <c:pt idx="5">
                  <c:v>0.30961909849483021</c:v>
                </c:pt>
                <c:pt idx="6">
                  <c:v>0.31682122654475486</c:v>
                </c:pt>
                <c:pt idx="7">
                  <c:v>0.3264312879770353</c:v>
                </c:pt>
                <c:pt idx="8">
                  <c:v>0.32500793582085247</c:v>
                </c:pt>
                <c:pt idx="9">
                  <c:v>0.34398822423214759</c:v>
                </c:pt>
                <c:pt idx="10">
                  <c:v>0.3550671530722615</c:v>
                </c:pt>
                <c:pt idx="11">
                  <c:v>0.33997937594315703</c:v>
                </c:pt>
                <c:pt idx="12">
                  <c:v>0.3332888487926417</c:v>
                </c:pt>
                <c:pt idx="13">
                  <c:v>0.34618717173592378</c:v>
                </c:pt>
                <c:pt idx="14">
                  <c:v>0.33867900000000001</c:v>
                </c:pt>
                <c:pt idx="15">
                  <c:v>0.31757600000000002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C-4044-A97E-FA4A4C747ADE}"/>
            </c:ext>
          </c:extLst>
        </c:ser>
        <c:ser>
          <c:idx val="1"/>
          <c:order val="1"/>
          <c:tx>
            <c:v>Males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('T11-S4'!$AN$23:$AU$23,'T11-S4'!$AV$23:$BC$23)</c:f>
              <c:numCache>
                <c:formatCode>0.0%</c:formatCode>
                <c:ptCount val="16"/>
                <c:pt idx="0">
                  <c:v>0.30984050936140706</c:v>
                </c:pt>
                <c:pt idx="1">
                  <c:v>0.31654426969868238</c:v>
                </c:pt>
                <c:pt idx="2">
                  <c:v>0.33103528064752175</c:v>
                </c:pt>
                <c:pt idx="3">
                  <c:v>0.33781987851091461</c:v>
                </c:pt>
                <c:pt idx="4">
                  <c:v>0.35238775753245205</c:v>
                </c:pt>
                <c:pt idx="5">
                  <c:v>0.34884950642646134</c:v>
                </c:pt>
                <c:pt idx="6">
                  <c:v>0.35496068663345537</c:v>
                </c:pt>
                <c:pt idx="7">
                  <c:v>0.35953824129633577</c:v>
                </c:pt>
                <c:pt idx="8">
                  <c:v>0.35715357603769621</c:v>
                </c:pt>
                <c:pt idx="9">
                  <c:v>0.38028502567864381</c:v>
                </c:pt>
                <c:pt idx="10">
                  <c:v>0.38246867557628245</c:v>
                </c:pt>
                <c:pt idx="11">
                  <c:v>0.3683695161071831</c:v>
                </c:pt>
                <c:pt idx="12">
                  <c:v>0.36843746237247582</c:v>
                </c:pt>
                <c:pt idx="13">
                  <c:v>0.37952980514050866</c:v>
                </c:pt>
                <c:pt idx="14">
                  <c:v>0.36602600000000002</c:v>
                </c:pt>
                <c:pt idx="15">
                  <c:v>0.3422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C-4044-A97E-FA4A4C747ADE}"/>
            </c:ext>
          </c:extLst>
        </c:ser>
        <c:ser>
          <c:idx val="2"/>
          <c:order val="2"/>
          <c:tx>
            <c:v>Females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('T11-S4'!$AN$31:$AU$31,'T11-S4'!$AV$31:$BC$31)</c:f>
              <c:numCache>
                <c:formatCode>0.0%</c:formatCode>
                <c:ptCount val="16"/>
                <c:pt idx="0">
                  <c:v>0.2655375299897178</c:v>
                </c:pt>
                <c:pt idx="1">
                  <c:v>0.26850157004660763</c:v>
                </c:pt>
                <c:pt idx="2">
                  <c:v>0.27799214358842433</c:v>
                </c:pt>
                <c:pt idx="3">
                  <c:v>0.27569330192238217</c:v>
                </c:pt>
                <c:pt idx="4">
                  <c:v>0.27287274360629965</c:v>
                </c:pt>
                <c:pt idx="5">
                  <c:v>0.27256421326888736</c:v>
                </c:pt>
                <c:pt idx="6">
                  <c:v>0.28134864102349227</c:v>
                </c:pt>
                <c:pt idx="7">
                  <c:v>0.29606659962006926</c:v>
                </c:pt>
                <c:pt idx="8">
                  <c:v>0.29524550532136606</c:v>
                </c:pt>
                <c:pt idx="9">
                  <c:v>0.30975344166018498</c:v>
                </c:pt>
                <c:pt idx="10">
                  <c:v>0.32979843138602644</c:v>
                </c:pt>
                <c:pt idx="11">
                  <c:v>0.31419150742749485</c:v>
                </c:pt>
                <c:pt idx="12">
                  <c:v>0.30070296623599985</c:v>
                </c:pt>
                <c:pt idx="13">
                  <c:v>0.31480742137106554</c:v>
                </c:pt>
                <c:pt idx="14">
                  <c:v>0.31292900000000001</c:v>
                </c:pt>
                <c:pt idx="15">
                  <c:v>0.29456199999999999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C-4044-A97E-FA4A4C747ADE}"/>
            </c:ext>
          </c:extLst>
        </c:ser>
        <c:ser>
          <c:idx val="3"/>
          <c:order val="3"/>
          <c:tx>
            <c:v>White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('T11-S4'!$AN$41:$AU$41,'T11-S4'!$AV$41:$BC$41)</c:f>
              <c:numCache>
                <c:formatCode>0.0%</c:formatCode>
                <c:ptCount val="16"/>
                <c:pt idx="0">
                  <c:v>0.26165509698171868</c:v>
                </c:pt>
                <c:pt idx="1">
                  <c:v>0.26334867805844669</c:v>
                </c:pt>
                <c:pt idx="2">
                  <c:v>0.27577374384849768</c:v>
                </c:pt>
                <c:pt idx="3">
                  <c:v>0.27699904545545445</c:v>
                </c:pt>
                <c:pt idx="4">
                  <c:v>0.28375181904273516</c:v>
                </c:pt>
                <c:pt idx="5">
                  <c:v>0.28760735525517545</c:v>
                </c:pt>
                <c:pt idx="6">
                  <c:v>0.29581028265015197</c:v>
                </c:pt>
                <c:pt idx="7">
                  <c:v>0.29832665657165858</c:v>
                </c:pt>
                <c:pt idx="8">
                  <c:v>0.29828564962374821</c:v>
                </c:pt>
                <c:pt idx="9">
                  <c:v>0.31881817803799906</c:v>
                </c:pt>
                <c:pt idx="10">
                  <c:v>0.32495930892750252</c:v>
                </c:pt>
                <c:pt idx="11">
                  <c:v>0.31086726158657818</c:v>
                </c:pt>
                <c:pt idx="12">
                  <c:v>0.310306324435626</c:v>
                </c:pt>
                <c:pt idx="13">
                  <c:v>0.32287383667906056</c:v>
                </c:pt>
                <c:pt idx="14">
                  <c:v>0.31596400000000002</c:v>
                </c:pt>
                <c:pt idx="15">
                  <c:v>0.29286699999999999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C-4044-A97E-FA4A4C747ADE}"/>
            </c:ext>
          </c:extLst>
        </c:ser>
        <c:ser>
          <c:idx val="4"/>
          <c:order val="4"/>
          <c:tx>
            <c:v>Blacks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('T11-S4'!$AN$49:$AU$49,'T11-S4'!$AV$49:$BC$49)</c:f>
              <c:numCache>
                <c:formatCode>0.0%</c:formatCode>
                <c:ptCount val="16"/>
                <c:pt idx="0">
                  <c:v>0.44851496035992106</c:v>
                </c:pt>
                <c:pt idx="1">
                  <c:v>0.48129636174311796</c:v>
                </c:pt>
                <c:pt idx="2">
                  <c:v>0.48941873655694795</c:v>
                </c:pt>
                <c:pt idx="3">
                  <c:v>0.49741847052151339</c:v>
                </c:pt>
                <c:pt idx="4">
                  <c:v>0.49984467987184139</c:v>
                </c:pt>
                <c:pt idx="5">
                  <c:v>0.47355025180162774</c:v>
                </c:pt>
                <c:pt idx="6">
                  <c:v>0.47249540689506109</c:v>
                </c:pt>
                <c:pt idx="7">
                  <c:v>0.51307010827955812</c:v>
                </c:pt>
                <c:pt idx="8">
                  <c:v>0.50898268398268398</c:v>
                </c:pt>
                <c:pt idx="9">
                  <c:v>0.51895145885550964</c:v>
                </c:pt>
                <c:pt idx="10">
                  <c:v>0.54766268301811394</c:v>
                </c:pt>
                <c:pt idx="11">
                  <c:v>0.53209775467350995</c:v>
                </c:pt>
                <c:pt idx="12">
                  <c:v>0.48568977905959826</c:v>
                </c:pt>
                <c:pt idx="13">
                  <c:v>0.49722557157621394</c:v>
                </c:pt>
                <c:pt idx="14">
                  <c:v>0.49456800000000001</c:v>
                </c:pt>
                <c:pt idx="15">
                  <c:v>0.47063500000000003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C-4044-A97E-FA4A4C747ADE}"/>
            </c:ext>
          </c:extLst>
        </c:ser>
        <c:ser>
          <c:idx val="5"/>
          <c:order val="5"/>
          <c:tx>
            <c:v>Hispanics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('T11-S4'!$AN$58:$AU$58,'T11-S4'!$AV$58:$BC$58)</c:f>
              <c:numCache>
                <c:formatCode>0.0%</c:formatCode>
                <c:ptCount val="16"/>
                <c:pt idx="0">
                  <c:v>0.34922945988894005</c:v>
                </c:pt>
                <c:pt idx="1">
                  <c:v>0.34465452154850645</c:v>
                </c:pt>
                <c:pt idx="2">
                  <c:v>0.36032509371298876</c:v>
                </c:pt>
                <c:pt idx="3">
                  <c:v>0.37862952768330327</c:v>
                </c:pt>
                <c:pt idx="4">
                  <c:v>0.39103487266112796</c:v>
                </c:pt>
                <c:pt idx="5">
                  <c:v>0.38113640404425453</c:v>
                </c:pt>
                <c:pt idx="6">
                  <c:v>0.38416694783720434</c:v>
                </c:pt>
                <c:pt idx="7">
                  <c:v>0.40722291407222916</c:v>
                </c:pt>
                <c:pt idx="8">
                  <c:v>0.43221987315010568</c:v>
                </c:pt>
                <c:pt idx="9">
                  <c:v>0.4742818176971994</c:v>
                </c:pt>
                <c:pt idx="10">
                  <c:v>0.46188139187673488</c:v>
                </c:pt>
                <c:pt idx="11">
                  <c:v>0.41746870492207733</c:v>
                </c:pt>
                <c:pt idx="12">
                  <c:v>0.41491145824595638</c:v>
                </c:pt>
                <c:pt idx="13">
                  <c:v>0.42890795162439982</c:v>
                </c:pt>
                <c:pt idx="14">
                  <c:v>0.42276200000000003</c:v>
                </c:pt>
                <c:pt idx="15">
                  <c:v>0.38801999999999998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C-4044-A97E-FA4A4C74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643464"/>
        <c:axId val="607643136"/>
      </c:lineChart>
      <c:catAx>
        <c:axId val="60764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43136"/>
        <c:crosses val="autoZero"/>
        <c:auto val="1"/>
        <c:lblAlgn val="ctr"/>
        <c:lblOffset val="100"/>
        <c:noMultiLvlLbl val="0"/>
      </c:catAx>
      <c:valAx>
        <c:axId val="607643136"/>
        <c:scaling>
          <c:orientation val="minMax"/>
          <c:max val="0.55000000000000004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4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2786854768153981"/>
          <c:w val="1"/>
          <c:h val="7.0605132691746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Median Family Income with Number of Members in Labor Force (in 2017 $) </a:t>
            </a:r>
            <a:endParaRPr lang="en-US"/>
          </a:p>
        </c:rich>
      </c:tx>
      <c:layout>
        <c:manualLayout>
          <c:xMode val="edge"/>
          <c:yMode val="edge"/>
          <c:x val="0.225598106702561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337015778253587E-2"/>
          <c:y val="6.2465368912219307E-2"/>
          <c:w val="0.93266298422174643"/>
          <c:h val="0.74931321084864388"/>
        </c:manualLayout>
      </c:layout>
      <c:lineChart>
        <c:grouping val="standard"/>
        <c:varyColors val="0"/>
        <c:ser>
          <c:idx val="0"/>
          <c:order val="0"/>
          <c:tx>
            <c:v>0 Labor Force in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('T11-S4'!$BG$4,'T11-S4'!$BI$4,'T11-S4'!$BK$4,'T11-S4'!$BM$4,'T11-S4'!$BO$4,'T11-S4'!$BQ$4,'T11-S4'!$BS$4,'T11-S4'!$BU$4,'T11-S4'!$BW$4,'T11-S4'!$BY$4,'T11-S4'!$CA$4,'T11-S4'!$CC$4,'T11-S4'!$CE$4,'T11-S4'!$CG$4,'T11-S4'!$CI$4,'T11-S4'!$CK$4)</c15:sqref>
                  </c15:fullRef>
                </c:ext>
              </c:extLst>
              <c:f>('T11-S4'!$BG$4,'T11-S4'!$BI$4,'T11-S4'!$BK$4,'T11-S4'!$BM$4,'T11-S4'!$BO$4,'T11-S4'!$BQ$4,'T11-S4'!$BS$4,'T11-S4'!$BW$4,'T11-S4'!$BY$4,'T11-S4'!$CA$4,'T11-S4'!$CC$4,'T11-S4'!$CE$4,'T11-S4'!$CG$4,'T11-S4'!$CI$4,'T11-S4'!$CK$4)</c:f>
              <c:strCache>
                <c:ptCount val="15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('T11-S4'!$BH$19,'T11-S4'!$BJ$19,'T11-S4'!$BL$19,'T11-S4'!$BN$19,'T11-S4'!$BP$19,'T11-S4'!$BR$19,'T11-S4'!$BT$19,'T11-S4'!$BV$19,'T11-S4'!$BX$19,'T11-S4'!$BZ$19,'T11-S4'!$CB$19,'T11-S4'!$CD$19,'T11-S4'!$CF$19,'T11-S4'!$CH$19,'T11-S4'!$CJ$19,'T11-S4'!$CL$19)</c15:sqref>
                  </c15:fullRef>
                </c:ext>
              </c:extLst>
              <c:f>('T11-S4'!$BH$19,'T11-S4'!$BJ$19,'T11-S4'!$BL$19,'T11-S4'!$BN$19,'T11-S4'!$BP$19,'T11-S4'!$BR$19,'T11-S4'!$BT$19,'T11-S4'!$BX$19,'T11-S4'!$BZ$19,'T11-S4'!$CB$19,'T11-S4'!$CD$19,'T11-S4'!$CF$19,'T11-S4'!$CH$19,'T11-S4'!$CJ$19,'T11-S4'!$CL$19)</c:f>
              <c:numCache>
                <c:formatCode>"$"#,##0</c:formatCode>
                <c:ptCount val="15"/>
                <c:pt idx="0">
                  <c:v>36654.725445161246</c:v>
                </c:pt>
                <c:pt idx="1">
                  <c:v>32364.74059060897</c:v>
                </c:pt>
                <c:pt idx="2">
                  <c:v>32724.637394177153</c:v>
                </c:pt>
                <c:pt idx="3">
                  <c:v>35186.716214486732</c:v>
                </c:pt>
                <c:pt idx="4">
                  <c:v>35362.405129698818</c:v>
                </c:pt>
                <c:pt idx="5">
                  <c:v>32532.060006830368</c:v>
                </c:pt>
                <c:pt idx="6">
                  <c:v>31995.418638738589</c:v>
                </c:pt>
                <c:pt idx="7">
                  <c:v>31619.316178337896</c:v>
                </c:pt>
                <c:pt idx="8">
                  <c:v>34434.906592394967</c:v>
                </c:pt>
                <c:pt idx="9">
                  <c:v>38445.058286972926</c:v>
                </c:pt>
                <c:pt idx="10">
                  <c:v>36248.609587944593</c:v>
                </c:pt>
                <c:pt idx="11">
                  <c:v>39277.893099334178</c:v>
                </c:pt>
                <c:pt idx="12">
                  <c:v>39670.611278532349</c:v>
                </c:pt>
                <c:pt idx="13">
                  <c:v>36114.035823700484</c:v>
                </c:pt>
                <c:pt idx="14">
                  <c:v>39140.25149269744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0-4E3C-B83E-D1D900B274FA}"/>
            </c:ext>
          </c:extLst>
        </c:ser>
        <c:ser>
          <c:idx val="1"/>
          <c:order val="1"/>
          <c:tx>
            <c:v>1 Labor Force Family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('T11-S4'!$BG$4,'T11-S4'!$BI$4,'T11-S4'!$BK$4,'T11-S4'!$BM$4,'T11-S4'!$BO$4,'T11-S4'!$BQ$4,'T11-S4'!$BS$4,'T11-S4'!$BU$4,'T11-S4'!$BW$4,'T11-S4'!$BY$4,'T11-S4'!$CA$4,'T11-S4'!$CC$4,'T11-S4'!$CE$4,'T11-S4'!$CG$4,'T11-S4'!$CI$4,'T11-S4'!$CK$4)</c15:sqref>
                  </c15:fullRef>
                </c:ext>
              </c:extLst>
              <c:f>('T11-S4'!$BG$4,'T11-S4'!$BI$4,'T11-S4'!$BK$4,'T11-S4'!$BM$4,'T11-S4'!$BO$4,'T11-S4'!$BQ$4,'T11-S4'!$BS$4,'T11-S4'!$BW$4,'T11-S4'!$BY$4,'T11-S4'!$CA$4,'T11-S4'!$CC$4,'T11-S4'!$CE$4,'T11-S4'!$CG$4,'T11-S4'!$CI$4,'T11-S4'!$CK$4)</c:f>
              <c:strCache>
                <c:ptCount val="15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('T11-S4'!$BH$21,'T11-S4'!$BJ$21,'T11-S4'!$BL$21,'T11-S4'!$BN$21,'T11-S4'!$BP$21,'T11-S4'!$BR$21,'T11-S4'!$BT$21,'T11-S4'!$BV$21,'T11-S4'!$BX$21,'T11-S4'!$BZ$21,'T11-S4'!$CB$21,'T11-S4'!$CD$21,'T11-S4'!$CF$21,'T11-S4'!$CH$21,'T11-S4'!$CJ$21,'T11-S4'!$CL$21)</c15:sqref>
                  </c15:fullRef>
                </c:ext>
              </c:extLst>
              <c:f>('T11-S4'!$BH$21,'T11-S4'!$BJ$21,'T11-S4'!$BL$21,'T11-S4'!$BN$21,'T11-S4'!$BP$21,'T11-S4'!$BR$21,'T11-S4'!$BT$21,'T11-S4'!$BX$21,'T11-S4'!$BZ$21,'T11-S4'!$CB$21,'T11-S4'!$CD$21,'T11-S4'!$CF$21,'T11-S4'!$CH$21,'T11-S4'!$CJ$21,'T11-S4'!$CL$21)</c:f>
              <c:numCache>
                <c:formatCode>"$"#,##0</c:formatCode>
                <c:ptCount val="15"/>
                <c:pt idx="0">
                  <c:v>72384.539878179348</c:v>
                </c:pt>
                <c:pt idx="1">
                  <c:v>72132.173956020313</c:v>
                </c:pt>
                <c:pt idx="2">
                  <c:v>71107.001950760678</c:v>
                </c:pt>
                <c:pt idx="3">
                  <c:v>73647.675559766882</c:v>
                </c:pt>
                <c:pt idx="4">
                  <c:v>72405.596156222717</c:v>
                </c:pt>
                <c:pt idx="5">
                  <c:v>64326.332042539812</c:v>
                </c:pt>
                <c:pt idx="6">
                  <c:v>67120.393645041011</c:v>
                </c:pt>
                <c:pt idx="7">
                  <c:v>63795.210573731078</c:v>
                </c:pt>
                <c:pt idx="8">
                  <c:v>61677.235237976769</c:v>
                </c:pt>
                <c:pt idx="9">
                  <c:v>62065.878426931595</c:v>
                </c:pt>
                <c:pt idx="10">
                  <c:v>64920.839556093662</c:v>
                </c:pt>
                <c:pt idx="11">
                  <c:v>65943.622335061547</c:v>
                </c:pt>
                <c:pt idx="12">
                  <c:v>65100.897045587328</c:v>
                </c:pt>
                <c:pt idx="13">
                  <c:v>65747.40922914035</c:v>
                </c:pt>
                <c:pt idx="14">
                  <c:v>63923.20425062078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0-4E3C-B83E-D1D900B274FA}"/>
            </c:ext>
          </c:extLst>
        </c:ser>
        <c:ser>
          <c:idx val="2"/>
          <c:order val="2"/>
          <c:tx>
            <c:v>2 Labor Force Family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('T11-S4'!$BG$4,'T11-S4'!$BI$4,'T11-S4'!$BK$4,'T11-S4'!$BM$4,'T11-S4'!$BO$4,'T11-S4'!$BQ$4,'T11-S4'!$BS$4,'T11-S4'!$BU$4,'T11-S4'!$BW$4,'T11-S4'!$BY$4,'T11-S4'!$CA$4,'T11-S4'!$CC$4,'T11-S4'!$CE$4,'T11-S4'!$CG$4,'T11-S4'!$CI$4,'T11-S4'!$CK$4)</c15:sqref>
                  </c15:fullRef>
                </c:ext>
              </c:extLst>
              <c:f>('T11-S4'!$BG$4,'T11-S4'!$BI$4,'T11-S4'!$BK$4,'T11-S4'!$BM$4,'T11-S4'!$BO$4,'T11-S4'!$BQ$4,'T11-S4'!$BS$4,'T11-S4'!$BW$4,'T11-S4'!$BY$4,'T11-S4'!$CA$4,'T11-S4'!$CC$4,'T11-S4'!$CE$4,'T11-S4'!$CG$4,'T11-S4'!$CI$4,'T11-S4'!$CK$4)</c:f>
              <c:strCache>
                <c:ptCount val="15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('T11-S4'!$BH$23,'T11-S4'!$BJ$23,'T11-S4'!$BL$23,'T11-S4'!$BN$23,'T11-S4'!$BP$23,'T11-S4'!$BR$23,'T11-S4'!$BT$23,'T11-S4'!$BV$23,'T11-S4'!$BX$23,'T11-S4'!$BZ$23,'T11-S4'!$CB$23,'T11-S4'!$CD$23,'T11-S4'!$CF$23,'T11-S4'!$CH$23,'T11-S4'!$CJ$23,'T11-S4'!$CL$23)</c15:sqref>
                  </c15:fullRef>
                </c:ext>
              </c:extLst>
              <c:f>('T11-S4'!$BH$23,'T11-S4'!$BJ$23,'T11-S4'!$BL$23,'T11-S4'!$BN$23,'T11-S4'!$BP$23,'T11-S4'!$BR$23,'T11-S4'!$BT$23,'T11-S4'!$BX$23,'T11-S4'!$BZ$23,'T11-S4'!$CB$23,'T11-S4'!$CD$23,'T11-S4'!$CF$23,'T11-S4'!$CH$23,'T11-S4'!$CJ$23,'T11-S4'!$CL$23)</c:f>
              <c:numCache>
                <c:formatCode>"$"#,##0</c:formatCode>
                <c:ptCount val="15"/>
                <c:pt idx="0">
                  <c:v>116900.52523350844</c:v>
                </c:pt>
                <c:pt idx="1">
                  <c:v>117451.08881576576</c:v>
                </c:pt>
                <c:pt idx="2">
                  <c:v>120031.48392017937</c:v>
                </c:pt>
                <c:pt idx="3">
                  <c:v>118956.57264128119</c:v>
                </c:pt>
                <c:pt idx="4">
                  <c:v>118257.57757111132</c:v>
                </c:pt>
                <c:pt idx="5">
                  <c:v>120402.30212823881</c:v>
                </c:pt>
                <c:pt idx="6">
                  <c:v>119293.74631804557</c:v>
                </c:pt>
                <c:pt idx="7">
                  <c:v>107374.94835492107</c:v>
                </c:pt>
                <c:pt idx="8">
                  <c:v>109089.30962965799</c:v>
                </c:pt>
                <c:pt idx="9">
                  <c:v>109537.24910064085</c:v>
                </c:pt>
                <c:pt idx="10">
                  <c:v>110437.31961232248</c:v>
                </c:pt>
                <c:pt idx="11">
                  <c:v>106897.50384362591</c:v>
                </c:pt>
                <c:pt idx="12">
                  <c:v>109650.6750557272</c:v>
                </c:pt>
                <c:pt idx="13">
                  <c:v>113306.14461594183</c:v>
                </c:pt>
                <c:pt idx="14">
                  <c:v>112872.87938382207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20-4E3C-B83E-D1D900B274FA}"/>
            </c:ext>
          </c:extLst>
        </c:ser>
        <c:ser>
          <c:idx val="3"/>
          <c:order val="3"/>
          <c:tx>
            <c:v>3 or More Labor Force Family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('T11-S4'!$BG$4,'T11-S4'!$BI$4,'T11-S4'!$BK$4,'T11-S4'!$BM$4,'T11-S4'!$BO$4,'T11-S4'!$BQ$4,'T11-S4'!$BS$4,'T11-S4'!$BU$4,'T11-S4'!$BW$4,'T11-S4'!$BY$4,'T11-S4'!$CA$4,'T11-S4'!$CC$4,'T11-S4'!$CE$4,'T11-S4'!$CG$4,'T11-S4'!$CI$4,'T11-S4'!$CK$4)</c15:sqref>
                  </c15:fullRef>
                </c:ext>
              </c:extLst>
              <c:f>('T11-S4'!$BG$4,'T11-S4'!$BI$4,'T11-S4'!$BK$4,'T11-S4'!$BM$4,'T11-S4'!$BO$4,'T11-S4'!$BQ$4,'T11-S4'!$BS$4,'T11-S4'!$BW$4,'T11-S4'!$BY$4,'T11-S4'!$CA$4,'T11-S4'!$CC$4,'T11-S4'!$CE$4,'T11-S4'!$CG$4,'T11-S4'!$CI$4,'T11-S4'!$CK$4)</c:f>
              <c:strCache>
                <c:ptCount val="15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('T11-S4'!$BH$25,'T11-S4'!$BJ$25,'T11-S4'!$BL$25,'T11-S4'!$BN$25,'T11-S4'!$BP$25,'T11-S4'!$BR$25,'T11-S4'!$BT$25,'T11-S4'!$BV$25,'T11-S4'!$BX$25,'T11-S4'!$BZ$25,'T11-S4'!$CB$25,'T11-S4'!$CD$25,'T11-S4'!$CF$25,'T11-S4'!$CH$25,'T11-S4'!$CJ$25,'T11-S4'!$CL$25)</c15:sqref>
                  </c15:fullRef>
                </c:ext>
              </c:extLst>
              <c:f>('T11-S4'!$BH$25,'T11-S4'!$BJ$25,'T11-S4'!$BL$25,'T11-S4'!$BN$25,'T11-S4'!$BP$25,'T11-S4'!$BR$25,'T11-S4'!$BT$25,'T11-S4'!$BX$25,'T11-S4'!$BZ$25,'T11-S4'!$CB$25,'T11-S4'!$CD$25,'T11-S4'!$CF$25,'T11-S4'!$CH$25,'T11-S4'!$CJ$25,'T11-S4'!$CL$25)</c:f>
              <c:numCache>
                <c:formatCode>"$"#,##0</c:formatCode>
                <c:ptCount val="15"/>
                <c:pt idx="0">
                  <c:v>136184.45644280524</c:v>
                </c:pt>
                <c:pt idx="1">
                  <c:v>133235.36673203006</c:v>
                </c:pt>
                <c:pt idx="2">
                  <c:v>129113.00903349841</c:v>
                </c:pt>
                <c:pt idx="3">
                  <c:v>125568.52455278866</c:v>
                </c:pt>
                <c:pt idx="4">
                  <c:v>129795.0406665811</c:v>
                </c:pt>
                <c:pt idx="5">
                  <c:v>134783.10299858835</c:v>
                </c:pt>
                <c:pt idx="6">
                  <c:v>139364.57963566261</c:v>
                </c:pt>
                <c:pt idx="7">
                  <c:v>126254.93338155581</c:v>
                </c:pt>
                <c:pt idx="8">
                  <c:v>119364.27831060017</c:v>
                </c:pt>
                <c:pt idx="9">
                  <c:v>118409.48811839617</c:v>
                </c:pt>
                <c:pt idx="10">
                  <c:v>124599.74368280478</c:v>
                </c:pt>
                <c:pt idx="11">
                  <c:v>125002.32642926973</c:v>
                </c:pt>
                <c:pt idx="12">
                  <c:v>122504.3366162631</c:v>
                </c:pt>
                <c:pt idx="13">
                  <c:v>130755.68885552797</c:v>
                </c:pt>
                <c:pt idx="14">
                  <c:v>138580.99952599325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20-4E3C-B83E-D1D900B27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37661552"/>
        <c:axId val="537676640"/>
      </c:lineChart>
      <c:catAx>
        <c:axId val="53766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676640"/>
        <c:crosses val="autoZero"/>
        <c:auto val="1"/>
        <c:lblAlgn val="ctr"/>
        <c:lblOffset val="100"/>
        <c:noMultiLvlLbl val="0"/>
      </c:catAx>
      <c:valAx>
        <c:axId val="537676640"/>
        <c:scaling>
          <c:orientation val="minMax"/>
          <c:max val="145000"/>
          <c:min val="250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66155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974128233970753E-2"/>
          <c:y val="0.95428186060075804"/>
          <c:w val="0.83605174353205847"/>
          <c:h val="4.5718139399241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Median</a:t>
            </a:r>
            <a:r>
              <a:rPr lang="en-US" baseline="0"/>
              <a:t> Family Income with Householder 25 Year &amp; Over Education Attainment</a:t>
            </a:r>
          </a:p>
          <a:p>
            <a:pPr>
              <a:defRPr/>
            </a:pPr>
            <a:r>
              <a:rPr lang="en-US" baseline="0"/>
              <a:t>(in 2017 $)</a:t>
            </a:r>
            <a:endParaRPr lang="en-US"/>
          </a:p>
        </c:rich>
      </c:tx>
      <c:layout>
        <c:manualLayout>
          <c:xMode val="edge"/>
          <c:yMode val="edge"/>
          <c:x val="0.1144821454882364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797293416343886E-2"/>
          <c:y val="0.1161574074074074"/>
          <c:w val="0.93020270658365611"/>
          <c:h val="0.72435987168270621"/>
        </c:manualLayout>
      </c:layout>
      <c:lineChart>
        <c:grouping val="standard"/>
        <c:varyColors val="0"/>
        <c:ser>
          <c:idx val="0"/>
          <c:order val="0"/>
          <c:tx>
            <c:v>Less than High School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('T11-S4'!$BG$4,'T11-S4'!$BI$4,'T11-S4'!$BK$4,'T11-S4'!$BM$4,'T11-S4'!$BO$4,'T11-S4'!$BQ$4,'T11-S4'!$BS$4,'T11-S4'!$BU$4,'T11-S4'!$BW$4,'T11-S4'!$BY$4,'T11-S4'!$CA$4,'T11-S4'!$CC$4,'T11-S4'!$CE$4,'T11-S4'!$CG$4,'T11-S4'!$CI$4,'T11-S4'!$CK$4)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('T11-S4'!$BH$37,'T11-S4'!$BJ$37,'T11-S4'!$BL$37,'T11-S4'!$BN$37,'T11-S4'!$BP$37,'T11-S4'!$BR$37,'T11-S4'!$BT$37,'T11-S4'!$BV$37,'T11-S4'!$BX$37,'T11-S4'!$BZ$37,'T11-S4'!$CB$37,'T11-S4'!$CD$37,'T11-S4'!$CF$37,'T11-S4'!$CH$37,'T11-S4'!$CJ$37,'T11-S4'!$CL$37)</c:f>
              <c:numCache>
                <c:formatCode>"$"#,##0</c:formatCode>
                <c:ptCount val="16"/>
                <c:pt idx="0">
                  <c:v>41482.030384092708</c:v>
                </c:pt>
                <c:pt idx="1">
                  <c:v>40002.517704050464</c:v>
                </c:pt>
                <c:pt idx="2">
                  <c:v>37880.69679858267</c:v>
                </c:pt>
                <c:pt idx="3">
                  <c:v>41141.418399904564</c:v>
                </c:pt>
                <c:pt idx="4">
                  <c:v>43889.317206071202</c:v>
                </c:pt>
                <c:pt idx="5">
                  <c:v>44102.991568196878</c:v>
                </c:pt>
                <c:pt idx="6">
                  <c:v>45775.888397349059</c:v>
                </c:pt>
                <c:pt idx="7">
                  <c:v>45201.079859098885</c:v>
                </c:pt>
                <c:pt idx="8">
                  <c:v>39801.34901632792</c:v>
                </c:pt>
                <c:pt idx="9">
                  <c:v>34253.750745552868</c:v>
                </c:pt>
                <c:pt idx="10">
                  <c:v>35379.058872251931</c:v>
                </c:pt>
                <c:pt idx="11">
                  <c:v>39565.52748332583</c:v>
                </c:pt>
                <c:pt idx="12">
                  <c:v>37362.394784685843</c:v>
                </c:pt>
                <c:pt idx="13">
                  <c:v>29938.548481741749</c:v>
                </c:pt>
                <c:pt idx="14">
                  <c:v>33722.336565260164</c:v>
                </c:pt>
                <c:pt idx="15">
                  <c:v>36064.034960373858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4-4148-B7CF-FEEC5377FBB3}"/>
            </c:ext>
          </c:extLst>
        </c:ser>
        <c:ser>
          <c:idx val="1"/>
          <c:order val="1"/>
          <c:tx>
            <c:v>High School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('T11-S4'!$BG$4,'T11-S4'!$BI$4,'T11-S4'!$BK$4,'T11-S4'!$BM$4,'T11-S4'!$BO$4,'T11-S4'!$BQ$4,'T11-S4'!$BS$4,'T11-S4'!$BU$4,'T11-S4'!$BW$4,'T11-S4'!$BY$4,'T11-S4'!$CA$4,'T11-S4'!$CC$4,'T11-S4'!$CE$4,'T11-S4'!$CG$4,'T11-S4'!$CI$4,'T11-S4'!$CK$4)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('T11-S4'!$BH$38,'T11-S4'!$BJ$38,'T11-S4'!$BL$38,'T11-S4'!$BN$38,'T11-S4'!$BP$38,'T11-S4'!$BR$38,'T11-S4'!$BT$38,'T11-S4'!$BV$38,'T11-S4'!$BX$38,'T11-S4'!$BZ$38,'T11-S4'!$CB$38,'T11-S4'!$CD$38,'T11-S4'!$CF$38,'T11-S4'!$CH$38,'T11-S4'!$CJ$38,'T11-S4'!$CL$38)</c:f>
              <c:numCache>
                <c:formatCode>"$"#,##0</c:formatCode>
                <c:ptCount val="16"/>
                <c:pt idx="0">
                  <c:v>74274.728416194906</c:v>
                </c:pt>
                <c:pt idx="1">
                  <c:v>75737.620725655433</c:v>
                </c:pt>
                <c:pt idx="2">
                  <c:v>73950.281595444787</c:v>
                </c:pt>
                <c:pt idx="3">
                  <c:v>73826.363773388497</c:v>
                </c:pt>
                <c:pt idx="4">
                  <c:v>76909.925900576156</c:v>
                </c:pt>
                <c:pt idx="5">
                  <c:v>72627.360937700345</c:v>
                </c:pt>
                <c:pt idx="6">
                  <c:v>65927.483190751038</c:v>
                </c:pt>
                <c:pt idx="7">
                  <c:v>64379.144358302467</c:v>
                </c:pt>
                <c:pt idx="8">
                  <c:v>61520.740228896153</c:v>
                </c:pt>
                <c:pt idx="9">
                  <c:v>58785.084964063353</c:v>
                </c:pt>
                <c:pt idx="10">
                  <c:v>59453.410426466689</c:v>
                </c:pt>
                <c:pt idx="11">
                  <c:v>64897.158335574313</c:v>
                </c:pt>
                <c:pt idx="12">
                  <c:v>67182.731003865483</c:v>
                </c:pt>
                <c:pt idx="13">
                  <c:v>64635.522847586675</c:v>
                </c:pt>
                <c:pt idx="14">
                  <c:v>62740.188973901131</c:v>
                </c:pt>
                <c:pt idx="15">
                  <c:v>63541.142385614978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4-4148-B7CF-FEEC5377FBB3}"/>
            </c:ext>
          </c:extLst>
        </c:ser>
        <c:ser>
          <c:idx val="2"/>
          <c:order val="2"/>
          <c:tx>
            <c:v>Some College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('T11-S4'!$BG$4,'T11-S4'!$BI$4,'T11-S4'!$BK$4,'T11-S4'!$BM$4,'T11-S4'!$BO$4,'T11-S4'!$BQ$4,'T11-S4'!$BS$4,'T11-S4'!$BU$4,'T11-S4'!$BW$4,'T11-S4'!$BY$4,'T11-S4'!$CA$4,'T11-S4'!$CC$4,'T11-S4'!$CE$4,'T11-S4'!$CG$4,'T11-S4'!$CI$4,'T11-S4'!$CK$4)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('T11-S4'!$BH$39,'T11-S4'!$BJ$39,'T11-S4'!$BL$39,'T11-S4'!$BN$39,'T11-S4'!$BP$39,'T11-S4'!$BR$39,'T11-S4'!$BT$39,'T11-S4'!$BV$39,'T11-S4'!$BX$39,'T11-S4'!$BZ$39,'T11-S4'!$CB$39,'T11-S4'!$CD$39,'T11-S4'!$CF$39,'T11-S4'!$CH$39,'T11-S4'!$CJ$39,'T11-S4'!$CL$39)</c:f>
              <c:numCache>
                <c:formatCode>"$"#,##0</c:formatCode>
                <c:ptCount val="16"/>
                <c:pt idx="0">
                  <c:v>100700.23404499504</c:v>
                </c:pt>
                <c:pt idx="1">
                  <c:v>91199.311395080964</c:v>
                </c:pt>
                <c:pt idx="2">
                  <c:v>88984.147397736029</c:v>
                </c:pt>
                <c:pt idx="3">
                  <c:v>88956.479897405981</c:v>
                </c:pt>
                <c:pt idx="4">
                  <c:v>89696.633490609209</c:v>
                </c:pt>
                <c:pt idx="5">
                  <c:v>86948.448030258369</c:v>
                </c:pt>
                <c:pt idx="6">
                  <c:v>85857.026991063118</c:v>
                </c:pt>
                <c:pt idx="7">
                  <c:v>83614.843334843186</c:v>
                </c:pt>
                <c:pt idx="8">
                  <c:v>82563.784168266866</c:v>
                </c:pt>
                <c:pt idx="9">
                  <c:v>82450.277619729808</c:v>
                </c:pt>
                <c:pt idx="10">
                  <c:v>82413.79027336021</c:v>
                </c:pt>
                <c:pt idx="11">
                  <c:v>78099.442342723341</c:v>
                </c:pt>
                <c:pt idx="12">
                  <c:v>73345.2533461813</c:v>
                </c:pt>
                <c:pt idx="13">
                  <c:v>73161.334887561839</c:v>
                </c:pt>
                <c:pt idx="14">
                  <c:v>75435.076567630487</c:v>
                </c:pt>
                <c:pt idx="15">
                  <c:v>78227.792156537689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4-4148-B7CF-FEEC5377FBB3}"/>
            </c:ext>
          </c:extLst>
        </c:ser>
        <c:ser>
          <c:idx val="3"/>
          <c:order val="3"/>
          <c:tx>
            <c:v>College Degree or Higher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('T11-S4'!$BG$4,'T11-S4'!$BI$4,'T11-S4'!$BK$4,'T11-S4'!$BM$4,'T11-S4'!$BO$4,'T11-S4'!$BQ$4,'T11-S4'!$BS$4,'T11-S4'!$BU$4,'T11-S4'!$BW$4,'T11-S4'!$BY$4,'T11-S4'!$CA$4,'T11-S4'!$CC$4,'T11-S4'!$CE$4,'T11-S4'!$CG$4,'T11-S4'!$CI$4,'T11-S4'!$CK$4)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('T11-S4'!$BH$40,'T11-S4'!$BJ$40,'T11-S4'!$BL$40,'T11-S4'!$BN$40,'T11-S4'!$BP$40,'T11-S4'!$BR$40,'T11-S4'!$BT$40,'T11-S4'!$BV$40,'T11-S4'!$BX$40,'T11-S4'!$BZ$40,'T11-S4'!$CB$40,'T11-S4'!$CD$40,'T11-S4'!$CF$40,'T11-S4'!$CH$40,'T11-S4'!$CJ$40,'T11-S4'!$CL$40)</c:f>
              <c:numCache>
                <c:formatCode>"$"#,##0</c:formatCode>
                <c:ptCount val="16"/>
                <c:pt idx="0">
                  <c:v>137730.19286053197</c:v>
                </c:pt>
                <c:pt idx="1">
                  <c:v>136062.47936317453</c:v>
                </c:pt>
                <c:pt idx="2">
                  <c:v>132685.90597116738</c:v>
                </c:pt>
                <c:pt idx="3">
                  <c:v>140953.42540877027</c:v>
                </c:pt>
                <c:pt idx="4">
                  <c:v>149116.58618707588</c:v>
                </c:pt>
                <c:pt idx="5">
                  <c:v>142775.30051140147</c:v>
                </c:pt>
                <c:pt idx="6">
                  <c:v>137283.11165900072</c:v>
                </c:pt>
                <c:pt idx="7">
                  <c:v>138096.15422964247</c:v>
                </c:pt>
                <c:pt idx="8">
                  <c:v>139852.79145551298</c:v>
                </c:pt>
                <c:pt idx="9">
                  <c:v>132786.41595894701</c:v>
                </c:pt>
                <c:pt idx="10">
                  <c:v>128638.8178480677</c:v>
                </c:pt>
                <c:pt idx="11">
                  <c:v>127800.87870480359</c:v>
                </c:pt>
                <c:pt idx="12">
                  <c:v>124197.18491615598</c:v>
                </c:pt>
                <c:pt idx="13">
                  <c:v>123742.55782437007</c:v>
                </c:pt>
                <c:pt idx="14">
                  <c:v>128679.10887195251</c:v>
                </c:pt>
                <c:pt idx="15">
                  <c:v>128204.67195712098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4-4148-B7CF-FEEC5377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4570336"/>
        <c:axId val="564557544"/>
      </c:lineChart>
      <c:catAx>
        <c:axId val="56457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57544"/>
        <c:crosses val="autoZero"/>
        <c:auto val="1"/>
        <c:lblAlgn val="ctr"/>
        <c:lblOffset val="100"/>
        <c:noMultiLvlLbl val="0"/>
      </c:catAx>
      <c:valAx>
        <c:axId val="564557544"/>
        <c:scaling>
          <c:orientation val="minMax"/>
          <c:max val="150000"/>
          <c:min val="280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703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54267027278107"/>
          <c:y val="0.94502260134149896"/>
          <c:w val="0.68291465945443786"/>
          <c:h val="5.4977398658501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Median</a:t>
            </a:r>
            <a:r>
              <a:rPr lang="en-US" baseline="0"/>
              <a:t> Household Income for Householder Age 65 or Not</a:t>
            </a:r>
          </a:p>
          <a:p>
            <a:pPr>
              <a:defRPr/>
            </a:pPr>
            <a:r>
              <a:rPr lang="en-US" baseline="0"/>
              <a:t>(in 2017 $)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15048118985126"/>
          <c:y val="0.17171296296296296"/>
          <c:w val="0.86384951881014871"/>
          <c:h val="0.58176727909011372"/>
        </c:manualLayout>
      </c:layout>
      <c:lineChart>
        <c:grouping val="standard"/>
        <c:varyColors val="0"/>
        <c:ser>
          <c:idx val="0"/>
          <c:order val="0"/>
          <c:tx>
            <c:v>Householder under 65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('T11-S4'!$CP$25,'T11-S4'!$CR$25,'T11-S4'!$CT$25,'T11-S4'!$CV$25,'T11-S4'!$CX$25,'T11-S4'!$CZ$25,'T11-S4'!$DB$25,'T11-S4'!$DD$25,'T11-S4'!$DF$25,'T11-S4'!$DH$25,'T11-S4'!$DJ$25,'T11-S4'!$DL$25,'T11-S4'!$DN$25,'T11-S4'!$DP$25,'T11-S4'!$DR$25,'T11-S4'!$DT$25)</c:f>
              <c:numCache>
                <c:formatCode>"$"#,##0</c:formatCode>
                <c:ptCount val="16"/>
                <c:pt idx="0">
                  <c:v>88935.398883560323</c:v>
                </c:pt>
                <c:pt idx="1">
                  <c:v>90896.305141879246</c:v>
                </c:pt>
                <c:pt idx="2">
                  <c:v>88474.287001435063</c:v>
                </c:pt>
                <c:pt idx="3">
                  <c:v>91963.432699026045</c:v>
                </c:pt>
                <c:pt idx="4">
                  <c:v>96347.581828111113</c:v>
                </c:pt>
                <c:pt idx="5">
                  <c:v>91395.033787664564</c:v>
                </c:pt>
                <c:pt idx="6">
                  <c:v>86886.035919229718</c:v>
                </c:pt>
                <c:pt idx="7">
                  <c:v>85979.066774358667</c:v>
                </c:pt>
                <c:pt idx="8">
                  <c:v>83938.411355840479</c:v>
                </c:pt>
                <c:pt idx="9">
                  <c:v>81212.391627132267</c:v>
                </c:pt>
                <c:pt idx="10">
                  <c:v>79905.281532541499</c:v>
                </c:pt>
                <c:pt idx="11">
                  <c:v>76874.769223015202</c:v>
                </c:pt>
                <c:pt idx="12">
                  <c:v>74046.319179992672</c:v>
                </c:pt>
                <c:pt idx="13">
                  <c:v>74023.419763973885</c:v>
                </c:pt>
                <c:pt idx="14">
                  <c:v>76205.233455361071</c:v>
                </c:pt>
                <c:pt idx="15">
                  <c:v>79738.980676758045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FF-4CD9-90A3-CB8A56DACA54}"/>
            </c:ext>
          </c:extLst>
        </c:ser>
        <c:ser>
          <c:idx val="1"/>
          <c:order val="1"/>
          <c:tx>
            <c:v>Householder over 65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('T11-S4'!$CP$26,'T11-S4'!$CR$26,'T11-S4'!$CT$26,'T11-S4'!$CV$26,'T11-S4'!$CX$26,'T11-S4'!$CZ$26,'T11-S4'!$DB$26,'T11-S4'!$DF$26,'T11-S4'!$DH$26,'T11-S4'!$DJ$26,'T11-S4'!$DL$26,'T11-S4'!$DN$26,'T11-S4'!$DP$26,'T11-S4'!$DR$26,'T11-S4'!$DD$26,'T11-S4'!$DT$26)</c:f>
              <c:numCache>
                <c:formatCode>"$"#,##0</c:formatCode>
                <c:ptCount val="16"/>
                <c:pt idx="0">
                  <c:v>34608.258741741949</c:v>
                </c:pt>
                <c:pt idx="1">
                  <c:v>31632.144322778371</c:v>
                </c:pt>
                <c:pt idx="2">
                  <c:v>31756.950603286514</c:v>
                </c:pt>
                <c:pt idx="3">
                  <c:v>32950.160711976889</c:v>
                </c:pt>
                <c:pt idx="4">
                  <c:v>34786.145747030954</c:v>
                </c:pt>
                <c:pt idx="5">
                  <c:v>33406.221735067185</c:v>
                </c:pt>
                <c:pt idx="6">
                  <c:v>34249.148534795946</c:v>
                </c:pt>
                <c:pt idx="7">
                  <c:v>36672.180538636501</c:v>
                </c:pt>
                <c:pt idx="8">
                  <c:v>39878.608663297113</c:v>
                </c:pt>
                <c:pt idx="9">
                  <c:v>45044.190924924194</c:v>
                </c:pt>
                <c:pt idx="10">
                  <c:v>42737.217354948647</c:v>
                </c:pt>
                <c:pt idx="11">
                  <c:v>43820.438049192293</c:v>
                </c:pt>
                <c:pt idx="12">
                  <c:v>48286.908773640251</c:v>
                </c:pt>
                <c:pt idx="13">
                  <c:v>43152.763607122717</c:v>
                </c:pt>
                <c:pt idx="14">
                  <c:v>37586.030622995546</c:v>
                </c:pt>
                <c:pt idx="15">
                  <c:v>43118.670656287402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F-4CD9-90A3-CB8A56DAC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4030896"/>
        <c:axId val="574038768"/>
      </c:lineChart>
      <c:catAx>
        <c:axId val="5740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38768"/>
        <c:crosses val="autoZero"/>
        <c:auto val="1"/>
        <c:lblAlgn val="ctr"/>
        <c:lblOffset val="100"/>
        <c:noMultiLvlLbl val="0"/>
      </c:catAx>
      <c:valAx>
        <c:axId val="574038768"/>
        <c:scaling>
          <c:orientation val="minMax"/>
          <c:max val="98000"/>
          <c:min val="280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308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174934383202098"/>
          <c:y val="0.44060112277631952"/>
          <c:w val="0.311028433945756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Medican Household Income with Householder</a:t>
            </a:r>
          </a:p>
          <a:p>
            <a:pPr>
              <a:defRPr/>
            </a:pPr>
            <a:r>
              <a:rPr lang="en-US" baseline="0"/>
              <a:t>Education Attainment (in 2017 $)</a:t>
            </a:r>
            <a:endParaRPr lang="en-US"/>
          </a:p>
        </c:rich>
      </c:tx>
      <c:layout>
        <c:manualLayout>
          <c:xMode val="edge"/>
          <c:yMode val="edge"/>
          <c:x val="0.2305038335158817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1473389570226"/>
          <c:y val="0.15319444444444447"/>
          <c:w val="0.8683890810245154"/>
          <c:h val="0.58639690871974337"/>
        </c:manualLayout>
      </c:layout>
      <c:lineChart>
        <c:grouping val="standard"/>
        <c:varyColors val="0"/>
        <c:ser>
          <c:idx val="0"/>
          <c:order val="0"/>
          <c:tx>
            <c:v>Less Thank High School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('T11-S4'!$CP$30,'T11-S4'!$CR$30,'T11-S4'!$CT$30,'T11-S4'!$CV$30,'T11-S4'!$CX$30,'T11-S4'!$CZ$30,'T11-S4'!$DB$30,'T11-S4'!$DD$30,'T11-S4'!$DF$30,'T11-S4'!$DH$30,'T11-S4'!$DJ$30,'T11-S4'!$DL$30,'T11-S4'!$DN$30,'T11-S4'!$DP$30,'T11-S4'!$DR$30,'T11-S4'!$DT$30)</c:f>
              <c:numCache>
                <c:formatCode>"$"#,##0</c:formatCode>
                <c:ptCount val="16"/>
                <c:pt idx="0">
                  <c:v>32760.374445178197</c:v>
                </c:pt>
                <c:pt idx="1">
                  <c:v>30733.789727328523</c:v>
                </c:pt>
                <c:pt idx="2">
                  <c:v>29317.206864477506</c:v>
                </c:pt>
                <c:pt idx="3">
                  <c:v>32664.862846097458</c:v>
                </c:pt>
                <c:pt idx="4">
                  <c:v>35945.594835739525</c:v>
                </c:pt>
                <c:pt idx="5">
                  <c:v>33931.125752384047</c:v>
                </c:pt>
                <c:pt idx="6">
                  <c:v>33110.752612463075</c:v>
                </c:pt>
                <c:pt idx="7">
                  <c:v>33606.870580766888</c:v>
                </c:pt>
                <c:pt idx="8">
                  <c:v>29763.015689730688</c:v>
                </c:pt>
                <c:pt idx="9">
                  <c:v>26528.708304321928</c:v>
                </c:pt>
                <c:pt idx="10">
                  <c:v>26327.994563434942</c:v>
                </c:pt>
                <c:pt idx="11">
                  <c:v>27100.260879391426</c:v>
                </c:pt>
                <c:pt idx="12">
                  <c:v>27317.753022807228</c:v>
                </c:pt>
                <c:pt idx="13">
                  <c:v>28525.650150102563</c:v>
                </c:pt>
                <c:pt idx="14">
                  <c:v>28953.113864441148</c:v>
                </c:pt>
                <c:pt idx="15">
                  <c:v>26882.687795774902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F-4A10-8F5B-18BCAC2E983B}"/>
            </c:ext>
          </c:extLst>
        </c:ser>
        <c:ser>
          <c:idx val="1"/>
          <c:order val="1"/>
          <c:tx>
            <c:v>High School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('T11-S4'!$CP$31,'T11-S4'!$CR$31,'T11-S4'!$CT$31,'T11-S4'!$CV$31,'T11-S4'!$CX$31,'T11-S4'!$CZ$31,'T11-S4'!$DB$31,'T11-S4'!$DD$31,'T11-S4'!$DF$31,'T11-S4'!$DH$31,'T11-S4'!$DJ$31,'T11-S4'!$DL$31,'T11-S4'!$DN$31,'T11-S4'!$DP$31,'T11-S4'!$DR$31,'T11-S4'!$DT$31)</c:f>
              <c:numCache>
                <c:formatCode>"$"#,##0</c:formatCode>
                <c:ptCount val="16"/>
                <c:pt idx="0">
                  <c:v>58599.617329390458</c:v>
                </c:pt>
                <c:pt idx="1">
                  <c:v>55755.078247601094</c:v>
                </c:pt>
                <c:pt idx="2">
                  <c:v>54820.177439326682</c:v>
                </c:pt>
                <c:pt idx="3">
                  <c:v>58167.774929590858</c:v>
                </c:pt>
                <c:pt idx="4">
                  <c:v>61493.790722683894</c:v>
                </c:pt>
                <c:pt idx="5">
                  <c:v>54863.660551081106</c:v>
                </c:pt>
                <c:pt idx="6">
                  <c:v>49899.107005071593</c:v>
                </c:pt>
                <c:pt idx="7">
                  <c:v>52569.212339154699</c:v>
                </c:pt>
                <c:pt idx="8">
                  <c:v>50194.772376913374</c:v>
                </c:pt>
                <c:pt idx="9">
                  <c:v>46574.313793461646</c:v>
                </c:pt>
                <c:pt idx="10">
                  <c:v>47486.644843238093</c:v>
                </c:pt>
                <c:pt idx="11">
                  <c:v>49333.456510916818</c:v>
                </c:pt>
                <c:pt idx="12">
                  <c:v>48202.4546312905</c:v>
                </c:pt>
                <c:pt idx="13">
                  <c:v>45862.31599931416</c:v>
                </c:pt>
                <c:pt idx="14">
                  <c:v>43855.326213676883</c:v>
                </c:pt>
                <c:pt idx="15">
                  <c:v>41199.507172096855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F-4A10-8F5B-18BCAC2E983B}"/>
            </c:ext>
          </c:extLst>
        </c:ser>
        <c:ser>
          <c:idx val="2"/>
          <c:order val="2"/>
          <c:tx>
            <c:v>Some College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('T11-S4'!$CP$32,'T11-S4'!$CR$32,'T11-S4'!$CT$32,'T11-S4'!$CV$32,'T11-S4'!$CX$32,'T11-S4'!$CZ$32,'T11-S4'!$DB$32,'T11-S4'!$DD$32,'T11-S4'!$DF$32,'T11-S4'!$DH$32,'T11-S4'!$DJ$32,'T11-S4'!$DL$32,'T11-S4'!$DN$32,'T11-S4'!$DP$32,'T11-S4'!$DR$32,'T11-S4'!$DT$32)</c:f>
              <c:numCache>
                <c:formatCode>"$"#,##0</c:formatCode>
                <c:ptCount val="16"/>
                <c:pt idx="0">
                  <c:v>77449.884660409967</c:v>
                </c:pt>
                <c:pt idx="1">
                  <c:v>77476.033319951806</c:v>
                </c:pt>
                <c:pt idx="2">
                  <c:v>74479.354907035711</c:v>
                </c:pt>
                <c:pt idx="3">
                  <c:v>75421.771710845351</c:v>
                </c:pt>
                <c:pt idx="4">
                  <c:v>80692.873582340006</c:v>
                </c:pt>
                <c:pt idx="5">
                  <c:v>75923.334275274479</c:v>
                </c:pt>
                <c:pt idx="6">
                  <c:v>69317.013515331855</c:v>
                </c:pt>
                <c:pt idx="7">
                  <c:v>69370.916632771987</c:v>
                </c:pt>
                <c:pt idx="8">
                  <c:v>69159.909111679997</c:v>
                </c:pt>
                <c:pt idx="9">
                  <c:v>65315.849900998146</c:v>
                </c:pt>
                <c:pt idx="10">
                  <c:v>65776.711465950575</c:v>
                </c:pt>
                <c:pt idx="11">
                  <c:v>60698.281029894555</c:v>
                </c:pt>
                <c:pt idx="12">
                  <c:v>55006.994536781509</c:v>
                </c:pt>
                <c:pt idx="13">
                  <c:v>58670.810333886504</c:v>
                </c:pt>
                <c:pt idx="14">
                  <c:v>59293.621558351151</c:v>
                </c:pt>
                <c:pt idx="15">
                  <c:v>60554.689343831931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F-4A10-8F5B-18BCAC2E983B}"/>
            </c:ext>
          </c:extLst>
        </c:ser>
        <c:ser>
          <c:idx val="3"/>
          <c:order val="3"/>
          <c:tx>
            <c:v>Bachelor or Higher Degree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('T11-S4'!$CP$33,'T11-S4'!$CR$33,'T11-S4'!$CT$33,'T11-S4'!$CV$33,'T11-S4'!$CX$33,'T11-S4'!$CZ$33,'T11-S4'!$DB$33,'T11-S4'!$DD$33,'T11-S4'!$DF$33,'T11-S4'!$DH$33,'T11-S4'!$DJ$33,'T11-S4'!$DL$33,'T11-S4'!$DN$33,'T11-S4'!$DP$33,'T11-S4'!$DR$33,'T11-S4'!$DT$33)</c:f>
              <c:numCache>
                <c:formatCode>"$"#,##0</c:formatCode>
                <c:ptCount val="16"/>
                <c:pt idx="0">
                  <c:v>121830.90388211777</c:v>
                </c:pt>
                <c:pt idx="1">
                  <c:v>121258.76916579713</c:v>
                </c:pt>
                <c:pt idx="2">
                  <c:v>122859.11864710828</c:v>
                </c:pt>
                <c:pt idx="3">
                  <c:v>127048.41733687167</c:v>
                </c:pt>
                <c:pt idx="4">
                  <c:v>127476.91144780857</c:v>
                </c:pt>
                <c:pt idx="5">
                  <c:v>119642.33571590835</c:v>
                </c:pt>
                <c:pt idx="6">
                  <c:v>116450.86762446526</c:v>
                </c:pt>
                <c:pt idx="7">
                  <c:v>118019.89284571746</c:v>
                </c:pt>
                <c:pt idx="8">
                  <c:v>116471.8107714818</c:v>
                </c:pt>
                <c:pt idx="9">
                  <c:v>112932.57772787528</c:v>
                </c:pt>
                <c:pt idx="10">
                  <c:v>111073.6274348553</c:v>
                </c:pt>
                <c:pt idx="11">
                  <c:v>109354.34053944345</c:v>
                </c:pt>
                <c:pt idx="12">
                  <c:v>107415.16142767113</c:v>
                </c:pt>
                <c:pt idx="13">
                  <c:v>110291.77942271778</c:v>
                </c:pt>
                <c:pt idx="14">
                  <c:v>109426.18059823767</c:v>
                </c:pt>
                <c:pt idx="15">
                  <c:v>104038.14936572567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F-4A10-8F5B-18BCAC2E9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4520872"/>
        <c:axId val="564552032"/>
      </c:lineChart>
      <c:catAx>
        <c:axId val="56452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52032"/>
        <c:crosses val="autoZero"/>
        <c:auto val="1"/>
        <c:lblAlgn val="ctr"/>
        <c:lblOffset val="100"/>
        <c:noMultiLvlLbl val="0"/>
      </c:catAx>
      <c:valAx>
        <c:axId val="564552032"/>
        <c:scaling>
          <c:orientation val="minMax"/>
          <c:max val="130000"/>
          <c:min val="20000"/>
        </c:scaling>
        <c:delete val="0"/>
        <c:axPos val="l"/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2087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23578302712142E-3"/>
          <c:y val="0.94233559346748319"/>
          <c:w val="0.99587642169728785"/>
          <c:h val="5.5559930008748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Median Household Income</a:t>
            </a:r>
            <a:r>
              <a:rPr lang="en-US" baseline="0"/>
              <a:t> by Household Size (in 2017 $)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666836000344E-2"/>
          <c:y val="7.8703703703703706E-2"/>
          <c:w val="0.9124153331639997"/>
          <c:h val="0.71760717410323704"/>
        </c:manualLayout>
      </c:layout>
      <c:lineChart>
        <c:grouping val="standard"/>
        <c:varyColors val="0"/>
        <c:ser>
          <c:idx val="0"/>
          <c:order val="0"/>
          <c:tx>
            <c:v>1 Person Households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('T11-S4'!$CP$36,'T11-S4'!$CR$36,'T11-S4'!$CT$36,'T11-S4'!$CV$36,'T11-S4'!$CX$36,'T11-S4'!$CZ$36,'T11-S4'!$DB$36,'T11-S4'!$DD$36,'T11-S4'!$DF$36,'T11-S4'!$DH$36,'T11-S4'!$DJ$36,'T11-S4'!$DL$36,'T11-S4'!$DN$36,'T11-S4'!$DP$36,'T11-S4'!$DR$36,'T11-S4'!$DT$36)</c:f>
              <c:numCache>
                <c:formatCode>"$"#,##0</c:formatCode>
                <c:ptCount val="16"/>
                <c:pt idx="0">
                  <c:v>30558.465038449245</c:v>
                </c:pt>
                <c:pt idx="1">
                  <c:v>29712.639317287023</c:v>
                </c:pt>
                <c:pt idx="2">
                  <c:v>29970.80117050244</c:v>
                </c:pt>
                <c:pt idx="3">
                  <c:v>33652.740695913148</c:v>
                </c:pt>
                <c:pt idx="4">
                  <c:v>35132.324974171876</c:v>
                </c:pt>
                <c:pt idx="5">
                  <c:v>32543.351956904153</c:v>
                </c:pt>
                <c:pt idx="6">
                  <c:v>33208.603661312962</c:v>
                </c:pt>
                <c:pt idx="7">
                  <c:v>34515.054736354767</c:v>
                </c:pt>
                <c:pt idx="8">
                  <c:v>32272.239487715233</c:v>
                </c:pt>
                <c:pt idx="9">
                  <c:v>30309.401476101251</c:v>
                </c:pt>
                <c:pt idx="10">
                  <c:v>28746.061777853574</c:v>
                </c:pt>
                <c:pt idx="11">
                  <c:v>28054.742795499151</c:v>
                </c:pt>
                <c:pt idx="12">
                  <c:v>30455.300155793055</c:v>
                </c:pt>
                <c:pt idx="13">
                  <c:v>32197.2476234571</c:v>
                </c:pt>
                <c:pt idx="14">
                  <c:v>28630.562385976835</c:v>
                </c:pt>
                <c:pt idx="15">
                  <c:v>27713.853449635135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B-46EA-8D9D-BD3071044CDE}"/>
            </c:ext>
          </c:extLst>
        </c:ser>
        <c:ser>
          <c:idx val="1"/>
          <c:order val="1"/>
          <c:tx>
            <c:v>2-Person Households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('T11-S4'!$CP$37,'T11-S4'!$CR$37,'T11-S4'!$CT$37,'T11-S4'!$CV$37,'T11-S4'!$CX$37,'T11-S4'!$CZ$37,'T11-S4'!$DB$37,'T11-S4'!$DD$37,'T11-S4'!$DF$37,'T11-S4'!$DH$37,'T11-S4'!$DJ$37,'T11-S4'!$DL$37,'T11-S4'!$DN$37,'T11-S4'!$DP$37,'T11-S4'!$DR$37,'T11-S4'!$DT$37)</c:f>
              <c:numCache>
                <c:formatCode>"$"#,##0</c:formatCode>
                <c:ptCount val="16"/>
                <c:pt idx="0">
                  <c:v>71706.861994230392</c:v>
                </c:pt>
                <c:pt idx="1">
                  <c:v>75387.861302738253</c:v>
                </c:pt>
                <c:pt idx="2">
                  <c:v>77676.816724337317</c:v>
                </c:pt>
                <c:pt idx="3">
                  <c:v>75530.662802449151</c:v>
                </c:pt>
                <c:pt idx="4">
                  <c:v>80537.709531882123</c:v>
                </c:pt>
                <c:pt idx="5">
                  <c:v>80672.13697797824</c:v>
                </c:pt>
                <c:pt idx="6">
                  <c:v>80082.477345758234</c:v>
                </c:pt>
                <c:pt idx="7">
                  <c:v>79459.406071868696</c:v>
                </c:pt>
                <c:pt idx="8">
                  <c:v>73787.410379787412</c:v>
                </c:pt>
                <c:pt idx="9">
                  <c:v>69345.240163942304</c:v>
                </c:pt>
                <c:pt idx="10">
                  <c:v>69570.538449305837</c:v>
                </c:pt>
                <c:pt idx="11">
                  <c:v>70675.359297074086</c:v>
                </c:pt>
                <c:pt idx="12">
                  <c:v>67150.072896844184</c:v>
                </c:pt>
                <c:pt idx="13">
                  <c:v>65457.144173147113</c:v>
                </c:pt>
                <c:pt idx="14">
                  <c:v>70682.157751123275</c:v>
                </c:pt>
                <c:pt idx="15">
                  <c:v>76136.544794600442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B-46EA-8D9D-BD3071044CDE}"/>
            </c:ext>
          </c:extLst>
        </c:ser>
        <c:ser>
          <c:idx val="2"/>
          <c:order val="2"/>
          <c:tx>
            <c:v>3-Person Households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('T11-S4'!$CP$38,'T11-S4'!$CR$38,'T11-S4'!$CT$38,'T11-S4'!$CV$38,'T11-S4'!$CX$38,'T11-S4'!$CZ$38,'T11-S4'!$DB$38,'T11-S4'!$DD$38,'T11-S4'!$DF$38,'T11-S4'!$DH$38,'T11-S4'!$DJ$38,'T11-S4'!$DL$38,'T11-S4'!$DN$38,'T11-S4'!$DP$38,'T11-S4'!$DR$38,'T11-S4'!$DT$38)</c:f>
              <c:numCache>
                <c:formatCode>"$"#,##0</c:formatCode>
                <c:ptCount val="16"/>
                <c:pt idx="0">
                  <c:v>94965.640093552604</c:v>
                </c:pt>
                <c:pt idx="1">
                  <c:v>99430.339233426697</c:v>
                </c:pt>
                <c:pt idx="2">
                  <c:v>94329.846975954046</c:v>
                </c:pt>
                <c:pt idx="3">
                  <c:v>96965.323869658867</c:v>
                </c:pt>
                <c:pt idx="4">
                  <c:v>107768.65209482922</c:v>
                </c:pt>
                <c:pt idx="5">
                  <c:v>102182.79052094987</c:v>
                </c:pt>
                <c:pt idx="6">
                  <c:v>96543.402112906304</c:v>
                </c:pt>
                <c:pt idx="7">
                  <c:v>92515.419173282513</c:v>
                </c:pt>
                <c:pt idx="8">
                  <c:v>90204.705754354378</c:v>
                </c:pt>
                <c:pt idx="9">
                  <c:v>89449.097907895193</c:v>
                </c:pt>
                <c:pt idx="10">
                  <c:v>89301.548855353729</c:v>
                </c:pt>
                <c:pt idx="11">
                  <c:v>85103.631532683445</c:v>
                </c:pt>
                <c:pt idx="12">
                  <c:v>87382.602603643289</c:v>
                </c:pt>
                <c:pt idx="13">
                  <c:v>96381.310016395873</c:v>
                </c:pt>
                <c:pt idx="14">
                  <c:v>93498.232431401033</c:v>
                </c:pt>
                <c:pt idx="15">
                  <c:v>93022.999021273106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B-46EA-8D9D-BD3071044CDE}"/>
            </c:ext>
          </c:extLst>
        </c:ser>
        <c:ser>
          <c:idx val="3"/>
          <c:order val="3"/>
          <c:tx>
            <c:v>4-Persong Households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('T11-S4'!$CP$39,'T11-S4'!$CR$39,'T11-S4'!$CT$39,'T11-S4'!$CV$39,'T11-S4'!$CX$39,'T11-S4'!$CZ$39,'T11-S4'!$DB$39,'T11-S4'!$DD$39,'T11-S4'!$DF$39,'T11-S4'!$DH$39,'T11-S4'!$DJ$39,'T11-S4'!$DL$39,'T11-S4'!$DN$39,'T11-S4'!$DP$39,'T11-S4'!$DR$39,'T11-S4'!$DT$39)</c:f>
              <c:numCache>
                <c:formatCode>"$"#,##0</c:formatCode>
                <c:ptCount val="16"/>
                <c:pt idx="0">
                  <c:v>110987.06792451808</c:v>
                </c:pt>
                <c:pt idx="1">
                  <c:v>109406.12205002808</c:v>
                </c:pt>
                <c:pt idx="2">
                  <c:v>111120.28886431889</c:v>
                </c:pt>
                <c:pt idx="3">
                  <c:v>113364.51086009994</c:v>
                </c:pt>
                <c:pt idx="4">
                  <c:v>115236.44182387163</c:v>
                </c:pt>
                <c:pt idx="5">
                  <c:v>114170.20048387386</c:v>
                </c:pt>
                <c:pt idx="6">
                  <c:v>117003.17823126982</c:v>
                </c:pt>
                <c:pt idx="7">
                  <c:v>114501.88230739567</c:v>
                </c:pt>
                <c:pt idx="8">
                  <c:v>112304.22137316773</c:v>
                </c:pt>
                <c:pt idx="9">
                  <c:v>113019.29755113334</c:v>
                </c:pt>
                <c:pt idx="10">
                  <c:v>111391.56416164292</c:v>
                </c:pt>
                <c:pt idx="11">
                  <c:v>112770.16490899195</c:v>
                </c:pt>
                <c:pt idx="12">
                  <c:v>107353.31248665744</c:v>
                </c:pt>
                <c:pt idx="13">
                  <c:v>103640.86151742953</c:v>
                </c:pt>
                <c:pt idx="14">
                  <c:v>109009.53911202378</c:v>
                </c:pt>
                <c:pt idx="15">
                  <c:v>113691.32161706792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B-46EA-8D9D-BD3071044CDE}"/>
            </c:ext>
          </c:extLst>
        </c:ser>
        <c:ser>
          <c:idx val="4"/>
          <c:order val="4"/>
          <c:tx>
            <c:v>5 or More Person Households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('T11-S4'!$CO$4,'T11-S4'!$CQ$4,'T11-S4'!$CS$4,'T11-S4'!$CU$4,'T11-S4'!$CW$4,'T11-S4'!$CY$4,'T11-S4'!$DA$4,'T11-S4'!$DC$4,'T11-S4'!$DE$4,'T11-S4'!$DG$4,'T11-S4'!$DI$4,'T11-S4'!$DK$4,'T11-S4'!$DM$4,'T11-S4'!$DO$4,'T11-S4'!$DQ$4,'T11-S4'!$DS$4)</c:f>
              <c:strCache>
                <c:ptCount val="16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</c:strCache>
            </c:strRef>
          </c:cat>
          <c:val>
            <c:numRef>
              <c:f>('T11-S4'!$CP$40,'T11-S4'!$CR$40,'T11-S4'!$CT$40,'T11-S4'!$CV$40,'T11-S4'!$CX$40,'T11-S4'!$CZ$40,'T11-S4'!$DB$40,'T11-S4'!$DD$40,'T11-S4'!$DF$40,'T11-S4'!$DH$40,'T11-S4'!$DJ$40,'T11-S4'!$DL$40,'T11-S4'!$DN$40,'T11-S4'!$DP$40,'T11-S4'!$DR$40,'T11-S4'!$DT$40)</c:f>
              <c:numCache>
                <c:formatCode>"$"#,##0</c:formatCode>
                <c:ptCount val="16"/>
                <c:pt idx="0">
                  <c:v>116265.10581138288</c:v>
                </c:pt>
                <c:pt idx="1">
                  <c:v>114505.88658743873</c:v>
                </c:pt>
                <c:pt idx="2">
                  <c:v>112505.00087671573</c:v>
                </c:pt>
                <c:pt idx="3">
                  <c:v>114745.44449362124</c:v>
                </c:pt>
                <c:pt idx="4">
                  <c:v>111234.59437040694</c:v>
                </c:pt>
                <c:pt idx="5">
                  <c:v>109756.05142207345</c:v>
                </c:pt>
                <c:pt idx="6">
                  <c:v>106975.24472346799</c:v>
                </c:pt>
                <c:pt idx="7">
                  <c:v>108911.4979088033</c:v>
                </c:pt>
                <c:pt idx="8">
                  <c:v>115027.29988337457</c:v>
                </c:pt>
                <c:pt idx="9">
                  <c:v>112089.10907968646</c:v>
                </c:pt>
                <c:pt idx="10">
                  <c:v>105356.03423693037</c:v>
                </c:pt>
                <c:pt idx="11">
                  <c:v>106373.3877795466</c:v>
                </c:pt>
                <c:pt idx="12">
                  <c:v>107157.28429712731</c:v>
                </c:pt>
                <c:pt idx="13">
                  <c:v>103925.9210473898</c:v>
                </c:pt>
                <c:pt idx="14">
                  <c:v>101884.60276442938</c:v>
                </c:pt>
                <c:pt idx="15">
                  <c:v>100253.2876128386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B-46EA-8D9D-BD307104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2454056"/>
        <c:axId val="572457664"/>
      </c:lineChart>
      <c:catAx>
        <c:axId val="57245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57664"/>
        <c:crosses val="autoZero"/>
        <c:auto val="1"/>
        <c:lblAlgn val="ctr"/>
        <c:lblOffset val="100"/>
        <c:noMultiLvlLbl val="0"/>
      </c:catAx>
      <c:valAx>
        <c:axId val="572457664"/>
        <c:scaling>
          <c:orientation val="minMax"/>
          <c:min val="250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540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4485407066052232E-2"/>
          <c:y val="0.60119058034412365"/>
          <c:w val="0.91551459293394777"/>
          <c:h val="9.325386410032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Family Median</a:t>
            </a:r>
            <a:r>
              <a:rPr lang="en-US" baseline="0"/>
              <a:t> Income Below Poverty Level (2017 $)</a:t>
            </a:r>
            <a:endParaRPr lang="en-US"/>
          </a:p>
        </c:rich>
      </c:tx>
      <c:layout>
        <c:manualLayout>
          <c:xMode val="edge"/>
          <c:yMode val="edge"/>
          <c:x val="0.150049224014012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385958279223447E-2"/>
          <c:y val="2.5428331875182269E-2"/>
          <c:w val="0.95913457060038687"/>
          <c:h val="0.72088546223388739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'T11-S4'!$DW$7:$EM$7</c:f>
              <c:numCache>
                <c:formatCode>0.0%</c:formatCode>
                <c:ptCount val="17"/>
                <c:pt idx="0">
                  <c:v>5.9200519007569466E-2</c:v>
                </c:pt>
                <c:pt idx="1">
                  <c:v>6.1734326343314487E-2</c:v>
                </c:pt>
                <c:pt idx="2">
                  <c:v>6.4008137320717876E-2</c:v>
                </c:pt>
                <c:pt idx="3">
                  <c:v>6.4544088549293027E-2</c:v>
                </c:pt>
                <c:pt idx="4">
                  <c:v>5.7820528816815556E-2</c:v>
                </c:pt>
                <c:pt idx="5">
                  <c:v>6.1150613299061927E-2</c:v>
                </c:pt>
                <c:pt idx="6">
                  <c:v>6.6157020185790935E-2</c:v>
                </c:pt>
                <c:pt idx="7">
                  <c:v>6.5556082078983849E-2</c:v>
                </c:pt>
                <c:pt idx="8">
                  <c:v>7.1004132711939699E-2</c:v>
                </c:pt>
                <c:pt idx="9">
                  <c:v>7.7108125691258758E-2</c:v>
                </c:pt>
                <c:pt idx="10">
                  <c:v>8.6034922400509029E-2</c:v>
                </c:pt>
                <c:pt idx="11">
                  <c:v>8.4050065081002212E-2</c:v>
                </c:pt>
                <c:pt idx="12">
                  <c:v>7.8702098310772572E-2</c:v>
                </c:pt>
                <c:pt idx="13">
                  <c:v>8.4093352465847482E-2</c:v>
                </c:pt>
                <c:pt idx="14">
                  <c:v>8.3599999999999994E-2</c:v>
                </c:pt>
                <c:pt idx="15">
                  <c:v>7.3200000000000001E-2</c:v>
                </c:pt>
                <c:pt idx="16" formatCode="0.00%">
                  <c:v>6.54E-2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9A-45C2-BABC-01AB91225ABA}"/>
            </c:ext>
          </c:extLst>
        </c:ser>
        <c:ser>
          <c:idx val="1"/>
          <c:order val="1"/>
          <c:tx>
            <c:v>White Families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'T11-S4'!$DW$15:$EM$15</c:f>
              <c:numCache>
                <c:formatCode>0.0%</c:formatCode>
                <c:ptCount val="17"/>
                <c:pt idx="0">
                  <c:v>4.694602100204464E-2</c:v>
                </c:pt>
                <c:pt idx="1">
                  <c:v>5.2367952198267599E-2</c:v>
                </c:pt>
                <c:pt idx="2">
                  <c:v>5.0420869681834714E-2</c:v>
                </c:pt>
                <c:pt idx="3">
                  <c:v>5.3800342015427154E-2</c:v>
                </c:pt>
                <c:pt idx="4">
                  <c:v>5.2509535575296591E-2</c:v>
                </c:pt>
                <c:pt idx="5">
                  <c:v>5.0348213139367111E-2</c:v>
                </c:pt>
                <c:pt idx="6">
                  <c:v>5.3400426214565026E-2</c:v>
                </c:pt>
                <c:pt idx="7">
                  <c:v>5.2014754235276156E-2</c:v>
                </c:pt>
                <c:pt idx="8">
                  <c:v>5.6881165309482715E-2</c:v>
                </c:pt>
                <c:pt idx="9">
                  <c:v>5.6461433743243937E-2</c:v>
                </c:pt>
                <c:pt idx="10">
                  <c:v>5.9002451237298983E-2</c:v>
                </c:pt>
                <c:pt idx="11">
                  <c:v>6.6421591498098523E-2</c:v>
                </c:pt>
                <c:pt idx="12">
                  <c:v>6.6464693357187743E-2</c:v>
                </c:pt>
                <c:pt idx="13">
                  <c:v>6.9672405515996516E-2</c:v>
                </c:pt>
                <c:pt idx="14">
                  <c:v>7.3451000000000002E-2</c:v>
                </c:pt>
                <c:pt idx="15">
                  <c:v>6.157E-2</c:v>
                </c:pt>
                <c:pt idx="16" formatCode="0.00%">
                  <c:v>5.0836210080736681E-2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A-45C2-BABC-01AB91225ABA}"/>
            </c:ext>
          </c:extLst>
        </c:ser>
        <c:ser>
          <c:idx val="2"/>
          <c:order val="2"/>
          <c:tx>
            <c:v>Black Families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'T11-S4'!$DW$22:$EM$22</c:f>
              <c:numCache>
                <c:formatCode>0.0%</c:formatCode>
                <c:ptCount val="17"/>
                <c:pt idx="0">
                  <c:v>0.12953205351452926</c:v>
                </c:pt>
                <c:pt idx="1">
                  <c:v>0.13405878425431814</c:v>
                </c:pt>
                <c:pt idx="2">
                  <c:v>0.15127763813534401</c:v>
                </c:pt>
                <c:pt idx="3">
                  <c:v>0.12989624972916172</c:v>
                </c:pt>
                <c:pt idx="4">
                  <c:v>9.658627360317644E-2</c:v>
                </c:pt>
                <c:pt idx="5">
                  <c:v>0.14976519258687432</c:v>
                </c:pt>
                <c:pt idx="6">
                  <c:v>0.17443193670271134</c:v>
                </c:pt>
                <c:pt idx="7">
                  <c:v>0.15090301565108891</c:v>
                </c:pt>
                <c:pt idx="8">
                  <c:v>0.17064804344375639</c:v>
                </c:pt>
                <c:pt idx="9">
                  <c:v>0.1989124805197218</c:v>
                </c:pt>
                <c:pt idx="10">
                  <c:v>0.23073804929372244</c:v>
                </c:pt>
                <c:pt idx="11">
                  <c:v>0.18760067336578101</c:v>
                </c:pt>
                <c:pt idx="12">
                  <c:v>0.16578419964443519</c:v>
                </c:pt>
                <c:pt idx="13">
                  <c:v>0.18204005030996248</c:v>
                </c:pt>
                <c:pt idx="14">
                  <c:v>0.15351799999999999</c:v>
                </c:pt>
                <c:pt idx="15">
                  <c:v>0.13689999999999999</c:v>
                </c:pt>
                <c:pt idx="16" formatCode="0.00%">
                  <c:v>0.11970338071772887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9A-45C2-BABC-01AB91225ABA}"/>
            </c:ext>
          </c:extLst>
        </c:ser>
        <c:ser>
          <c:idx val="3"/>
          <c:order val="3"/>
          <c:tx>
            <c:v>Hispanic Families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'T11-S4'!$DW$29:$EM$29</c:f>
              <c:numCache>
                <c:formatCode>0.0%</c:formatCode>
                <c:ptCount val="17"/>
                <c:pt idx="0">
                  <c:v>0.15025787123618128</c:v>
                </c:pt>
                <c:pt idx="1">
                  <c:v>0.1582470415707446</c:v>
                </c:pt>
                <c:pt idx="2">
                  <c:v>0.14740802091482325</c:v>
                </c:pt>
                <c:pt idx="3">
                  <c:v>0.1657618446420481</c:v>
                </c:pt>
                <c:pt idx="4">
                  <c:v>0.16474632644851422</c:v>
                </c:pt>
                <c:pt idx="5">
                  <c:v>0.15366121819273898</c:v>
                </c:pt>
                <c:pt idx="6">
                  <c:v>0.13872248548823055</c:v>
                </c:pt>
                <c:pt idx="7">
                  <c:v>0.15685537837095573</c:v>
                </c:pt>
                <c:pt idx="8">
                  <c:v>0.15362200599427769</c:v>
                </c:pt>
                <c:pt idx="9">
                  <c:v>0.15110971299449324</c:v>
                </c:pt>
                <c:pt idx="10">
                  <c:v>0.17912216466257913</c:v>
                </c:pt>
                <c:pt idx="11">
                  <c:v>0.20356546289299696</c:v>
                </c:pt>
                <c:pt idx="12">
                  <c:v>0.21723012021826485</c:v>
                </c:pt>
                <c:pt idx="13">
                  <c:v>0.22972239106396836</c:v>
                </c:pt>
                <c:pt idx="14">
                  <c:v>0.21346000000000001</c:v>
                </c:pt>
                <c:pt idx="15">
                  <c:v>0.17399999999999999</c:v>
                </c:pt>
                <c:pt idx="16" formatCode="0.00%">
                  <c:v>0.13686298371498354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9A-45C2-BABC-01AB91225ABA}"/>
            </c:ext>
          </c:extLst>
        </c:ser>
        <c:ser>
          <c:idx val="4"/>
          <c:order val="4"/>
          <c:tx>
            <c:v>Married-Couple Families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'T11-S4'!$DW$37:$EM$37</c:f>
              <c:numCache>
                <c:formatCode>0.0%</c:formatCode>
                <c:ptCount val="17"/>
                <c:pt idx="0">
                  <c:v>2.7953643588975872E-2</c:v>
                </c:pt>
                <c:pt idx="1">
                  <c:v>2.7953643588975872E-2</c:v>
                </c:pt>
                <c:pt idx="2">
                  <c:v>3.3208869653773412E-2</c:v>
                </c:pt>
                <c:pt idx="3">
                  <c:v>3.6361534766903104E-2</c:v>
                </c:pt>
                <c:pt idx="4">
                  <c:v>3.7006684524447268E-2</c:v>
                </c:pt>
                <c:pt idx="5">
                  <c:v>3.3100392736526089E-2</c:v>
                </c:pt>
                <c:pt idx="6">
                  <c:v>3.0862308968155918E-2</c:v>
                </c:pt>
                <c:pt idx="7">
                  <c:v>2.8638574351723164E-2</c:v>
                </c:pt>
                <c:pt idx="8">
                  <c:v>3.5142984918826982E-2</c:v>
                </c:pt>
                <c:pt idx="9">
                  <c:v>3.2216197267759719E-2</c:v>
                </c:pt>
                <c:pt idx="10">
                  <c:v>2.935471582210665E-2</c:v>
                </c:pt>
                <c:pt idx="11">
                  <c:v>3.4344648627166671E-2</c:v>
                </c:pt>
                <c:pt idx="12">
                  <c:v>3.9467895636353036E-2</c:v>
                </c:pt>
                <c:pt idx="13">
                  <c:v>4.2197922349842473E-2</c:v>
                </c:pt>
                <c:pt idx="14">
                  <c:v>4.5538737208764342E-2</c:v>
                </c:pt>
                <c:pt idx="15">
                  <c:v>4.4452999999999999E-2</c:v>
                </c:pt>
                <c:pt idx="16" formatCode="0.00%">
                  <c:v>3.8283412835174266E-2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9A-45C2-BABC-01AB91225ABA}"/>
            </c:ext>
          </c:extLst>
        </c:ser>
        <c:ser>
          <c:idx val="5"/>
          <c:order val="5"/>
          <c:tx>
            <c:v>Female Household Spouse Absent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'T11-S4'!$DW$44:$EM$44</c:f>
              <c:numCache>
                <c:formatCode>0.0%</c:formatCode>
                <c:ptCount val="17"/>
                <c:pt idx="0">
                  <c:v>0.22976847382645249</c:v>
                </c:pt>
                <c:pt idx="1">
                  <c:v>0.22976847382645249</c:v>
                </c:pt>
                <c:pt idx="2">
                  <c:v>0.18078357970910777</c:v>
                </c:pt>
                <c:pt idx="3">
                  <c:v>0.17318135081830818</c:v>
                </c:pt>
                <c:pt idx="4">
                  <c:v>0.18099301707144166</c:v>
                </c:pt>
                <c:pt idx="5">
                  <c:v>0.1672821397448877</c:v>
                </c:pt>
                <c:pt idx="6">
                  <c:v>0.18431291703990083</c:v>
                </c:pt>
                <c:pt idx="7">
                  <c:v>0.20508699738744404</c:v>
                </c:pt>
                <c:pt idx="8">
                  <c:v>0.17953717574563541</c:v>
                </c:pt>
                <c:pt idx="9">
                  <c:v>0.21014058496519944</c:v>
                </c:pt>
                <c:pt idx="10">
                  <c:v>0.25335271336728954</c:v>
                </c:pt>
                <c:pt idx="11">
                  <c:v>0.27495698578563232</c:v>
                </c:pt>
                <c:pt idx="12">
                  <c:v>0.24626015857941744</c:v>
                </c:pt>
                <c:pt idx="13">
                  <c:v>0.23051416003866462</c:v>
                </c:pt>
                <c:pt idx="14">
                  <c:v>0.24492497618978187</c:v>
                </c:pt>
                <c:pt idx="15">
                  <c:v>0.23619799999999999</c:v>
                </c:pt>
                <c:pt idx="16">
                  <c:v>0.18732391739843191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9A-45C2-BABC-01AB91225ABA}"/>
            </c:ext>
          </c:extLst>
        </c:ser>
        <c:ser>
          <c:idx val="6"/>
          <c:order val="6"/>
          <c:tx>
            <c:v>Families with no Child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'T11-S4'!$DW$52:$EM$52</c:f>
              <c:numCache>
                <c:formatCode>0.0%</c:formatCode>
                <c:ptCount val="17"/>
                <c:pt idx="0">
                  <c:v>3.9213313873347033E-2</c:v>
                </c:pt>
                <c:pt idx="1">
                  <c:v>4.5875765125986491E-2</c:v>
                </c:pt>
                <c:pt idx="2">
                  <c:v>4.7844606071883206E-2</c:v>
                </c:pt>
                <c:pt idx="3">
                  <c:v>5.0440104479684472E-2</c:v>
                </c:pt>
                <c:pt idx="4">
                  <c:v>4.3039796130458947E-2</c:v>
                </c:pt>
                <c:pt idx="5">
                  <c:v>3.9344308405378288E-2</c:v>
                </c:pt>
                <c:pt idx="6">
                  <c:v>3.7606678034313376E-2</c:v>
                </c:pt>
                <c:pt idx="7">
                  <c:v>3.020497417605169E-2</c:v>
                </c:pt>
                <c:pt idx="8">
                  <c:v>4.0294408415108715E-2</c:v>
                </c:pt>
                <c:pt idx="9">
                  <c:v>5.136902199890192E-2</c:v>
                </c:pt>
                <c:pt idx="10">
                  <c:v>5.0329995960539255E-2</c:v>
                </c:pt>
                <c:pt idx="11">
                  <c:v>4.4288019149428218E-2</c:v>
                </c:pt>
                <c:pt idx="12">
                  <c:v>3.8050390587593304E-2</c:v>
                </c:pt>
                <c:pt idx="13">
                  <c:v>4.3165880451629016E-2</c:v>
                </c:pt>
                <c:pt idx="14">
                  <c:v>5.1963000000000002E-2</c:v>
                </c:pt>
                <c:pt idx="15">
                  <c:v>4.7827000000000001E-2</c:v>
                </c:pt>
                <c:pt idx="16" formatCode="0.00%">
                  <c:v>4.1266554456643123E-2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9A-45C2-BABC-01AB91225ABA}"/>
            </c:ext>
          </c:extLst>
        </c:ser>
        <c:ser>
          <c:idx val="7"/>
          <c:order val="7"/>
          <c:tx>
            <c:v>Families with 1 or 2 Children</c:v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'T11-S4'!$DW$59:$EM$59</c:f>
              <c:numCache>
                <c:formatCode>0.0%</c:formatCode>
                <c:ptCount val="17"/>
                <c:pt idx="0">
                  <c:v>7.314452082730602E-2</c:v>
                </c:pt>
                <c:pt idx="1">
                  <c:v>7.383623898931585E-2</c:v>
                </c:pt>
                <c:pt idx="2">
                  <c:v>7.0300624760818844E-2</c:v>
                </c:pt>
                <c:pt idx="3">
                  <c:v>7.040017382918394E-2</c:v>
                </c:pt>
                <c:pt idx="4">
                  <c:v>6.6440613616187513E-2</c:v>
                </c:pt>
                <c:pt idx="5">
                  <c:v>6.7143055581113983E-2</c:v>
                </c:pt>
                <c:pt idx="6">
                  <c:v>8.0730801472210914E-2</c:v>
                </c:pt>
                <c:pt idx="7">
                  <c:v>8.490208304257621E-2</c:v>
                </c:pt>
                <c:pt idx="8">
                  <c:v>8.5504678617046831E-2</c:v>
                </c:pt>
                <c:pt idx="9">
                  <c:v>9.5377041960530401E-2</c:v>
                </c:pt>
                <c:pt idx="10">
                  <c:v>0.12243683578694049</c:v>
                </c:pt>
                <c:pt idx="11">
                  <c:v>0.12428625061273205</c:v>
                </c:pt>
                <c:pt idx="12">
                  <c:v>0.12337841301852527</c:v>
                </c:pt>
                <c:pt idx="13">
                  <c:v>0.12644166630334208</c:v>
                </c:pt>
                <c:pt idx="14">
                  <c:v>0.104363</c:v>
                </c:pt>
                <c:pt idx="15">
                  <c:v>8.1656000000000006E-2</c:v>
                </c:pt>
                <c:pt idx="16" formatCode="General">
                  <c:v>8.0090783499144322E-2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9A-45C2-BABC-01AB91225ABA}"/>
            </c:ext>
          </c:extLst>
        </c:ser>
        <c:ser>
          <c:idx val="8"/>
          <c:order val="8"/>
          <c:tx>
            <c:v>Families with 3 or more Children</c:v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'T11-S4'!$DW$70:$EM$70</c:f>
              <c:numCache>
                <c:formatCode>0.0%</c:formatCode>
                <c:ptCount val="17"/>
                <c:pt idx="0">
                  <c:v>0.11743595396886687</c:v>
                </c:pt>
                <c:pt idx="1">
                  <c:v>0.1069532062506295</c:v>
                </c:pt>
                <c:pt idx="2">
                  <c:v>0.12494440045144367</c:v>
                </c:pt>
                <c:pt idx="3">
                  <c:v>0.11135833420235708</c:v>
                </c:pt>
                <c:pt idx="4">
                  <c:v>0.10137948349709533</c:v>
                </c:pt>
                <c:pt idx="5">
                  <c:v>0.16519277470538477</c:v>
                </c:pt>
                <c:pt idx="6">
                  <c:v>0.1781905735119412</c:v>
                </c:pt>
                <c:pt idx="7">
                  <c:v>0.18550244647853781</c:v>
                </c:pt>
                <c:pt idx="8">
                  <c:v>0.18998234872627043</c:v>
                </c:pt>
                <c:pt idx="9">
                  <c:v>0.1698909881784588</c:v>
                </c:pt>
                <c:pt idx="10">
                  <c:v>0.17513140838608621</c:v>
                </c:pt>
                <c:pt idx="11">
                  <c:v>0.1860908713735093</c:v>
                </c:pt>
                <c:pt idx="12">
                  <c:v>0.15968875286485945</c:v>
                </c:pt>
                <c:pt idx="13">
                  <c:v>0.18873301384227836</c:v>
                </c:pt>
                <c:pt idx="14">
                  <c:v>0.22756899999999999</c:v>
                </c:pt>
                <c:pt idx="15">
                  <c:v>0.23442199999999999</c:v>
                </c:pt>
                <c:pt idx="16" formatCode="0.00%">
                  <c:v>0.19337855766368153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9A-45C2-BABC-01AB91225ABA}"/>
            </c:ext>
          </c:extLst>
        </c:ser>
        <c:ser>
          <c:idx val="9"/>
          <c:order val="9"/>
          <c:tx>
            <c:v>Families with Children under 6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'T11-S4'!$DW$78:$EM$78</c:f>
              <c:numCache>
                <c:formatCode>0.0%</c:formatCode>
                <c:ptCount val="17"/>
                <c:pt idx="0">
                  <c:v>4.9799486972046378E-2</c:v>
                </c:pt>
                <c:pt idx="1">
                  <c:v>5.6770629117134867E-2</c:v>
                </c:pt>
                <c:pt idx="2">
                  <c:v>5.3783313859620117E-2</c:v>
                </c:pt>
                <c:pt idx="3">
                  <c:v>5.3875299794779084E-2</c:v>
                </c:pt>
                <c:pt idx="4">
                  <c:v>5.0068367052580019E-2</c:v>
                </c:pt>
                <c:pt idx="5">
                  <c:v>4.7017727124903652E-2</c:v>
                </c:pt>
                <c:pt idx="6">
                  <c:v>5.0648808873755072E-2</c:v>
                </c:pt>
                <c:pt idx="7">
                  <c:v>4.9706971890521374E-2</c:v>
                </c:pt>
                <c:pt idx="8">
                  <c:v>5.7301934839459605E-2</c:v>
                </c:pt>
                <c:pt idx="9">
                  <c:v>6.6800951941894726E-2</c:v>
                </c:pt>
                <c:pt idx="10">
                  <c:v>7.0105557223949552E-2</c:v>
                </c:pt>
                <c:pt idx="11">
                  <c:v>6.3193249586629918E-2</c:v>
                </c:pt>
                <c:pt idx="12">
                  <c:v>5.7948721558466872E-2</c:v>
                </c:pt>
                <c:pt idx="13">
                  <c:v>6.482653769640126E-2</c:v>
                </c:pt>
                <c:pt idx="14">
                  <c:v>6.7797999999999997E-2</c:v>
                </c:pt>
                <c:pt idx="15">
                  <c:v>6.3761999999999999E-2</c:v>
                </c:pt>
                <c:pt idx="16" formatCode="0.00%">
                  <c:v>5.6389348064503214E-2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9A-45C2-BABC-01AB91225ABA}"/>
            </c:ext>
          </c:extLst>
        </c:ser>
        <c:ser>
          <c:idx val="10"/>
          <c:order val="10"/>
          <c:tx>
            <c:v>Families with Children</c:v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'T11-S4'!$DW$85:$EM$85</c:f>
              <c:numCache>
                <c:formatCode>0.0%</c:formatCode>
                <c:ptCount val="17"/>
                <c:pt idx="0">
                  <c:v>9.6292382639840787E-2</c:v>
                </c:pt>
                <c:pt idx="1">
                  <c:v>8.2395367408110598E-2</c:v>
                </c:pt>
                <c:pt idx="2">
                  <c:v>0.10707754357568357</c:v>
                </c:pt>
                <c:pt idx="3">
                  <c:v>0.10817896244060551</c:v>
                </c:pt>
                <c:pt idx="4">
                  <c:v>8.831504100764119E-2</c:v>
                </c:pt>
                <c:pt idx="5">
                  <c:v>0.11667363189409281</c:v>
                </c:pt>
                <c:pt idx="6">
                  <c:v>0.12833380239105491</c:v>
                </c:pt>
                <c:pt idx="7">
                  <c:v>0.13432987504165741</c:v>
                </c:pt>
                <c:pt idx="8">
                  <c:v>0.13063476166278759</c:v>
                </c:pt>
                <c:pt idx="9">
                  <c:v>0.12566914741920632</c:v>
                </c:pt>
                <c:pt idx="10">
                  <c:v>0.16609480848339708</c:v>
                </c:pt>
                <c:pt idx="11">
                  <c:v>0.18349028550753621</c:v>
                </c:pt>
                <c:pt idx="12">
                  <c:v>0.17618218229522764</c:v>
                </c:pt>
                <c:pt idx="13">
                  <c:v>0.18166739879764043</c:v>
                </c:pt>
                <c:pt idx="14">
                  <c:v>0.16453899999999999</c:v>
                </c:pt>
                <c:pt idx="15">
                  <c:v>0.12120499999999999</c:v>
                </c:pt>
                <c:pt idx="16" formatCode="0.00%">
                  <c:v>0.1115030210942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9A-45C2-BABC-01AB91225ABA}"/>
            </c:ext>
          </c:extLst>
        </c:ser>
        <c:ser>
          <c:idx val="11"/>
          <c:order val="11"/>
          <c:tx>
            <c:v>Families with No Labor Force Participation</c:v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'T11-S4'!$DW$93:$EM$93</c:f>
              <c:numCache>
                <c:formatCode>0.0%</c:formatCode>
                <c:ptCount val="17"/>
                <c:pt idx="0">
                  <c:v>0.12193840487450736</c:v>
                </c:pt>
                <c:pt idx="1">
                  <c:v>0.13986097899607838</c:v>
                </c:pt>
                <c:pt idx="2">
                  <c:v>0.18146469032268947</c:v>
                </c:pt>
                <c:pt idx="3">
                  <c:v>0.21116211513220642</c:v>
                </c:pt>
                <c:pt idx="4">
                  <c:v>0.1886786352179026</c:v>
                </c:pt>
                <c:pt idx="5">
                  <c:v>0.18260270850368082</c:v>
                </c:pt>
                <c:pt idx="6">
                  <c:v>0.20301377133949075</c:v>
                </c:pt>
                <c:pt idx="7">
                  <c:v>0.21105051412550407</c:v>
                </c:pt>
                <c:pt idx="8">
                  <c:v>0.21324102446479365</c:v>
                </c:pt>
                <c:pt idx="9">
                  <c:v>0.22220599972977942</c:v>
                </c:pt>
                <c:pt idx="10">
                  <c:v>0.22725062833492096</c:v>
                </c:pt>
                <c:pt idx="11">
                  <c:v>0.19169038950237538</c:v>
                </c:pt>
                <c:pt idx="12">
                  <c:v>0.19160253454663964</c:v>
                </c:pt>
                <c:pt idx="13">
                  <c:v>0.20132590172386902</c:v>
                </c:pt>
                <c:pt idx="14">
                  <c:v>0.208116</c:v>
                </c:pt>
                <c:pt idx="15">
                  <c:v>0.19548199999999999</c:v>
                </c:pt>
                <c:pt idx="16" formatCode="0.00%">
                  <c:v>0.13783732049282543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F9A-45C2-BABC-01AB91225ABA}"/>
            </c:ext>
          </c:extLst>
        </c:ser>
        <c:ser>
          <c:idx val="12"/>
          <c:order val="12"/>
          <c:tx>
            <c:v>Families with 1 Labor Force</c:v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'T11-S4'!$DW$100:$EM$100</c:f>
              <c:numCache>
                <c:formatCode>0.0%</c:formatCode>
                <c:ptCount val="17"/>
                <c:pt idx="0">
                  <c:v>0.10023853786266362</c:v>
                </c:pt>
                <c:pt idx="1">
                  <c:v>0.10292130927571184</c:v>
                </c:pt>
                <c:pt idx="2">
                  <c:v>9.8819497857521879E-2</c:v>
                </c:pt>
                <c:pt idx="3">
                  <c:v>8.6971159144547311E-2</c:v>
                </c:pt>
                <c:pt idx="4">
                  <c:v>7.2175080215470894E-2</c:v>
                </c:pt>
                <c:pt idx="5">
                  <c:v>9.5230062514574804E-2</c:v>
                </c:pt>
                <c:pt idx="6">
                  <c:v>0.10310280506539801</c:v>
                </c:pt>
                <c:pt idx="7">
                  <c:v>8.2462552088795257E-2</c:v>
                </c:pt>
                <c:pt idx="8">
                  <c:v>0.10145894564939603</c:v>
                </c:pt>
                <c:pt idx="9">
                  <c:v>0.11005183044782674</c:v>
                </c:pt>
                <c:pt idx="10">
                  <c:v>0.12086248521709135</c:v>
                </c:pt>
                <c:pt idx="11">
                  <c:v>0.16905684227261791</c:v>
                </c:pt>
                <c:pt idx="12">
                  <c:v>0.12445979066672072</c:v>
                </c:pt>
                <c:pt idx="13">
                  <c:v>0.14049307606611761</c:v>
                </c:pt>
                <c:pt idx="14">
                  <c:v>0.12475600000000001</c:v>
                </c:pt>
                <c:pt idx="15">
                  <c:v>0.12746199999999999</c:v>
                </c:pt>
                <c:pt idx="16" formatCode="0.00%">
                  <c:v>0.1060738632345041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F9A-45C2-BABC-01AB91225ABA}"/>
            </c:ext>
          </c:extLst>
        </c:ser>
        <c:ser>
          <c:idx val="13"/>
          <c:order val="13"/>
          <c:tx>
            <c:v>Families with 2 Labor Force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'T11-S4'!$DW$107:$EM$107</c:f>
              <c:numCache>
                <c:formatCode>0.0%</c:formatCode>
                <c:ptCount val="17"/>
                <c:pt idx="0">
                  <c:v>2.2764018550863047E-2</c:v>
                </c:pt>
                <c:pt idx="1">
                  <c:v>2.2064029107747921E-2</c:v>
                </c:pt>
                <c:pt idx="2">
                  <c:v>2.0804817822814389E-2</c:v>
                </c:pt>
                <c:pt idx="3">
                  <c:v>2.0943641738763015E-2</c:v>
                </c:pt>
                <c:pt idx="4">
                  <c:v>2.3567485905067215E-2</c:v>
                </c:pt>
                <c:pt idx="5">
                  <c:v>2.0663106315770206E-2</c:v>
                </c:pt>
                <c:pt idx="6">
                  <c:v>1.8949330250872483E-2</c:v>
                </c:pt>
                <c:pt idx="7">
                  <c:v>2.4839464433057842E-2</c:v>
                </c:pt>
                <c:pt idx="8">
                  <c:v>2.5384516005807982E-2</c:v>
                </c:pt>
                <c:pt idx="9">
                  <c:v>2.9406901258787088E-2</c:v>
                </c:pt>
                <c:pt idx="10">
                  <c:v>3.3365337029588826E-2</c:v>
                </c:pt>
                <c:pt idx="11">
                  <c:v>7.0026917346166145E-2</c:v>
                </c:pt>
                <c:pt idx="12">
                  <c:v>6.2334719227017762E-2</c:v>
                </c:pt>
                <c:pt idx="13">
                  <c:v>3.2928910133966025E-2</c:v>
                </c:pt>
                <c:pt idx="14">
                  <c:v>3.9607000000000003E-2</c:v>
                </c:pt>
                <c:pt idx="15">
                  <c:v>4.5108000000000002E-2</c:v>
                </c:pt>
                <c:pt idx="16" formatCode="0.00%">
                  <c:v>3.049445393736467E-2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F9A-45C2-BABC-01AB91225ABA}"/>
            </c:ext>
          </c:extLst>
        </c:ser>
        <c:ser>
          <c:idx val="14"/>
          <c:order val="14"/>
          <c:tx>
            <c:v>Families with 3 or more Labor Force</c:v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'T11-S4'!$DW$114:$EM$114</c:f>
              <c:numCache>
                <c:formatCode>0.0%</c:formatCode>
                <c:ptCount val="17"/>
                <c:pt idx="0">
                  <c:v>1.112292145401917E-2</c:v>
                </c:pt>
                <c:pt idx="1">
                  <c:v>1.3824968472517166E-2</c:v>
                </c:pt>
                <c:pt idx="2">
                  <c:v>1.0699767278345901E-2</c:v>
                </c:pt>
                <c:pt idx="3">
                  <c:v>1.8764449428113224E-2</c:v>
                </c:pt>
                <c:pt idx="4">
                  <c:v>1.9313350277286499E-2</c:v>
                </c:pt>
                <c:pt idx="5">
                  <c:v>1.5714664941760378E-2</c:v>
                </c:pt>
                <c:pt idx="6">
                  <c:v>1.6538226578410017E-2</c:v>
                </c:pt>
                <c:pt idx="7">
                  <c:v>2.6325251486031081E-2</c:v>
                </c:pt>
                <c:pt idx="8">
                  <c:v>3.2876809851156159E-2</c:v>
                </c:pt>
                <c:pt idx="9">
                  <c:v>4.2382050994644753E-2</c:v>
                </c:pt>
                <c:pt idx="10">
                  <c:v>4.7594450738060949E-2</c:v>
                </c:pt>
                <c:pt idx="11">
                  <c:v>4.5563589985068424E-2</c:v>
                </c:pt>
                <c:pt idx="12">
                  <c:v>4.708060079169523E-2</c:v>
                </c:pt>
                <c:pt idx="13">
                  <c:v>4.4104198672747771E-2</c:v>
                </c:pt>
                <c:pt idx="14">
                  <c:v>2.5177000000000001E-2</c:v>
                </c:pt>
                <c:pt idx="15">
                  <c:v>5.0276000000000001E-2</c:v>
                </c:pt>
                <c:pt idx="16" formatCode="0.00%">
                  <c:v>5.1381060474461872E-2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F9A-45C2-BABC-01AB9122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5314464"/>
        <c:axId val="575277072"/>
      </c:lineChart>
      <c:catAx>
        <c:axId val="5753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77072"/>
        <c:crosses val="autoZero"/>
        <c:auto val="1"/>
        <c:lblAlgn val="ctr"/>
        <c:lblOffset val="100"/>
        <c:noMultiLvlLbl val="0"/>
      </c:catAx>
      <c:valAx>
        <c:axId val="575277072"/>
        <c:scaling>
          <c:orientation val="minMax"/>
          <c:max val="0.28000000000000003"/>
          <c:min val="0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31446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481262758821815"/>
          <c:w val="1"/>
          <c:h val="0.185187372411781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</a:t>
            </a:r>
            <a:r>
              <a:rPr lang="en-US" baseline="0"/>
              <a:t>S Married Couple Family: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35552750387148"/>
          <c:y val="0.2473972602739726"/>
          <c:w val="0.54694955180536731"/>
          <c:h val="0.51444001006723472"/>
        </c:manualLayout>
      </c:layout>
      <c:lineChart>
        <c:grouping val="standard"/>
        <c:varyColors val="0"/>
        <c:ser>
          <c:idx val="0"/>
          <c:order val="0"/>
          <c:tx>
            <c:v>US Married Couple Family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('T1-T6'!$G$62,'T1-T6'!$G$65,'T1-T6'!$G$68,'T1-T6'!$G$71,'T1-T6'!$G$74,'T1-T6'!$G$77,'T1-T6'!$G$80,'T1-T6'!$G$83,'T1-T6'!$G$86,'T1-T6'!$G$89,'T1-T6'!$G$92,'T1-T6'!$G$95,'T1-T6'!$G$98,'T1-T6'!$G$101,'T1-T6'!$G$104,'T1-T6'!$G$107,'T1-T6'!$G$110)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('T1-T6'!$J$62,'T1-T6'!$J$65,'T1-T6'!$J$68,'T1-T6'!$J$71,'T1-T6'!$J$74,'T1-T6'!$J$77,'T1-T6'!$J$80,'T1-T6'!$J$83,'T1-T6'!$J$86,'T1-T6'!$J$89,'T1-T6'!$J$92,'T1-T6'!$J$95,'T1-T6'!$J$98,'T1-T6'!$J$101,'T1-T6'!$J$104,'T1-T6'!$J$107,'T1-T6'!$J$110)</c:f>
              <c:numCache>
                <c:formatCode>_(* #,##0_);_(* \(#,##0\);_(* "-"??_);_(@_)</c:formatCode>
                <c:ptCount val="17"/>
                <c:pt idx="0">
                  <c:v>61022460</c:v>
                </c:pt>
                <c:pt idx="1">
                  <c:v>60527570</c:v>
                </c:pt>
                <c:pt idx="2">
                  <c:v>60130870</c:v>
                </c:pt>
                <c:pt idx="3" formatCode="#,##0">
                  <c:v>59839500</c:v>
                </c:pt>
                <c:pt idx="4" formatCode="#,##0">
                  <c:v>59436200</c:v>
                </c:pt>
                <c:pt idx="5" formatCode="#,##0">
                  <c:v>59076400</c:v>
                </c:pt>
                <c:pt idx="6" formatCode="#,##0">
                  <c:v>58492400</c:v>
                </c:pt>
                <c:pt idx="7" formatCode="#,##0">
                  <c:v>58223000</c:v>
                </c:pt>
                <c:pt idx="8" formatCode="#,##0">
                  <c:v>58764000</c:v>
                </c:pt>
                <c:pt idx="9" formatCode="#,##0">
                  <c:v>58744000</c:v>
                </c:pt>
                <c:pt idx="10" formatCode="#,##0">
                  <c:v>58657000</c:v>
                </c:pt>
                <c:pt idx="11" formatCode="#,##0">
                  <c:v>58600000</c:v>
                </c:pt>
                <c:pt idx="12" formatCode="#,##0">
                  <c:v>58100000</c:v>
                </c:pt>
                <c:pt idx="13" formatCode="#,##0">
                  <c:v>57914000</c:v>
                </c:pt>
                <c:pt idx="14" formatCode="#,##0">
                  <c:v>57519000</c:v>
                </c:pt>
                <c:pt idx="15" formatCode="#,##0">
                  <c:v>57033000</c:v>
                </c:pt>
                <c:pt idx="16" formatCode="#,##0">
                  <c:v>56173000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58-47F0-85FF-B7D54D444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95875304"/>
        <c:axId val="595878256"/>
      </c:lineChart>
      <c:catAx>
        <c:axId val="5958753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878256"/>
        <c:crosses val="autoZero"/>
        <c:auto val="1"/>
        <c:lblAlgn val="ctr"/>
        <c:lblOffset val="100"/>
        <c:noMultiLvlLbl val="0"/>
      </c:catAx>
      <c:valAx>
        <c:axId val="595878256"/>
        <c:scaling>
          <c:orientation val="minMax"/>
          <c:min val="560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875304"/>
        <c:crossesAt val="1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Familey with Median Income in 100%-124% Poverty Level (2017 $)</a:t>
            </a:r>
          </a:p>
        </c:rich>
      </c:tx>
      <c:layout>
        <c:manualLayout>
          <c:xMode val="edge"/>
          <c:yMode val="edge"/>
          <c:x val="0.1033642649493479"/>
          <c:y val="4.53052360010388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240810139374288E-2"/>
          <c:y val="2.5428331875182269E-2"/>
          <c:w val="0.93460187797380945"/>
          <c:h val="0.83025517643627877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'T11-S4'!$DW$8:$EM$8</c:f>
              <c:numCache>
                <c:formatCode>0.0%</c:formatCode>
                <c:ptCount val="17"/>
                <c:pt idx="0">
                  <c:v>2.6633303194371363E-2</c:v>
                </c:pt>
                <c:pt idx="1">
                  <c:v>2.4741935357196931E-2</c:v>
                </c:pt>
                <c:pt idx="2">
                  <c:v>2.4051787658514959E-2</c:v>
                </c:pt>
                <c:pt idx="3">
                  <c:v>2.2103010050141498E-2</c:v>
                </c:pt>
                <c:pt idx="4">
                  <c:v>2.2823652085950216E-2</c:v>
                </c:pt>
                <c:pt idx="5">
                  <c:v>2.3683761635110427E-2</c:v>
                </c:pt>
                <c:pt idx="6">
                  <c:v>3.1351634773514325E-2</c:v>
                </c:pt>
                <c:pt idx="7">
                  <c:v>3.3653231355286112E-2</c:v>
                </c:pt>
                <c:pt idx="8">
                  <c:v>3.1529827121635552E-2</c:v>
                </c:pt>
                <c:pt idx="9">
                  <c:v>3.1739526320280959E-2</c:v>
                </c:pt>
                <c:pt idx="10">
                  <c:v>3.0779646970468342E-2</c:v>
                </c:pt>
                <c:pt idx="11">
                  <c:v>3.1618517234079928E-2</c:v>
                </c:pt>
                <c:pt idx="12">
                  <c:v>3.2109674198844626E-2</c:v>
                </c:pt>
                <c:pt idx="13">
                  <c:v>2.8402469383352384E-2</c:v>
                </c:pt>
                <c:pt idx="14">
                  <c:v>2.52E-2</c:v>
                </c:pt>
                <c:pt idx="15">
                  <c:v>2.69E-2</c:v>
                </c:pt>
                <c:pt idx="16" formatCode="0.00%">
                  <c:v>2.9100000000000001E-2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6-4294-B864-A62F1AC6011C}"/>
            </c:ext>
          </c:extLst>
        </c:ser>
        <c:ser>
          <c:idx val="1"/>
          <c:order val="1"/>
          <c:tx>
            <c:v>White Families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'T11-S4'!$DW$16:$EM$16</c:f>
              <c:numCache>
                <c:formatCode>0.0%</c:formatCode>
                <c:ptCount val="17"/>
                <c:pt idx="0">
                  <c:v>2.2363771863164919E-2</c:v>
                </c:pt>
                <c:pt idx="1">
                  <c:v>2.1875381913432464E-2</c:v>
                </c:pt>
                <c:pt idx="2">
                  <c:v>2.3460542838792377E-2</c:v>
                </c:pt>
                <c:pt idx="3">
                  <c:v>2.0227876496471817E-2</c:v>
                </c:pt>
                <c:pt idx="4">
                  <c:v>2.0750808393712142E-2</c:v>
                </c:pt>
                <c:pt idx="5">
                  <c:v>2.2052140913816749E-2</c:v>
                </c:pt>
                <c:pt idx="6">
                  <c:v>3.0335129215231422E-2</c:v>
                </c:pt>
                <c:pt idx="7">
                  <c:v>1.8635736050297544E-2</c:v>
                </c:pt>
                <c:pt idx="8">
                  <c:v>2.2489961156848693E-2</c:v>
                </c:pt>
                <c:pt idx="9">
                  <c:v>2.6773878553808386E-2</c:v>
                </c:pt>
                <c:pt idx="10">
                  <c:v>2.7039074817830581E-2</c:v>
                </c:pt>
                <c:pt idx="11">
                  <c:v>2.4521188980178993E-2</c:v>
                </c:pt>
                <c:pt idx="12">
                  <c:v>3.026490132450213E-2</c:v>
                </c:pt>
                <c:pt idx="13">
                  <c:v>3.0472152904800633E-2</c:v>
                </c:pt>
                <c:pt idx="14">
                  <c:v>2.6239999999999999E-2</c:v>
                </c:pt>
                <c:pt idx="15">
                  <c:v>2.6974000000000001E-2</c:v>
                </c:pt>
                <c:pt idx="16" formatCode="0.00%">
                  <c:v>2.4872860602469186E-2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6-4294-B864-A62F1AC6011C}"/>
            </c:ext>
          </c:extLst>
        </c:ser>
        <c:ser>
          <c:idx val="2"/>
          <c:order val="2"/>
          <c:tx>
            <c:v>Black Families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'T11-S4'!$DW$23:$EM$23</c:f>
              <c:numCache>
                <c:formatCode>0.0%</c:formatCode>
                <c:ptCount val="17"/>
                <c:pt idx="0">
                  <c:v>5.1450903886255367E-2</c:v>
                </c:pt>
                <c:pt idx="1">
                  <c:v>4.177035294177852E-2</c:v>
                </c:pt>
                <c:pt idx="2">
                  <c:v>3.8523832171107969E-2</c:v>
                </c:pt>
                <c:pt idx="3">
                  <c:v>4.2038442641060693E-2</c:v>
                </c:pt>
                <c:pt idx="4">
                  <c:v>4.3845534085708952E-2</c:v>
                </c:pt>
                <c:pt idx="5">
                  <c:v>4.3944774085979341E-2</c:v>
                </c:pt>
                <c:pt idx="6">
                  <c:v>4.7011262284355197E-2</c:v>
                </c:pt>
                <c:pt idx="7">
                  <c:v>5.4674073633579442E-2</c:v>
                </c:pt>
                <c:pt idx="8">
                  <c:v>6.5084271489421697E-2</c:v>
                </c:pt>
                <c:pt idx="9">
                  <c:v>5.6191442220786564E-2</c:v>
                </c:pt>
                <c:pt idx="10">
                  <c:v>5.5897179317596489E-2</c:v>
                </c:pt>
                <c:pt idx="11">
                  <c:v>7.5699683099588314E-2</c:v>
                </c:pt>
                <c:pt idx="12">
                  <c:v>4.6356674991761188E-2</c:v>
                </c:pt>
                <c:pt idx="13">
                  <c:v>1.5233211112985832E-2</c:v>
                </c:pt>
                <c:pt idx="14">
                  <c:v>3.1336999999999997E-2</c:v>
                </c:pt>
                <c:pt idx="15">
                  <c:v>4.9799999999999997E-2</c:v>
                </c:pt>
                <c:pt idx="16" formatCode="0.00%">
                  <c:v>5.0127854120428424E-2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36-4294-B864-A62F1AC6011C}"/>
            </c:ext>
          </c:extLst>
        </c:ser>
        <c:ser>
          <c:idx val="3"/>
          <c:order val="3"/>
          <c:tx>
            <c:v>Hispanic Families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'T11-S4'!$DW$30:$EM$30</c:f>
              <c:numCache>
                <c:formatCode>0.0%</c:formatCode>
                <c:ptCount val="17"/>
                <c:pt idx="0">
                  <c:v>6.5780599355380859E-2</c:v>
                </c:pt>
                <c:pt idx="1">
                  <c:v>6.23129092097717E-2</c:v>
                </c:pt>
                <c:pt idx="2">
                  <c:v>7.5926906980766415E-2</c:v>
                </c:pt>
                <c:pt idx="3">
                  <c:v>7.9976233263104629E-2</c:v>
                </c:pt>
                <c:pt idx="4">
                  <c:v>7.4733102991943801E-2</c:v>
                </c:pt>
                <c:pt idx="5">
                  <c:v>6.5028839213488954E-2</c:v>
                </c:pt>
                <c:pt idx="6">
                  <c:v>8.8008292427078222E-2</c:v>
                </c:pt>
                <c:pt idx="7">
                  <c:v>7.7293188308781222E-2</c:v>
                </c:pt>
                <c:pt idx="8">
                  <c:v>8.6617028826748002E-2</c:v>
                </c:pt>
                <c:pt idx="9">
                  <c:v>8.0515466813570996E-2</c:v>
                </c:pt>
                <c:pt idx="10">
                  <c:v>5.8500058241904934E-2</c:v>
                </c:pt>
                <c:pt idx="11">
                  <c:v>6.0829263967339141E-2</c:v>
                </c:pt>
                <c:pt idx="12">
                  <c:v>7.1765737229442128E-2</c:v>
                </c:pt>
                <c:pt idx="13">
                  <c:v>6.2261022407010605E-2</c:v>
                </c:pt>
                <c:pt idx="14">
                  <c:v>6.2313E-2</c:v>
                </c:pt>
                <c:pt idx="15">
                  <c:v>8.6999999999999994E-2</c:v>
                </c:pt>
                <c:pt idx="16" formatCode="0.00%">
                  <c:v>8.7660955436666965E-2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36-4294-B864-A62F1AC6011C}"/>
            </c:ext>
          </c:extLst>
        </c:ser>
        <c:ser>
          <c:idx val="4"/>
          <c:order val="4"/>
          <c:tx>
            <c:v>Married-Couple Families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'T11-S4'!$DW$38:$EM$38</c:f>
              <c:numCache>
                <c:formatCode>0.0%</c:formatCode>
                <c:ptCount val="17"/>
                <c:pt idx="0">
                  <c:v>1.5585351662836523E-2</c:v>
                </c:pt>
                <c:pt idx="1">
                  <c:v>1.5585351662836523E-2</c:v>
                </c:pt>
                <c:pt idx="2">
                  <c:v>1.7248602415818711E-2</c:v>
                </c:pt>
                <c:pt idx="3">
                  <c:v>1.6849585231859952E-2</c:v>
                </c:pt>
                <c:pt idx="4">
                  <c:v>1.6169348551503766E-2</c:v>
                </c:pt>
                <c:pt idx="5">
                  <c:v>1.5639840935316153E-2</c:v>
                </c:pt>
                <c:pt idx="6">
                  <c:v>1.3039413523315979E-2</c:v>
                </c:pt>
                <c:pt idx="7">
                  <c:v>2.0384451517299264E-2</c:v>
                </c:pt>
                <c:pt idx="8">
                  <c:v>2.0646736282268704E-2</c:v>
                </c:pt>
                <c:pt idx="9">
                  <c:v>2.1039395666490351E-2</c:v>
                </c:pt>
                <c:pt idx="10">
                  <c:v>2.1249484006787306E-2</c:v>
                </c:pt>
                <c:pt idx="11">
                  <c:v>2.0986669503364117E-2</c:v>
                </c:pt>
                <c:pt idx="12">
                  <c:v>1.5450845968590893E-2</c:v>
                </c:pt>
                <c:pt idx="13">
                  <c:v>1.689049049178417E-2</c:v>
                </c:pt>
                <c:pt idx="14">
                  <c:v>1.9869399846081409E-2</c:v>
                </c:pt>
                <c:pt idx="15">
                  <c:v>1.5105E-2</c:v>
                </c:pt>
                <c:pt idx="16" formatCode="0.00%">
                  <c:v>2.0886315199735387E-2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36-4294-B864-A62F1AC6011C}"/>
            </c:ext>
          </c:extLst>
        </c:ser>
        <c:ser>
          <c:idx val="5"/>
          <c:order val="5"/>
          <c:tx>
            <c:v>Female Household Spouse Absent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'T11-S4'!$DW$45:$EM$45</c:f>
              <c:numCache>
                <c:formatCode>0.0%</c:formatCode>
                <c:ptCount val="17"/>
                <c:pt idx="0">
                  <c:v>6.7098851516049843E-2</c:v>
                </c:pt>
                <c:pt idx="1">
                  <c:v>6.7098851516049843E-2</c:v>
                </c:pt>
                <c:pt idx="2">
                  <c:v>5.158716410128935E-2</c:v>
                </c:pt>
                <c:pt idx="3">
                  <c:v>4.7674736855339565E-2</c:v>
                </c:pt>
                <c:pt idx="4">
                  <c:v>4.4067506274837985E-2</c:v>
                </c:pt>
                <c:pt idx="5">
                  <c:v>6.0369983709697345E-2</c:v>
                </c:pt>
                <c:pt idx="6">
                  <c:v>7.2569351980392244E-2</c:v>
                </c:pt>
                <c:pt idx="7">
                  <c:v>7.2672536384244937E-2</c:v>
                </c:pt>
                <c:pt idx="8">
                  <c:v>4.8351547480182819E-2</c:v>
                </c:pt>
                <c:pt idx="9">
                  <c:v>5.1533167404232312E-2</c:v>
                </c:pt>
                <c:pt idx="10">
                  <c:v>5.6887030472369836E-2</c:v>
                </c:pt>
                <c:pt idx="11">
                  <c:v>6.4172568946377087E-2</c:v>
                </c:pt>
                <c:pt idx="12">
                  <c:v>7.6069478223394188E-2</c:v>
                </c:pt>
                <c:pt idx="13">
                  <c:v>8.0561910912748752E-2</c:v>
                </c:pt>
                <c:pt idx="14">
                  <c:v>5.4044771612190234E-2</c:v>
                </c:pt>
                <c:pt idx="15">
                  <c:v>5.4287000000000002E-2</c:v>
                </c:pt>
                <c:pt idx="16">
                  <c:v>6.7644814929007549E-2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36-4294-B864-A62F1AC6011C}"/>
            </c:ext>
          </c:extLst>
        </c:ser>
        <c:ser>
          <c:idx val="6"/>
          <c:order val="6"/>
          <c:tx>
            <c:v>Families with No Child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'T11-S4'!$DW$53:$EM$53</c:f>
              <c:numCache>
                <c:formatCode>0.0%</c:formatCode>
                <c:ptCount val="17"/>
                <c:pt idx="0">
                  <c:v>2.5078622987625268E-2</c:v>
                </c:pt>
                <c:pt idx="1">
                  <c:v>2.6080806028595895E-2</c:v>
                </c:pt>
                <c:pt idx="2">
                  <c:v>2.148506830409468E-2</c:v>
                </c:pt>
                <c:pt idx="3">
                  <c:v>1.556097895642161E-2</c:v>
                </c:pt>
                <c:pt idx="4">
                  <c:v>1.3516531927805114E-2</c:v>
                </c:pt>
                <c:pt idx="5">
                  <c:v>1.2395267102040943E-2</c:v>
                </c:pt>
                <c:pt idx="6">
                  <c:v>2.1773386712789167E-2</c:v>
                </c:pt>
                <c:pt idx="7">
                  <c:v>1.4971149305167996E-2</c:v>
                </c:pt>
                <c:pt idx="8">
                  <c:v>1.7813782314301141E-2</c:v>
                </c:pt>
                <c:pt idx="9">
                  <c:v>1.9129563284366765E-2</c:v>
                </c:pt>
                <c:pt idx="10">
                  <c:v>2.1896861923033407E-2</c:v>
                </c:pt>
                <c:pt idx="11">
                  <c:v>2.8057861915282731E-2</c:v>
                </c:pt>
                <c:pt idx="12">
                  <c:v>2.3322648403392356E-2</c:v>
                </c:pt>
                <c:pt idx="13">
                  <c:v>1.6078728945893954E-2</c:v>
                </c:pt>
                <c:pt idx="14">
                  <c:v>1.8665999999999999E-2</c:v>
                </c:pt>
                <c:pt idx="15">
                  <c:v>1.9165000000000001E-2</c:v>
                </c:pt>
                <c:pt idx="16" formatCode="0.00%">
                  <c:v>1.6071911407202558E-2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36-4294-B864-A62F1AC6011C}"/>
            </c:ext>
          </c:extLst>
        </c:ser>
        <c:ser>
          <c:idx val="7"/>
          <c:order val="7"/>
          <c:tx>
            <c:v>Families with 1 or 2 Children</c:v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'T11-S4'!$DW$60:$EM$60</c:f>
              <c:numCache>
                <c:formatCode>0.0%</c:formatCode>
                <c:ptCount val="17"/>
                <c:pt idx="0">
                  <c:v>1.9545345223249262E-2</c:v>
                </c:pt>
                <c:pt idx="1">
                  <c:v>1.673358133616764E-2</c:v>
                </c:pt>
                <c:pt idx="2">
                  <c:v>2.2333308269579747E-2</c:v>
                </c:pt>
                <c:pt idx="3">
                  <c:v>2.473072665087658E-2</c:v>
                </c:pt>
                <c:pt idx="4">
                  <c:v>2.7642874466039621E-2</c:v>
                </c:pt>
                <c:pt idx="5">
                  <c:v>3.3635975409433971E-2</c:v>
                </c:pt>
                <c:pt idx="6">
                  <c:v>3.6834569059003626E-2</c:v>
                </c:pt>
                <c:pt idx="7">
                  <c:v>4.096302204096703E-2</c:v>
                </c:pt>
                <c:pt idx="8">
                  <c:v>4.1997850774616777E-2</c:v>
                </c:pt>
                <c:pt idx="9">
                  <c:v>3.7779770703918178E-2</c:v>
                </c:pt>
                <c:pt idx="10">
                  <c:v>3.6231932947461451E-2</c:v>
                </c:pt>
                <c:pt idx="11">
                  <c:v>3.3371453463552747E-2</c:v>
                </c:pt>
                <c:pt idx="12">
                  <c:v>3.8646321584808956E-2</c:v>
                </c:pt>
                <c:pt idx="13">
                  <c:v>4.0402390154677233E-2</c:v>
                </c:pt>
                <c:pt idx="14">
                  <c:v>3.0567E-2</c:v>
                </c:pt>
                <c:pt idx="15">
                  <c:v>3.0799E-2</c:v>
                </c:pt>
                <c:pt idx="16" formatCode="General">
                  <c:v>3.5148147272210439E-2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36-4294-B864-A62F1AC6011C}"/>
            </c:ext>
          </c:extLst>
        </c:ser>
        <c:ser>
          <c:idx val="8"/>
          <c:order val="8"/>
          <c:tx>
            <c:v>Families with 3 or more Children</c:v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'T11-S4'!$DW$71:$EM$71</c:f>
              <c:numCache>
                <c:formatCode>0.0%</c:formatCode>
                <c:ptCount val="17"/>
                <c:pt idx="0">
                  <c:v>6.2869246898353423E-2</c:v>
                </c:pt>
                <c:pt idx="1">
                  <c:v>5.4098898657040026E-2</c:v>
                </c:pt>
                <c:pt idx="2">
                  <c:v>0.10800873122613158</c:v>
                </c:pt>
                <c:pt idx="3">
                  <c:v>0.10635037224443898</c:v>
                </c:pt>
                <c:pt idx="4">
                  <c:v>5.3050930838017069E-2</c:v>
                </c:pt>
                <c:pt idx="5">
                  <c:v>4.4556543630875141E-2</c:v>
                </c:pt>
                <c:pt idx="6">
                  <c:v>6.6024105714882347E-2</c:v>
                </c:pt>
                <c:pt idx="7">
                  <c:v>4.4180536397519801E-2</c:v>
                </c:pt>
                <c:pt idx="8">
                  <c:v>6.9069909698431561E-2</c:v>
                </c:pt>
                <c:pt idx="9">
                  <c:v>9.0846230467562433E-2</c:v>
                </c:pt>
                <c:pt idx="10">
                  <c:v>7.3798083053316518E-2</c:v>
                </c:pt>
                <c:pt idx="11">
                  <c:v>5.0239238412536434E-2</c:v>
                </c:pt>
                <c:pt idx="12">
                  <c:v>6.4865560251983645E-2</c:v>
                </c:pt>
                <c:pt idx="13">
                  <c:v>6.3858737619636619E-2</c:v>
                </c:pt>
                <c:pt idx="14">
                  <c:v>4.9568000000000001E-2</c:v>
                </c:pt>
                <c:pt idx="15">
                  <c:v>6.9434999999999997E-2</c:v>
                </c:pt>
                <c:pt idx="16" formatCode="0.00%">
                  <c:v>0.10929504637549961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36-4294-B864-A62F1AC6011C}"/>
            </c:ext>
          </c:extLst>
        </c:ser>
        <c:ser>
          <c:idx val="9"/>
          <c:order val="9"/>
          <c:tx>
            <c:v>Families with no child under 6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'T11-S4'!$DW$79:$EM$79</c:f>
              <c:numCache>
                <c:formatCode>0.0%</c:formatCode>
                <c:ptCount val="17"/>
                <c:pt idx="0">
                  <c:v>2.6134183464966883E-2</c:v>
                </c:pt>
                <c:pt idx="1">
                  <c:v>2.1986782915799027E-2</c:v>
                </c:pt>
                <c:pt idx="2">
                  <c:v>2.068491154055193E-2</c:v>
                </c:pt>
                <c:pt idx="3">
                  <c:v>1.9800151606639296E-2</c:v>
                </c:pt>
                <c:pt idx="4">
                  <c:v>1.9643271569602012E-2</c:v>
                </c:pt>
                <c:pt idx="5">
                  <c:v>2.0585250401597838E-2</c:v>
                </c:pt>
                <c:pt idx="6">
                  <c:v>2.9550108229015645E-2</c:v>
                </c:pt>
                <c:pt idx="7">
                  <c:v>2.3544781266081019E-2</c:v>
                </c:pt>
                <c:pt idx="8">
                  <c:v>2.5536032094309373E-2</c:v>
                </c:pt>
                <c:pt idx="9">
                  <c:v>2.517937056027339E-2</c:v>
                </c:pt>
                <c:pt idx="10">
                  <c:v>2.5641250941669524E-2</c:v>
                </c:pt>
                <c:pt idx="11">
                  <c:v>2.7834913889680905E-2</c:v>
                </c:pt>
                <c:pt idx="12">
                  <c:v>2.9355719814810475E-2</c:v>
                </c:pt>
                <c:pt idx="13">
                  <c:v>2.7439978884985439E-2</c:v>
                </c:pt>
                <c:pt idx="14">
                  <c:v>2.3585999999999999E-2</c:v>
                </c:pt>
                <c:pt idx="15">
                  <c:v>2.4004999999999999E-2</c:v>
                </c:pt>
                <c:pt idx="16" formatCode="0.00%">
                  <c:v>2.4758105825377838E-2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36-4294-B864-A62F1AC6011C}"/>
            </c:ext>
          </c:extLst>
        </c:ser>
        <c:ser>
          <c:idx val="10"/>
          <c:order val="10"/>
          <c:tx>
            <c:v>Families with Child under 6</c:v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'T11-S4'!$DW$86:$EM$86</c:f>
              <c:numCache>
                <c:formatCode>0.0%</c:formatCode>
                <c:ptCount val="17"/>
                <c:pt idx="0">
                  <c:v>2.8814744270398811E-2</c:v>
                </c:pt>
                <c:pt idx="1">
                  <c:v>3.6210048235480255E-2</c:v>
                </c:pt>
                <c:pt idx="2">
                  <c:v>3.8233864580671469E-2</c:v>
                </c:pt>
                <c:pt idx="3">
                  <c:v>3.1521613815657143E-2</c:v>
                </c:pt>
                <c:pt idx="4">
                  <c:v>3.5334286668905722E-2</c:v>
                </c:pt>
                <c:pt idx="5">
                  <c:v>3.5856713904899529E-2</c:v>
                </c:pt>
                <c:pt idx="6">
                  <c:v>3.8574473042582658E-2</c:v>
                </c:pt>
                <c:pt idx="7">
                  <c:v>4.4135800647657368E-2</c:v>
                </c:pt>
                <c:pt idx="8">
                  <c:v>5.7614218041382982E-2</c:v>
                </c:pt>
                <c:pt idx="9">
                  <c:v>6.2646928556477327E-2</c:v>
                </c:pt>
                <c:pt idx="10">
                  <c:v>5.6604868888521412E-2</c:v>
                </c:pt>
                <c:pt idx="11">
                  <c:v>4.9657793396708561E-2</c:v>
                </c:pt>
                <c:pt idx="12">
                  <c:v>4.5045187611940159E-2</c:v>
                </c:pt>
                <c:pt idx="13">
                  <c:v>3.3276899896162622E-2</c:v>
                </c:pt>
                <c:pt idx="14">
                  <c:v>3.3256000000000001E-2</c:v>
                </c:pt>
                <c:pt idx="15">
                  <c:v>4.1487000000000003E-2</c:v>
                </c:pt>
                <c:pt idx="16" formatCode="0.00%">
                  <c:v>5.2171116841240137E-2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C36-4294-B864-A62F1AC6011C}"/>
            </c:ext>
          </c:extLst>
        </c:ser>
        <c:ser>
          <c:idx val="11"/>
          <c:order val="11"/>
          <c:tx>
            <c:v>Families with 0 Labor Force</c:v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'T11-S4'!$DW$94:$EM$94</c:f>
              <c:numCache>
                <c:formatCode>0.0%</c:formatCode>
                <c:ptCount val="17"/>
                <c:pt idx="0">
                  <c:v>6.1686042194948561E-2</c:v>
                </c:pt>
                <c:pt idx="1">
                  <c:v>5.4823930438134896E-2</c:v>
                </c:pt>
                <c:pt idx="2">
                  <c:v>4.6899626471996018E-2</c:v>
                </c:pt>
                <c:pt idx="3">
                  <c:v>3.1056416043115986E-2</c:v>
                </c:pt>
                <c:pt idx="4">
                  <c:v>3.2828789619073678E-2</c:v>
                </c:pt>
                <c:pt idx="5">
                  <c:v>3.0068676133731397E-2</c:v>
                </c:pt>
                <c:pt idx="6">
                  <c:v>8.3076274657806176E-2</c:v>
                </c:pt>
                <c:pt idx="7">
                  <c:v>4.3814055745062183E-2</c:v>
                </c:pt>
                <c:pt idx="8">
                  <c:v>4.067430472410876E-2</c:v>
                </c:pt>
                <c:pt idx="9">
                  <c:v>5.6183338898448447E-2</c:v>
                </c:pt>
                <c:pt idx="10">
                  <c:v>5.1326409869063408E-2</c:v>
                </c:pt>
                <c:pt idx="11">
                  <c:v>3.8455579854902965E-2</c:v>
                </c:pt>
                <c:pt idx="12">
                  <c:v>5.1055885882322898E-2</c:v>
                </c:pt>
                <c:pt idx="13">
                  <c:v>3.7411643040688697E-2</c:v>
                </c:pt>
                <c:pt idx="14">
                  <c:v>6.2632999999999994E-2</c:v>
                </c:pt>
                <c:pt idx="15">
                  <c:v>4.5719999999999997E-2</c:v>
                </c:pt>
                <c:pt idx="16" formatCode="0.00%">
                  <c:v>3.8280321831448035E-2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C36-4294-B864-A62F1AC6011C}"/>
            </c:ext>
          </c:extLst>
        </c:ser>
        <c:ser>
          <c:idx val="12"/>
          <c:order val="12"/>
          <c:tx>
            <c:v>Families with 1 Labor Force</c:v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'T11-S4'!$DW$100:$EM$100</c:f>
              <c:numCache>
                <c:formatCode>0.0%</c:formatCode>
                <c:ptCount val="17"/>
                <c:pt idx="0">
                  <c:v>0.10023853786266362</c:v>
                </c:pt>
                <c:pt idx="1">
                  <c:v>0.10292130927571184</c:v>
                </c:pt>
                <c:pt idx="2">
                  <c:v>9.8819497857521879E-2</c:v>
                </c:pt>
                <c:pt idx="3">
                  <c:v>8.6971159144547311E-2</c:v>
                </c:pt>
                <c:pt idx="4">
                  <c:v>7.2175080215470894E-2</c:v>
                </c:pt>
                <c:pt idx="5">
                  <c:v>9.5230062514574804E-2</c:v>
                </c:pt>
                <c:pt idx="6">
                  <c:v>0.10310280506539801</c:v>
                </c:pt>
                <c:pt idx="7">
                  <c:v>8.2462552088795257E-2</c:v>
                </c:pt>
                <c:pt idx="8">
                  <c:v>0.10145894564939603</c:v>
                </c:pt>
                <c:pt idx="9">
                  <c:v>0.11005183044782674</c:v>
                </c:pt>
                <c:pt idx="10">
                  <c:v>0.12086248521709135</c:v>
                </c:pt>
                <c:pt idx="11">
                  <c:v>0.16905684227261791</c:v>
                </c:pt>
                <c:pt idx="12">
                  <c:v>0.12445979066672072</c:v>
                </c:pt>
                <c:pt idx="13">
                  <c:v>0.14049307606611761</c:v>
                </c:pt>
                <c:pt idx="14">
                  <c:v>0.12475600000000001</c:v>
                </c:pt>
                <c:pt idx="15">
                  <c:v>0.12746199999999999</c:v>
                </c:pt>
                <c:pt idx="16" formatCode="0.00%">
                  <c:v>0.1060738632345041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C36-4294-B864-A62F1AC6011C}"/>
            </c:ext>
          </c:extLst>
        </c:ser>
        <c:ser>
          <c:idx val="13"/>
          <c:order val="13"/>
          <c:tx>
            <c:v>Families with 2 Labor Force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'T11-S4'!$DW$108:$EM$108</c:f>
              <c:numCache>
                <c:formatCode>0.0%</c:formatCode>
                <c:ptCount val="17"/>
                <c:pt idx="0">
                  <c:v>1.4757468924239776E-2</c:v>
                </c:pt>
                <c:pt idx="1">
                  <c:v>9.7415904129945947E-3</c:v>
                </c:pt>
                <c:pt idx="2">
                  <c:v>1.2589997947746448E-2</c:v>
                </c:pt>
                <c:pt idx="3">
                  <c:v>1.304313612781394E-2</c:v>
                </c:pt>
                <c:pt idx="4">
                  <c:v>1.0369456704641325E-2</c:v>
                </c:pt>
                <c:pt idx="5">
                  <c:v>1.1729674932248484E-2</c:v>
                </c:pt>
                <c:pt idx="6">
                  <c:v>1.2336124382946685E-2</c:v>
                </c:pt>
                <c:pt idx="7">
                  <c:v>1.9877447240485863E-2</c:v>
                </c:pt>
                <c:pt idx="8">
                  <c:v>2.2403906892324153E-2</c:v>
                </c:pt>
                <c:pt idx="9">
                  <c:v>1.8686066917440507E-2</c:v>
                </c:pt>
                <c:pt idx="10">
                  <c:v>1.7666582783737228E-2</c:v>
                </c:pt>
                <c:pt idx="11">
                  <c:v>2.8140049301650143E-2</c:v>
                </c:pt>
                <c:pt idx="12">
                  <c:v>2.1782741407926354E-2</c:v>
                </c:pt>
                <c:pt idx="13">
                  <c:v>2.0054726956176643E-2</c:v>
                </c:pt>
                <c:pt idx="14">
                  <c:v>1.7474E-2</c:v>
                </c:pt>
                <c:pt idx="15">
                  <c:v>2.5035000000000002E-2</c:v>
                </c:pt>
                <c:pt idx="16" formatCode="0.00%">
                  <c:v>2.0140204239265221E-2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C36-4294-B864-A62F1AC6011C}"/>
            </c:ext>
          </c:extLst>
        </c:ser>
        <c:ser>
          <c:idx val="14"/>
          <c:order val="14"/>
          <c:tx>
            <c:v>Families with 3 or more Labor Force</c:v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'T11-S4'!$DW$115:$EM$115</c:f>
              <c:numCache>
                <c:formatCode>0.0%</c:formatCode>
                <c:ptCount val="17"/>
                <c:pt idx="0">
                  <c:v>1.7393524968087024E-2</c:v>
                </c:pt>
                <c:pt idx="1">
                  <c:v>2.4463940896390628E-2</c:v>
                </c:pt>
                <c:pt idx="2">
                  <c:v>1.6290279751672784E-2</c:v>
                </c:pt>
                <c:pt idx="3">
                  <c:v>1.4337440413583424E-2</c:v>
                </c:pt>
                <c:pt idx="4">
                  <c:v>1.2232948016301329E-2</c:v>
                </c:pt>
                <c:pt idx="5">
                  <c:v>4.6657261441164785E-3</c:v>
                </c:pt>
                <c:pt idx="6">
                  <c:v>3.8302085152098959E-3</c:v>
                </c:pt>
                <c:pt idx="7">
                  <c:v>1.6151284602055928E-2</c:v>
                </c:pt>
                <c:pt idx="8">
                  <c:v>2.1290128208308858E-2</c:v>
                </c:pt>
                <c:pt idx="9">
                  <c:v>2.2529911111361989E-2</c:v>
                </c:pt>
                <c:pt idx="10">
                  <c:v>1.787765589035065E-2</c:v>
                </c:pt>
                <c:pt idx="11">
                  <c:v>2.7459629261366119E-2</c:v>
                </c:pt>
                <c:pt idx="12">
                  <c:v>2.4933960053616089E-2</c:v>
                </c:pt>
                <c:pt idx="13">
                  <c:v>1.563086523439566E-2</c:v>
                </c:pt>
                <c:pt idx="14">
                  <c:v>9.2569999999999996E-3</c:v>
                </c:pt>
                <c:pt idx="15">
                  <c:v>1.5408E-2</c:v>
                </c:pt>
                <c:pt idx="16" formatCode="0.00%">
                  <c:v>2.2242301657230717E-2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36-4294-B864-A62F1AC60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6890384"/>
        <c:axId val="486906784"/>
      </c:lineChart>
      <c:catAx>
        <c:axId val="48689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906784"/>
        <c:crosses val="autoZero"/>
        <c:auto val="1"/>
        <c:lblAlgn val="ctr"/>
        <c:lblOffset val="100"/>
        <c:noMultiLvlLbl val="0"/>
      </c:catAx>
      <c:valAx>
        <c:axId val="486906784"/>
        <c:scaling>
          <c:orientation val="minMax"/>
          <c:max val="0.17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8903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32298046077571"/>
          <c:w val="1"/>
          <c:h val="0.14467701953922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Family</a:t>
            </a:r>
            <a:r>
              <a:rPr lang="en-US" baseline="0"/>
              <a:t> with Median Income in 125%-150% Poverty Level (2017 $)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070957593715422E-2"/>
          <c:y val="7.4490740740740746E-2"/>
          <c:w val="0.96112184147713242"/>
          <c:h val="0.70178878681831425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'T11-S4'!$DW$9:$EM$9</c:f>
              <c:numCache>
                <c:formatCode>0.0%</c:formatCode>
                <c:ptCount val="17"/>
                <c:pt idx="0">
                  <c:v>3.2478260474854581E-2</c:v>
                </c:pt>
                <c:pt idx="1">
                  <c:v>3.1485980766067435E-2</c:v>
                </c:pt>
                <c:pt idx="2">
                  <c:v>2.7653231588050241E-2</c:v>
                </c:pt>
                <c:pt idx="3">
                  <c:v>2.4919933620123642E-2</c:v>
                </c:pt>
                <c:pt idx="4">
                  <c:v>2.2376846599243827E-2</c:v>
                </c:pt>
                <c:pt idx="5">
                  <c:v>2.3314127364175718E-2</c:v>
                </c:pt>
                <c:pt idx="6">
                  <c:v>2.2128121969788805E-2</c:v>
                </c:pt>
                <c:pt idx="7">
                  <c:v>2.4720351892013624E-2</c:v>
                </c:pt>
                <c:pt idx="8">
                  <c:v>2.4839487371322414E-2</c:v>
                </c:pt>
                <c:pt idx="9">
                  <c:v>2.4924802659754539E-2</c:v>
                </c:pt>
                <c:pt idx="10">
                  <c:v>2.5521247417209344E-2</c:v>
                </c:pt>
                <c:pt idx="11">
                  <c:v>3.0948052299003295E-2</c:v>
                </c:pt>
                <c:pt idx="12">
                  <c:v>3.0553123792354128E-2</c:v>
                </c:pt>
                <c:pt idx="13">
                  <c:v>2.5896057812895827E-2</c:v>
                </c:pt>
                <c:pt idx="14">
                  <c:v>2.7699999999999999E-2</c:v>
                </c:pt>
                <c:pt idx="15">
                  <c:v>3.0700000000000002E-2</c:v>
                </c:pt>
                <c:pt idx="16" formatCode="0.00%">
                  <c:v>3.3699999999999994E-2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02-460D-AFA6-3A8D73E85F02}"/>
            </c:ext>
          </c:extLst>
        </c:ser>
        <c:ser>
          <c:idx val="1"/>
          <c:order val="1"/>
          <c:tx>
            <c:v>White Families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'T11-S4'!$DW$17:$EM$17</c:f>
              <c:numCache>
                <c:formatCode>0.0%</c:formatCode>
                <c:ptCount val="17"/>
                <c:pt idx="0">
                  <c:v>2.6750839852921052E-2</c:v>
                </c:pt>
                <c:pt idx="1">
                  <c:v>2.5274366800078565E-2</c:v>
                </c:pt>
                <c:pt idx="2">
                  <c:v>2.3868706157643312E-2</c:v>
                </c:pt>
                <c:pt idx="3">
                  <c:v>2.2078035708479375E-2</c:v>
                </c:pt>
                <c:pt idx="4">
                  <c:v>2.0962976742045194E-2</c:v>
                </c:pt>
                <c:pt idx="5">
                  <c:v>2.1136703790351822E-2</c:v>
                </c:pt>
                <c:pt idx="6">
                  <c:v>1.8996354752943232E-2</c:v>
                </c:pt>
                <c:pt idx="7">
                  <c:v>2.6517489556041714E-2</c:v>
                </c:pt>
                <c:pt idx="8">
                  <c:v>2.3882932511991764E-2</c:v>
                </c:pt>
                <c:pt idx="9">
                  <c:v>2.297850823356996E-2</c:v>
                </c:pt>
                <c:pt idx="10">
                  <c:v>2.2701994551357706E-2</c:v>
                </c:pt>
                <c:pt idx="11">
                  <c:v>2.5668916591360967E-2</c:v>
                </c:pt>
                <c:pt idx="12">
                  <c:v>2.5586746862574398E-2</c:v>
                </c:pt>
                <c:pt idx="13">
                  <c:v>2.4015162397192938E-2</c:v>
                </c:pt>
                <c:pt idx="14">
                  <c:v>2.5004999999999999E-2</c:v>
                </c:pt>
                <c:pt idx="15">
                  <c:v>2.7910999999999998E-2</c:v>
                </c:pt>
                <c:pt idx="16" formatCode="0.00%">
                  <c:v>3.2276631030576403E-2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2-460D-AFA6-3A8D73E85F02}"/>
            </c:ext>
          </c:extLst>
        </c:ser>
        <c:ser>
          <c:idx val="2"/>
          <c:order val="2"/>
          <c:tx>
            <c:v>Black Families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'T11-S4'!$DW$24:$EM$24</c:f>
              <c:numCache>
                <c:formatCode>0.0%</c:formatCode>
                <c:ptCount val="17"/>
                <c:pt idx="0">
                  <c:v>4.0209132565847371E-2</c:v>
                </c:pt>
                <c:pt idx="1">
                  <c:v>6.0540992172817505E-2</c:v>
                </c:pt>
                <c:pt idx="2">
                  <c:v>5.1865531264771565E-2</c:v>
                </c:pt>
                <c:pt idx="3">
                  <c:v>4.4209156211897374E-2</c:v>
                </c:pt>
                <c:pt idx="4">
                  <c:v>3.407053351695407E-2</c:v>
                </c:pt>
                <c:pt idx="5">
                  <c:v>3.4350829566723237E-2</c:v>
                </c:pt>
                <c:pt idx="6">
                  <c:v>3.7686022909196884E-2</c:v>
                </c:pt>
                <c:pt idx="7">
                  <c:v>4.6276850776697201E-2</c:v>
                </c:pt>
                <c:pt idx="8">
                  <c:v>2.8674495532573951E-2</c:v>
                </c:pt>
                <c:pt idx="9">
                  <c:v>3.5158554157624158E-2</c:v>
                </c:pt>
                <c:pt idx="10">
                  <c:v>4.800750507846873E-2</c:v>
                </c:pt>
                <c:pt idx="11">
                  <c:v>6.6407347891361573E-2</c:v>
                </c:pt>
                <c:pt idx="12">
                  <c:v>6.9401422082095182E-2</c:v>
                </c:pt>
                <c:pt idx="13">
                  <c:v>4.4246018121805022E-2</c:v>
                </c:pt>
                <c:pt idx="14">
                  <c:v>3.4666000000000002E-2</c:v>
                </c:pt>
                <c:pt idx="15">
                  <c:v>4.4999999999999998E-2</c:v>
                </c:pt>
                <c:pt idx="16" formatCode="0.00%">
                  <c:v>5.4446006382016202E-2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02-460D-AFA6-3A8D73E85F02}"/>
            </c:ext>
          </c:extLst>
        </c:ser>
        <c:ser>
          <c:idx val="3"/>
          <c:order val="3"/>
          <c:tx>
            <c:v>Hispanic Families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'T11-S4'!$DW$31:$EM$31</c:f>
              <c:numCache>
                <c:formatCode>0.0%</c:formatCode>
                <c:ptCount val="17"/>
                <c:pt idx="0">
                  <c:v>5.6402694036387466E-2</c:v>
                </c:pt>
                <c:pt idx="1">
                  <c:v>5.334891986179998E-2</c:v>
                </c:pt>
                <c:pt idx="2">
                  <c:v>6.3305242468769632E-2</c:v>
                </c:pt>
                <c:pt idx="3">
                  <c:v>6.580526184500568E-2</c:v>
                </c:pt>
                <c:pt idx="4">
                  <c:v>5.3143508255383158E-2</c:v>
                </c:pt>
                <c:pt idx="5">
                  <c:v>5.8071364455995568E-2</c:v>
                </c:pt>
                <c:pt idx="6">
                  <c:v>6.1787795998164849E-2</c:v>
                </c:pt>
                <c:pt idx="7">
                  <c:v>5.8822920869095643E-2</c:v>
                </c:pt>
                <c:pt idx="8">
                  <c:v>6.0961149407627584E-2</c:v>
                </c:pt>
                <c:pt idx="9">
                  <c:v>5.5744098368510575E-2</c:v>
                </c:pt>
                <c:pt idx="10">
                  <c:v>5.751295953017712E-2</c:v>
                </c:pt>
                <c:pt idx="11">
                  <c:v>7.3950553059704466E-2</c:v>
                </c:pt>
                <c:pt idx="12">
                  <c:v>6.2562942239546782E-2</c:v>
                </c:pt>
                <c:pt idx="13">
                  <c:v>5.7521243691194449E-2</c:v>
                </c:pt>
                <c:pt idx="14">
                  <c:v>5.8993999999999998E-2</c:v>
                </c:pt>
                <c:pt idx="15">
                  <c:v>5.3699999999999998E-2</c:v>
                </c:pt>
                <c:pt idx="16" formatCode="0.00%">
                  <c:v>6.674853365929255E-2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02-460D-AFA6-3A8D73E85F02}"/>
            </c:ext>
          </c:extLst>
        </c:ser>
        <c:ser>
          <c:idx val="4"/>
          <c:order val="4"/>
          <c:tx>
            <c:v>Married-Couple Families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'T11-S4'!$DW$39:$EM$39</c:f>
              <c:numCache>
                <c:formatCode>0.0%</c:formatCode>
                <c:ptCount val="17"/>
                <c:pt idx="0">
                  <c:v>2.3944847769189242E-2</c:v>
                </c:pt>
                <c:pt idx="1">
                  <c:v>2.3944847769189242E-2</c:v>
                </c:pt>
                <c:pt idx="2">
                  <c:v>2.2111462074508537E-2</c:v>
                </c:pt>
                <c:pt idx="3">
                  <c:v>2.0259631469911939E-2</c:v>
                </c:pt>
                <c:pt idx="4">
                  <c:v>1.9320705929717484E-2</c:v>
                </c:pt>
                <c:pt idx="5">
                  <c:v>1.4975536252354951E-2</c:v>
                </c:pt>
                <c:pt idx="6">
                  <c:v>1.5323156532413085E-2</c:v>
                </c:pt>
                <c:pt idx="7">
                  <c:v>1.4151037535523965E-2</c:v>
                </c:pt>
                <c:pt idx="8">
                  <c:v>1.6524787269268426E-2</c:v>
                </c:pt>
                <c:pt idx="9">
                  <c:v>1.4200102944825961E-2</c:v>
                </c:pt>
                <c:pt idx="10">
                  <c:v>1.6804331324334312E-2</c:v>
                </c:pt>
                <c:pt idx="11">
                  <c:v>1.8162652864998644E-2</c:v>
                </c:pt>
                <c:pt idx="12">
                  <c:v>1.9283606820277879E-2</c:v>
                </c:pt>
                <c:pt idx="13">
                  <c:v>2.0353705455307285E-2</c:v>
                </c:pt>
                <c:pt idx="14">
                  <c:v>1.7812096180672074E-2</c:v>
                </c:pt>
                <c:pt idx="15">
                  <c:v>1.7465999999999999E-2</c:v>
                </c:pt>
                <c:pt idx="16" formatCode="0.00%">
                  <c:v>2.3173341987154032E-2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02-460D-AFA6-3A8D73E85F02}"/>
            </c:ext>
          </c:extLst>
        </c:ser>
        <c:ser>
          <c:idx val="5"/>
          <c:order val="5"/>
          <c:tx>
            <c:v>Female Families Spouse Absent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'T11-S4'!$DW$46:$EM$46</c:f>
              <c:numCache>
                <c:formatCode>0.0%</c:formatCode>
                <c:ptCount val="17"/>
                <c:pt idx="0">
                  <c:v>6.5505814303635002E-2</c:v>
                </c:pt>
                <c:pt idx="1">
                  <c:v>6.5505814303635002E-2</c:v>
                </c:pt>
                <c:pt idx="2">
                  <c:v>6.3654236348570176E-2</c:v>
                </c:pt>
                <c:pt idx="3">
                  <c:v>5.0646691079311634E-2</c:v>
                </c:pt>
                <c:pt idx="4">
                  <c:v>4.4474068301663505E-2</c:v>
                </c:pt>
                <c:pt idx="5">
                  <c:v>4.8394277289326063E-2</c:v>
                </c:pt>
                <c:pt idx="6">
                  <c:v>5.1692806385345187E-2</c:v>
                </c:pt>
                <c:pt idx="7">
                  <c:v>5.1394209561785871E-2</c:v>
                </c:pt>
                <c:pt idx="8">
                  <c:v>7.3527453294127368E-2</c:v>
                </c:pt>
                <c:pt idx="9">
                  <c:v>6.4292296039239749E-2</c:v>
                </c:pt>
                <c:pt idx="10">
                  <c:v>5.3010489262359489E-2</c:v>
                </c:pt>
                <c:pt idx="11">
                  <c:v>4.9205252226771808E-2</c:v>
                </c:pt>
                <c:pt idx="12">
                  <c:v>6.3705410426025594E-2</c:v>
                </c:pt>
                <c:pt idx="13">
                  <c:v>6.542274322414933E-2</c:v>
                </c:pt>
                <c:pt idx="14">
                  <c:v>5.7655918006851208E-2</c:v>
                </c:pt>
                <c:pt idx="15">
                  <c:v>6.1282999999999997E-2</c:v>
                </c:pt>
                <c:pt idx="16">
                  <c:v>6.4051012500746143E-2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02-460D-AFA6-3A8D73E85F02}"/>
            </c:ext>
          </c:extLst>
        </c:ser>
        <c:ser>
          <c:idx val="6"/>
          <c:order val="6"/>
          <c:tx>
            <c:v>Families with No Child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'T11-S4'!$DW$54:$EM$54</c:f>
              <c:numCache>
                <c:formatCode>0.0%</c:formatCode>
                <c:ptCount val="17"/>
                <c:pt idx="0">
                  <c:v>3.3007016483413698E-2</c:v>
                </c:pt>
                <c:pt idx="1">
                  <c:v>2.9960806074392523E-2</c:v>
                </c:pt>
                <c:pt idx="2">
                  <c:v>2.2711278072912358E-2</c:v>
                </c:pt>
                <c:pt idx="3">
                  <c:v>2.3978888912672528E-2</c:v>
                </c:pt>
                <c:pt idx="4">
                  <c:v>2.3573211554266487E-2</c:v>
                </c:pt>
                <c:pt idx="5">
                  <c:v>1.7637639050520876E-2</c:v>
                </c:pt>
                <c:pt idx="6">
                  <c:v>1.494930078654136E-2</c:v>
                </c:pt>
                <c:pt idx="7">
                  <c:v>1.7782963048278304E-2</c:v>
                </c:pt>
                <c:pt idx="8">
                  <c:v>1.7931858508179872E-2</c:v>
                </c:pt>
                <c:pt idx="9">
                  <c:v>2.2786907047747301E-2</c:v>
                </c:pt>
                <c:pt idx="10">
                  <c:v>2.1507893592677359E-2</c:v>
                </c:pt>
                <c:pt idx="11">
                  <c:v>2.0611881493434302E-2</c:v>
                </c:pt>
                <c:pt idx="12">
                  <c:v>1.9230642361116042E-2</c:v>
                </c:pt>
                <c:pt idx="13">
                  <c:v>1.8973244468768635E-2</c:v>
                </c:pt>
                <c:pt idx="14">
                  <c:v>2.1777000000000001E-2</c:v>
                </c:pt>
                <c:pt idx="15">
                  <c:v>2.4152E-2</c:v>
                </c:pt>
                <c:pt idx="16" formatCode="0.00%">
                  <c:v>2.9832311596759323E-2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02-460D-AFA6-3A8D73E85F02}"/>
            </c:ext>
          </c:extLst>
        </c:ser>
        <c:ser>
          <c:idx val="7"/>
          <c:order val="7"/>
          <c:tx>
            <c:v>Families with 1 or 2 Children</c:v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'T11-S4'!$DW$61:$EM$61</c:f>
              <c:numCache>
                <c:formatCode>0.0%</c:formatCode>
                <c:ptCount val="17"/>
                <c:pt idx="0">
                  <c:v>2.7026290089055105E-2</c:v>
                </c:pt>
                <c:pt idx="1">
                  <c:v>2.5236592617038221E-2</c:v>
                </c:pt>
                <c:pt idx="2">
                  <c:v>3.0524750830751207E-2</c:v>
                </c:pt>
                <c:pt idx="3">
                  <c:v>2.5474833787073058E-2</c:v>
                </c:pt>
                <c:pt idx="4">
                  <c:v>2.0451558545890373E-2</c:v>
                </c:pt>
                <c:pt idx="5">
                  <c:v>2.6397770542145361E-2</c:v>
                </c:pt>
                <c:pt idx="6">
                  <c:v>2.5057520722975637E-2</c:v>
                </c:pt>
                <c:pt idx="7">
                  <c:v>3.3818463408384583E-2</c:v>
                </c:pt>
                <c:pt idx="8">
                  <c:v>3.1232964501846046E-2</c:v>
                </c:pt>
                <c:pt idx="9">
                  <c:v>2.7452903800541755E-2</c:v>
                </c:pt>
                <c:pt idx="10">
                  <c:v>2.9283094297921499E-2</c:v>
                </c:pt>
                <c:pt idx="11">
                  <c:v>4.0631627895008432E-2</c:v>
                </c:pt>
                <c:pt idx="12">
                  <c:v>3.7935199202109096E-2</c:v>
                </c:pt>
                <c:pt idx="13">
                  <c:v>2.8040631114716413E-2</c:v>
                </c:pt>
                <c:pt idx="14">
                  <c:v>2.8341000000000002E-2</c:v>
                </c:pt>
                <c:pt idx="15">
                  <c:v>3.7414999999999997E-2</c:v>
                </c:pt>
                <c:pt idx="16" formatCode="General">
                  <c:v>4.0670295360794348E-2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02-460D-AFA6-3A8D73E85F02}"/>
            </c:ext>
          </c:extLst>
        </c:ser>
        <c:ser>
          <c:idx val="8"/>
          <c:order val="8"/>
          <c:tx>
            <c:v>Families with 3 or More Children</c:v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'T11-S4'!$DW$72:$EM$72</c:f>
              <c:numCache>
                <c:formatCode>0.0%</c:formatCode>
                <c:ptCount val="17"/>
                <c:pt idx="0">
                  <c:v>5.2135633366659911E-2</c:v>
                </c:pt>
                <c:pt idx="1">
                  <c:v>7.1035235609517508E-2</c:v>
                </c:pt>
                <c:pt idx="2">
                  <c:v>4.1671893507766865E-2</c:v>
                </c:pt>
                <c:pt idx="3">
                  <c:v>2.6069697405926285E-2</c:v>
                </c:pt>
                <c:pt idx="4">
                  <c:v>2.4496207553963638E-2</c:v>
                </c:pt>
                <c:pt idx="5">
                  <c:v>4.3060240534541494E-2</c:v>
                </c:pt>
                <c:pt idx="6">
                  <c:v>5.3905896576545861E-2</c:v>
                </c:pt>
                <c:pt idx="7">
                  <c:v>6.7291829910204493E-2</c:v>
                </c:pt>
                <c:pt idx="8">
                  <c:v>3.9361883389050265E-2</c:v>
                </c:pt>
                <c:pt idx="9">
                  <c:v>2.7890221193604237E-2</c:v>
                </c:pt>
                <c:pt idx="10">
                  <c:v>3.7444626476649097E-2</c:v>
                </c:pt>
                <c:pt idx="11">
                  <c:v>6.1450244676537071E-2</c:v>
                </c:pt>
                <c:pt idx="12">
                  <c:v>7.7846828485946137E-2</c:v>
                </c:pt>
                <c:pt idx="13">
                  <c:v>6.9955223161717012E-2</c:v>
                </c:pt>
                <c:pt idx="14">
                  <c:v>6.8912000000000001E-2</c:v>
                </c:pt>
                <c:pt idx="15">
                  <c:v>5.1036999999999999E-2</c:v>
                </c:pt>
                <c:pt idx="16" formatCode="0.00%">
                  <c:v>3.2077346201351754E-2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02-460D-AFA6-3A8D73E85F02}"/>
            </c:ext>
          </c:extLst>
        </c:ser>
        <c:ser>
          <c:idx val="9"/>
          <c:order val="9"/>
          <c:tx>
            <c:v>Family with no Child under 6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'T11-S4'!$DW$80:$EM$80</c:f>
              <c:numCache>
                <c:formatCode>0.0%</c:formatCode>
                <c:ptCount val="17"/>
                <c:pt idx="0">
                  <c:v>3.3130474550796589E-2</c:v>
                </c:pt>
                <c:pt idx="1">
                  <c:v>3.0837967322478843E-2</c:v>
                </c:pt>
                <c:pt idx="2">
                  <c:v>2.4637372942282361E-2</c:v>
                </c:pt>
                <c:pt idx="3">
                  <c:v>2.253735040077573E-2</c:v>
                </c:pt>
                <c:pt idx="4">
                  <c:v>2.2069854162951007E-2</c:v>
                </c:pt>
                <c:pt idx="5">
                  <c:v>2.2623877277764201E-2</c:v>
                </c:pt>
                <c:pt idx="6">
                  <c:v>2.1433970030552672E-2</c:v>
                </c:pt>
                <c:pt idx="7">
                  <c:v>1.8739840543579529E-2</c:v>
                </c:pt>
                <c:pt idx="8">
                  <c:v>2.0203744704264132E-2</c:v>
                </c:pt>
                <c:pt idx="9">
                  <c:v>2.481870103481534E-2</c:v>
                </c:pt>
                <c:pt idx="10">
                  <c:v>2.3897729374944804E-2</c:v>
                </c:pt>
                <c:pt idx="11">
                  <c:v>2.6901358116306631E-2</c:v>
                </c:pt>
                <c:pt idx="12">
                  <c:v>2.4845540894377974E-2</c:v>
                </c:pt>
                <c:pt idx="13">
                  <c:v>2.0692562058611447E-2</c:v>
                </c:pt>
                <c:pt idx="14">
                  <c:v>2.2893E-2</c:v>
                </c:pt>
                <c:pt idx="15">
                  <c:v>2.6306E-2</c:v>
                </c:pt>
                <c:pt idx="16" formatCode="0.00%">
                  <c:v>3.308902167984154E-2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A02-460D-AFA6-3A8D73E85F02}"/>
            </c:ext>
          </c:extLst>
        </c:ser>
        <c:ser>
          <c:idx val="10"/>
          <c:order val="10"/>
          <c:tx>
            <c:v>Families with Children under 6</c:v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'T11-S4'!$DW$87:$EM$87</c:f>
              <c:numCache>
                <c:formatCode>0.0%</c:formatCode>
                <c:ptCount val="17"/>
                <c:pt idx="0">
                  <c:v>2.9959529662143138E-2</c:v>
                </c:pt>
                <c:pt idx="1">
                  <c:v>3.418327914770531E-2</c:v>
                </c:pt>
                <c:pt idx="2">
                  <c:v>4.0356738865466119E-2</c:v>
                </c:pt>
                <c:pt idx="3">
                  <c:v>3.4664608069203073E-2</c:v>
                </c:pt>
                <c:pt idx="4">
                  <c:v>2.3584461993321142E-2</c:v>
                </c:pt>
                <c:pt idx="5">
                  <c:v>2.6025885919566224E-2</c:v>
                </c:pt>
                <c:pt idx="6">
                  <c:v>2.4911179510809473E-2</c:v>
                </c:pt>
                <c:pt idx="7">
                  <c:v>7.0704879904447238E-2</c:v>
                </c:pt>
                <c:pt idx="8">
                  <c:v>4.5013771919974327E-2</c:v>
                </c:pt>
                <c:pt idx="9">
                  <c:v>2.5424720677917689E-2</c:v>
                </c:pt>
                <c:pt idx="10">
                  <c:v>3.3680933170190192E-2</c:v>
                </c:pt>
                <c:pt idx="11">
                  <c:v>5.0241684891032812E-2</c:v>
                </c:pt>
                <c:pt idx="12">
                  <c:v>5.7362066122806463E-2</c:v>
                </c:pt>
                <c:pt idx="13">
                  <c:v>5.2248420182234384E-2</c:v>
                </c:pt>
                <c:pt idx="14">
                  <c:v>5.2038000000000001E-2</c:v>
                </c:pt>
                <c:pt idx="15">
                  <c:v>5.3225000000000001E-2</c:v>
                </c:pt>
                <c:pt idx="16" formatCode="0.00%">
                  <c:v>3.6908576109557986E-2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A02-460D-AFA6-3A8D73E85F02}"/>
            </c:ext>
          </c:extLst>
        </c:ser>
        <c:ser>
          <c:idx val="11"/>
          <c:order val="11"/>
          <c:tx>
            <c:v>Families with 0 Labor Force</c:v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'T11-S4'!$DW$95:$EM$95</c:f>
              <c:numCache>
                <c:formatCode>0.0%</c:formatCode>
                <c:ptCount val="17"/>
                <c:pt idx="0">
                  <c:v>7.0305842251923822E-2</c:v>
                </c:pt>
                <c:pt idx="1">
                  <c:v>6.8684983593368915E-2</c:v>
                </c:pt>
                <c:pt idx="2">
                  <c:v>5.5605708802184239E-2</c:v>
                </c:pt>
                <c:pt idx="3">
                  <c:v>5.2493900762899927E-2</c:v>
                </c:pt>
                <c:pt idx="4">
                  <c:v>4.7009583184259074E-2</c:v>
                </c:pt>
                <c:pt idx="5">
                  <c:v>5.5176314660932209E-2</c:v>
                </c:pt>
                <c:pt idx="6">
                  <c:v>4.0248600248717424E-2</c:v>
                </c:pt>
                <c:pt idx="7">
                  <c:v>5.5557469512075373E-2</c:v>
                </c:pt>
                <c:pt idx="8">
                  <c:v>4.9888313585918831E-2</c:v>
                </c:pt>
                <c:pt idx="9">
                  <c:v>4.5327555136799653E-2</c:v>
                </c:pt>
                <c:pt idx="10">
                  <c:v>3.1425264063372468E-2</c:v>
                </c:pt>
                <c:pt idx="11">
                  <c:v>3.50217129562636E-2</c:v>
                </c:pt>
                <c:pt idx="12">
                  <c:v>5.5640417578423605E-2</c:v>
                </c:pt>
                <c:pt idx="13">
                  <c:v>4.9838397425143129E-2</c:v>
                </c:pt>
                <c:pt idx="14">
                  <c:v>3.2548000000000001E-2</c:v>
                </c:pt>
                <c:pt idx="15">
                  <c:v>3.2808999999999998E-2</c:v>
                </c:pt>
                <c:pt idx="16" formatCode="0.00%">
                  <c:v>0.10199755207436198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A02-460D-AFA6-3A8D73E85F02}"/>
            </c:ext>
          </c:extLst>
        </c:ser>
        <c:ser>
          <c:idx val="12"/>
          <c:order val="12"/>
          <c:tx>
            <c:v>Families with 1 Labor Force</c:v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'T11-S4'!$DW$102:$EM$102</c:f>
              <c:numCache>
                <c:formatCode>0.0%</c:formatCode>
                <c:ptCount val="17"/>
                <c:pt idx="0">
                  <c:v>4.8265736064364968E-2</c:v>
                </c:pt>
                <c:pt idx="1">
                  <c:v>4.3354630567901065E-2</c:v>
                </c:pt>
                <c:pt idx="2">
                  <c:v>3.3035215810867588E-2</c:v>
                </c:pt>
                <c:pt idx="3">
                  <c:v>2.7039181418044581E-2</c:v>
                </c:pt>
                <c:pt idx="4">
                  <c:v>2.7467133617755921E-2</c:v>
                </c:pt>
                <c:pt idx="5">
                  <c:v>3.2203404431974725E-2</c:v>
                </c:pt>
                <c:pt idx="6">
                  <c:v>3.4929166420633324E-2</c:v>
                </c:pt>
                <c:pt idx="7">
                  <c:v>4.4454375821883017E-2</c:v>
                </c:pt>
                <c:pt idx="8">
                  <c:v>3.5160177222524319E-2</c:v>
                </c:pt>
                <c:pt idx="9">
                  <c:v>3.6300917480155029E-2</c:v>
                </c:pt>
                <c:pt idx="10">
                  <c:v>3.9782157020193408E-2</c:v>
                </c:pt>
                <c:pt idx="11">
                  <c:v>4.1204351686028352E-2</c:v>
                </c:pt>
                <c:pt idx="12">
                  <c:v>5.9746968193579088E-2</c:v>
                </c:pt>
                <c:pt idx="13">
                  <c:v>3.3209809519264201E-2</c:v>
                </c:pt>
                <c:pt idx="14">
                  <c:v>3.6629000000000002E-2</c:v>
                </c:pt>
                <c:pt idx="15">
                  <c:v>2.8625000000000001E-2</c:v>
                </c:pt>
                <c:pt idx="16" formatCode="0.00%">
                  <c:v>4.2371380310334814E-2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A02-460D-AFA6-3A8D73E85F02}"/>
            </c:ext>
          </c:extLst>
        </c:ser>
        <c:ser>
          <c:idx val="13"/>
          <c:order val="13"/>
          <c:tx>
            <c:v>Families with 2 Labor Force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'T11-S4'!$DW$109:$EM$109</c:f>
              <c:numCache>
                <c:formatCode>0.0%</c:formatCode>
                <c:ptCount val="17"/>
                <c:pt idx="0">
                  <c:v>1.3757574083188744E-2</c:v>
                </c:pt>
                <c:pt idx="1">
                  <c:v>1.5252558664875517E-2</c:v>
                </c:pt>
                <c:pt idx="2">
                  <c:v>2.0180337082769569E-2</c:v>
                </c:pt>
                <c:pt idx="3">
                  <c:v>1.7716914896666873E-2</c:v>
                </c:pt>
                <c:pt idx="4">
                  <c:v>1.2118129223261477E-2</c:v>
                </c:pt>
                <c:pt idx="5">
                  <c:v>1.2645597746406605E-2</c:v>
                </c:pt>
                <c:pt idx="6">
                  <c:v>1.2363501981055732E-2</c:v>
                </c:pt>
                <c:pt idx="7">
                  <c:v>1.70230783300678E-2</c:v>
                </c:pt>
                <c:pt idx="8">
                  <c:v>1.548997858342214E-2</c:v>
                </c:pt>
                <c:pt idx="9">
                  <c:v>1.5333326857403819E-2</c:v>
                </c:pt>
                <c:pt idx="10">
                  <c:v>2.0101332476440251E-2</c:v>
                </c:pt>
                <c:pt idx="11">
                  <c:v>2.8754517335904475E-2</c:v>
                </c:pt>
                <c:pt idx="12">
                  <c:v>2.3799198848070396E-2</c:v>
                </c:pt>
                <c:pt idx="13">
                  <c:v>1.9712492595065283E-2</c:v>
                </c:pt>
                <c:pt idx="14">
                  <c:v>2.4153999999999998E-2</c:v>
                </c:pt>
                <c:pt idx="15">
                  <c:v>2.9790000000000001E-2</c:v>
                </c:pt>
                <c:pt idx="16" formatCode="0.00%">
                  <c:v>1.685881006284207E-2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A02-460D-AFA6-3A8D73E85F02}"/>
            </c:ext>
          </c:extLst>
        </c:ser>
        <c:ser>
          <c:idx val="14"/>
          <c:order val="14"/>
          <c:tx>
            <c:v>Familes with 3 or More Labor Force</c:v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'T11-S4'!$DW$116:$EM$116</c:f>
              <c:numCache>
                <c:formatCode>0.0%</c:formatCode>
                <c:ptCount val="17"/>
                <c:pt idx="0">
                  <c:v>1.5028521155716339E-2</c:v>
                </c:pt>
                <c:pt idx="1">
                  <c:v>1.708216509741136E-2</c:v>
                </c:pt>
                <c:pt idx="2">
                  <c:v>1.1712739683558468E-2</c:v>
                </c:pt>
                <c:pt idx="3">
                  <c:v>1.8032849231173872E-2</c:v>
                </c:pt>
                <c:pt idx="4">
                  <c:v>2.1479332079831655E-2</c:v>
                </c:pt>
                <c:pt idx="5">
                  <c:v>1.1645043144365591E-2</c:v>
                </c:pt>
                <c:pt idx="6">
                  <c:v>8.8743298975298146E-3</c:v>
                </c:pt>
                <c:pt idx="7">
                  <c:v>4.8033715174430596E-3</c:v>
                </c:pt>
                <c:pt idx="8">
                  <c:v>1.1321448250987156E-2</c:v>
                </c:pt>
                <c:pt idx="9">
                  <c:v>1.4981207024323217E-2</c:v>
                </c:pt>
                <c:pt idx="10">
                  <c:v>8.400934364853915E-3</c:v>
                </c:pt>
                <c:pt idx="11">
                  <c:v>2.8070376057781052E-2</c:v>
                </c:pt>
                <c:pt idx="12">
                  <c:v>1.6250300967801751E-2</c:v>
                </c:pt>
                <c:pt idx="13">
                  <c:v>1.5197397744870807E-2</c:v>
                </c:pt>
                <c:pt idx="14">
                  <c:v>1.6438000000000001E-2</c:v>
                </c:pt>
                <c:pt idx="15">
                  <c:v>3.1919999999999997E-2</c:v>
                </c:pt>
                <c:pt idx="16" formatCode="0.00%">
                  <c:v>2.4331561454896865E-2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A02-460D-AFA6-3A8D73E85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4528088"/>
        <c:axId val="564510048"/>
      </c:lineChart>
      <c:catAx>
        <c:axId val="56452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10048"/>
        <c:crosses val="autoZero"/>
        <c:auto val="1"/>
        <c:lblAlgn val="ctr"/>
        <c:lblOffset val="100"/>
        <c:noMultiLvlLbl val="0"/>
      </c:catAx>
      <c:valAx>
        <c:axId val="564510048"/>
        <c:scaling>
          <c:orientation val="minMax"/>
          <c:max val="8.0000000000000016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280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664187809857105"/>
          <c:w val="1"/>
          <c:h val="0.153358121901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NJ Families with Median Income in 150% or Higher Poverty Level (2017 $)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155045466326446E-2"/>
          <c:y val="0.10226851851851852"/>
          <c:w val="0.944095765845681"/>
          <c:h val="0.64218175853018378"/>
        </c:manualLayout>
      </c:layout>
      <c:lineChart>
        <c:grouping val="standard"/>
        <c:varyColors val="0"/>
        <c:ser>
          <c:idx val="0"/>
          <c:order val="0"/>
          <c:tx>
            <c:v>All Families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'T11-S4'!$DW$10:$EM$10</c:f>
              <c:numCache>
                <c:formatCode>0.0%</c:formatCode>
                <c:ptCount val="17"/>
                <c:pt idx="0">
                  <c:v>0.88186522771668185</c:v>
                </c:pt>
                <c:pt idx="1">
                  <c:v>0.8820378142552403</c:v>
                </c:pt>
                <c:pt idx="2">
                  <c:v>0.88428687442022913</c:v>
                </c:pt>
                <c:pt idx="3">
                  <c:v>0.88843304355655639</c:v>
                </c:pt>
                <c:pt idx="4">
                  <c:v>0.89697897249799041</c:v>
                </c:pt>
                <c:pt idx="5">
                  <c:v>0.89185149770165195</c:v>
                </c:pt>
                <c:pt idx="6">
                  <c:v>0.88036322307090598</c:v>
                </c:pt>
                <c:pt idx="7">
                  <c:v>0.87607033467371642</c:v>
                </c:pt>
                <c:pt idx="8">
                  <c:v>0.87262655279510237</c:v>
                </c:pt>
                <c:pt idx="9">
                  <c:v>0.86622754532870572</c:v>
                </c:pt>
                <c:pt idx="10">
                  <c:v>0.85766414874063124</c:v>
                </c:pt>
                <c:pt idx="11">
                  <c:v>0.85338353653318677</c:v>
                </c:pt>
                <c:pt idx="12">
                  <c:v>0.8586353697465009</c:v>
                </c:pt>
                <c:pt idx="13">
                  <c:v>0.86160809795894988</c:v>
                </c:pt>
                <c:pt idx="14">
                  <c:v>0.86380000000000001</c:v>
                </c:pt>
                <c:pt idx="15">
                  <c:v>0.86909999999999998</c:v>
                </c:pt>
                <c:pt idx="16" formatCode="0.00%">
                  <c:v>0.87159999999999993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C1-4CC9-8C39-224D2A682CC3}"/>
            </c:ext>
          </c:extLst>
        </c:ser>
        <c:ser>
          <c:idx val="1"/>
          <c:order val="1"/>
          <c:tx>
            <c:v>White Families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'T11-S4'!$DW$18:$EM$18</c:f>
              <c:numCache>
                <c:formatCode>0.0%</c:formatCode>
                <c:ptCount val="17"/>
                <c:pt idx="0">
                  <c:v>0.90450094008560489</c:v>
                </c:pt>
                <c:pt idx="1">
                  <c:v>0.90048229908822131</c:v>
                </c:pt>
                <c:pt idx="2">
                  <c:v>0.90224988132172956</c:v>
                </c:pt>
                <c:pt idx="3">
                  <c:v>0.90389374577962156</c:v>
                </c:pt>
                <c:pt idx="4">
                  <c:v>0.90577667928894612</c:v>
                </c:pt>
                <c:pt idx="5">
                  <c:v>0.90646294215646428</c:v>
                </c:pt>
                <c:pt idx="6">
                  <c:v>0.89726808981726025</c:v>
                </c:pt>
                <c:pt idx="7">
                  <c:v>0.9028320201583846</c:v>
                </c:pt>
                <c:pt idx="8">
                  <c:v>0.89674594102167671</c:v>
                </c:pt>
                <c:pt idx="9">
                  <c:v>0.89378617946937766</c:v>
                </c:pt>
                <c:pt idx="10">
                  <c:v>0.89125647939351282</c:v>
                </c:pt>
                <c:pt idx="11">
                  <c:v>0.88338830293036152</c:v>
                </c:pt>
                <c:pt idx="12">
                  <c:v>0.87768365845573582</c:v>
                </c:pt>
                <c:pt idx="13">
                  <c:v>0.87584027918201002</c:v>
                </c:pt>
                <c:pt idx="14">
                  <c:v>0.87530399999999997</c:v>
                </c:pt>
                <c:pt idx="15">
                  <c:v>0.88354500000000002</c:v>
                </c:pt>
                <c:pt idx="16" formatCode="0.00%">
                  <c:v>0.89201429828621781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1-4CC9-8C39-224D2A682CC3}"/>
            </c:ext>
          </c:extLst>
        </c:ser>
        <c:ser>
          <c:idx val="2"/>
          <c:order val="2"/>
          <c:tx>
            <c:v>Black Families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'T11-S4'!$DW$25:$EM$25</c:f>
              <c:numCache>
                <c:formatCode>0.0%</c:formatCode>
                <c:ptCount val="17"/>
                <c:pt idx="0">
                  <c:v>0.77911956805794635</c:v>
                </c:pt>
                <c:pt idx="1">
                  <c:v>0.76362987063108601</c:v>
                </c:pt>
                <c:pt idx="2">
                  <c:v>0.75833299842877633</c:v>
                </c:pt>
                <c:pt idx="3">
                  <c:v>0.78385615141788034</c:v>
                </c:pt>
                <c:pt idx="4">
                  <c:v>0.82549765879416059</c:v>
                </c:pt>
                <c:pt idx="5">
                  <c:v>0.77193920376042335</c:v>
                </c:pt>
                <c:pt idx="6">
                  <c:v>0.74087077810373669</c:v>
                </c:pt>
                <c:pt idx="7">
                  <c:v>0.74814605993863448</c:v>
                </c:pt>
                <c:pt idx="8">
                  <c:v>0.73559318953424802</c:v>
                </c:pt>
                <c:pt idx="9">
                  <c:v>0.70973752310186755</c:v>
                </c:pt>
                <c:pt idx="10">
                  <c:v>0.6653572663102123</c:v>
                </c:pt>
                <c:pt idx="11">
                  <c:v>0.67029229564326909</c:v>
                </c:pt>
                <c:pt idx="12">
                  <c:v>0.71845770328170855</c:v>
                </c:pt>
                <c:pt idx="13">
                  <c:v>0.7584807204552465</c:v>
                </c:pt>
                <c:pt idx="14">
                  <c:v>0.78047900000000003</c:v>
                </c:pt>
                <c:pt idx="15">
                  <c:v>0.76800000000000002</c:v>
                </c:pt>
                <c:pt idx="16" formatCode="0.00%">
                  <c:v>0.77572275877982655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C1-4CC9-8C39-224D2A682CC3}"/>
            </c:ext>
          </c:extLst>
        </c:ser>
        <c:ser>
          <c:idx val="3"/>
          <c:order val="3"/>
          <c:tx>
            <c:v>Hispanic Families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'T11-S4'!$DW$32:$EM$32</c:f>
              <c:numCache>
                <c:formatCode>0.0%</c:formatCode>
                <c:ptCount val="17"/>
                <c:pt idx="0">
                  <c:v>0.7291449078416059</c:v>
                </c:pt>
                <c:pt idx="1">
                  <c:v>0.72609112935768383</c:v>
                </c:pt>
                <c:pt idx="2">
                  <c:v>0.71335982963564071</c:v>
                </c:pt>
                <c:pt idx="3">
                  <c:v>0.68845666024984165</c:v>
                </c:pt>
                <c:pt idx="4">
                  <c:v>0.70737706230415875</c:v>
                </c:pt>
                <c:pt idx="5">
                  <c:v>0.72323857813777648</c:v>
                </c:pt>
                <c:pt idx="6">
                  <c:v>0.71148142608652631</c:v>
                </c:pt>
                <c:pt idx="7">
                  <c:v>0.70702851245116738</c:v>
                </c:pt>
                <c:pt idx="8">
                  <c:v>0.69879981577134664</c:v>
                </c:pt>
                <c:pt idx="9">
                  <c:v>0.71263072182342524</c:v>
                </c:pt>
                <c:pt idx="10">
                  <c:v>0.70486481756533881</c:v>
                </c:pt>
                <c:pt idx="11">
                  <c:v>0.66165472007995951</c:v>
                </c:pt>
                <c:pt idx="12">
                  <c:v>0.64844120031274621</c:v>
                </c:pt>
                <c:pt idx="13">
                  <c:v>0.65049534283782662</c:v>
                </c:pt>
                <c:pt idx="14">
                  <c:v>0.66523399999999999</c:v>
                </c:pt>
                <c:pt idx="15">
                  <c:v>0.68489999999999995</c:v>
                </c:pt>
                <c:pt idx="16" formatCode="0.00%">
                  <c:v>0.70872752718905696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C1-4CC9-8C39-224D2A682CC3}"/>
            </c:ext>
          </c:extLst>
        </c:ser>
        <c:ser>
          <c:idx val="4"/>
          <c:order val="4"/>
          <c:tx>
            <c:v>Married-Couple Families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'T11-S4'!$DW$40:$EM$40</c:f>
              <c:numCache>
                <c:formatCode>0.0%</c:formatCode>
                <c:ptCount val="17"/>
                <c:pt idx="0">
                  <c:v>0.9326732845563781</c:v>
                </c:pt>
                <c:pt idx="1">
                  <c:v>0.9326732845563781</c:v>
                </c:pt>
                <c:pt idx="2">
                  <c:v>0.92743106585589941</c:v>
                </c:pt>
                <c:pt idx="3">
                  <c:v>0.9265292485313249</c:v>
                </c:pt>
                <c:pt idx="4">
                  <c:v>0.92750326099433145</c:v>
                </c:pt>
                <c:pt idx="5">
                  <c:v>0.93628423007580275</c:v>
                </c:pt>
                <c:pt idx="6">
                  <c:v>0.94077512097611493</c:v>
                </c:pt>
                <c:pt idx="7">
                  <c:v>0.93682593659545366</c:v>
                </c:pt>
                <c:pt idx="8">
                  <c:v>0.92768549152963597</c:v>
                </c:pt>
                <c:pt idx="9">
                  <c:v>0.93254430412092393</c:v>
                </c:pt>
                <c:pt idx="10">
                  <c:v>0.93259146884677169</c:v>
                </c:pt>
                <c:pt idx="11">
                  <c:v>0.92650602900447065</c:v>
                </c:pt>
                <c:pt idx="12">
                  <c:v>0.92579765157477822</c:v>
                </c:pt>
                <c:pt idx="13">
                  <c:v>0.92055788170306596</c:v>
                </c:pt>
                <c:pt idx="14">
                  <c:v>0.91677976676448225</c:v>
                </c:pt>
                <c:pt idx="15">
                  <c:v>0.92297600000000002</c:v>
                </c:pt>
                <c:pt idx="16" formatCode="0.00%">
                  <c:v>0.91765692997793624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C1-4CC9-8C39-224D2A682CC3}"/>
            </c:ext>
          </c:extLst>
        </c:ser>
        <c:ser>
          <c:idx val="5"/>
          <c:order val="5"/>
          <c:tx>
            <c:v>Female Houholder Spouse Absent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'T11-S4'!$DW$47:$EM$47</c:f>
              <c:numCache>
                <c:formatCode>0.0%</c:formatCode>
                <c:ptCount val="17"/>
                <c:pt idx="0">
                  <c:v>0.6720644814444442</c:v>
                </c:pt>
                <c:pt idx="1">
                  <c:v>0.6720644814444442</c:v>
                </c:pt>
                <c:pt idx="2">
                  <c:v>0.70397501984103272</c:v>
                </c:pt>
                <c:pt idx="3">
                  <c:v>0.72849722124704064</c:v>
                </c:pt>
                <c:pt idx="4">
                  <c:v>0.73046540835205687</c:v>
                </c:pt>
                <c:pt idx="5">
                  <c:v>0.72395359925608893</c:v>
                </c:pt>
                <c:pt idx="6">
                  <c:v>0.69142492459436167</c:v>
                </c:pt>
                <c:pt idx="7">
                  <c:v>0.67084625666652498</c:v>
                </c:pt>
                <c:pt idx="8">
                  <c:v>0.69858382348005443</c:v>
                </c:pt>
                <c:pt idx="9">
                  <c:v>0.67403395159132862</c:v>
                </c:pt>
                <c:pt idx="10">
                  <c:v>0.63674976689798113</c:v>
                </c:pt>
                <c:pt idx="11">
                  <c:v>0.61166519304121891</c:v>
                </c:pt>
                <c:pt idx="12">
                  <c:v>0.61396495277116281</c:v>
                </c:pt>
                <c:pt idx="13">
                  <c:v>0.62350118582443725</c:v>
                </c:pt>
                <c:pt idx="14">
                  <c:v>0.64337433419117662</c:v>
                </c:pt>
                <c:pt idx="15">
                  <c:v>0.648231</c:v>
                </c:pt>
                <c:pt idx="16">
                  <c:v>0.68098025517181437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C1-4CC9-8C39-224D2A682CC3}"/>
            </c:ext>
          </c:extLst>
        </c:ser>
        <c:ser>
          <c:idx val="6"/>
          <c:order val="6"/>
          <c:tx>
            <c:v>Families with No Child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'T11-S4'!$DW$55:$EM$55</c:f>
              <c:numCache>
                <c:formatCode>0.0%</c:formatCode>
                <c:ptCount val="17"/>
                <c:pt idx="0">
                  <c:v>0.90335371398817066</c:v>
                </c:pt>
                <c:pt idx="1">
                  <c:v>0.89808262277102513</c:v>
                </c:pt>
                <c:pt idx="2">
                  <c:v>0.90795904755110979</c:v>
                </c:pt>
                <c:pt idx="3">
                  <c:v>0.91002002765122136</c:v>
                </c:pt>
                <c:pt idx="4">
                  <c:v>0.91987046038746934</c:v>
                </c:pt>
                <c:pt idx="5">
                  <c:v>0.9306227854420599</c:v>
                </c:pt>
                <c:pt idx="6">
                  <c:v>0.925670634466356</c:v>
                </c:pt>
                <c:pt idx="7">
                  <c:v>0.937040913470502</c:v>
                </c:pt>
                <c:pt idx="8">
                  <c:v>0.92395995076241011</c:v>
                </c:pt>
                <c:pt idx="9">
                  <c:v>0.90671450766898398</c:v>
                </c:pt>
                <c:pt idx="10">
                  <c:v>0.90626524852374979</c:v>
                </c:pt>
                <c:pt idx="11">
                  <c:v>0.90704223744185486</c:v>
                </c:pt>
                <c:pt idx="12">
                  <c:v>0.91939631864789839</c:v>
                </c:pt>
                <c:pt idx="13">
                  <c:v>0.92178214613370835</c:v>
                </c:pt>
                <c:pt idx="14">
                  <c:v>0.90759400000000001</c:v>
                </c:pt>
                <c:pt idx="15">
                  <c:v>0.908856</c:v>
                </c:pt>
                <c:pt idx="16" formatCode="0.00%">
                  <c:v>0.91282922253939491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C1-4CC9-8C39-224D2A682CC3}"/>
            </c:ext>
          </c:extLst>
        </c:ser>
        <c:ser>
          <c:idx val="7"/>
          <c:order val="7"/>
          <c:tx>
            <c:v>Families with 1 or 2 Kids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'T11-S4'!$DW$62:$EM$62</c:f>
              <c:numCache>
                <c:formatCode>0.0%</c:formatCode>
                <c:ptCount val="17"/>
                <c:pt idx="0">
                  <c:v>0.85518409775786863</c:v>
                </c:pt>
                <c:pt idx="1">
                  <c:v>0.8841935870574783</c:v>
                </c:pt>
                <c:pt idx="2">
                  <c:v>0.87684131613885019</c:v>
                </c:pt>
                <c:pt idx="3">
                  <c:v>0.87939426573286639</c:v>
                </c:pt>
                <c:pt idx="4">
                  <c:v>0.88546495337188247</c:v>
                </c:pt>
                <c:pt idx="5">
                  <c:v>0.87282319846730672</c:v>
                </c:pt>
                <c:pt idx="6">
                  <c:v>0.85737710874580986</c:v>
                </c:pt>
                <c:pt idx="7">
                  <c:v>0.84031643150807211</c:v>
                </c:pt>
                <c:pt idx="8">
                  <c:v>0.8412645061064904</c:v>
                </c:pt>
                <c:pt idx="9">
                  <c:v>0.83939028353500955</c:v>
                </c:pt>
                <c:pt idx="10">
                  <c:v>0.81204813696767653</c:v>
                </c:pt>
                <c:pt idx="11">
                  <c:v>0.80171066802870672</c:v>
                </c:pt>
                <c:pt idx="12">
                  <c:v>0.80004006619455659</c:v>
                </c:pt>
                <c:pt idx="13">
                  <c:v>0.80511531242726431</c:v>
                </c:pt>
                <c:pt idx="14">
                  <c:v>0.83672899999999995</c:v>
                </c:pt>
                <c:pt idx="15">
                  <c:v>0.85013000000000005</c:v>
                </c:pt>
                <c:pt idx="16" formatCode="General">
                  <c:v>0.84409077386785081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C1-4CC9-8C39-224D2A682CC3}"/>
            </c:ext>
          </c:extLst>
        </c:ser>
        <c:ser>
          <c:idx val="8"/>
          <c:order val="8"/>
          <c:tx>
            <c:v>Families with 3 or more Kids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'T11-S4'!$DW$73:$EM$73</c:f>
              <c:numCache>
                <c:formatCode>0.0%</c:formatCode>
                <c:ptCount val="17"/>
                <c:pt idx="0">
                  <c:v>0.76783325113480005</c:v>
                </c:pt>
                <c:pt idx="1">
                  <c:v>0.76791265948281318</c:v>
                </c:pt>
                <c:pt idx="2">
                  <c:v>0.72537497481465785</c:v>
                </c:pt>
                <c:pt idx="3">
                  <c:v>0.75622159614727757</c:v>
                </c:pt>
                <c:pt idx="4">
                  <c:v>0.82107337811092396</c:v>
                </c:pt>
                <c:pt idx="5">
                  <c:v>0.74719044112919863</c:v>
                </c:pt>
                <c:pt idx="6">
                  <c:v>0.70187942419663063</c:v>
                </c:pt>
                <c:pt idx="7">
                  <c:v>0.70302518721373786</c:v>
                </c:pt>
                <c:pt idx="8">
                  <c:v>0.70158585818624764</c:v>
                </c:pt>
                <c:pt idx="9">
                  <c:v>0.71137256016037442</c:v>
                </c:pt>
                <c:pt idx="10">
                  <c:v>0.71362588208394828</c:v>
                </c:pt>
                <c:pt idx="11">
                  <c:v>0.70221964553741723</c:v>
                </c:pt>
                <c:pt idx="12">
                  <c:v>0.6975988583972107</c:v>
                </c:pt>
                <c:pt idx="13">
                  <c:v>0.67745302537636809</c:v>
                </c:pt>
                <c:pt idx="14">
                  <c:v>0.65395099999999995</c:v>
                </c:pt>
                <c:pt idx="15">
                  <c:v>0.64510599999999996</c:v>
                </c:pt>
                <c:pt idx="16" formatCode="0.00%">
                  <c:v>0.66524904975946708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C1-4CC9-8C39-224D2A682CC3}"/>
            </c:ext>
          </c:extLst>
        </c:ser>
        <c:ser>
          <c:idx val="9"/>
          <c:order val="9"/>
          <c:tx>
            <c:v>Families with no Child under 6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'T11-S4'!$DW$81:$EM$81</c:f>
              <c:numCache>
                <c:formatCode>0.0%</c:formatCode>
                <c:ptCount val="17"/>
                <c:pt idx="0">
                  <c:v>0.89093585501219019</c:v>
                </c:pt>
                <c:pt idx="1">
                  <c:v>0.89040462064458736</c:v>
                </c:pt>
                <c:pt idx="2">
                  <c:v>0.90089440165754564</c:v>
                </c:pt>
                <c:pt idx="3">
                  <c:v>0.90378719819780584</c:v>
                </c:pt>
                <c:pt idx="4">
                  <c:v>0.90821850721486697</c:v>
                </c:pt>
                <c:pt idx="5">
                  <c:v>0.90977314519573427</c:v>
                </c:pt>
                <c:pt idx="6">
                  <c:v>0.89836711286667659</c:v>
                </c:pt>
                <c:pt idx="7">
                  <c:v>0.90800840629981805</c:v>
                </c:pt>
                <c:pt idx="8">
                  <c:v>0.89695828836196689</c:v>
                </c:pt>
                <c:pt idx="9">
                  <c:v>0.88320097646301654</c:v>
                </c:pt>
                <c:pt idx="10">
                  <c:v>0.88035546245943608</c:v>
                </c:pt>
                <c:pt idx="11">
                  <c:v>0.88207047840738251</c:v>
                </c:pt>
                <c:pt idx="12">
                  <c:v>0.88785001773234462</c:v>
                </c:pt>
                <c:pt idx="13">
                  <c:v>0.8870409213600019</c:v>
                </c:pt>
                <c:pt idx="14">
                  <c:v>0.88572300000000004</c:v>
                </c:pt>
                <c:pt idx="15">
                  <c:v>0.88592700000000002</c:v>
                </c:pt>
                <c:pt idx="16" formatCode="0.00%">
                  <c:v>0.88576352443027739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C1-4CC9-8C39-224D2A682CC3}"/>
            </c:ext>
          </c:extLst>
        </c:ser>
        <c:ser>
          <c:idx val="10"/>
          <c:order val="10"/>
          <c:tx>
            <c:v>Families with kids under 6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'T11-S4'!$DW$88:$EM$88</c:f>
              <c:numCache>
                <c:formatCode>0.0%</c:formatCode>
                <c:ptCount val="17"/>
                <c:pt idx="0">
                  <c:v>0.84477827723110743</c:v>
                </c:pt>
                <c:pt idx="1">
                  <c:v>0.84721130520870391</c:v>
                </c:pt>
                <c:pt idx="2">
                  <c:v>0.81433185297817889</c:v>
                </c:pt>
                <c:pt idx="3">
                  <c:v>0.82563481567453423</c:v>
                </c:pt>
                <c:pt idx="4">
                  <c:v>0.852766210330132</c:v>
                </c:pt>
                <c:pt idx="5">
                  <c:v>0.8214437682814415</c:v>
                </c:pt>
                <c:pt idx="6">
                  <c:v>0.80818054505555292</c:v>
                </c:pt>
                <c:pt idx="7">
                  <c:v>0.75082944440623811</c:v>
                </c:pt>
                <c:pt idx="8">
                  <c:v>0.76673724837585511</c:v>
                </c:pt>
                <c:pt idx="9">
                  <c:v>0.78625920334639854</c:v>
                </c:pt>
                <c:pt idx="10">
                  <c:v>0.74361938945789141</c:v>
                </c:pt>
                <c:pt idx="11">
                  <c:v>0.71661023620472242</c:v>
                </c:pt>
                <c:pt idx="12">
                  <c:v>0.72141056397002579</c:v>
                </c:pt>
                <c:pt idx="13">
                  <c:v>0.73280728112396254</c:v>
                </c:pt>
                <c:pt idx="14">
                  <c:v>0.75016700000000003</c:v>
                </c:pt>
                <c:pt idx="15">
                  <c:v>0.78408299999999997</c:v>
                </c:pt>
                <c:pt idx="16" formatCode="0.00%">
                  <c:v>0.79941728595500183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CC1-4CC9-8C39-224D2A682CC3}"/>
            </c:ext>
          </c:extLst>
        </c:ser>
        <c:ser>
          <c:idx val="11"/>
          <c:order val="11"/>
          <c:tx>
            <c:v>Families with 0 Labor Force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'T11-S4'!$DW$96:$EM$96</c:f>
              <c:numCache>
                <c:formatCode>0.0%</c:formatCode>
                <c:ptCount val="17"/>
                <c:pt idx="0">
                  <c:v>0.74606971067862038</c:v>
                </c:pt>
                <c:pt idx="1">
                  <c:v>0.73663010697241793</c:v>
                </c:pt>
                <c:pt idx="2">
                  <c:v>0.71602997440313021</c:v>
                </c:pt>
                <c:pt idx="3">
                  <c:v>0.70528756806177773</c:v>
                </c:pt>
                <c:pt idx="4">
                  <c:v>0.73148299197876465</c:v>
                </c:pt>
                <c:pt idx="5">
                  <c:v>0.7321523007016556</c:v>
                </c:pt>
                <c:pt idx="6">
                  <c:v>0.67366135375398561</c:v>
                </c:pt>
                <c:pt idx="7">
                  <c:v>0.68957796061735832</c:v>
                </c:pt>
                <c:pt idx="8">
                  <c:v>0.6961963572251787</c:v>
                </c:pt>
                <c:pt idx="9">
                  <c:v>0.67628310623497234</c:v>
                </c:pt>
                <c:pt idx="10">
                  <c:v>0.68999769773264308</c:v>
                </c:pt>
                <c:pt idx="11">
                  <c:v>0.73483231768645796</c:v>
                </c:pt>
                <c:pt idx="12">
                  <c:v>0.70170116199261379</c:v>
                </c:pt>
                <c:pt idx="13">
                  <c:v>0.71142405781029916</c:v>
                </c:pt>
                <c:pt idx="14">
                  <c:v>0.69670299999999996</c:v>
                </c:pt>
                <c:pt idx="15">
                  <c:v>0.72599000000000002</c:v>
                </c:pt>
                <c:pt idx="16" formatCode="0.00%">
                  <c:v>0.72188480560136448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C1-4CC9-8C39-224D2A682CC3}"/>
            </c:ext>
          </c:extLst>
        </c:ser>
        <c:ser>
          <c:idx val="12"/>
          <c:order val="12"/>
          <c:tx>
            <c:v>Families with 1 Labor Force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'T11-S4'!$DW$103:$EM$103</c:f>
              <c:numCache>
                <c:formatCode>0.0%</c:formatCode>
                <c:ptCount val="17"/>
                <c:pt idx="0">
                  <c:v>0.82182301460052321</c:v>
                </c:pt>
                <c:pt idx="1">
                  <c:v>0.82119449411378831</c:v>
                </c:pt>
                <c:pt idx="2">
                  <c:v>0.83375559385683662</c:v>
                </c:pt>
                <c:pt idx="3">
                  <c:v>0.85154109105573472</c:v>
                </c:pt>
                <c:pt idx="4">
                  <c:v>0.85848560031900423</c:v>
                </c:pt>
                <c:pt idx="5">
                  <c:v>0.82469464298342909</c:v>
                </c:pt>
                <c:pt idx="6">
                  <c:v>0.81119414417851066</c:v>
                </c:pt>
                <c:pt idx="7">
                  <c:v>0.8365998808537275</c:v>
                </c:pt>
                <c:pt idx="8">
                  <c:v>0.81734723486302474</c:v>
                </c:pt>
                <c:pt idx="9">
                  <c:v>0.80718960454233646</c:v>
                </c:pt>
                <c:pt idx="10">
                  <c:v>0.79169185627714478</c:v>
                </c:pt>
                <c:pt idx="11">
                  <c:v>0.74310970414512834</c:v>
                </c:pt>
                <c:pt idx="12">
                  <c:v>0.7601211097471352</c:v>
                </c:pt>
                <c:pt idx="13">
                  <c:v>0.77970723827574695</c:v>
                </c:pt>
                <c:pt idx="14">
                  <c:v>0.81019200000000002</c:v>
                </c:pt>
                <c:pt idx="15">
                  <c:v>0.79395700000000002</c:v>
                </c:pt>
                <c:pt idx="16" formatCode="0.00%">
                  <c:v>0.80277729308017909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CC1-4CC9-8C39-224D2A682CC3}"/>
            </c:ext>
          </c:extLst>
        </c:ser>
        <c:ser>
          <c:idx val="13"/>
          <c:order val="13"/>
          <c:tx>
            <c:v>Families with 2 Labor Force</c:v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'T11-S4'!$DW$110:$EM$110</c:f>
              <c:numCache>
                <c:formatCode>0.0%</c:formatCode>
                <c:ptCount val="17"/>
                <c:pt idx="0">
                  <c:v>0.94872093844170846</c:v>
                </c:pt>
                <c:pt idx="1">
                  <c:v>0.95294182181438203</c:v>
                </c:pt>
                <c:pt idx="2">
                  <c:v>0.94642484714666963</c:v>
                </c:pt>
                <c:pt idx="3">
                  <c:v>0.94829630723675618</c:v>
                </c:pt>
                <c:pt idx="4">
                  <c:v>0.9539449281670298</c:v>
                </c:pt>
                <c:pt idx="5">
                  <c:v>0.9549616210055748</c:v>
                </c:pt>
                <c:pt idx="6">
                  <c:v>0.956351043385125</c:v>
                </c:pt>
                <c:pt idx="7">
                  <c:v>0.93826000999638859</c:v>
                </c:pt>
                <c:pt idx="8">
                  <c:v>0.93672159851844572</c:v>
                </c:pt>
                <c:pt idx="9">
                  <c:v>0.93657370496636849</c:v>
                </c:pt>
                <c:pt idx="10">
                  <c:v>0.92886674771023359</c:v>
                </c:pt>
                <c:pt idx="11">
                  <c:v>0.87307851601627917</c:v>
                </c:pt>
                <c:pt idx="12">
                  <c:v>0.89208334051698568</c:v>
                </c:pt>
                <c:pt idx="13">
                  <c:v>0.92730387031479211</c:v>
                </c:pt>
                <c:pt idx="14">
                  <c:v>0.91876400000000003</c:v>
                </c:pt>
                <c:pt idx="15">
                  <c:v>0.90006699999999995</c:v>
                </c:pt>
                <c:pt idx="16" formatCode="0.00%">
                  <c:v>0.93250653176052811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CC1-4CC9-8C39-224D2A682CC3}"/>
            </c:ext>
          </c:extLst>
        </c:ser>
        <c:ser>
          <c:idx val="14"/>
          <c:order val="14"/>
          <c:tx>
            <c:v>Families with 3 or more Labor Force</c:v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'T11-S4'!$DW$3:$EM$3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'T11-S4'!$DW$117:$EM$117</c:f>
              <c:numCache>
                <c:formatCode>0.0%</c:formatCode>
                <c:ptCount val="17"/>
                <c:pt idx="0">
                  <c:v>0.95645503242217733</c:v>
                </c:pt>
                <c:pt idx="1">
                  <c:v>0.94462892553368094</c:v>
                </c:pt>
                <c:pt idx="2">
                  <c:v>0.96129721328642281</c:v>
                </c:pt>
                <c:pt idx="3">
                  <c:v>0.94886526092712942</c:v>
                </c:pt>
                <c:pt idx="4">
                  <c:v>0.94697436962658055</c:v>
                </c:pt>
                <c:pt idx="5">
                  <c:v>0.9679745657697576</c:v>
                </c:pt>
                <c:pt idx="6">
                  <c:v>0.97075723500885036</c:v>
                </c:pt>
                <c:pt idx="7">
                  <c:v>0.95272009239447009</c:v>
                </c:pt>
                <c:pt idx="8">
                  <c:v>0.9345116136895476</c:v>
                </c:pt>
                <c:pt idx="9">
                  <c:v>0.92010683086967016</c:v>
                </c:pt>
                <c:pt idx="10">
                  <c:v>0.92612695900673425</c:v>
                </c:pt>
                <c:pt idx="11">
                  <c:v>0.89890640469578442</c:v>
                </c:pt>
                <c:pt idx="12">
                  <c:v>0.9117351381868869</c:v>
                </c:pt>
                <c:pt idx="13">
                  <c:v>0.92506753834798572</c:v>
                </c:pt>
                <c:pt idx="14">
                  <c:v>0.949129</c:v>
                </c:pt>
                <c:pt idx="15">
                  <c:v>0.90239599999999998</c:v>
                </c:pt>
                <c:pt idx="16" formatCode="0.00%">
                  <c:v>0.90204507641341047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CC1-4CC9-8C39-224D2A682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595416"/>
        <c:axId val="618589184"/>
      </c:lineChart>
      <c:catAx>
        <c:axId val="61859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89184"/>
        <c:crosses val="autoZero"/>
        <c:auto val="1"/>
        <c:lblAlgn val="ctr"/>
        <c:lblOffset val="100"/>
        <c:noMultiLvlLbl val="0"/>
      </c:catAx>
      <c:valAx>
        <c:axId val="618589184"/>
        <c:scaling>
          <c:orientation val="minMax"/>
          <c:max val="0.9749999999999999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59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143409157188687"/>
          <c:w val="1"/>
          <c:h val="0.15856590842811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NJ</a:t>
            </a:r>
            <a:r>
              <a:rPr lang="en-US" baseline="0"/>
              <a:t> </a:t>
            </a:r>
            <a:r>
              <a:rPr lang="en-US"/>
              <a:t>People</a:t>
            </a:r>
            <a:r>
              <a:rPr lang="en-US" baseline="0"/>
              <a:t> Living below Poverty Level: 2000~2018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95909418839226E-2"/>
          <c:y val="0.12745704467353952"/>
          <c:w val="0.85695847525323154"/>
          <c:h val="0.79282382227994697"/>
        </c:manualLayout>
      </c:layout>
      <c:lineChart>
        <c:grouping val="standard"/>
        <c:varyColors val="0"/>
        <c:ser>
          <c:idx val="0"/>
          <c:order val="0"/>
          <c:tx>
            <c:v>All Persons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'T11-S4'!$EX$7:$FN$7</c:f>
              <c:numCache>
                <c:formatCode>0.0%</c:formatCode>
                <c:ptCount val="17"/>
                <c:pt idx="0">
                  <c:v>8.1962954368571914E-2</c:v>
                </c:pt>
                <c:pt idx="1">
                  <c:v>8.1888643700709363E-2</c:v>
                </c:pt>
                <c:pt idx="2">
                  <c:v>8.4159411624241662E-2</c:v>
                </c:pt>
                <c:pt idx="3">
                  <c:v>8.3964674186805782E-2</c:v>
                </c:pt>
                <c:pt idx="4">
                  <c:v>7.1739527459834265E-2</c:v>
                </c:pt>
                <c:pt idx="5">
                  <c:v>8.0383952460881911E-2</c:v>
                </c:pt>
                <c:pt idx="6">
                  <c:v>8.8370030924798268E-2</c:v>
                </c:pt>
                <c:pt idx="7">
                  <c:v>9.0526804817049181E-2</c:v>
                </c:pt>
                <c:pt idx="8">
                  <c:v>9.4310345158301723E-2</c:v>
                </c:pt>
                <c:pt idx="9">
                  <c:v>0.10176889895640108</c:v>
                </c:pt>
                <c:pt idx="10">
                  <c:v>0.11183454955868152</c:v>
                </c:pt>
                <c:pt idx="11">
                  <c:v>0.10454897535780817</c:v>
                </c:pt>
                <c:pt idx="12">
                  <c:v>0.10302355859496382</c:v>
                </c:pt>
                <c:pt idx="13">
                  <c:v>0.11278280810075507</c:v>
                </c:pt>
                <c:pt idx="14">
                  <c:v>0.113215</c:v>
                </c:pt>
                <c:pt idx="15">
                  <c:v>0.104139</c:v>
                </c:pt>
                <c:pt idx="16">
                  <c:v>9.1378282701079588E-2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8-43AC-9C35-F043CC5C5A8B}"/>
            </c:ext>
          </c:extLst>
        </c:ser>
        <c:ser>
          <c:idx val="1"/>
          <c:order val="1"/>
          <c:tx>
            <c:v>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'T11-S4'!$EX$11:$FN$11</c:f>
              <c:numCache>
                <c:formatCode>0.0%</c:formatCode>
                <c:ptCount val="17"/>
                <c:pt idx="0">
                  <c:v>6.6454611510146283E-2</c:v>
                </c:pt>
                <c:pt idx="1">
                  <c:v>6.9141865393457388E-2</c:v>
                </c:pt>
                <c:pt idx="2">
                  <c:v>7.3546270855870233E-2</c:v>
                </c:pt>
                <c:pt idx="3">
                  <c:v>7.2768913151329315E-2</c:v>
                </c:pt>
                <c:pt idx="4">
                  <c:v>6.1133983948763189E-2</c:v>
                </c:pt>
                <c:pt idx="5">
                  <c:v>6.8706297605275787E-2</c:v>
                </c:pt>
                <c:pt idx="6">
                  <c:v>7.7913647408586736E-2</c:v>
                </c:pt>
                <c:pt idx="7">
                  <c:v>7.851050864098863E-2</c:v>
                </c:pt>
                <c:pt idx="8">
                  <c:v>8.1993891700292046E-2</c:v>
                </c:pt>
                <c:pt idx="9">
                  <c:v>9.5088020272151755E-2</c:v>
                </c:pt>
                <c:pt idx="10">
                  <c:v>0.10155443054952124</c:v>
                </c:pt>
                <c:pt idx="11">
                  <c:v>9.2333704723178159E-2</c:v>
                </c:pt>
                <c:pt idx="12">
                  <c:v>9.0482836292236288E-2</c:v>
                </c:pt>
                <c:pt idx="13">
                  <c:v>0.10073969576392446</c:v>
                </c:pt>
                <c:pt idx="14">
                  <c:v>0.1032</c:v>
                </c:pt>
                <c:pt idx="15">
                  <c:v>8.9372999999999994E-2</c:v>
                </c:pt>
                <c:pt idx="16">
                  <c:v>7.706997876316396E-2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8-43AC-9C35-F043CC5C5A8B}"/>
            </c:ext>
          </c:extLst>
        </c:ser>
        <c:ser>
          <c:idx val="2"/>
          <c:order val="2"/>
          <c:tx>
            <c:v>Female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'T11-S4'!$EX$13:$FN$13</c:f>
              <c:numCache>
                <c:formatCode>0.0%</c:formatCode>
                <c:ptCount val="17"/>
                <c:pt idx="0">
                  <c:v>9.6390466281915957E-2</c:v>
                </c:pt>
                <c:pt idx="1">
                  <c:v>9.3867090074630913E-2</c:v>
                </c:pt>
                <c:pt idx="2">
                  <c:v>9.4213441720352634E-2</c:v>
                </c:pt>
                <c:pt idx="3">
                  <c:v>9.4599499336501053E-2</c:v>
                </c:pt>
                <c:pt idx="4">
                  <c:v>8.2004970264749691E-2</c:v>
                </c:pt>
                <c:pt idx="5">
                  <c:v>9.1617900108794129E-2</c:v>
                </c:pt>
                <c:pt idx="6">
                  <c:v>9.8303443782800468E-2</c:v>
                </c:pt>
                <c:pt idx="7">
                  <c:v>0.10183431595531196</c:v>
                </c:pt>
                <c:pt idx="8">
                  <c:v>0.10604170495306367</c:v>
                </c:pt>
                <c:pt idx="9">
                  <c:v>0.10822930854763205</c:v>
                </c:pt>
                <c:pt idx="10">
                  <c:v>0.12156132205667182</c:v>
                </c:pt>
                <c:pt idx="11">
                  <c:v>0.11589260660540859</c:v>
                </c:pt>
                <c:pt idx="12">
                  <c:v>0.11483850491634581</c:v>
                </c:pt>
                <c:pt idx="13">
                  <c:v>0.12429843522283898</c:v>
                </c:pt>
                <c:pt idx="14">
                  <c:v>0.12282</c:v>
                </c:pt>
                <c:pt idx="15">
                  <c:v>0.118203</c:v>
                </c:pt>
                <c:pt idx="16">
                  <c:v>0.10509094070800643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88-43AC-9C35-F043CC5C5A8B}"/>
            </c:ext>
          </c:extLst>
        </c:ser>
        <c:ser>
          <c:idx val="3"/>
          <c:order val="3"/>
          <c:tx>
            <c:v>White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'T11-S4'!$EX$17:$FN$17</c:f>
              <c:numCache>
                <c:formatCode>0.0%</c:formatCode>
                <c:ptCount val="17"/>
                <c:pt idx="0">
                  <c:v>6.4776064729932054E-2</c:v>
                </c:pt>
                <c:pt idx="1">
                  <c:v>6.7218748917576468E-2</c:v>
                </c:pt>
                <c:pt idx="2">
                  <c:v>6.6066558265808345E-2</c:v>
                </c:pt>
                <c:pt idx="3">
                  <c:v>7.0686257823745477E-2</c:v>
                </c:pt>
                <c:pt idx="4">
                  <c:v>6.1341424701043611E-2</c:v>
                </c:pt>
                <c:pt idx="5">
                  <c:v>6.7369424250510984E-2</c:v>
                </c:pt>
                <c:pt idx="6">
                  <c:v>7.3844627640364757E-2</c:v>
                </c:pt>
                <c:pt idx="7">
                  <c:v>7.5071207179788241E-2</c:v>
                </c:pt>
                <c:pt idx="8">
                  <c:v>7.7320494757677646E-2</c:v>
                </c:pt>
                <c:pt idx="9">
                  <c:v>7.7047607535539978E-2</c:v>
                </c:pt>
                <c:pt idx="10">
                  <c:v>8.0419808470140686E-2</c:v>
                </c:pt>
                <c:pt idx="11">
                  <c:v>8.3873954284253552E-2</c:v>
                </c:pt>
                <c:pt idx="12">
                  <c:v>8.6393120277797539E-2</c:v>
                </c:pt>
                <c:pt idx="13">
                  <c:v>9.1437070480268376E-2</c:v>
                </c:pt>
                <c:pt idx="14">
                  <c:v>9.3737000000000001E-2</c:v>
                </c:pt>
                <c:pt idx="15">
                  <c:v>8.7038000000000004E-2</c:v>
                </c:pt>
                <c:pt idx="16">
                  <c:v>7.5727063951020759E-2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88-43AC-9C35-F043CC5C5A8B}"/>
            </c:ext>
          </c:extLst>
        </c:ser>
        <c:ser>
          <c:idx val="4"/>
          <c:order val="4"/>
          <c:tx>
            <c:v>Black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'T11-S4'!$EX$19:$FN$19</c:f>
              <c:numCache>
                <c:formatCode>0.0%</c:formatCode>
                <c:ptCount val="17"/>
                <c:pt idx="0">
                  <c:v>0.1757142490331868</c:v>
                </c:pt>
                <c:pt idx="1">
                  <c:v>0.18047774407071993</c:v>
                </c:pt>
                <c:pt idx="2">
                  <c:v>0.19318437376594946</c:v>
                </c:pt>
                <c:pt idx="3">
                  <c:v>0.16317160158163416</c:v>
                </c:pt>
                <c:pt idx="4">
                  <c:v>0.147454339767667</c:v>
                </c:pt>
                <c:pt idx="5">
                  <c:v>0.18365744363468961</c:v>
                </c:pt>
                <c:pt idx="6">
                  <c:v>0.20445492058513245</c:v>
                </c:pt>
                <c:pt idx="7">
                  <c:v>0.18230749270090263</c:v>
                </c:pt>
                <c:pt idx="8">
                  <c:v>0.192058464397354</c:v>
                </c:pt>
                <c:pt idx="9">
                  <c:v>0.22914044145502124</c:v>
                </c:pt>
                <c:pt idx="10">
                  <c:v>0.26545845559336373</c:v>
                </c:pt>
                <c:pt idx="11">
                  <c:v>0.22521439565508322</c:v>
                </c:pt>
                <c:pt idx="12">
                  <c:v>0.20566479694219228</c:v>
                </c:pt>
                <c:pt idx="13">
                  <c:v>0.22711936187703782</c:v>
                </c:pt>
                <c:pt idx="14">
                  <c:v>0.21911700000000001</c:v>
                </c:pt>
                <c:pt idx="15">
                  <c:v>0.19978399999999999</c:v>
                </c:pt>
                <c:pt idx="16">
                  <c:v>0.15733291700701507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88-43AC-9C35-F043CC5C5A8B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'T11-S4'!$EX$21:$FN$21</c:f>
              <c:numCache>
                <c:formatCode>0.0%</c:formatCode>
                <c:ptCount val="17"/>
                <c:pt idx="0">
                  <c:v>0.16081365908211248</c:v>
                </c:pt>
                <c:pt idx="1">
                  <c:v>0.16887065978763727</c:v>
                </c:pt>
                <c:pt idx="2">
                  <c:v>0.16314028505231551</c:v>
                </c:pt>
                <c:pt idx="3">
                  <c:v>0.18528504135361348</c:v>
                </c:pt>
                <c:pt idx="4">
                  <c:v>0.13749071528278781</c:v>
                </c:pt>
                <c:pt idx="5">
                  <c:v>0.15624005964884419</c:v>
                </c:pt>
                <c:pt idx="6">
                  <c:v>0.16574032254074664</c:v>
                </c:pt>
                <c:pt idx="7">
                  <c:v>0.17025746781398607</c:v>
                </c:pt>
                <c:pt idx="8">
                  <c:v>0.17907874172879854</c:v>
                </c:pt>
                <c:pt idx="9">
                  <c:v>0.18616687686788133</c:v>
                </c:pt>
                <c:pt idx="10">
                  <c:v>0.21487234147586096</c:v>
                </c:pt>
                <c:pt idx="11">
                  <c:v>0.21470252429990247</c:v>
                </c:pt>
                <c:pt idx="12">
                  <c:v>0.21697581668045007</c:v>
                </c:pt>
                <c:pt idx="13">
                  <c:v>0.23715141462999206</c:v>
                </c:pt>
                <c:pt idx="14">
                  <c:v>0.228989</c:v>
                </c:pt>
                <c:pt idx="15">
                  <c:v>0.19436</c:v>
                </c:pt>
                <c:pt idx="16">
                  <c:v>0.14745780645883172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88-43AC-9C35-F043CC5C5A8B}"/>
            </c:ext>
          </c:extLst>
        </c:ser>
        <c:ser>
          <c:idx val="6"/>
          <c:order val="6"/>
          <c:tx>
            <c:v>Under 18 Years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'T11-S4'!$EX$25:$FN$25</c:f>
              <c:numCache>
                <c:formatCode>0.0%</c:formatCode>
                <c:ptCount val="17"/>
                <c:pt idx="0">
                  <c:v>0.10973347900787053</c:v>
                </c:pt>
                <c:pt idx="1">
                  <c:v>0.10181934287336758</c:v>
                </c:pt>
                <c:pt idx="2">
                  <c:v>0.10747053756229179</c:v>
                </c:pt>
                <c:pt idx="3">
                  <c:v>0.10080045064230611</c:v>
                </c:pt>
                <c:pt idx="4">
                  <c:v>0.10201697482702053</c:v>
                </c:pt>
                <c:pt idx="5">
                  <c:v>0.11535958447510557</c:v>
                </c:pt>
                <c:pt idx="6">
                  <c:v>0.11968378707923784</c:v>
                </c:pt>
                <c:pt idx="7">
                  <c:v>0.12580953011903703</c:v>
                </c:pt>
                <c:pt idx="8">
                  <c:v>0.13900886140004765</c:v>
                </c:pt>
                <c:pt idx="9">
                  <c:v>0.14059205315923592</c:v>
                </c:pt>
                <c:pt idx="10">
                  <c:v>0.16406801645843558</c:v>
                </c:pt>
                <c:pt idx="11">
                  <c:v>0.15541943774898814</c:v>
                </c:pt>
                <c:pt idx="12">
                  <c:v>0.14814640960853542</c:v>
                </c:pt>
                <c:pt idx="13">
                  <c:v>0.16522314527775089</c:v>
                </c:pt>
                <c:pt idx="14">
                  <c:v>0.166544</c:v>
                </c:pt>
                <c:pt idx="15">
                  <c:v>0.15251700000000001</c:v>
                </c:pt>
                <c:pt idx="16">
                  <c:v>0.12603860386524712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88-43AC-9C35-F043CC5C5A8B}"/>
            </c:ext>
          </c:extLst>
        </c:ser>
        <c:ser>
          <c:idx val="7"/>
          <c:order val="7"/>
          <c:tx>
            <c:v>18~64</c:v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'T11-S4'!$EX$27:$FN$27</c:f>
              <c:numCache>
                <c:formatCode>0.0%</c:formatCode>
                <c:ptCount val="17"/>
                <c:pt idx="0">
                  <c:v>7.148179547222025E-2</c:v>
                </c:pt>
                <c:pt idx="1">
                  <c:v>7.2137238304350995E-2</c:v>
                </c:pt>
                <c:pt idx="2">
                  <c:v>7.3029260347519234E-2</c:v>
                </c:pt>
                <c:pt idx="3">
                  <c:v>7.4939961852819412E-2</c:v>
                </c:pt>
                <c:pt idx="4">
                  <c:v>6.0522641435812354E-2</c:v>
                </c:pt>
                <c:pt idx="5">
                  <c:v>6.7141472664750554E-2</c:v>
                </c:pt>
                <c:pt idx="6">
                  <c:v>7.5167535909911612E-2</c:v>
                </c:pt>
                <c:pt idx="7">
                  <c:v>7.6782746901766716E-2</c:v>
                </c:pt>
                <c:pt idx="8">
                  <c:v>7.9610824135778857E-2</c:v>
                </c:pt>
                <c:pt idx="9">
                  <c:v>8.965411282126616E-2</c:v>
                </c:pt>
                <c:pt idx="10">
                  <c:v>0.10033613460778108</c:v>
                </c:pt>
                <c:pt idx="11">
                  <c:v>9.484272617214895E-2</c:v>
                </c:pt>
                <c:pt idx="12">
                  <c:v>9.2106875144701783E-2</c:v>
                </c:pt>
                <c:pt idx="13">
                  <c:v>0.10294558300501142</c:v>
                </c:pt>
                <c:pt idx="14">
                  <c:v>0.104953</c:v>
                </c:pt>
                <c:pt idx="15">
                  <c:v>9.2190999999999995E-2</c:v>
                </c:pt>
                <c:pt idx="16">
                  <c:v>7.8645160609719891E-2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8-43AC-9C35-F043CC5C5A8B}"/>
            </c:ext>
          </c:extLst>
        </c:ser>
        <c:ser>
          <c:idx val="8"/>
          <c:order val="8"/>
          <c:tx>
            <c:v>65 &amp; Over</c:v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'T11-S4'!$EX$29:$FN$29</c:f>
              <c:numCache>
                <c:formatCode>0.0%</c:formatCode>
                <c:ptCount val="17"/>
                <c:pt idx="0">
                  <c:v>8.0367293704547163E-2</c:v>
                </c:pt>
                <c:pt idx="1">
                  <c:v>9.2139527749998174E-2</c:v>
                </c:pt>
                <c:pt idx="2">
                  <c:v>9.2918995158678783E-2</c:v>
                </c:pt>
                <c:pt idx="3">
                  <c:v>9.5626240865897411E-2</c:v>
                </c:pt>
                <c:pt idx="4">
                  <c:v>6.775962527517343E-2</c:v>
                </c:pt>
                <c:pt idx="5">
                  <c:v>7.8540896186822723E-2</c:v>
                </c:pt>
                <c:pt idx="6">
                  <c:v>9.379334579281752E-2</c:v>
                </c:pt>
                <c:pt idx="7">
                  <c:v>9.1310615364039865E-2</c:v>
                </c:pt>
                <c:pt idx="8">
                  <c:v>8.3514553128180249E-2</c:v>
                </c:pt>
                <c:pt idx="9">
                  <c:v>8.9763044149545695E-2</c:v>
                </c:pt>
                <c:pt idx="10">
                  <c:v>7.4195863231528936E-2</c:v>
                </c:pt>
                <c:pt idx="11">
                  <c:v>6.3749153729970365E-2</c:v>
                </c:pt>
                <c:pt idx="12">
                  <c:v>7.6912450505818866E-2</c:v>
                </c:pt>
                <c:pt idx="13">
                  <c:v>7.1262636582477237E-2</c:v>
                </c:pt>
                <c:pt idx="14">
                  <c:v>6.7032999999999995E-2</c:v>
                </c:pt>
                <c:pt idx="15">
                  <c:v>8.2310999999999995E-2</c:v>
                </c:pt>
                <c:pt idx="16">
                  <c:v>9.1578411025085862E-2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88-43AC-9C35-F043CC5C5A8B}"/>
            </c:ext>
          </c:extLst>
        </c:ser>
        <c:ser>
          <c:idx val="9"/>
          <c:order val="9"/>
          <c:tx>
            <c:v>Married, Spouse Present</c:v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'T11-S4'!$EX$33:$FN$33</c:f>
              <c:numCache>
                <c:formatCode>0.0%</c:formatCode>
                <c:ptCount val="17"/>
                <c:pt idx="0">
                  <c:v>2.8746556850392818E-2</c:v>
                </c:pt>
                <c:pt idx="1">
                  <c:v>3.4431971732373501E-2</c:v>
                </c:pt>
                <c:pt idx="2">
                  <c:v>3.6139230854518242E-2</c:v>
                </c:pt>
                <c:pt idx="3">
                  <c:v>3.6575341436441054E-2</c:v>
                </c:pt>
                <c:pt idx="4">
                  <c:v>2.8573155466930622E-2</c:v>
                </c:pt>
                <c:pt idx="5">
                  <c:v>3.0741871628730197E-2</c:v>
                </c:pt>
                <c:pt idx="6">
                  <c:v>2.8423011595088123E-2</c:v>
                </c:pt>
                <c:pt idx="7">
                  <c:v>2.9184818857363633E-2</c:v>
                </c:pt>
                <c:pt idx="8">
                  <c:v>3.1945792530107799E-2</c:v>
                </c:pt>
                <c:pt idx="9">
                  <c:v>2.9553375033768196E-2</c:v>
                </c:pt>
                <c:pt idx="10">
                  <c:v>3.5236791368088258E-2</c:v>
                </c:pt>
                <c:pt idx="11">
                  <c:v>3.9385900643171642E-2</c:v>
                </c:pt>
                <c:pt idx="12">
                  <c:v>4.2146034752167258E-2</c:v>
                </c:pt>
                <c:pt idx="13">
                  <c:v>4.621608362550568E-2</c:v>
                </c:pt>
                <c:pt idx="14">
                  <c:v>4.4467E-2</c:v>
                </c:pt>
                <c:pt idx="15">
                  <c:v>4.3693999999999997E-2</c:v>
                </c:pt>
                <c:pt idx="16">
                  <c:v>3.7154975134476215E-2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88-43AC-9C35-F043CC5C5A8B}"/>
            </c:ext>
          </c:extLst>
        </c:ser>
        <c:ser>
          <c:idx val="10"/>
          <c:order val="10"/>
          <c:tx>
            <c:v>Married, Spouse Absent</c:v>
          </c:tx>
          <c:spPr>
            <a:ln w="22225" cap="rnd" cmpd="sng" algn="ctr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'T11-S4'!$EX$35:$FN$35</c:f>
              <c:numCache>
                <c:formatCode>0.0%</c:formatCode>
                <c:ptCount val="17"/>
                <c:pt idx="0">
                  <c:v>0.10892437278783951</c:v>
                </c:pt>
                <c:pt idx="1">
                  <c:v>0.12715089288501849</c:v>
                </c:pt>
                <c:pt idx="2">
                  <c:v>0.22011026121867006</c:v>
                </c:pt>
                <c:pt idx="3">
                  <c:v>0.2316974794552554</c:v>
                </c:pt>
                <c:pt idx="4">
                  <c:v>8.6662385631093783E-2</c:v>
                </c:pt>
                <c:pt idx="5">
                  <c:v>0.17222966257357594</c:v>
                </c:pt>
                <c:pt idx="6">
                  <c:v>0.22549944601609756</c:v>
                </c:pt>
                <c:pt idx="7">
                  <c:v>0.14678263497133701</c:v>
                </c:pt>
                <c:pt idx="8">
                  <c:v>0.12670128156578719</c:v>
                </c:pt>
                <c:pt idx="9">
                  <c:v>0.10746526352924142</c:v>
                </c:pt>
                <c:pt idx="10">
                  <c:v>0.16252197922837749</c:v>
                </c:pt>
                <c:pt idx="11">
                  <c:v>0.2122505284151282</c:v>
                </c:pt>
                <c:pt idx="12">
                  <c:v>0.14471270962543384</c:v>
                </c:pt>
                <c:pt idx="13">
                  <c:v>0.1187333159262601</c:v>
                </c:pt>
                <c:pt idx="14">
                  <c:v>0.26434800000000003</c:v>
                </c:pt>
                <c:pt idx="15">
                  <c:v>0.235122</c:v>
                </c:pt>
                <c:pt idx="16">
                  <c:v>0.11739157730341188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88-43AC-9C35-F043CC5C5A8B}"/>
            </c:ext>
          </c:extLst>
        </c:ser>
        <c:ser>
          <c:idx val="11"/>
          <c:order val="11"/>
          <c:tx>
            <c:v>Widowed</c:v>
          </c:tx>
          <c:spPr>
            <a:ln w="22225" cap="rnd" cmpd="sng" algn="ctr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'T11-S4'!$EX$37:$FN$37</c:f>
              <c:numCache>
                <c:formatCode>0.0%</c:formatCode>
                <c:ptCount val="17"/>
                <c:pt idx="0">
                  <c:v>0.12583500105315842</c:v>
                </c:pt>
                <c:pt idx="1">
                  <c:v>0.14910824132310679</c:v>
                </c:pt>
                <c:pt idx="2">
                  <c:v>0.13586353520311495</c:v>
                </c:pt>
                <c:pt idx="3">
                  <c:v>0.12510705617134782</c:v>
                </c:pt>
                <c:pt idx="4">
                  <c:v>0.11737559027337925</c:v>
                </c:pt>
                <c:pt idx="5">
                  <c:v>0.14568763343943458</c:v>
                </c:pt>
                <c:pt idx="6">
                  <c:v>0.17435238491384705</c:v>
                </c:pt>
                <c:pt idx="7">
                  <c:v>0.14001226421466106</c:v>
                </c:pt>
                <c:pt idx="8">
                  <c:v>0.10799948255003866</c:v>
                </c:pt>
                <c:pt idx="9">
                  <c:v>0.10252894186719186</c:v>
                </c:pt>
                <c:pt idx="10">
                  <c:v>0.11283639749966547</c:v>
                </c:pt>
                <c:pt idx="11">
                  <c:v>0.11929064387197755</c:v>
                </c:pt>
                <c:pt idx="12">
                  <c:v>9.8985874838886809E-2</c:v>
                </c:pt>
                <c:pt idx="13">
                  <c:v>9.7183375356894447E-2</c:v>
                </c:pt>
                <c:pt idx="14">
                  <c:v>0.12867300000000001</c:v>
                </c:pt>
                <c:pt idx="15">
                  <c:v>0.154666</c:v>
                </c:pt>
                <c:pt idx="16">
                  <c:v>0.17998892031115399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88-43AC-9C35-F043CC5C5A8B}"/>
            </c:ext>
          </c:extLst>
        </c:ser>
        <c:ser>
          <c:idx val="12"/>
          <c:order val="12"/>
          <c:tx>
            <c:v>Divorced</c:v>
          </c:tx>
          <c:spPr>
            <a:ln w="22225" cap="rnd" cmpd="sng" algn="ctr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'T11-S4'!$EX$39:$FN$39</c:f>
              <c:numCache>
                <c:formatCode>0.0%</c:formatCode>
                <c:ptCount val="17"/>
                <c:pt idx="0">
                  <c:v>0.13644981894275507</c:v>
                </c:pt>
                <c:pt idx="1">
                  <c:v>0.13087994958657226</c:v>
                </c:pt>
                <c:pt idx="2">
                  <c:v>0.12579486768011933</c:v>
                </c:pt>
                <c:pt idx="3">
                  <c:v>0.12747395963312477</c:v>
                </c:pt>
                <c:pt idx="4">
                  <c:v>9.5159594715866005E-2</c:v>
                </c:pt>
                <c:pt idx="5">
                  <c:v>9.7931657425674917E-2</c:v>
                </c:pt>
                <c:pt idx="6">
                  <c:v>0.10468412646266939</c:v>
                </c:pt>
                <c:pt idx="7">
                  <c:v>0.12021606131661419</c:v>
                </c:pt>
                <c:pt idx="8">
                  <c:v>0.13809575032543597</c:v>
                </c:pt>
                <c:pt idx="9">
                  <c:v>0.13429151282954491</c:v>
                </c:pt>
                <c:pt idx="10">
                  <c:v>0.12469077020410893</c:v>
                </c:pt>
                <c:pt idx="11">
                  <c:v>0.12952079498912111</c:v>
                </c:pt>
                <c:pt idx="12">
                  <c:v>0.14280325637905159</c:v>
                </c:pt>
                <c:pt idx="13">
                  <c:v>0.15577811692952304</c:v>
                </c:pt>
                <c:pt idx="14">
                  <c:v>0.137298</c:v>
                </c:pt>
                <c:pt idx="15">
                  <c:v>0.120431</c:v>
                </c:pt>
                <c:pt idx="16">
                  <c:v>0.13641137987514532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388-43AC-9C35-F043CC5C5A8B}"/>
            </c:ext>
          </c:extLst>
        </c:ser>
        <c:ser>
          <c:idx val="13"/>
          <c:order val="13"/>
          <c:tx>
            <c:v>Separated</c:v>
          </c:tx>
          <c:spPr>
            <a:ln w="22225" cap="rnd" cmpd="sng" algn="ctr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'T11-S4'!$EX$41:$FN$41</c:f>
              <c:numCache>
                <c:formatCode>0.0%</c:formatCode>
                <c:ptCount val="17"/>
                <c:pt idx="0">
                  <c:v>0.16483048656129884</c:v>
                </c:pt>
                <c:pt idx="1">
                  <c:v>0.16159059913568841</c:v>
                </c:pt>
                <c:pt idx="2">
                  <c:v>0.12722971590556251</c:v>
                </c:pt>
                <c:pt idx="3">
                  <c:v>0.16746663140777426</c:v>
                </c:pt>
                <c:pt idx="4">
                  <c:v>0.22060816726663776</c:v>
                </c:pt>
                <c:pt idx="5">
                  <c:v>0.20859960648226003</c:v>
                </c:pt>
                <c:pt idx="6">
                  <c:v>0.22092747483006006</c:v>
                </c:pt>
                <c:pt idx="7">
                  <c:v>0.19026286002291243</c:v>
                </c:pt>
                <c:pt idx="8">
                  <c:v>0.16262254317208022</c:v>
                </c:pt>
                <c:pt idx="9">
                  <c:v>0.19001382691672544</c:v>
                </c:pt>
                <c:pt idx="10">
                  <c:v>0.18554095400156181</c:v>
                </c:pt>
                <c:pt idx="11">
                  <c:v>0.19009474119560801</c:v>
                </c:pt>
                <c:pt idx="12">
                  <c:v>0.24796679801286386</c:v>
                </c:pt>
                <c:pt idx="13">
                  <c:v>0.3021281740850309</c:v>
                </c:pt>
                <c:pt idx="14">
                  <c:v>0.26522800000000002</c:v>
                </c:pt>
                <c:pt idx="15">
                  <c:v>0.204813</c:v>
                </c:pt>
                <c:pt idx="16">
                  <c:v>0.15190616608708013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388-43AC-9C35-F043CC5C5A8B}"/>
            </c:ext>
          </c:extLst>
        </c:ser>
        <c:ser>
          <c:idx val="14"/>
          <c:order val="14"/>
          <c:tx>
            <c:v>Never Married</c:v>
          </c:tx>
          <c:spPr>
            <a:ln w="22225" cap="rnd" cmpd="sng" algn="ctr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'T11-S4'!$EX$43:$FN$43</c:f>
              <c:numCache>
                <c:formatCode>0.0%</c:formatCode>
                <c:ptCount val="17"/>
                <c:pt idx="0">
                  <c:v>0.11649311364336576</c:v>
                </c:pt>
                <c:pt idx="1">
                  <c:v>0.10948190809230211</c:v>
                </c:pt>
                <c:pt idx="2">
                  <c:v>0.11136230614145219</c:v>
                </c:pt>
                <c:pt idx="3">
                  <c:v>0.10900352763955209</c:v>
                </c:pt>
                <c:pt idx="4">
                  <c:v>9.6362707567893474E-2</c:v>
                </c:pt>
                <c:pt idx="5">
                  <c:v>0.10927401713654028</c:v>
                </c:pt>
                <c:pt idx="6">
                  <c:v>0.12268624078208962</c:v>
                </c:pt>
                <c:pt idx="7">
                  <c:v>0.12932343221497328</c:v>
                </c:pt>
                <c:pt idx="8">
                  <c:v>0.13794071761558535</c:v>
                </c:pt>
                <c:pt idx="9">
                  <c:v>0.15435133281653227</c:v>
                </c:pt>
                <c:pt idx="10">
                  <c:v>0.16645416904167562</c:v>
                </c:pt>
                <c:pt idx="11">
                  <c:v>0.14595309702286</c:v>
                </c:pt>
                <c:pt idx="12">
                  <c:v>0.14393267263746629</c:v>
                </c:pt>
                <c:pt idx="13">
                  <c:v>0.15912795239310473</c:v>
                </c:pt>
                <c:pt idx="14">
                  <c:v>0.15836700000000001</c:v>
                </c:pt>
                <c:pt idx="15">
                  <c:v>0.143818</c:v>
                </c:pt>
                <c:pt idx="16">
                  <c:v>0.12340170642806582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8-43AC-9C35-F043CC5C5A8B}"/>
            </c:ext>
          </c:extLst>
        </c:ser>
        <c:ser>
          <c:idx val="15"/>
          <c:order val="15"/>
          <c:tx>
            <c:v>Civilian Employed</c:v>
          </c:tx>
          <c:spPr>
            <a:ln w="22225" cap="rnd" cmpd="sng" algn="ctr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'T11-S4'!$EX$47:$FN$47</c:f>
              <c:numCache>
                <c:formatCode>0.0%</c:formatCode>
                <c:ptCount val="17"/>
                <c:pt idx="0">
                  <c:v>3.5635226413683829E-2</c:v>
                </c:pt>
                <c:pt idx="1">
                  <c:v>3.5578911629053793E-2</c:v>
                </c:pt>
                <c:pt idx="2">
                  <c:v>3.6835918955506149E-2</c:v>
                </c:pt>
                <c:pt idx="3">
                  <c:v>3.9566512710293218E-2</c:v>
                </c:pt>
                <c:pt idx="4">
                  <c:v>2.7092720025985915E-2</c:v>
                </c:pt>
                <c:pt idx="5">
                  <c:v>3.0849445540429114E-2</c:v>
                </c:pt>
                <c:pt idx="6">
                  <c:v>3.5883528647979036E-2</c:v>
                </c:pt>
                <c:pt idx="7">
                  <c:v>3.6667126671957269E-2</c:v>
                </c:pt>
                <c:pt idx="8">
                  <c:v>3.8145704042828861E-2</c:v>
                </c:pt>
                <c:pt idx="9">
                  <c:v>4.5664893870581647E-2</c:v>
                </c:pt>
                <c:pt idx="10">
                  <c:v>4.9047894513914919E-2</c:v>
                </c:pt>
                <c:pt idx="11">
                  <c:v>4.3722417498084518E-2</c:v>
                </c:pt>
                <c:pt idx="12">
                  <c:v>4.4346713685152403E-2</c:v>
                </c:pt>
                <c:pt idx="13">
                  <c:v>4.5538567290544833E-2</c:v>
                </c:pt>
                <c:pt idx="14">
                  <c:v>4.5543E-2</c:v>
                </c:pt>
                <c:pt idx="15">
                  <c:v>4.3461E-2</c:v>
                </c:pt>
                <c:pt idx="16">
                  <c:v>3.2080552497914139E-2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388-43AC-9C35-F043CC5C5A8B}"/>
            </c:ext>
          </c:extLst>
        </c:ser>
        <c:ser>
          <c:idx val="16"/>
          <c:order val="16"/>
          <c:tx>
            <c:v>Unemployed</c:v>
          </c:tx>
          <c:spPr>
            <a:ln w="22225" cap="rnd" cmpd="sng" algn="ctr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'T11-S4'!$EX$49:$FN$49</c:f>
              <c:numCache>
                <c:formatCode>0.0%</c:formatCode>
                <c:ptCount val="17"/>
                <c:pt idx="0">
                  <c:v>0.12997744356189514</c:v>
                </c:pt>
                <c:pt idx="1">
                  <c:v>0.1281744666696103</c:v>
                </c:pt>
                <c:pt idx="2">
                  <c:v>0.12491523242361069</c:v>
                </c:pt>
                <c:pt idx="3">
                  <c:v>0.10681197887535172</c:v>
                </c:pt>
                <c:pt idx="4">
                  <c:v>0.13553294525030671</c:v>
                </c:pt>
                <c:pt idx="5">
                  <c:v>0.14653481295299181</c:v>
                </c:pt>
                <c:pt idx="6">
                  <c:v>0.14619362941059749</c:v>
                </c:pt>
                <c:pt idx="7">
                  <c:v>0.11997183204056572</c:v>
                </c:pt>
                <c:pt idx="8">
                  <c:v>0.12961191108321551</c:v>
                </c:pt>
                <c:pt idx="9">
                  <c:v>0.17245301830332033</c:v>
                </c:pt>
                <c:pt idx="10">
                  <c:v>0.18842791796966898</c:v>
                </c:pt>
                <c:pt idx="11">
                  <c:v>0.16893498545205082</c:v>
                </c:pt>
                <c:pt idx="12">
                  <c:v>0.17299107577332667</c:v>
                </c:pt>
                <c:pt idx="13">
                  <c:v>0.21494053121710907</c:v>
                </c:pt>
                <c:pt idx="14">
                  <c:v>0.22492799999999999</c:v>
                </c:pt>
                <c:pt idx="15">
                  <c:v>0.19228700000000001</c:v>
                </c:pt>
                <c:pt idx="16">
                  <c:v>0.17966706337267294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388-43AC-9C35-F043CC5C5A8B}"/>
            </c:ext>
          </c:extLst>
        </c:ser>
        <c:ser>
          <c:idx val="17"/>
          <c:order val="17"/>
          <c:tx>
            <c:v>Not in Labor Force</c:v>
          </c:tx>
          <c:spPr>
            <a:ln w="22225" cap="rnd" cmpd="sng" algn="ctr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'T11-S4'!$EX$4:$FN$4</c:f>
              <c:strCache>
                <c:ptCount val="17"/>
                <c:pt idx="0">
                  <c:v>2000-01  </c:v>
                </c:pt>
                <c:pt idx="1">
                  <c:v>2001-02  </c:v>
                </c:pt>
                <c:pt idx="2">
                  <c:v>2002-03  </c:v>
                </c:pt>
                <c:pt idx="3">
                  <c:v>2003-04  </c:v>
                </c:pt>
                <c:pt idx="4">
                  <c:v>2004-05  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'T11-S4'!$EX$51:$FN$51</c:f>
              <c:numCache>
                <c:formatCode>0.0%</c:formatCode>
                <c:ptCount val="17"/>
                <c:pt idx="0">
                  <c:v>0.13729351591209168</c:v>
                </c:pt>
                <c:pt idx="1">
                  <c:v>0.14139806549724951</c:v>
                </c:pt>
                <c:pt idx="2">
                  <c:v>0.14529995197671172</c:v>
                </c:pt>
                <c:pt idx="3">
                  <c:v>0.14631096895290202</c:v>
                </c:pt>
                <c:pt idx="4">
                  <c:v>0.12016878209748416</c:v>
                </c:pt>
                <c:pt idx="5">
                  <c:v>0.13438061637912674</c:v>
                </c:pt>
                <c:pt idx="6">
                  <c:v>0.15409572364931762</c:v>
                </c:pt>
                <c:pt idx="7">
                  <c:v>0.15765392364380132</c:v>
                </c:pt>
                <c:pt idx="8">
                  <c:v>0.15227769405711136</c:v>
                </c:pt>
                <c:pt idx="9">
                  <c:v>0.15261569355610563</c:v>
                </c:pt>
                <c:pt idx="10">
                  <c:v>0.15772764867757663</c:v>
                </c:pt>
                <c:pt idx="11">
                  <c:v>0.1493606845162562</c:v>
                </c:pt>
                <c:pt idx="12">
                  <c:v>0.15240729188966243</c:v>
                </c:pt>
                <c:pt idx="13">
                  <c:v>0.17102788041527076</c:v>
                </c:pt>
                <c:pt idx="14">
                  <c:v>0.176597</c:v>
                </c:pt>
                <c:pt idx="15">
                  <c:v>0.16261600000000001</c:v>
                </c:pt>
                <c:pt idx="16">
                  <c:v>0.15071888970384184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388-43AC-9C35-F043CC5C5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41402696"/>
        <c:axId val="436302072"/>
      </c:lineChart>
      <c:catAx>
        <c:axId val="44140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02072"/>
        <c:crosses val="autoZero"/>
        <c:auto val="1"/>
        <c:lblAlgn val="ctr"/>
        <c:lblOffset val="100"/>
        <c:noMultiLvlLbl val="0"/>
      </c:catAx>
      <c:valAx>
        <c:axId val="436302072"/>
        <c:scaling>
          <c:orientation val="minMax"/>
          <c:max val="0.31000000000000005"/>
          <c:min val="2.0000000000000004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026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49457754774019"/>
          <c:y val="1.1749600887517926E-2"/>
          <c:w val="0.11450542245225979"/>
          <c:h val="0.9871190843412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All</a:t>
            </a:r>
            <a:r>
              <a:rPr lang="en-US" baseline="0"/>
              <a:t> </a:t>
            </a:r>
            <a:r>
              <a:rPr lang="en-US"/>
              <a:t>Families in NJ: 2001~2018</a:t>
            </a:r>
          </a:p>
          <a:p>
            <a:pPr>
              <a:defRPr/>
            </a:pPr>
            <a:r>
              <a:rPr lang="en-US"/>
              <a:t>(in Thousands)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'T11-S4'!$U$3:$AK$3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</c:v>
                </c:pt>
                <c:pt idx="3">
                  <c:v>2004-05 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'T11-S4'!$U$6:$AK$6</c:f>
              <c:numCache>
                <c:formatCode>#,##0</c:formatCode>
                <c:ptCount val="17"/>
                <c:pt idx="0">
                  <c:v>2216.5</c:v>
                </c:pt>
                <c:pt idx="1">
                  <c:v>2291.9</c:v>
                </c:pt>
                <c:pt idx="2">
                  <c:v>2259</c:v>
                </c:pt>
                <c:pt idx="3">
                  <c:v>2243.5</c:v>
                </c:pt>
                <c:pt idx="4">
                  <c:v>2268.1</c:v>
                </c:pt>
                <c:pt idx="5">
                  <c:v>2296.1999999999998</c:v>
                </c:pt>
                <c:pt idx="6">
                  <c:v>2246.4</c:v>
                </c:pt>
                <c:pt idx="7">
                  <c:v>2188</c:v>
                </c:pt>
                <c:pt idx="8">
                  <c:v>2232.4</c:v>
                </c:pt>
                <c:pt idx="9">
                  <c:v>2217.6</c:v>
                </c:pt>
                <c:pt idx="10">
                  <c:v>2175.6999999999998</c:v>
                </c:pt>
                <c:pt idx="11">
                  <c:v>2220.3000000000002</c:v>
                </c:pt>
                <c:pt idx="12">
                  <c:v>2217.6</c:v>
                </c:pt>
                <c:pt idx="13">
                  <c:v>2234.1999999999998</c:v>
                </c:pt>
                <c:pt idx="14">
                  <c:v>2304.0479999999998</c:v>
                </c:pt>
                <c:pt idx="15">
                  <c:v>2314.1473799999999</c:v>
                </c:pt>
                <c:pt idx="16">
                  <c:v>2280.6880000000001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C-4F39-B35C-50FC5341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4572016"/>
        <c:axId val="514573656"/>
      </c:lineChart>
      <c:catAx>
        <c:axId val="51457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3656"/>
        <c:crosses val="autoZero"/>
        <c:auto val="1"/>
        <c:lblAlgn val="ctr"/>
        <c:lblOffset val="100"/>
        <c:noMultiLvlLbl val="0"/>
      </c:catAx>
      <c:valAx>
        <c:axId val="514573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20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Number of Families with Children under 18: 2001~2018 (in Thousands)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All Families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'T11-S4'!$GJ$5:$GZ$5</c:f>
              <c:numCache>
                <c:formatCode>#,##0</c:formatCode>
                <c:ptCount val="17"/>
                <c:pt idx="0">
                  <c:v>2216.5</c:v>
                </c:pt>
                <c:pt idx="1">
                  <c:v>2291.9</c:v>
                </c:pt>
                <c:pt idx="2">
                  <c:v>2259</c:v>
                </c:pt>
                <c:pt idx="3">
                  <c:v>2243.5</c:v>
                </c:pt>
                <c:pt idx="4">
                  <c:v>2268.1</c:v>
                </c:pt>
                <c:pt idx="5">
                  <c:v>2296.1999999999998</c:v>
                </c:pt>
                <c:pt idx="6">
                  <c:v>2246.4</c:v>
                </c:pt>
                <c:pt idx="7">
                  <c:v>2188</c:v>
                </c:pt>
                <c:pt idx="8">
                  <c:v>2232.4</c:v>
                </c:pt>
                <c:pt idx="9">
                  <c:v>2217.6</c:v>
                </c:pt>
                <c:pt idx="10">
                  <c:v>2175.6999999999998</c:v>
                </c:pt>
                <c:pt idx="11">
                  <c:v>2220.3000000000002</c:v>
                </c:pt>
                <c:pt idx="12">
                  <c:v>2217.6</c:v>
                </c:pt>
                <c:pt idx="13">
                  <c:v>2234.1999999999998</c:v>
                </c:pt>
                <c:pt idx="14">
                  <c:v>2304.0479999999998</c:v>
                </c:pt>
                <c:pt idx="15">
                  <c:v>2314.1473799999999</c:v>
                </c:pt>
                <c:pt idx="16">
                  <c:v>2280.6879100000001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E-4017-8EC0-09F065EDFB88}"/>
            </c:ext>
          </c:extLst>
        </c:ser>
        <c:ser>
          <c:idx val="1"/>
          <c:order val="1"/>
          <c:tx>
            <c:v>White Families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'T11-S4'!$GJ$13:$GZ$13</c:f>
              <c:numCache>
                <c:formatCode>#,##0</c:formatCode>
                <c:ptCount val="17"/>
                <c:pt idx="0">
                  <c:v>1776.5684550000001</c:v>
                </c:pt>
                <c:pt idx="1">
                  <c:v>1840.1990000000001</c:v>
                </c:pt>
                <c:pt idx="2">
                  <c:v>1791.366</c:v>
                </c:pt>
                <c:pt idx="3">
                  <c:v>1781.9195</c:v>
                </c:pt>
                <c:pt idx="4">
                  <c:v>1809.318</c:v>
                </c:pt>
                <c:pt idx="5">
                  <c:v>1798.1030000000001</c:v>
                </c:pt>
                <c:pt idx="6">
                  <c:v>1722.2525000000001</c:v>
                </c:pt>
                <c:pt idx="7">
                  <c:v>1671.761</c:v>
                </c:pt>
                <c:pt idx="8">
                  <c:v>1713.1255000000001</c:v>
                </c:pt>
                <c:pt idx="9">
                  <c:v>1712.4259999999999</c:v>
                </c:pt>
                <c:pt idx="10">
                  <c:v>1674.76</c:v>
                </c:pt>
                <c:pt idx="11">
                  <c:v>1696.883</c:v>
                </c:pt>
                <c:pt idx="12">
                  <c:v>1671.0035</c:v>
                </c:pt>
                <c:pt idx="13">
                  <c:v>1676.7270000000001</c:v>
                </c:pt>
                <c:pt idx="14">
                  <c:v>1729</c:v>
                </c:pt>
                <c:pt idx="15">
                  <c:v>1730.086</c:v>
                </c:pt>
                <c:pt idx="16">
                  <c:v>1710.0678799999998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E-4017-8EC0-09F065EDFB88}"/>
            </c:ext>
          </c:extLst>
        </c:ser>
        <c:ser>
          <c:idx val="2"/>
          <c:order val="2"/>
          <c:tx>
            <c:v>Black Families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'T11-S4'!$GJ$20:$GZ$20</c:f>
              <c:numCache>
                <c:formatCode>#,##0</c:formatCode>
                <c:ptCount val="17"/>
                <c:pt idx="0">
                  <c:v>289.06018999999998</c:v>
                </c:pt>
                <c:pt idx="1">
                  <c:v>281.39371999999997</c:v>
                </c:pt>
                <c:pt idx="2">
                  <c:v>289.38594000000001</c:v>
                </c:pt>
                <c:pt idx="3">
                  <c:v>285.73323000000005</c:v>
                </c:pt>
                <c:pt idx="4">
                  <c:v>289.44804999999997</c:v>
                </c:pt>
                <c:pt idx="5">
                  <c:v>293.33293999999995</c:v>
                </c:pt>
                <c:pt idx="6">
                  <c:v>285.88653500000004</c:v>
                </c:pt>
                <c:pt idx="7">
                  <c:v>272.53605500000003</c:v>
                </c:pt>
                <c:pt idx="8">
                  <c:v>283.35953000000001</c:v>
                </c:pt>
                <c:pt idx="9">
                  <c:v>296.34779499999996</c:v>
                </c:pt>
                <c:pt idx="10">
                  <c:v>296.19405999999998</c:v>
                </c:pt>
                <c:pt idx="11">
                  <c:v>302.03496000000001</c:v>
                </c:pt>
                <c:pt idx="12">
                  <c:v>304.62516000000005</c:v>
                </c:pt>
                <c:pt idx="13">
                  <c:v>301.02199999999999</c:v>
                </c:pt>
                <c:pt idx="14">
                  <c:v>291</c:v>
                </c:pt>
                <c:pt idx="15">
                  <c:v>294.3861</c:v>
                </c:pt>
                <c:pt idx="16" formatCode="_(* #,##0_);_(* \(#,##0\);_(* &quot;-&quot;??_);_(@_)">
                  <c:v>316.18847999999997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0E-4017-8EC0-09F065EDFB88}"/>
            </c:ext>
          </c:extLst>
        </c:ser>
        <c:ser>
          <c:idx val="3"/>
          <c:order val="3"/>
          <c:tx>
            <c:v>Hispanic Families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'T11-S4'!$GJ$27:$GZ$27</c:f>
              <c:numCache>
                <c:formatCode>#,##0</c:formatCode>
                <c:ptCount val="17"/>
                <c:pt idx="0">
                  <c:v>235.21623</c:v>
                </c:pt>
                <c:pt idx="1">
                  <c:v>260.25465000000003</c:v>
                </c:pt>
                <c:pt idx="2">
                  <c:v>270.61765000000003</c:v>
                </c:pt>
                <c:pt idx="3">
                  <c:v>275.00625000000002</c:v>
                </c:pt>
                <c:pt idx="4">
                  <c:v>319.46644999999995</c:v>
                </c:pt>
                <c:pt idx="5">
                  <c:v>351.21365000000003</c:v>
                </c:pt>
                <c:pt idx="6">
                  <c:v>340.01620000000003</c:v>
                </c:pt>
                <c:pt idx="7">
                  <c:v>332.89920000000001</c:v>
                </c:pt>
                <c:pt idx="8">
                  <c:v>344.70205000000004</c:v>
                </c:pt>
                <c:pt idx="9">
                  <c:v>359.1816</c:v>
                </c:pt>
                <c:pt idx="10">
                  <c:v>371.63965000000002</c:v>
                </c:pt>
                <c:pt idx="11">
                  <c:v>399.12234999999998</c:v>
                </c:pt>
                <c:pt idx="12">
                  <c:v>389.32515000000001</c:v>
                </c:pt>
                <c:pt idx="13">
                  <c:v>374.56180000000001</c:v>
                </c:pt>
                <c:pt idx="14">
                  <c:v>386</c:v>
                </c:pt>
                <c:pt idx="15">
                  <c:v>387.30180000000001</c:v>
                </c:pt>
                <c:pt idx="16">
                  <c:v>388.84209999999996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0E-4017-8EC0-09F065EDFB88}"/>
            </c:ext>
          </c:extLst>
        </c:ser>
        <c:ser>
          <c:idx val="4"/>
          <c:order val="4"/>
          <c:tx>
            <c:v>Married Couple Families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'T11-S4'!$GJ$35:$GZ$35</c:f>
              <c:numCache>
                <c:formatCode>#,##0</c:formatCode>
                <c:ptCount val="17"/>
                <c:pt idx="0">
                  <c:v>1732.6483700000001</c:v>
                </c:pt>
                <c:pt idx="1">
                  <c:v>1777.3</c:v>
                </c:pt>
                <c:pt idx="2">
                  <c:v>1727.2</c:v>
                </c:pt>
                <c:pt idx="3">
                  <c:v>1726.9</c:v>
                </c:pt>
                <c:pt idx="4">
                  <c:v>1739.2</c:v>
                </c:pt>
                <c:pt idx="5">
                  <c:v>1745.1</c:v>
                </c:pt>
                <c:pt idx="6">
                  <c:v>1698.6</c:v>
                </c:pt>
                <c:pt idx="7">
                  <c:v>1642</c:v>
                </c:pt>
                <c:pt idx="8">
                  <c:v>1653.8</c:v>
                </c:pt>
                <c:pt idx="9">
                  <c:v>1629.9</c:v>
                </c:pt>
                <c:pt idx="10">
                  <c:v>1577.2</c:v>
                </c:pt>
                <c:pt idx="11">
                  <c:v>1606.7</c:v>
                </c:pt>
                <c:pt idx="12">
                  <c:v>1671.3</c:v>
                </c:pt>
                <c:pt idx="13">
                  <c:v>1689.2</c:v>
                </c:pt>
                <c:pt idx="14">
                  <c:v>1724.2439999999999</c:v>
                </c:pt>
                <c:pt idx="15">
                  <c:v>1762.4939999999999</c:v>
                </c:pt>
                <c:pt idx="16">
                  <c:v>1768.3133500000001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0E-4017-8EC0-09F065EDFB88}"/>
            </c:ext>
          </c:extLst>
        </c:ser>
        <c:ser>
          <c:idx val="5"/>
          <c:order val="5"/>
          <c:tx>
            <c:v>Female HH-Spouse Absent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'T11-S4'!$GJ$42:$GZ$42</c:f>
              <c:numCache>
                <c:formatCode>#,##0</c:formatCode>
                <c:ptCount val="17"/>
                <c:pt idx="0">
                  <c:v>361.59475500000002</c:v>
                </c:pt>
                <c:pt idx="1">
                  <c:v>396.6</c:v>
                </c:pt>
                <c:pt idx="2">
                  <c:v>403.3</c:v>
                </c:pt>
                <c:pt idx="3">
                  <c:v>369.9</c:v>
                </c:pt>
                <c:pt idx="4">
                  <c:v>381.2</c:v>
                </c:pt>
                <c:pt idx="5">
                  <c:v>411.8</c:v>
                </c:pt>
                <c:pt idx="6">
                  <c:v>420.4</c:v>
                </c:pt>
                <c:pt idx="7">
                  <c:v>404.9</c:v>
                </c:pt>
                <c:pt idx="8">
                  <c:v>402</c:v>
                </c:pt>
                <c:pt idx="9">
                  <c:v>414.8</c:v>
                </c:pt>
                <c:pt idx="10">
                  <c:v>429.9</c:v>
                </c:pt>
                <c:pt idx="11">
                  <c:v>437.2</c:v>
                </c:pt>
                <c:pt idx="12">
                  <c:v>399.2</c:v>
                </c:pt>
                <c:pt idx="13">
                  <c:v>404.7</c:v>
                </c:pt>
                <c:pt idx="14">
                  <c:v>417.71100000000001</c:v>
                </c:pt>
                <c:pt idx="15">
                  <c:v>394.18099999999998</c:v>
                </c:pt>
                <c:pt idx="16">
                  <c:v>373.24811999999997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0E-4017-8EC0-09F065EDFB88}"/>
            </c:ext>
          </c:extLst>
        </c:ser>
        <c:ser>
          <c:idx val="6"/>
          <c:order val="6"/>
          <c:tx>
            <c:v>Male HH-Spouse Absent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'T11-S4'!$GJ$3:$GZ$3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'T11-S4'!$GJ$49:$GZ$49</c:f>
              <c:numCache>
                <c:formatCode>#,##0</c:formatCode>
                <c:ptCount val="17"/>
                <c:pt idx="0">
                  <c:v>124.955125</c:v>
                </c:pt>
                <c:pt idx="1">
                  <c:v>118.05123999999999</c:v>
                </c:pt>
                <c:pt idx="2">
                  <c:v>128.54497499999999</c:v>
                </c:pt>
                <c:pt idx="3">
                  <c:v>146.68787499999999</c:v>
                </c:pt>
                <c:pt idx="4">
                  <c:v>147.670165</c:v>
                </c:pt>
                <c:pt idx="5">
                  <c:v>139.40908500000003</c:v>
                </c:pt>
                <c:pt idx="6">
                  <c:v>127.40547500000001</c:v>
                </c:pt>
                <c:pt idx="7">
                  <c:v>141.14557500000001</c:v>
                </c:pt>
                <c:pt idx="8">
                  <c:v>176.62554999999998</c:v>
                </c:pt>
                <c:pt idx="9">
                  <c:v>173.000485</c:v>
                </c:pt>
                <c:pt idx="10">
                  <c:v>167.83759999999998</c:v>
                </c:pt>
                <c:pt idx="11">
                  <c:v>176.76382749999999</c:v>
                </c:pt>
                <c:pt idx="12">
                  <c:v>147.12986999999998</c:v>
                </c:pt>
                <c:pt idx="13">
                  <c:v>140.43100000000001</c:v>
                </c:pt>
                <c:pt idx="14">
                  <c:v>162</c:v>
                </c:pt>
                <c:pt idx="15">
                  <c:v>157.47220000000002</c:v>
                </c:pt>
                <c:pt idx="16" formatCode="General">
                  <c:v>139.12694999999999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0E-4017-8EC0-09F065EDF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36112"/>
        <c:axId val="386536768"/>
      </c:lineChart>
      <c:catAx>
        <c:axId val="38653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36768"/>
        <c:crosses val="autoZero"/>
        <c:auto val="1"/>
        <c:lblAlgn val="ctr"/>
        <c:lblOffset val="100"/>
        <c:noMultiLvlLbl val="0"/>
      </c:catAx>
      <c:valAx>
        <c:axId val="38653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3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Women 16 and over in Labor Force: 2001~2018 (in Thousands)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Women in Labor Force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'T11-S4'!$FQ$5:$GG$5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'T11-S4'!$FQ$7:$GG$7</c:f>
              <c:numCache>
                <c:formatCode>#,##0</c:formatCode>
                <c:ptCount val="17"/>
                <c:pt idx="0">
                  <c:v>3501.2249999999999</c:v>
                </c:pt>
                <c:pt idx="1">
                  <c:v>3571.5884999999998</c:v>
                </c:pt>
                <c:pt idx="2">
                  <c:v>3536.8539999999998</c:v>
                </c:pt>
                <c:pt idx="3">
                  <c:v>3540.44</c:v>
                </c:pt>
                <c:pt idx="4">
                  <c:v>3562.1325000000002</c:v>
                </c:pt>
                <c:pt idx="5">
                  <c:v>3579</c:v>
                </c:pt>
                <c:pt idx="6">
                  <c:v>3579.8829999999998</c:v>
                </c:pt>
                <c:pt idx="7">
                  <c:v>3579.5830000000001</c:v>
                </c:pt>
                <c:pt idx="8">
                  <c:v>3598.7060000000001</c:v>
                </c:pt>
                <c:pt idx="9">
                  <c:v>3608.6880000000001</c:v>
                </c:pt>
                <c:pt idx="10">
                  <c:v>3645.3175000000001</c:v>
                </c:pt>
                <c:pt idx="11">
                  <c:v>3686.2069999999999</c:v>
                </c:pt>
                <c:pt idx="12">
                  <c:v>3699.3980000000001</c:v>
                </c:pt>
                <c:pt idx="13">
                  <c:v>3727.326</c:v>
                </c:pt>
                <c:pt idx="14">
                  <c:v>3754</c:v>
                </c:pt>
                <c:pt idx="15">
                  <c:v>3751.663</c:v>
                </c:pt>
                <c:pt idx="16">
                  <c:v>3750.31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0-4BAA-B360-164525E1BDB2}"/>
            </c:ext>
          </c:extLst>
        </c:ser>
        <c:ser>
          <c:idx val="1"/>
          <c:order val="1"/>
          <c:tx>
            <c:v>Women in Labor Force with child under 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'T11-S4'!$FQ$5:$GG$5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'T11-S4'!$FQ$10:$GG$10</c:f>
              <c:numCache>
                <c:formatCode>#,##0</c:formatCode>
                <c:ptCount val="17"/>
                <c:pt idx="0">
                  <c:v>1406</c:v>
                </c:pt>
                <c:pt idx="1">
                  <c:v>1427</c:v>
                </c:pt>
                <c:pt idx="2">
                  <c:v>1412</c:v>
                </c:pt>
                <c:pt idx="3">
                  <c:v>1435.2534450000001</c:v>
                </c:pt>
                <c:pt idx="4">
                  <c:v>1493.3134100000002</c:v>
                </c:pt>
                <c:pt idx="5">
                  <c:v>1527.4</c:v>
                </c:pt>
                <c:pt idx="6">
                  <c:v>1462.8148550000001</c:v>
                </c:pt>
                <c:pt idx="7">
                  <c:v>1381.7301200000002</c:v>
                </c:pt>
                <c:pt idx="8">
                  <c:v>1406.8572900000001</c:v>
                </c:pt>
                <c:pt idx="9">
                  <c:v>1410.3386800000001</c:v>
                </c:pt>
                <c:pt idx="10">
                  <c:v>1366.6038849999998</c:v>
                </c:pt>
                <c:pt idx="11">
                  <c:v>1334.7899199999999</c:v>
                </c:pt>
                <c:pt idx="12">
                  <c:v>1367.7604300000003</c:v>
                </c:pt>
                <c:pt idx="13">
                  <c:v>1359.624765</c:v>
                </c:pt>
                <c:pt idx="14">
                  <c:v>1313</c:v>
                </c:pt>
                <c:pt idx="15">
                  <c:v>1308.7929999999999</c:v>
                </c:pt>
                <c:pt idx="16">
                  <c:v>1304.9881800000001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0-4BAA-B360-164525E1BDB2}"/>
            </c:ext>
          </c:extLst>
        </c:ser>
        <c:ser>
          <c:idx val="2"/>
          <c:order val="2"/>
          <c:tx>
            <c:v>Wome in Labor Force with Child under 6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'T11-S4'!$FQ$5:$GG$5</c:f>
              <c:strCache>
                <c:ptCount val="17"/>
                <c:pt idx="0">
                  <c:v>2001-02  </c:v>
                </c:pt>
                <c:pt idx="1">
                  <c:v>2002-03  </c:v>
                </c:pt>
                <c:pt idx="2">
                  <c:v>2003-04  </c:v>
                </c:pt>
                <c:pt idx="3">
                  <c:v>2004-05  </c:v>
                </c:pt>
                <c:pt idx="4">
                  <c:v>2005-06 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'T11-S4'!$FQ$17:$GG$17</c:f>
              <c:numCache>
                <c:formatCode>#,##0</c:formatCode>
                <c:ptCount val="17"/>
                <c:pt idx="0">
                  <c:v>516.2048299999999</c:v>
                </c:pt>
                <c:pt idx="1">
                  <c:v>518.7011</c:v>
                </c:pt>
                <c:pt idx="2">
                  <c:v>492.27350000000001</c:v>
                </c:pt>
                <c:pt idx="3">
                  <c:v>500.40865500000001</c:v>
                </c:pt>
                <c:pt idx="4">
                  <c:v>527.60423500000002</c:v>
                </c:pt>
                <c:pt idx="5">
                  <c:v>547.29999999999995</c:v>
                </c:pt>
                <c:pt idx="6">
                  <c:v>521.54746499999999</c:v>
                </c:pt>
                <c:pt idx="7">
                  <c:v>479.31089000000003</c:v>
                </c:pt>
                <c:pt idx="8">
                  <c:v>481.81766500000003</c:v>
                </c:pt>
                <c:pt idx="9">
                  <c:v>458.18044500000002</c:v>
                </c:pt>
                <c:pt idx="10">
                  <c:v>433.51671999999996</c:v>
                </c:pt>
                <c:pt idx="11">
                  <c:v>464.50299999999999</c:v>
                </c:pt>
                <c:pt idx="12">
                  <c:v>465.19726000000003</c:v>
                </c:pt>
                <c:pt idx="13">
                  <c:v>441.83102500000001</c:v>
                </c:pt>
                <c:pt idx="14">
                  <c:v>449</c:v>
                </c:pt>
                <c:pt idx="15">
                  <c:v>447.45620000000002</c:v>
                </c:pt>
                <c:pt idx="16">
                  <c:v>431.68042000000003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E0-4BAA-B360-164525E1B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40704"/>
        <c:axId val="386548576"/>
      </c:lineChart>
      <c:catAx>
        <c:axId val="3865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48576"/>
        <c:crosses val="autoZero"/>
        <c:auto val="1"/>
        <c:lblAlgn val="ctr"/>
        <c:lblOffset val="100"/>
        <c:noMultiLvlLbl val="0"/>
      </c:catAx>
      <c:valAx>
        <c:axId val="38654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4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 1-Person Households: 2001~2018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1-Person HH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'T11-S4'!$EO$6:$EO$22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'T11-S4'!$EP$6:$EP$22</c:f>
              <c:numCache>
                <c:formatCode>#,##0</c:formatCode>
                <c:ptCount val="17"/>
                <c:pt idx="0">
                  <c:v>785.78905000000009</c:v>
                </c:pt>
                <c:pt idx="1">
                  <c:v>789.73205000000007</c:v>
                </c:pt>
                <c:pt idx="2">
                  <c:v>800</c:v>
                </c:pt>
                <c:pt idx="3">
                  <c:v>830.21540000000005</c:v>
                </c:pt>
                <c:pt idx="4">
                  <c:v>794.91976999999997</c:v>
                </c:pt>
                <c:pt idx="5">
                  <c:v>744.18792000000008</c:v>
                </c:pt>
                <c:pt idx="6">
                  <c:v>813.8</c:v>
                </c:pt>
                <c:pt idx="7">
                  <c:v>861.47305000000006</c:v>
                </c:pt>
                <c:pt idx="8">
                  <c:v>830.19630000000006</c:v>
                </c:pt>
                <c:pt idx="9">
                  <c:v>827.88225</c:v>
                </c:pt>
                <c:pt idx="10">
                  <c:v>825.26009999999997</c:v>
                </c:pt>
                <c:pt idx="11">
                  <c:v>842.41819999999996</c:v>
                </c:pt>
                <c:pt idx="12">
                  <c:v>926.05630000000008</c:v>
                </c:pt>
                <c:pt idx="13">
                  <c:v>924.96030000000007</c:v>
                </c:pt>
                <c:pt idx="14">
                  <c:v>904</c:v>
                </c:pt>
                <c:pt idx="15">
                  <c:v>961.56140000000005</c:v>
                </c:pt>
                <c:pt idx="16">
                  <c:v>937.13919999999996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9-4257-89F4-1369776ADD2D}"/>
            </c:ext>
          </c:extLst>
        </c:ser>
        <c:ser>
          <c:idx val="1"/>
          <c:order val="1"/>
          <c:tx>
            <c:v>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'T11-S4'!$EO$6:$EO$22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'T11-S4'!$EQ$6:$EQ$22</c:f>
              <c:numCache>
                <c:formatCode>#,##0</c:formatCode>
                <c:ptCount val="17"/>
                <c:pt idx="0">
                  <c:v>305.42259999999999</c:v>
                </c:pt>
                <c:pt idx="1">
                  <c:v>318.61595</c:v>
                </c:pt>
                <c:pt idx="2">
                  <c:v>322</c:v>
                </c:pt>
                <c:pt idx="3">
                  <c:v>321.83911499999999</c:v>
                </c:pt>
                <c:pt idx="4">
                  <c:v>318.78321500000004</c:v>
                </c:pt>
                <c:pt idx="5">
                  <c:v>317.35409999999996</c:v>
                </c:pt>
                <c:pt idx="6">
                  <c:v>322.2</c:v>
                </c:pt>
                <c:pt idx="7">
                  <c:v>326.94824999999997</c:v>
                </c:pt>
                <c:pt idx="8">
                  <c:v>337.01869999999997</c:v>
                </c:pt>
                <c:pt idx="9">
                  <c:v>340.13534999999996</c:v>
                </c:pt>
                <c:pt idx="10">
                  <c:v>331.69299999999998</c:v>
                </c:pt>
                <c:pt idx="11">
                  <c:v>339.57920000000001</c:v>
                </c:pt>
                <c:pt idx="12">
                  <c:v>377.28167999999999</c:v>
                </c:pt>
                <c:pt idx="13">
                  <c:v>389.84972999999997</c:v>
                </c:pt>
                <c:pt idx="14">
                  <c:v>393</c:v>
                </c:pt>
                <c:pt idx="15">
                  <c:v>420.36920000000003</c:v>
                </c:pt>
                <c:pt idx="16">
                  <c:v>414.5367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9-4257-89F4-1369776ADD2D}"/>
            </c:ext>
          </c:extLst>
        </c:ser>
        <c:ser>
          <c:idx val="2"/>
          <c:order val="2"/>
          <c:tx>
            <c:v>Female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'T11-S4'!$EO$6:$EO$22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'T11-S4'!$ER$6:$ER$22</c:f>
              <c:numCache>
                <c:formatCode>#,##0</c:formatCode>
                <c:ptCount val="17"/>
                <c:pt idx="0">
                  <c:v>480.36642499999999</c:v>
                </c:pt>
                <c:pt idx="1">
                  <c:v>471.11607499999997</c:v>
                </c:pt>
                <c:pt idx="2">
                  <c:v>478</c:v>
                </c:pt>
                <c:pt idx="3">
                  <c:v>508.37630999999999</c:v>
                </c:pt>
                <c:pt idx="4">
                  <c:v>476.13657999999998</c:v>
                </c:pt>
                <c:pt idx="5">
                  <c:v>426.83382000000006</c:v>
                </c:pt>
                <c:pt idx="6">
                  <c:v>491.5</c:v>
                </c:pt>
                <c:pt idx="7">
                  <c:v>534.52479999999991</c:v>
                </c:pt>
                <c:pt idx="8">
                  <c:v>493.17760000000004</c:v>
                </c:pt>
                <c:pt idx="9">
                  <c:v>487.74690000000004</c:v>
                </c:pt>
                <c:pt idx="10">
                  <c:v>493.56709999999998</c:v>
                </c:pt>
                <c:pt idx="11">
                  <c:v>502.83899999999994</c:v>
                </c:pt>
                <c:pt idx="12">
                  <c:v>548.77463499999988</c:v>
                </c:pt>
                <c:pt idx="13">
                  <c:v>535.11052500000005</c:v>
                </c:pt>
                <c:pt idx="14">
                  <c:v>511</c:v>
                </c:pt>
                <c:pt idx="15">
                  <c:v>541.19219999999996</c:v>
                </c:pt>
                <c:pt idx="16">
                  <c:v>522.60249999999996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C9-4257-89F4-1369776ADD2D}"/>
            </c:ext>
          </c:extLst>
        </c:ser>
        <c:ser>
          <c:idx val="3"/>
          <c:order val="3"/>
          <c:tx>
            <c:v>White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'T11-S4'!$EO$6:$EO$22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'T11-S4'!$ES$6:$ES$22</c:f>
              <c:numCache>
                <c:formatCode>#,##0</c:formatCode>
                <c:ptCount val="17"/>
                <c:pt idx="0">
                  <c:v>625.80330000000004</c:v>
                </c:pt>
                <c:pt idx="1">
                  <c:v>612.28769999999997</c:v>
                </c:pt>
                <c:pt idx="2">
                  <c:v>634</c:v>
                </c:pt>
                <c:pt idx="3">
                  <c:v>672.84870000000001</c:v>
                </c:pt>
                <c:pt idx="4">
                  <c:v>647.87060000000008</c:v>
                </c:pt>
                <c:pt idx="5">
                  <c:v>589.35669999999993</c:v>
                </c:pt>
                <c:pt idx="6">
                  <c:v>622.6</c:v>
                </c:pt>
                <c:pt idx="7">
                  <c:v>658.49464999999998</c:v>
                </c:pt>
                <c:pt idx="8">
                  <c:v>658.21890000000008</c:v>
                </c:pt>
                <c:pt idx="9">
                  <c:v>662.69010000000003</c:v>
                </c:pt>
                <c:pt idx="10">
                  <c:v>647.64599999999996</c:v>
                </c:pt>
                <c:pt idx="11">
                  <c:v>667.45299999999997</c:v>
                </c:pt>
                <c:pt idx="12">
                  <c:v>723.78359999999998</c:v>
                </c:pt>
                <c:pt idx="13">
                  <c:v>693.73350000000005</c:v>
                </c:pt>
                <c:pt idx="14">
                  <c:v>661</c:v>
                </c:pt>
                <c:pt idx="15">
                  <c:v>717.72289999999998</c:v>
                </c:pt>
                <c:pt idx="16">
                  <c:v>729.28660000000002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C9-4257-89F4-1369776ADD2D}"/>
            </c:ext>
          </c:extLst>
        </c:ser>
        <c:ser>
          <c:idx val="4"/>
          <c:order val="4"/>
          <c:tx>
            <c:v>Black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'T11-S4'!$EO$6:$EO$22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'T11-S4'!$ET$6:$ET$22</c:f>
              <c:numCache>
                <c:formatCode>#,##0</c:formatCode>
                <c:ptCount val="17"/>
                <c:pt idx="0">
                  <c:v>133.61860499999997</c:v>
                </c:pt>
                <c:pt idx="1">
                  <c:v>149.27985999999999</c:v>
                </c:pt>
                <c:pt idx="2">
                  <c:v>135</c:v>
                </c:pt>
                <c:pt idx="3">
                  <c:v>125.46948</c:v>
                </c:pt>
                <c:pt idx="4">
                  <c:v>109.12485000000001</c:v>
                </c:pt>
                <c:pt idx="5">
                  <c:v>116.14205</c:v>
                </c:pt>
                <c:pt idx="6">
                  <c:v>157</c:v>
                </c:pt>
                <c:pt idx="7">
                  <c:v>165.16292999999999</c:v>
                </c:pt>
                <c:pt idx="8">
                  <c:v>138.18333000000001</c:v>
                </c:pt>
                <c:pt idx="9">
                  <c:v>132.219705</c:v>
                </c:pt>
                <c:pt idx="10">
                  <c:v>133.84263000000001</c:v>
                </c:pt>
                <c:pt idx="11">
                  <c:v>134.22156000000001</c:v>
                </c:pt>
                <c:pt idx="12">
                  <c:v>160.19743</c:v>
                </c:pt>
                <c:pt idx="13">
                  <c:v>178.49371000000002</c:v>
                </c:pt>
                <c:pt idx="14">
                  <c:v>192</c:v>
                </c:pt>
                <c:pt idx="15">
                  <c:v>193.51248000000001</c:v>
                </c:pt>
                <c:pt idx="16">
                  <c:v>158.36222999999998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C9-4257-89F4-1369776ADD2D}"/>
            </c:ext>
          </c:extLst>
        </c:ser>
        <c:ser>
          <c:idx val="5"/>
          <c:order val="5"/>
          <c:tx>
            <c:v>Age 65 &amp; Over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'T11-S4'!$EO$6:$EO$22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 </c:v>
                </c:pt>
                <c:pt idx="3">
                  <c:v>2004-05 </c:v>
                </c:pt>
                <c:pt idx="4">
                  <c:v>2005-06 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'T11-S4'!$EU$6:$EU$22</c:f>
              <c:numCache>
                <c:formatCode>#,##0</c:formatCode>
                <c:ptCount val="17"/>
                <c:pt idx="0">
                  <c:v>328.40014000000002</c:v>
                </c:pt>
                <c:pt idx="1">
                  <c:v>336.47395</c:v>
                </c:pt>
                <c:pt idx="2">
                  <c:v>343</c:v>
                </c:pt>
                <c:pt idx="3">
                  <c:v>365.85101500000002</c:v>
                </c:pt>
                <c:pt idx="4">
                  <c:v>344.54672999999997</c:v>
                </c:pt>
                <c:pt idx="5">
                  <c:v>313.05132500000002</c:v>
                </c:pt>
                <c:pt idx="6">
                  <c:v>349.9</c:v>
                </c:pt>
                <c:pt idx="7">
                  <c:v>369.33633999999995</c:v>
                </c:pt>
                <c:pt idx="8">
                  <c:v>358.90130000000005</c:v>
                </c:pt>
                <c:pt idx="9">
                  <c:v>361.31907000000001</c:v>
                </c:pt>
                <c:pt idx="10">
                  <c:v>356.93288000000001</c:v>
                </c:pt>
                <c:pt idx="11">
                  <c:v>358.28321999999997</c:v>
                </c:pt>
                <c:pt idx="12">
                  <c:v>381.56087000000002</c:v>
                </c:pt>
                <c:pt idx="13">
                  <c:v>381.38079999999997</c:v>
                </c:pt>
                <c:pt idx="14">
                  <c:v>392</c:v>
                </c:pt>
                <c:pt idx="15">
                  <c:v>432.25400000000002</c:v>
                </c:pt>
                <c:pt idx="16">
                  <c:v>415.27909999999997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C9-4257-89F4-1369776A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35312"/>
        <c:axId val="480124160"/>
      </c:lineChart>
      <c:catAx>
        <c:axId val="48013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24160"/>
        <c:crosses val="autoZero"/>
        <c:auto val="1"/>
        <c:lblAlgn val="ctr"/>
        <c:lblOffset val="100"/>
        <c:noMultiLvlLbl val="0"/>
      </c:catAx>
      <c:valAx>
        <c:axId val="48012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3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25 Years or Over Educational Attainment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765608246337631E-2"/>
          <c:y val="0.17171296296296296"/>
          <c:w val="0.89926028983219208"/>
          <c:h val="0.5755581073199183"/>
        </c:manualLayout>
      </c:layout>
      <c:lineChart>
        <c:grouping val="standard"/>
        <c:varyColors val="0"/>
        <c:ser>
          <c:idx val="0"/>
          <c:order val="0"/>
          <c:tx>
            <c:v>Less than High School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'S5-S7'!$A$9:$A$25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'S5-S7'!$C$9:$C$25</c:f>
              <c:numCache>
                <c:formatCode>0.0%</c:formatCode>
                <c:ptCount val="17"/>
                <c:pt idx="0">
                  <c:v>0.13750348554848088</c:v>
                </c:pt>
                <c:pt idx="1">
                  <c:v>0.13958824965262337</c:v>
                </c:pt>
                <c:pt idx="2">
                  <c:v>0.13125233646467316</c:v>
                </c:pt>
                <c:pt idx="3">
                  <c:v>0.12740425405468545</c:v>
                </c:pt>
                <c:pt idx="4">
                  <c:v>0.13176356524265256</c:v>
                </c:pt>
                <c:pt idx="5">
                  <c:v>0.12768457888345283</c:v>
                </c:pt>
                <c:pt idx="6">
                  <c:v>0.11768084212249026</c:v>
                </c:pt>
                <c:pt idx="7">
                  <c:v>0.11497702012149053</c:v>
                </c:pt>
                <c:pt idx="8">
                  <c:v>0.11088984798154922</c:v>
                </c:pt>
                <c:pt idx="9">
                  <c:v>0.10237460083680144</c:v>
                </c:pt>
                <c:pt idx="10">
                  <c:v>0.10272246183156304</c:v>
                </c:pt>
                <c:pt idx="11">
                  <c:v>0.10583742535384109</c:v>
                </c:pt>
                <c:pt idx="12">
                  <c:v>0.10362457652234687</c:v>
                </c:pt>
                <c:pt idx="13">
                  <c:v>9.8623235238138929E-2</c:v>
                </c:pt>
                <c:pt idx="14">
                  <c:v>8.7884000000000004E-2</c:v>
                </c:pt>
                <c:pt idx="15">
                  <c:v>7.2038000000000005E-2</c:v>
                </c:pt>
                <c:pt idx="16">
                  <c:v>6.494435561857341E-2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B-498E-90D9-62026F4D552C}"/>
            </c:ext>
          </c:extLst>
        </c:ser>
        <c:ser>
          <c:idx val="1"/>
          <c:order val="1"/>
          <c:tx>
            <c:v>High School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'S5-S7'!$A$9:$A$25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'S5-S7'!$D$9:$D$25</c:f>
              <c:numCache>
                <c:formatCode>0.0%</c:formatCode>
                <c:ptCount val="17"/>
                <c:pt idx="0">
                  <c:v>0.34645948028888368</c:v>
                </c:pt>
                <c:pt idx="1">
                  <c:v>0.33800530873943585</c:v>
                </c:pt>
                <c:pt idx="2">
                  <c:v>0.33622125391002833</c:v>
                </c:pt>
                <c:pt idx="3">
                  <c:v>0.32845275872722074</c:v>
                </c:pt>
                <c:pt idx="4">
                  <c:v>0.31809535392330252</c:v>
                </c:pt>
                <c:pt idx="5">
                  <c:v>0.31468714965962735</c:v>
                </c:pt>
                <c:pt idx="6">
                  <c:v>0.31852334764103546</c:v>
                </c:pt>
                <c:pt idx="7">
                  <c:v>0.32384253172369515</c:v>
                </c:pt>
                <c:pt idx="8">
                  <c:v>0.32685634131622376</c:v>
                </c:pt>
                <c:pt idx="9">
                  <c:v>0.32747408030047104</c:v>
                </c:pt>
                <c:pt idx="10">
                  <c:v>0.32100243412354379</c:v>
                </c:pt>
                <c:pt idx="11">
                  <c:v>0.31035235202943129</c:v>
                </c:pt>
                <c:pt idx="12">
                  <c:v>0.30131332793476107</c:v>
                </c:pt>
                <c:pt idx="13">
                  <c:v>0.29907595276161725</c:v>
                </c:pt>
                <c:pt idx="14">
                  <c:v>0.30115999999999998</c:v>
                </c:pt>
                <c:pt idx="15">
                  <c:v>0.30550699999999997</c:v>
                </c:pt>
                <c:pt idx="16">
                  <c:v>0.30766596878639629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B-498E-90D9-62026F4D552C}"/>
            </c:ext>
          </c:extLst>
        </c:ser>
        <c:ser>
          <c:idx val="2"/>
          <c:order val="2"/>
          <c:tx>
            <c:v>Some College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'S5-S7'!$A$9:$A$25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'S5-S7'!$E$9:$E$25</c:f>
              <c:numCache>
                <c:formatCode>0.0%</c:formatCode>
                <c:ptCount val="17"/>
                <c:pt idx="0">
                  <c:v>0.21175814119898931</c:v>
                </c:pt>
                <c:pt idx="1">
                  <c:v>0.19870628316135483</c:v>
                </c:pt>
                <c:pt idx="2">
                  <c:v>0.1924733163547126</c:v>
                </c:pt>
                <c:pt idx="3">
                  <c:v>0.18941858486717625</c:v>
                </c:pt>
                <c:pt idx="4">
                  <c:v>0.19063191670670274</c:v>
                </c:pt>
                <c:pt idx="5">
                  <c:v>0.19054722633797419</c:v>
                </c:pt>
                <c:pt idx="6">
                  <c:v>0.18750637491808964</c:v>
                </c:pt>
                <c:pt idx="7">
                  <c:v>0.18588887379585811</c:v>
                </c:pt>
                <c:pt idx="8">
                  <c:v>0.19620927463053386</c:v>
                </c:pt>
                <c:pt idx="9">
                  <c:v>0.2071610321967553</c:v>
                </c:pt>
                <c:pt idx="10">
                  <c:v>0.20211837162416274</c:v>
                </c:pt>
                <c:pt idx="11">
                  <c:v>0.19588847472270471</c:v>
                </c:pt>
                <c:pt idx="12">
                  <c:v>0.20762674923962887</c:v>
                </c:pt>
                <c:pt idx="13">
                  <c:v>0.21272147623250526</c:v>
                </c:pt>
                <c:pt idx="14">
                  <c:v>0.20235300000000001</c:v>
                </c:pt>
                <c:pt idx="15">
                  <c:v>0.206928</c:v>
                </c:pt>
                <c:pt idx="16">
                  <c:v>0.209546632718245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B-498E-90D9-62026F4D552C}"/>
            </c:ext>
          </c:extLst>
        </c:ser>
        <c:ser>
          <c:idx val="3"/>
          <c:order val="3"/>
          <c:tx>
            <c:v>Bachelors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'S5-S7'!$A$9:$A$25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'S5-S7'!$F$9:$F$25</c:f>
              <c:numCache>
                <c:formatCode>0.0%</c:formatCode>
                <c:ptCount val="17"/>
                <c:pt idx="0">
                  <c:v>0.20552200076782481</c:v>
                </c:pt>
                <c:pt idx="1">
                  <c:v>0.21812268629766263</c:v>
                </c:pt>
                <c:pt idx="2">
                  <c:v>0.22946904245902208</c:v>
                </c:pt>
                <c:pt idx="3">
                  <c:v>0.23122946117983295</c:v>
                </c:pt>
                <c:pt idx="4">
                  <c:v>0.22517385461333106</c:v>
                </c:pt>
                <c:pt idx="5">
                  <c:v>0.22944943256361067</c:v>
                </c:pt>
                <c:pt idx="6">
                  <c:v>0.24131162810739851</c:v>
                </c:pt>
                <c:pt idx="7">
                  <c:v>0.23940241118323963</c:v>
                </c:pt>
                <c:pt idx="8">
                  <c:v>0.23281429271368803</c:v>
                </c:pt>
                <c:pt idx="9">
                  <c:v>0.2389983185244817</c:v>
                </c:pt>
                <c:pt idx="10">
                  <c:v>0.2486095493408858</c:v>
                </c:pt>
                <c:pt idx="11">
                  <c:v>0.24712675987884275</c:v>
                </c:pt>
                <c:pt idx="12">
                  <c:v>0.24490535111394957</c:v>
                </c:pt>
                <c:pt idx="13">
                  <c:v>0.24894902536004548</c:v>
                </c:pt>
                <c:pt idx="14">
                  <c:v>0.25326500000000002</c:v>
                </c:pt>
                <c:pt idx="15">
                  <c:v>0.256054</c:v>
                </c:pt>
                <c:pt idx="16">
                  <c:v>0.25667378587706996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B-498E-90D9-62026F4D552C}"/>
            </c:ext>
          </c:extLst>
        </c:ser>
        <c:ser>
          <c:idx val="4"/>
          <c:order val="4"/>
          <c:tx>
            <c:v>Postgraduate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'S5-S7'!$A$9:$A$25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'S5-S7'!$G$9:$G$25</c:f>
              <c:numCache>
                <c:formatCode>0.0%</c:formatCode>
                <c:ptCount val="17"/>
                <c:pt idx="0">
                  <c:v>9.8756892195821372E-2</c:v>
                </c:pt>
                <c:pt idx="1">
                  <c:v>0.10557747214892337</c:v>
                </c:pt>
                <c:pt idx="2">
                  <c:v>0.11058405081156385</c:v>
                </c:pt>
                <c:pt idx="3">
                  <c:v>0.12349494117108455</c:v>
                </c:pt>
                <c:pt idx="4">
                  <c:v>0.13433530951401107</c:v>
                </c:pt>
                <c:pt idx="5">
                  <c:v>0.1376316298344952</c:v>
                </c:pt>
                <c:pt idx="6">
                  <c:v>0.1349778246213624</c:v>
                </c:pt>
                <c:pt idx="7">
                  <c:v>0.13588916317571656</c:v>
                </c:pt>
                <c:pt idx="8">
                  <c:v>0.13323024335800507</c:v>
                </c:pt>
                <c:pt idx="9">
                  <c:v>0.12399194201539489</c:v>
                </c:pt>
                <c:pt idx="10">
                  <c:v>0.12554715690431542</c:v>
                </c:pt>
                <c:pt idx="11">
                  <c:v>0.14079498801518009</c:v>
                </c:pt>
                <c:pt idx="12">
                  <c:v>0.14252999518931359</c:v>
                </c:pt>
                <c:pt idx="13">
                  <c:v>0.14063031040769311</c:v>
                </c:pt>
                <c:pt idx="14">
                  <c:v>0.155338</c:v>
                </c:pt>
                <c:pt idx="15">
                  <c:v>0.159473</c:v>
                </c:pt>
                <c:pt idx="16">
                  <c:v>0.16116928940149222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B-498E-90D9-62026F4D5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088416"/>
        <c:axId val="571112688"/>
      </c:lineChart>
      <c:catAx>
        <c:axId val="57108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12688"/>
        <c:crosses val="autoZero"/>
        <c:auto val="1"/>
        <c:lblAlgn val="ctr"/>
        <c:lblOffset val="100"/>
        <c:noMultiLvlLbl val="0"/>
      </c:catAx>
      <c:valAx>
        <c:axId val="571112688"/>
        <c:scaling>
          <c:orientation val="minMax"/>
          <c:max val="0.36000000000000004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8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3113371245261012"/>
          <c:w val="0.9"/>
          <c:h val="6.8866287547389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NJ 25 Years or Over have Less than High School Education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765608246337631E-2"/>
          <c:y val="6.1018518518518521E-2"/>
          <c:w val="0.91604256704754006"/>
          <c:h val="0.69493365412656749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'S5-S7'!$C$29:$C$45</c:f>
              <c:numCache>
                <c:formatCode>0.0%</c:formatCode>
                <c:ptCount val="17"/>
                <c:pt idx="0">
                  <c:v>0.1399883800961054</c:v>
                </c:pt>
                <c:pt idx="1">
                  <c:v>0.1415171035366222</c:v>
                </c:pt>
                <c:pt idx="2">
                  <c:v>0.12960644971484647</c:v>
                </c:pt>
                <c:pt idx="3">
                  <c:v>0.12891705170471793</c:v>
                </c:pt>
                <c:pt idx="4">
                  <c:v>0.13643965776816508</c:v>
                </c:pt>
                <c:pt idx="5">
                  <c:v>0.12897190568319825</c:v>
                </c:pt>
                <c:pt idx="6">
                  <c:v>0.12090882127327152</c:v>
                </c:pt>
                <c:pt idx="7">
                  <c:v>0.11867846684325634</c:v>
                </c:pt>
                <c:pt idx="8">
                  <c:v>0.11144108502516697</c:v>
                </c:pt>
                <c:pt idx="9">
                  <c:v>0.10342015862748662</c:v>
                </c:pt>
                <c:pt idx="10">
                  <c:v>0.10457814356237773</c:v>
                </c:pt>
                <c:pt idx="11">
                  <c:v>0.11116889116826316</c:v>
                </c:pt>
                <c:pt idx="12">
                  <c:v>0.11107597790584048</c:v>
                </c:pt>
                <c:pt idx="13">
                  <c:v>0.10757282169862482</c:v>
                </c:pt>
                <c:pt idx="14">
                  <c:v>9.4126000000000001E-2</c:v>
                </c:pt>
                <c:pt idx="15">
                  <c:v>7.3962E-2</c:v>
                </c:pt>
                <c:pt idx="16">
                  <c:v>6.6206492077052231E-2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E-4AB4-A76F-5F5BFE03625F}"/>
            </c:ext>
          </c:extLst>
        </c:ser>
        <c:ser>
          <c:idx val="1"/>
          <c:order val="1"/>
          <c:tx>
            <c:v>Female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'S5-S7'!$C$47:$C$63</c:f>
              <c:numCache>
                <c:formatCode>0.0%</c:formatCode>
                <c:ptCount val="17"/>
                <c:pt idx="0">
                  <c:v>0.13526912769241398</c:v>
                </c:pt>
                <c:pt idx="1">
                  <c:v>0.13783539204967613</c:v>
                </c:pt>
                <c:pt idx="2">
                  <c:v>0.13274412958567697</c:v>
                </c:pt>
                <c:pt idx="3">
                  <c:v>0.12602449355862486</c:v>
                </c:pt>
                <c:pt idx="4">
                  <c:v>0.12744257303157008</c:v>
                </c:pt>
                <c:pt idx="5">
                  <c:v>0.12649123831623996</c:v>
                </c:pt>
                <c:pt idx="6">
                  <c:v>0.11477332175013492</c:v>
                </c:pt>
                <c:pt idx="7">
                  <c:v>0.11167805250967769</c:v>
                </c:pt>
                <c:pt idx="8">
                  <c:v>0.11038653457794047</c:v>
                </c:pt>
                <c:pt idx="9">
                  <c:v>0.10140544689542937</c:v>
                </c:pt>
                <c:pt idx="10">
                  <c:v>0.10102874379859207</c:v>
                </c:pt>
                <c:pt idx="11">
                  <c:v>0.10110383904718791</c:v>
                </c:pt>
                <c:pt idx="12">
                  <c:v>9.7002752173020498E-2</c:v>
                </c:pt>
                <c:pt idx="13">
                  <c:v>9.0552828561456911E-2</c:v>
                </c:pt>
                <c:pt idx="14">
                  <c:v>8.2206000000000001E-2</c:v>
                </c:pt>
                <c:pt idx="15">
                  <c:v>7.0278999999999994E-2</c:v>
                </c:pt>
                <c:pt idx="16">
                  <c:v>6.3760650959707954E-2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E-4AB4-A76F-5F5BFE03625F}"/>
            </c:ext>
          </c:extLst>
        </c:ser>
        <c:ser>
          <c:idx val="2"/>
          <c:order val="2"/>
          <c:tx>
            <c:v>White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'S5-S7'!$C$67:$C$83</c:f>
              <c:numCache>
                <c:formatCode>0.0%</c:formatCode>
                <c:ptCount val="17"/>
                <c:pt idx="0">
                  <c:v>0.12858360378529154</c:v>
                </c:pt>
                <c:pt idx="1">
                  <c:v>0.13319184526813754</c:v>
                </c:pt>
                <c:pt idx="2">
                  <c:v>0.12745210159010409</c:v>
                </c:pt>
                <c:pt idx="3">
                  <c:v>0.123376868340594</c:v>
                </c:pt>
                <c:pt idx="4">
                  <c:v>0.12530503104846216</c:v>
                </c:pt>
                <c:pt idx="5">
                  <c:v>0.12481785844099247</c:v>
                </c:pt>
                <c:pt idx="6">
                  <c:v>0.118351463685512</c:v>
                </c:pt>
                <c:pt idx="7">
                  <c:v>0.11218084976248416</c:v>
                </c:pt>
                <c:pt idx="8">
                  <c:v>0.10728248975429185</c:v>
                </c:pt>
                <c:pt idx="9">
                  <c:v>9.7478488288055637E-2</c:v>
                </c:pt>
                <c:pt idx="10">
                  <c:v>9.9271929808764273E-2</c:v>
                </c:pt>
                <c:pt idx="11">
                  <c:v>0.1014244348115588</c:v>
                </c:pt>
                <c:pt idx="12">
                  <c:v>9.6005486188898523E-2</c:v>
                </c:pt>
                <c:pt idx="13">
                  <c:v>9.9116885519078574E-2</c:v>
                </c:pt>
                <c:pt idx="14">
                  <c:v>9.3067999999999998E-2</c:v>
                </c:pt>
                <c:pt idx="15">
                  <c:v>7.2713E-2</c:v>
                </c:pt>
                <c:pt idx="16">
                  <c:v>6.3601133401843507E-2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E-4AB4-A76F-5F5BFE03625F}"/>
            </c:ext>
          </c:extLst>
        </c:ser>
        <c:ser>
          <c:idx val="3"/>
          <c:order val="3"/>
          <c:tx>
            <c:v>Black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'S5-S7'!$C$86:$C$102</c:f>
              <c:numCache>
                <c:formatCode>0.0%</c:formatCode>
                <c:ptCount val="17"/>
                <c:pt idx="0">
                  <c:v>0.19570366952868673</c:v>
                </c:pt>
                <c:pt idx="1">
                  <c:v>0.19713856668831833</c:v>
                </c:pt>
                <c:pt idx="2">
                  <c:v>0.1833731593872705</c:v>
                </c:pt>
                <c:pt idx="3">
                  <c:v>0.18425156881823029</c:v>
                </c:pt>
                <c:pt idx="4">
                  <c:v>0.19531736693801063</c:v>
                </c:pt>
                <c:pt idx="5">
                  <c:v>0.18034679958205221</c:v>
                </c:pt>
                <c:pt idx="6">
                  <c:v>0.13854233496691076</c:v>
                </c:pt>
                <c:pt idx="7">
                  <c:v>0.12663926379173232</c:v>
                </c:pt>
                <c:pt idx="8">
                  <c:v>0.1330112706038184</c:v>
                </c:pt>
                <c:pt idx="9">
                  <c:v>0.13754308036148546</c:v>
                </c:pt>
                <c:pt idx="10">
                  <c:v>0.13930158638459009</c:v>
                </c:pt>
                <c:pt idx="11">
                  <c:v>0.1381099915291446</c:v>
                </c:pt>
                <c:pt idx="12">
                  <c:v>0.12635636439233072</c:v>
                </c:pt>
                <c:pt idx="13">
                  <c:v>9.107794364642316E-2</c:v>
                </c:pt>
                <c:pt idx="14">
                  <c:v>8.7548000000000001E-2</c:v>
                </c:pt>
                <c:pt idx="15">
                  <c:v>0.101484</c:v>
                </c:pt>
                <c:pt idx="16">
                  <c:v>9.0119267431488903E-2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E-4AB4-A76F-5F5BFE03625F}"/>
            </c:ext>
          </c:extLst>
        </c:ser>
        <c:ser>
          <c:idx val="4"/>
          <c:order val="4"/>
          <c:tx>
            <c:v>Other Race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'S5-S7'!$C$105:$C$121</c:f>
              <c:numCache>
                <c:formatCode>0.0%</c:formatCode>
                <c:ptCount val="17"/>
                <c:pt idx="0">
                  <c:v>0.12881513096761726</c:v>
                </c:pt>
                <c:pt idx="1">
                  <c:v>0.11205057708309585</c:v>
                </c:pt>
                <c:pt idx="2">
                  <c:v>7.7380209399973227E-2</c:v>
                </c:pt>
                <c:pt idx="3">
                  <c:v>6.7855924321692934E-2</c:v>
                </c:pt>
                <c:pt idx="4">
                  <c:v>0.10110692240689147</c:v>
                </c:pt>
                <c:pt idx="5">
                  <c:v>7.4291071007562756E-2</c:v>
                </c:pt>
                <c:pt idx="6">
                  <c:v>6.5437648493411354E-2</c:v>
                </c:pt>
                <c:pt idx="7">
                  <c:v>8.7035212770582432E-2</c:v>
                </c:pt>
                <c:pt idx="8">
                  <c:v>7.1286763737341316E-2</c:v>
                </c:pt>
                <c:pt idx="9">
                  <c:v>7.0387788238254451E-2</c:v>
                </c:pt>
                <c:pt idx="10">
                  <c:v>7.3156064602671642E-2</c:v>
                </c:pt>
                <c:pt idx="11">
                  <c:v>8.5686590173312649E-2</c:v>
                </c:pt>
                <c:pt idx="12">
                  <c:v>0.1057606596566228</c:v>
                </c:pt>
                <c:pt idx="13">
                  <c:v>8.9277808718644894E-2</c:v>
                </c:pt>
                <c:pt idx="14">
                  <c:v>5.2114000000000001E-2</c:v>
                </c:pt>
                <c:pt idx="15">
                  <c:v>3.5403999999999998E-2</c:v>
                </c:pt>
                <c:pt idx="16">
                  <c:v>4.4076886534648176E-2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FE-4AB4-A76F-5F5BFE03625F}"/>
            </c:ext>
          </c:extLst>
        </c:ser>
        <c:ser>
          <c:idx val="5"/>
          <c:order val="5"/>
          <c:tx>
            <c:v>Hispanic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'S5-S7'!$C$125:$C$141</c:f>
              <c:numCache>
                <c:formatCode>0.0%</c:formatCode>
                <c:ptCount val="17"/>
                <c:pt idx="0">
                  <c:v>0.34403398045969547</c:v>
                </c:pt>
                <c:pt idx="1">
                  <c:v>0.35320965277197791</c:v>
                </c:pt>
                <c:pt idx="2">
                  <c:v>0.35522485136351478</c:v>
                </c:pt>
                <c:pt idx="3">
                  <c:v>0.36250143857376649</c:v>
                </c:pt>
                <c:pt idx="4">
                  <c:v>0.34861914956994072</c:v>
                </c:pt>
                <c:pt idx="5">
                  <c:v>0.34222497167782162</c:v>
                </c:pt>
                <c:pt idx="6">
                  <c:v>0.33779138751533094</c:v>
                </c:pt>
                <c:pt idx="7">
                  <c:v>0.33316481402628056</c:v>
                </c:pt>
                <c:pt idx="8">
                  <c:v>0.32185638337674849</c:v>
                </c:pt>
                <c:pt idx="9">
                  <c:v>0.27796202431839706</c:v>
                </c:pt>
                <c:pt idx="10">
                  <c:v>0.26117364541937416</c:v>
                </c:pt>
                <c:pt idx="11">
                  <c:v>0.27227417682187549</c:v>
                </c:pt>
                <c:pt idx="12">
                  <c:v>0.26093091010827696</c:v>
                </c:pt>
                <c:pt idx="13">
                  <c:v>0.27351454256922741</c:v>
                </c:pt>
                <c:pt idx="14">
                  <c:v>0.27998200000000001</c:v>
                </c:pt>
                <c:pt idx="15">
                  <c:v>0.23908799999999999</c:v>
                </c:pt>
                <c:pt idx="16">
                  <c:v>0.2062312074093236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FE-4AB4-A76F-5F5BFE03625F}"/>
            </c:ext>
          </c:extLst>
        </c:ser>
        <c:ser>
          <c:idx val="6"/>
          <c:order val="6"/>
          <c:tx>
            <c:v>Non-Hispanic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'S5-S7'!$C$144:$C$160</c:f>
              <c:numCache>
                <c:formatCode>0.0%</c:formatCode>
                <c:ptCount val="17"/>
                <c:pt idx="0">
                  <c:v>0.11498129185489354</c:v>
                </c:pt>
                <c:pt idx="1">
                  <c:v>0.11332146505936387</c:v>
                </c:pt>
                <c:pt idx="2">
                  <c:v>0.10188474837653516</c:v>
                </c:pt>
                <c:pt idx="3">
                  <c:v>9.3855243430420454E-2</c:v>
                </c:pt>
                <c:pt idx="4">
                  <c:v>9.5435662160654855E-2</c:v>
                </c:pt>
                <c:pt idx="5">
                  <c:v>9.0364872831622686E-2</c:v>
                </c:pt>
                <c:pt idx="6">
                  <c:v>7.9525637733135007E-2</c:v>
                </c:pt>
                <c:pt idx="7">
                  <c:v>7.4627344527310832E-2</c:v>
                </c:pt>
                <c:pt idx="8">
                  <c:v>6.9318064251507563E-2</c:v>
                </c:pt>
                <c:pt idx="9">
                  <c:v>6.5334061500836663E-2</c:v>
                </c:pt>
                <c:pt idx="10">
                  <c:v>6.9064141736595863E-2</c:v>
                </c:pt>
                <c:pt idx="11">
                  <c:v>7.1486411360555002E-2</c:v>
                </c:pt>
                <c:pt idx="12">
                  <c:v>7.1811876686794118E-2</c:v>
                </c:pt>
                <c:pt idx="13">
                  <c:v>6.3351878529669281E-2</c:v>
                </c:pt>
                <c:pt idx="14">
                  <c:v>4.8778000000000002E-2</c:v>
                </c:pt>
                <c:pt idx="15">
                  <c:v>3.8868E-2</c:v>
                </c:pt>
                <c:pt idx="16">
                  <c:v>3.6180660146680199E-2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FE-4AB4-A76F-5F5BFE036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24152"/>
        <c:axId val="564510704"/>
      </c:lineChart>
      <c:catAx>
        <c:axId val="56452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10704"/>
        <c:crosses val="autoZero"/>
        <c:auto val="1"/>
        <c:lblAlgn val="ctr"/>
        <c:lblOffset val="100"/>
        <c:noMultiLvlLbl val="0"/>
      </c:catAx>
      <c:valAx>
        <c:axId val="564510704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52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3762540099154268"/>
          <c:w val="1"/>
          <c:h val="6.0767716535433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Single</a:t>
            </a:r>
            <a:r>
              <a:rPr lang="en-US" baseline="0"/>
              <a:t> </a:t>
            </a:r>
            <a:r>
              <a:rPr lang="en-US"/>
              <a:t>Household (Spouse</a:t>
            </a:r>
            <a:r>
              <a:rPr lang="en-US" baseline="0"/>
              <a:t> Absent):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44242420918554"/>
          <c:y val="0.17171296296296296"/>
          <c:w val="0.55314303421024125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('T1-T6'!$G$62,'T1-T6'!$G$65,'T1-T6'!$G$68,'T1-T6'!$G$71,'T1-T6'!$G$74,'T1-T6'!$G$77,'T1-T6'!$G$80,'T1-T6'!$G$83,'T1-T6'!$G$86,'T1-T6'!$G$89,'T1-T6'!$G$92,'T1-T6'!$G$95,'T1-T6'!$G$98,'T1-T6'!$G$101,'T1-T6'!$G$104,'T1-T6'!$G$107,'T1-T6'!$G$110)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('T1-T6'!$K$62,'T1-T6'!$K$65,'T1-T6'!$K$68,'T1-T6'!$K$71,'T1-T6'!$K$74,'T1-T6'!$K$77,'T1-T6'!$K$80,'T1-T6'!$K$83,'T1-T6'!$K$86,'T1-T6'!$K$89,'T1-T6'!$K$92,'T1-T6'!$K$95,'T1-T6'!$K$98,'T1-T6'!$K$101,'T1-T6'!$K$104,'T1-T6'!$K$107,'T1-T6'!$K$110)</c:f>
              <c:numCache>
                <c:formatCode>_(* #,##0_);_(* \(#,##0\);_(* "-"??_);_(@_)</c:formatCode>
                <c:ptCount val="17"/>
                <c:pt idx="0">
                  <c:v>6410488</c:v>
                </c:pt>
                <c:pt idx="1">
                  <c:v>6351244</c:v>
                </c:pt>
                <c:pt idx="2">
                  <c:v>6212080</c:v>
                </c:pt>
                <c:pt idx="3" formatCode="#,##0">
                  <c:v>6223400</c:v>
                </c:pt>
                <c:pt idx="4" formatCode="#,##0">
                  <c:v>6256800</c:v>
                </c:pt>
                <c:pt idx="5" formatCode="#,##0">
                  <c:v>6043200</c:v>
                </c:pt>
                <c:pt idx="6" formatCode="#,##0">
                  <c:v>5710400</c:v>
                </c:pt>
                <c:pt idx="7" formatCode="#,##0">
                  <c:v>5550000</c:v>
                </c:pt>
                <c:pt idx="8" formatCode="#,##0">
                  <c:v>5400000</c:v>
                </c:pt>
                <c:pt idx="9" formatCode="#,##0">
                  <c:v>5165000</c:v>
                </c:pt>
                <c:pt idx="10" formatCode="#,##0">
                  <c:v>5064000</c:v>
                </c:pt>
                <c:pt idx="11" formatCode="#,##0">
                  <c:v>5100000</c:v>
                </c:pt>
                <c:pt idx="12" formatCode="#,##0">
                  <c:v>5000000</c:v>
                </c:pt>
                <c:pt idx="13" formatCode="#,##0">
                  <c:v>4789000</c:v>
                </c:pt>
                <c:pt idx="14" formatCode="#,##0">
                  <c:v>4671000</c:v>
                </c:pt>
                <c:pt idx="15" formatCode="#,##0">
                  <c:v>4529000</c:v>
                </c:pt>
                <c:pt idx="16" formatCode="#,##0">
                  <c:v>4330000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7-4CD9-9430-51B4F465CE72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('T1-T6'!$G$62,'T1-T6'!$G$65,'T1-T6'!$G$68,'T1-T6'!$G$71,'T1-T6'!$G$74,'T1-T6'!$G$77,'T1-T6'!$G$80,'T1-T6'!$G$83,'T1-T6'!$G$86,'T1-T6'!$G$89,'T1-T6'!$G$92,'T1-T6'!$G$95,'T1-T6'!$G$98,'T1-T6'!$G$101,'T1-T6'!$G$104,'T1-T6'!$G$107,'T1-T6'!$G$110)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('T1-T6'!$L$62,'T1-T6'!$L$65,'T1-T6'!$L$68,'T1-T6'!$L$71,'T1-T6'!$L$74,'T1-T6'!$L$77,'T1-T6'!$L$80,'T1-T6'!$L$83,'T1-T6'!$L$86,'T1-T6'!$L$89,'T1-T6'!$L$92,'T1-T6'!$L$95,'T1-T6'!$L$98,'T1-T6'!$L$101,'T1-T6'!$L$104,'T1-T6'!$L$107,'T1-T6'!$L$110)</c:f>
              <c:numCache>
                <c:formatCode>_(* #,##0_);_(* \(#,##0\);_(* "-"??_);_(@_)</c:formatCode>
                <c:ptCount val="17"/>
                <c:pt idx="0">
                  <c:v>15480650</c:v>
                </c:pt>
                <c:pt idx="1">
                  <c:v>15574580</c:v>
                </c:pt>
                <c:pt idx="2">
                  <c:v>15560670</c:v>
                </c:pt>
                <c:pt idx="3" formatCode="#,##0">
                  <c:v>15353500</c:v>
                </c:pt>
                <c:pt idx="4" formatCode="#,##0">
                  <c:v>15316800</c:v>
                </c:pt>
                <c:pt idx="5" formatCode="#,##0">
                  <c:v>15550500</c:v>
                </c:pt>
                <c:pt idx="6" formatCode="#,##0">
                  <c:v>15330500</c:v>
                </c:pt>
                <c:pt idx="7" formatCode="#,##0">
                  <c:v>14918000</c:v>
                </c:pt>
                <c:pt idx="8" formatCode="#,##0">
                  <c:v>14652000</c:v>
                </c:pt>
                <c:pt idx="9" formatCode="#,##0">
                  <c:v>14433000</c:v>
                </c:pt>
                <c:pt idx="10" formatCode="#,##0">
                  <c:v>14399000</c:v>
                </c:pt>
                <c:pt idx="11" formatCode="#,##0">
                  <c:v>14200000</c:v>
                </c:pt>
                <c:pt idx="12" formatCode="#,##0">
                  <c:v>14000000</c:v>
                </c:pt>
                <c:pt idx="13" formatCode="#,##0">
                  <c:v>13885000</c:v>
                </c:pt>
                <c:pt idx="14" formatCode="#,##0">
                  <c:v>13689000</c:v>
                </c:pt>
                <c:pt idx="15" formatCode="#,##0">
                  <c:v>13366000</c:v>
                </c:pt>
                <c:pt idx="16" formatCode="#,##0">
                  <c:v>12820000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7-4CD9-9430-51B4F465C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78092928"/>
        <c:axId val="378093912"/>
      </c:lineChart>
      <c:catAx>
        <c:axId val="378092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93912"/>
        <c:crosses val="autoZero"/>
        <c:auto val="1"/>
        <c:lblAlgn val="ctr"/>
        <c:lblOffset val="100"/>
        <c:noMultiLvlLbl val="0"/>
      </c:catAx>
      <c:valAx>
        <c:axId val="378093912"/>
        <c:scaling>
          <c:orientation val="minMax"/>
          <c:min val="40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9292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272368419248559"/>
          <c:y val="0.44312445319335075"/>
          <c:w val="0.2466545233175611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NJ 25 Years or Over have High School Diploma</a:t>
            </a:r>
            <a:endParaRPr lang="en-US"/>
          </a:p>
        </c:rich>
      </c:tx>
      <c:layout>
        <c:manualLayout>
          <c:xMode val="edge"/>
          <c:yMode val="edge"/>
          <c:x val="0.12262940816608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411224912675387E-2"/>
          <c:y val="6.986111111111111E-2"/>
          <c:w val="0.9303934047717719"/>
          <c:h val="0.69935586176727904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'S5-S7'!$D$29:$D$45</c:f>
              <c:numCache>
                <c:formatCode>0.0%</c:formatCode>
                <c:ptCount val="17"/>
                <c:pt idx="0">
                  <c:v>0.3170571342404529</c:v>
                </c:pt>
                <c:pt idx="1">
                  <c:v>0.31500309422280842</c:v>
                </c:pt>
                <c:pt idx="2">
                  <c:v>0.31376221903751422</c:v>
                </c:pt>
                <c:pt idx="3">
                  <c:v>0.30939024653852337</c:v>
                </c:pt>
                <c:pt idx="4">
                  <c:v>0.30444778302715297</c:v>
                </c:pt>
                <c:pt idx="5">
                  <c:v>0.3070766372594908</c:v>
                </c:pt>
                <c:pt idx="6">
                  <c:v>0.30737461547796247</c:v>
                </c:pt>
                <c:pt idx="7">
                  <c:v>0.3089819019256802</c:v>
                </c:pt>
                <c:pt idx="8">
                  <c:v>0.32068125822214011</c:v>
                </c:pt>
                <c:pt idx="9">
                  <c:v>0.32536577533486921</c:v>
                </c:pt>
                <c:pt idx="10">
                  <c:v>0.31431447556358688</c:v>
                </c:pt>
                <c:pt idx="11">
                  <c:v>0.30027119290171994</c:v>
                </c:pt>
                <c:pt idx="12">
                  <c:v>0.302308978106266</c:v>
                </c:pt>
                <c:pt idx="13">
                  <c:v>0.30702883414887699</c:v>
                </c:pt>
                <c:pt idx="14">
                  <c:v>0.30092799999999997</c:v>
                </c:pt>
                <c:pt idx="15">
                  <c:v>0.30550699999999997</c:v>
                </c:pt>
                <c:pt idx="16">
                  <c:v>0.30536847665696326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AB-485A-838D-96E461D572A2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'S5-S7'!$D$47:$D$63</c:f>
              <c:numCache>
                <c:formatCode>0.0%</c:formatCode>
                <c:ptCount val="17"/>
                <c:pt idx="0">
                  <c:v>0.37289736794206813</c:v>
                </c:pt>
                <c:pt idx="1">
                  <c:v>0.35890870994290353</c:v>
                </c:pt>
                <c:pt idx="2">
                  <c:v>0.35657759600387395</c:v>
                </c:pt>
                <c:pt idx="3">
                  <c:v>0.34583889181188893</c:v>
                </c:pt>
                <c:pt idx="4">
                  <c:v>0.33070653456626786</c:v>
                </c:pt>
                <c:pt idx="5">
                  <c:v>0.32174202740019403</c:v>
                </c:pt>
                <c:pt idx="6">
                  <c:v>0.32856528545287761</c:v>
                </c:pt>
                <c:pt idx="7">
                  <c:v>0.33708728170388796</c:v>
                </c:pt>
                <c:pt idx="8">
                  <c:v>0.33249457286403938</c:v>
                </c:pt>
                <c:pt idx="9">
                  <c:v>0.32942834833643531</c:v>
                </c:pt>
                <c:pt idx="10">
                  <c:v>0.32710670300117506</c:v>
                </c:pt>
                <c:pt idx="11">
                  <c:v>0.31930299308447457</c:v>
                </c:pt>
                <c:pt idx="12">
                  <c:v>0.30042852516951379</c:v>
                </c:pt>
                <c:pt idx="13">
                  <c:v>0.29190433792444226</c:v>
                </c:pt>
                <c:pt idx="14">
                  <c:v>0.30137000000000003</c:v>
                </c:pt>
                <c:pt idx="15">
                  <c:v>0.30827900000000003</c:v>
                </c:pt>
                <c:pt idx="16">
                  <c:v>0.30982063646656033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B-485A-838D-96E461D572A2}"/>
            </c:ext>
          </c:extLst>
        </c:ser>
        <c:ser>
          <c:idx val="2"/>
          <c:order val="2"/>
          <c:tx>
            <c:v>White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'S5-S7'!$D$67:$D$83</c:f>
              <c:numCache>
                <c:formatCode>0.0%</c:formatCode>
                <c:ptCount val="17"/>
                <c:pt idx="0">
                  <c:v>0.3480768542255005</c:v>
                </c:pt>
                <c:pt idx="1">
                  <c:v>0.34706150486065757</c:v>
                </c:pt>
                <c:pt idx="2">
                  <c:v>0.34501044730448338</c:v>
                </c:pt>
                <c:pt idx="3">
                  <c:v>0.33519037971003812</c:v>
                </c:pt>
                <c:pt idx="4">
                  <c:v>0.32367413116901894</c:v>
                </c:pt>
                <c:pt idx="5">
                  <c:v>0.32385740386772116</c:v>
                </c:pt>
                <c:pt idx="6">
                  <c:v>0.33024547022788198</c:v>
                </c:pt>
                <c:pt idx="7">
                  <c:v>0.33507432346465571</c:v>
                </c:pt>
                <c:pt idx="8">
                  <c:v>0.33759119672288596</c:v>
                </c:pt>
                <c:pt idx="9">
                  <c:v>0.33759848355203603</c:v>
                </c:pt>
                <c:pt idx="10">
                  <c:v>0.3297243447686507</c:v>
                </c:pt>
                <c:pt idx="11">
                  <c:v>0.31701611680885983</c:v>
                </c:pt>
                <c:pt idx="12">
                  <c:v>0.30878430437267163</c:v>
                </c:pt>
                <c:pt idx="13">
                  <c:v>0.31278712836456396</c:v>
                </c:pt>
                <c:pt idx="14">
                  <c:v>0.31772600000000001</c:v>
                </c:pt>
                <c:pt idx="15">
                  <c:v>0.32432100000000003</c:v>
                </c:pt>
                <c:pt idx="16">
                  <c:v>0.32831965383972184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AB-485A-838D-96E461D572A2}"/>
            </c:ext>
          </c:extLst>
        </c:ser>
        <c:ser>
          <c:idx val="3"/>
          <c:order val="3"/>
          <c:tx>
            <c:v>Black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'S5-S7'!$D$86:$D$102</c:f>
              <c:numCache>
                <c:formatCode>0.0%</c:formatCode>
                <c:ptCount val="17"/>
                <c:pt idx="0">
                  <c:v>0.41480037038949569</c:v>
                </c:pt>
                <c:pt idx="1">
                  <c:v>0.38327979741691465</c:v>
                </c:pt>
                <c:pt idx="2">
                  <c:v>0.38089882188328855</c:v>
                </c:pt>
                <c:pt idx="3">
                  <c:v>0.38631602468497028</c:v>
                </c:pt>
                <c:pt idx="4">
                  <c:v>0.38658107960576066</c:v>
                </c:pt>
                <c:pt idx="5">
                  <c:v>0.37467678295410006</c:v>
                </c:pt>
                <c:pt idx="6">
                  <c:v>0.37882018264780681</c:v>
                </c:pt>
                <c:pt idx="7">
                  <c:v>0.39754447020020151</c:v>
                </c:pt>
                <c:pt idx="8">
                  <c:v>0.40614766706993793</c:v>
                </c:pt>
                <c:pt idx="9">
                  <c:v>0.37991656873219881</c:v>
                </c:pt>
                <c:pt idx="10">
                  <c:v>0.36940263774833926</c:v>
                </c:pt>
                <c:pt idx="11">
                  <c:v>0.37928651966405769</c:v>
                </c:pt>
                <c:pt idx="12">
                  <c:v>0.39484168886069992</c:v>
                </c:pt>
                <c:pt idx="13">
                  <c:v>0.37624165816426069</c:v>
                </c:pt>
                <c:pt idx="14">
                  <c:v>0.35291699999999998</c:v>
                </c:pt>
                <c:pt idx="15">
                  <c:v>0.35012100000000002</c:v>
                </c:pt>
                <c:pt idx="16">
                  <c:v>0.33746372685656656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AB-485A-838D-96E461D572A2}"/>
            </c:ext>
          </c:extLst>
        </c:ser>
        <c:ser>
          <c:idx val="4"/>
          <c:order val="4"/>
          <c:tx>
            <c:v>Other Race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'S5-S7'!$D$105:$D$121</c:f>
              <c:numCache>
                <c:formatCode>0.0%</c:formatCode>
                <c:ptCount val="17"/>
                <c:pt idx="0">
                  <c:v>0.19451855160853368</c:v>
                </c:pt>
                <c:pt idx="1">
                  <c:v>0.15271255921835239</c:v>
                </c:pt>
                <c:pt idx="2">
                  <c:v>0.14800173935651731</c:v>
                </c:pt>
                <c:pt idx="3">
                  <c:v>0.13878114771661185</c:v>
                </c:pt>
                <c:pt idx="4">
                  <c:v>0.13129494728862504</c:v>
                </c:pt>
                <c:pt idx="5">
                  <c:v>0.14327681568315623</c:v>
                </c:pt>
                <c:pt idx="6">
                  <c:v>0.14957969369393684</c:v>
                </c:pt>
                <c:pt idx="7">
                  <c:v>0.15000886333671618</c:v>
                </c:pt>
                <c:pt idx="8">
                  <c:v>0.13693302396649784</c:v>
                </c:pt>
                <c:pt idx="9">
                  <c:v>0.13314166344134484</c:v>
                </c:pt>
                <c:pt idx="10">
                  <c:v>0.13052791246419904</c:v>
                </c:pt>
                <c:pt idx="11">
                  <c:v>0.14029631986741117</c:v>
                </c:pt>
                <c:pt idx="12">
                  <c:v>0.12267475176001348</c:v>
                </c:pt>
                <c:pt idx="13">
                  <c:v>9.8772949411302102E-2</c:v>
                </c:pt>
                <c:pt idx="14">
                  <c:v>0.118727</c:v>
                </c:pt>
                <c:pt idx="15">
                  <c:v>0.122151</c:v>
                </c:pt>
                <c:pt idx="16">
                  <c:v>0.11785087983239985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AB-485A-838D-96E461D572A2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'S5-S7'!$D$125:$D$141</c:f>
              <c:numCache>
                <c:formatCode>0.0%</c:formatCode>
                <c:ptCount val="17"/>
                <c:pt idx="0">
                  <c:v>0.35983775452616246</c:v>
                </c:pt>
                <c:pt idx="1">
                  <c:v>0.30846647477795852</c:v>
                </c:pt>
                <c:pt idx="2">
                  <c:v>0.31372892683474329</c:v>
                </c:pt>
                <c:pt idx="3">
                  <c:v>0.31285940230558745</c:v>
                </c:pt>
                <c:pt idx="4">
                  <c:v>0.32669934830618891</c:v>
                </c:pt>
                <c:pt idx="5">
                  <c:v>0.3406971774609685</c:v>
                </c:pt>
                <c:pt idx="6">
                  <c:v>0.35001261029708503</c:v>
                </c:pt>
                <c:pt idx="7">
                  <c:v>0.35624262348192159</c:v>
                </c:pt>
                <c:pt idx="8">
                  <c:v>0.34528848563073594</c:v>
                </c:pt>
                <c:pt idx="9">
                  <c:v>0.37004511255161798</c:v>
                </c:pt>
                <c:pt idx="10">
                  <c:v>0.38226631687632812</c:v>
                </c:pt>
                <c:pt idx="11">
                  <c:v>0.35773379572367847</c:v>
                </c:pt>
                <c:pt idx="12">
                  <c:v>0.33523144087213974</c:v>
                </c:pt>
                <c:pt idx="13">
                  <c:v>0.30057231924737715</c:v>
                </c:pt>
                <c:pt idx="14">
                  <c:v>0.32047999999999999</c:v>
                </c:pt>
                <c:pt idx="15">
                  <c:v>0.37404999999999999</c:v>
                </c:pt>
                <c:pt idx="16">
                  <c:v>0.41178726532820409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AB-485A-838D-96E461D572A2}"/>
            </c:ext>
          </c:extLst>
        </c:ser>
        <c:ser>
          <c:idx val="6"/>
          <c:order val="6"/>
          <c:tx>
            <c:v>Non-Hispanic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'S5-S7'!$D$144:$D$160</c:f>
              <c:numCache>
                <c:formatCode>0.0%</c:formatCode>
                <c:ptCount val="17"/>
                <c:pt idx="0">
                  <c:v>0.3442839214923194</c:v>
                </c:pt>
                <c:pt idx="1">
                  <c:v>0.34079079353675162</c:v>
                </c:pt>
                <c:pt idx="2">
                  <c:v>0.33917053243730932</c:v>
                </c:pt>
                <c:pt idx="3">
                  <c:v>0.33067803730959178</c:v>
                </c:pt>
                <c:pt idx="4">
                  <c:v>0.31665401628259726</c:v>
                </c:pt>
                <c:pt idx="5">
                  <c:v>0.31016262790568278</c:v>
                </c:pt>
                <c:pt idx="6">
                  <c:v>0.31306482894530047</c:v>
                </c:pt>
                <c:pt idx="7">
                  <c:v>0.31785078695787566</c:v>
                </c:pt>
                <c:pt idx="8">
                  <c:v>0.32322420446362621</c:v>
                </c:pt>
                <c:pt idx="9">
                  <c:v>0.31849366179584954</c:v>
                </c:pt>
                <c:pt idx="10">
                  <c:v>0.30798878306285904</c:v>
                </c:pt>
                <c:pt idx="11">
                  <c:v>0.30057327390085725</c:v>
                </c:pt>
                <c:pt idx="12">
                  <c:v>0.29445405044768702</c:v>
                </c:pt>
                <c:pt idx="13">
                  <c:v>0.29877407727989869</c:v>
                </c:pt>
                <c:pt idx="14">
                  <c:v>0.29722700000000002</c:v>
                </c:pt>
                <c:pt idx="15">
                  <c:v>0.29189700000000002</c:v>
                </c:pt>
                <c:pt idx="16">
                  <c:v>0.28646862318258431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AB-485A-838D-96E461D5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74025648"/>
        <c:axId val="574073864"/>
      </c:lineChart>
      <c:catAx>
        <c:axId val="57402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73864"/>
        <c:crosses val="autoZero"/>
        <c:auto val="1"/>
        <c:lblAlgn val="ctr"/>
        <c:lblOffset val="100"/>
        <c:noMultiLvlLbl val="0"/>
      </c:catAx>
      <c:valAx>
        <c:axId val="574073864"/>
        <c:scaling>
          <c:orientation val="minMax"/>
          <c:max val="0.43000000000000005"/>
          <c:min val="8.0000000000000016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0256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0304172504752461E-3"/>
          <c:y val="0.92584281131525215"/>
          <c:w val="0.99596958274952474"/>
          <c:h val="7.0026975794692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NJ 25 Years or Over have Some College Education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498315533644869E-2"/>
          <c:y val="5.1342592592592606E-2"/>
          <c:w val="0.93043894920914061"/>
          <c:h val="0.71382290755322264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'S5-S7'!$E$29:$E$45</c:f>
              <c:numCache>
                <c:formatCode>0.0%</c:formatCode>
                <c:ptCount val="17"/>
                <c:pt idx="0">
                  <c:v>0.20455115274660304</c:v>
                </c:pt>
                <c:pt idx="1">
                  <c:v>0.19714389016253811</c:v>
                </c:pt>
                <c:pt idx="2">
                  <c:v>0.18965216856670292</c:v>
                </c:pt>
                <c:pt idx="3">
                  <c:v>0.18209866584032863</c:v>
                </c:pt>
                <c:pt idx="4">
                  <c:v>0.18376802556527549</c:v>
                </c:pt>
                <c:pt idx="5">
                  <c:v>0.17543534170679528</c:v>
                </c:pt>
                <c:pt idx="6">
                  <c:v>0.16628617833930864</c:v>
                </c:pt>
                <c:pt idx="7">
                  <c:v>0.1677443638476242</c:v>
                </c:pt>
                <c:pt idx="8">
                  <c:v>0.18710941630751179</c:v>
                </c:pt>
                <c:pt idx="9">
                  <c:v>0.20842401050446402</c:v>
                </c:pt>
                <c:pt idx="10">
                  <c:v>0.20290373138372822</c:v>
                </c:pt>
                <c:pt idx="11">
                  <c:v>0.19350800660822676</c:v>
                </c:pt>
                <c:pt idx="12">
                  <c:v>0.20011205034602772</c:v>
                </c:pt>
                <c:pt idx="13">
                  <c:v>0.19651010836810351</c:v>
                </c:pt>
                <c:pt idx="14">
                  <c:v>0.18856899999999999</c:v>
                </c:pt>
                <c:pt idx="15">
                  <c:v>0.204434</c:v>
                </c:pt>
                <c:pt idx="16">
                  <c:v>0.2102989952036507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8-41CF-BAF8-982FBA5EE135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'S5-S7'!$E$47:$E$63</c:f>
              <c:numCache>
                <c:formatCode>0.0%</c:formatCode>
                <c:ptCount val="17"/>
                <c:pt idx="0">
                  <c:v>0.21823849316505814</c:v>
                </c:pt>
                <c:pt idx="1">
                  <c:v>0.20012611722420756</c:v>
                </c:pt>
                <c:pt idx="2">
                  <c:v>0.19503033849729376</c:v>
                </c:pt>
                <c:pt idx="3">
                  <c:v>0.19609478185055321</c:v>
                </c:pt>
                <c:pt idx="4">
                  <c:v>0.19697456711364156</c:v>
                </c:pt>
                <c:pt idx="5">
                  <c:v>0.20455580984683275</c:v>
                </c:pt>
                <c:pt idx="6">
                  <c:v>0.20661992893322587</c:v>
                </c:pt>
                <c:pt idx="7">
                  <c:v>0.20206042917701575</c:v>
                </c:pt>
                <c:pt idx="8">
                  <c:v>0.20451800626957406</c:v>
                </c:pt>
                <c:pt idx="9">
                  <c:v>0.20599034988666914</c:v>
                </c:pt>
                <c:pt idx="10">
                  <c:v>0.20140156592100464</c:v>
                </c:pt>
                <c:pt idx="11">
                  <c:v>0.19800199315503453</c:v>
                </c:pt>
                <c:pt idx="12">
                  <c:v>0.21430482408092449</c:v>
                </c:pt>
                <c:pt idx="13">
                  <c:v>0.22734028929483671</c:v>
                </c:pt>
                <c:pt idx="14">
                  <c:v>0.214893</c:v>
                </c:pt>
                <c:pt idx="15">
                  <c:v>0.20920800000000001</c:v>
                </c:pt>
                <c:pt idx="16">
                  <c:v>0.2088410021582747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8-41CF-BAF8-982FBA5EE135}"/>
            </c:ext>
          </c:extLst>
        </c:ser>
        <c:ser>
          <c:idx val="2"/>
          <c:order val="2"/>
          <c:tx>
            <c:v>White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'S5-S7'!$E$67:$E$83</c:f>
              <c:numCache>
                <c:formatCode>0.0%</c:formatCode>
                <c:ptCount val="17"/>
                <c:pt idx="0">
                  <c:v>0.21832420833147176</c:v>
                </c:pt>
                <c:pt idx="1">
                  <c:v>0.2011753694008647</c:v>
                </c:pt>
                <c:pt idx="2">
                  <c:v>0.19237768299667954</c:v>
                </c:pt>
                <c:pt idx="3">
                  <c:v>0.18994445899128223</c:v>
                </c:pt>
                <c:pt idx="4">
                  <c:v>0.19055499921749086</c:v>
                </c:pt>
                <c:pt idx="5">
                  <c:v>0.18903051577599023</c:v>
                </c:pt>
                <c:pt idx="6">
                  <c:v>0.18304827218843689</c:v>
                </c:pt>
                <c:pt idx="7">
                  <c:v>0.18494221941083572</c:v>
                </c:pt>
                <c:pt idx="8">
                  <c:v>0.19749078368495096</c:v>
                </c:pt>
                <c:pt idx="9">
                  <c:v>0.20404482353674142</c:v>
                </c:pt>
                <c:pt idx="10">
                  <c:v>0.20240184204376915</c:v>
                </c:pt>
                <c:pt idx="11">
                  <c:v>0.20065556714343416</c:v>
                </c:pt>
                <c:pt idx="12">
                  <c:v>0.21244087675281384</c:v>
                </c:pt>
                <c:pt idx="13">
                  <c:v>0.21006204221790359</c:v>
                </c:pt>
                <c:pt idx="14">
                  <c:v>0.200713</c:v>
                </c:pt>
                <c:pt idx="15">
                  <c:v>0.21222099999999999</c:v>
                </c:pt>
                <c:pt idx="16">
                  <c:v>0.20825282099974904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A8-41CF-BAF8-982FBA5EE135}"/>
            </c:ext>
          </c:extLst>
        </c:ser>
        <c:ser>
          <c:idx val="3"/>
          <c:order val="3"/>
          <c:tx>
            <c:v>Black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'S5-S7'!$E$86:$E$102</c:f>
              <c:numCache>
                <c:formatCode>0.0%</c:formatCode>
                <c:ptCount val="17"/>
                <c:pt idx="0">
                  <c:v>0.21377072437865177</c:v>
                </c:pt>
                <c:pt idx="1">
                  <c:v>0.23088804343226174</c:v>
                </c:pt>
                <c:pt idx="2">
                  <c:v>0.2268359116493926</c:v>
                </c:pt>
                <c:pt idx="3">
                  <c:v>0.21418128975167966</c:v>
                </c:pt>
                <c:pt idx="4">
                  <c:v>0.22259362387306036</c:v>
                </c:pt>
                <c:pt idx="5">
                  <c:v>0.25133188468639939</c:v>
                </c:pt>
                <c:pt idx="6">
                  <c:v>0.26745767345156252</c:v>
                </c:pt>
                <c:pt idx="7">
                  <c:v>0.25271561186518193</c:v>
                </c:pt>
                <c:pt idx="8">
                  <c:v>0.25174353321381304</c:v>
                </c:pt>
                <c:pt idx="9">
                  <c:v>0.28665197894516986</c:v>
                </c:pt>
                <c:pt idx="10">
                  <c:v>0.28066028258211823</c:v>
                </c:pt>
                <c:pt idx="11">
                  <c:v>0.24437904754031953</c:v>
                </c:pt>
                <c:pt idx="12">
                  <c:v>0.25556510668379362</c:v>
                </c:pt>
                <c:pt idx="13">
                  <c:v>0.29527861105231212</c:v>
                </c:pt>
                <c:pt idx="14">
                  <c:v>0.28588799999999998</c:v>
                </c:pt>
                <c:pt idx="15">
                  <c:v>0.27677299999999999</c:v>
                </c:pt>
                <c:pt idx="16">
                  <c:v>0.29963436510131808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A8-41CF-BAF8-982FBA5EE135}"/>
            </c:ext>
          </c:extLst>
        </c:ser>
        <c:ser>
          <c:idx val="4"/>
          <c:order val="4"/>
          <c:tx>
            <c:v>Other Race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'S5-S7'!$E$105:$E$121</c:f>
              <c:numCache>
                <c:formatCode>0.0%</c:formatCode>
                <c:ptCount val="17"/>
                <c:pt idx="0">
                  <c:v>0.13087258560758211</c:v>
                </c:pt>
                <c:pt idx="1">
                  <c:v>0.10432765883934396</c:v>
                </c:pt>
                <c:pt idx="2">
                  <c:v>0.11747177494180355</c:v>
                </c:pt>
                <c:pt idx="3">
                  <c:v>0.1260447918711517</c:v>
                </c:pt>
                <c:pt idx="4">
                  <c:v>0.11430389864082417</c:v>
                </c:pt>
                <c:pt idx="5">
                  <c:v>0.10411794934120981</c:v>
                </c:pt>
                <c:pt idx="6">
                  <c:v>0.11906918330810741</c:v>
                </c:pt>
                <c:pt idx="7">
                  <c:v>0.11060976719212859</c:v>
                </c:pt>
                <c:pt idx="8">
                  <c:v>0.11332583333414642</c:v>
                </c:pt>
                <c:pt idx="9">
                  <c:v>0.12219180980499984</c:v>
                </c:pt>
                <c:pt idx="10">
                  <c:v>8.18103191837804E-2</c:v>
                </c:pt>
                <c:pt idx="11">
                  <c:v>7.9361017738542775E-2</c:v>
                </c:pt>
                <c:pt idx="12">
                  <c:v>8.9602882002795217E-2</c:v>
                </c:pt>
                <c:pt idx="13">
                  <c:v>0.10633053799897409</c:v>
                </c:pt>
                <c:pt idx="14">
                  <c:v>0.10067</c:v>
                </c:pt>
                <c:pt idx="15">
                  <c:v>7.6594999999999996E-2</c:v>
                </c:pt>
                <c:pt idx="16">
                  <c:v>7.3496664633884948E-2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A8-41CF-BAF8-982FBA5EE135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'S5-S7'!$E$125:$E$141</c:f>
              <c:numCache>
                <c:formatCode>0.0%</c:formatCode>
                <c:ptCount val="17"/>
                <c:pt idx="0">
                  <c:v>0.17331039512955543</c:v>
                </c:pt>
                <c:pt idx="1">
                  <c:v>0.17589850489327488</c:v>
                </c:pt>
                <c:pt idx="2">
                  <c:v>0.16193583592608735</c:v>
                </c:pt>
                <c:pt idx="3">
                  <c:v>0.16737850493074272</c:v>
                </c:pt>
                <c:pt idx="4">
                  <c:v>0.17370168726086835</c:v>
                </c:pt>
                <c:pt idx="5">
                  <c:v>0.1742022416355555</c:v>
                </c:pt>
                <c:pt idx="6">
                  <c:v>0.17521094774363832</c:v>
                </c:pt>
                <c:pt idx="7">
                  <c:v>0.17891728649578156</c:v>
                </c:pt>
                <c:pt idx="8">
                  <c:v>0.20748794840871476</c:v>
                </c:pt>
                <c:pt idx="9">
                  <c:v>0.21901451827857105</c:v>
                </c:pt>
                <c:pt idx="10">
                  <c:v>0.20301174128879315</c:v>
                </c:pt>
                <c:pt idx="11">
                  <c:v>0.19720447951440637</c:v>
                </c:pt>
                <c:pt idx="12">
                  <c:v>0.21114941598342485</c:v>
                </c:pt>
                <c:pt idx="13">
                  <c:v>0.22155453411252235</c:v>
                </c:pt>
                <c:pt idx="14">
                  <c:v>0.202962</c:v>
                </c:pt>
                <c:pt idx="15">
                  <c:v>0.193719</c:v>
                </c:pt>
                <c:pt idx="16">
                  <c:v>0.18800006401899833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A8-41CF-BAF8-982FBA5EE135}"/>
            </c:ext>
          </c:extLst>
        </c:ser>
        <c:ser>
          <c:idx val="6"/>
          <c:order val="6"/>
          <c:tx>
            <c:v>Non-Hispanic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'S5-S7'!$E$144:$E$160</c:f>
              <c:numCache>
                <c:formatCode>0.0%</c:formatCode>
                <c:ptCount val="17"/>
                <c:pt idx="0">
                  <c:v>0.21656913900907779</c:v>
                </c:pt>
                <c:pt idx="1">
                  <c:v>0.20246584190201017</c:v>
                </c:pt>
                <c:pt idx="2">
                  <c:v>0.19647741095715748</c:v>
                </c:pt>
                <c:pt idx="3">
                  <c:v>0.19256377034450431</c:v>
                </c:pt>
                <c:pt idx="4">
                  <c:v>0.19346808054929843</c:v>
                </c:pt>
                <c:pt idx="5">
                  <c:v>0.19339045507370103</c:v>
                </c:pt>
                <c:pt idx="6">
                  <c:v>0.18963772921276012</c:v>
                </c:pt>
                <c:pt idx="7">
                  <c:v>0.18717815271554689</c:v>
                </c:pt>
                <c:pt idx="8">
                  <c:v>0.19398679069866884</c:v>
                </c:pt>
                <c:pt idx="9">
                  <c:v>0.20466049981093462</c:v>
                </c:pt>
                <c:pt idx="10">
                  <c:v>0.20192857514165408</c:v>
                </c:pt>
                <c:pt idx="11">
                  <c:v>0.19561687051704246</c:v>
                </c:pt>
                <c:pt idx="12">
                  <c:v>0.2069142981050246</c:v>
                </c:pt>
                <c:pt idx="13">
                  <c:v>0.21094008480120921</c:v>
                </c:pt>
                <c:pt idx="14">
                  <c:v>0.20222899999999999</c:v>
                </c:pt>
                <c:pt idx="15">
                  <c:v>0.20955099999999999</c:v>
                </c:pt>
                <c:pt idx="16">
                  <c:v>0.21393325372491731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A8-41CF-BAF8-982FBA5EE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2010232"/>
        <c:axId val="562023352"/>
      </c:lineChart>
      <c:catAx>
        <c:axId val="5620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23352"/>
        <c:crosses val="autoZero"/>
        <c:auto val="1"/>
        <c:lblAlgn val="ctr"/>
        <c:lblOffset val="100"/>
        <c:noMultiLvlLbl val="0"/>
      </c:catAx>
      <c:valAx>
        <c:axId val="562023352"/>
        <c:scaling>
          <c:orientation val="minMax"/>
          <c:max val="0.30000000000000004"/>
          <c:min val="7.0000000000000007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1023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4965223097112861"/>
          <c:w val="0.9"/>
          <c:h val="5.0347769028871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25 Years of Over Have Bachelor's Degree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5048118985127"/>
          <c:y val="9.024314668999707E-2"/>
          <c:w val="0.86601618547681536"/>
          <c:h val="0.67261883931175281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'S5-S7'!$F$29:$F$45</c:f>
              <c:numCache>
                <c:formatCode>0.0%</c:formatCode>
                <c:ptCount val="17"/>
                <c:pt idx="0">
                  <c:v>0.22094668207996876</c:v>
                </c:pt>
                <c:pt idx="1">
                  <c:v>0.22630373757740635</c:v>
                </c:pt>
                <c:pt idx="2">
                  <c:v>0.23925913657644549</c:v>
                </c:pt>
                <c:pt idx="3">
                  <c:v>0.23582370754274709</c:v>
                </c:pt>
                <c:pt idx="4">
                  <c:v>0.22537562796997107</c:v>
                </c:pt>
                <c:pt idx="5">
                  <c:v>0.23469763587311709</c:v>
                </c:pt>
                <c:pt idx="6">
                  <c:v>0.24452699155586322</c:v>
                </c:pt>
                <c:pt idx="7">
                  <c:v>0.23961074609526725</c:v>
                </c:pt>
                <c:pt idx="8">
                  <c:v>0.22951960292940329</c:v>
                </c:pt>
                <c:pt idx="9">
                  <c:v>0.23348696365987207</c:v>
                </c:pt>
                <c:pt idx="10">
                  <c:v>0.24873424308632511</c:v>
                </c:pt>
                <c:pt idx="11">
                  <c:v>0.24808291095438265</c:v>
                </c:pt>
                <c:pt idx="12">
                  <c:v>0.23933079195919491</c:v>
                </c:pt>
                <c:pt idx="13">
                  <c:v>0.24407489523891046</c:v>
                </c:pt>
                <c:pt idx="14">
                  <c:v>0.250023</c:v>
                </c:pt>
                <c:pt idx="15">
                  <c:v>0.25314199999999998</c:v>
                </c:pt>
                <c:pt idx="16">
                  <c:v>0.25998780827457296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D8-4706-A006-C60E1FA56BCD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'S5-S7'!$F$47:$F$63</c:f>
              <c:numCache>
                <c:formatCode>0.0%</c:formatCode>
                <c:ptCount val="17"/>
                <c:pt idx="0">
                  <c:v>0.19165249556082781</c:v>
                </c:pt>
                <c:pt idx="1">
                  <c:v>0.21068810659478196</c:v>
                </c:pt>
                <c:pt idx="2">
                  <c:v>0.22059553092495734</c:v>
                </c:pt>
                <c:pt idx="3">
                  <c:v>0.22703923809177953</c:v>
                </c:pt>
                <c:pt idx="4">
                  <c:v>0.22498740383253735</c:v>
                </c:pt>
                <c:pt idx="5">
                  <c:v>0.22458439447425135</c:v>
                </c:pt>
                <c:pt idx="6">
                  <c:v>0.23841547100902477</c:v>
                </c:pt>
                <c:pt idx="7">
                  <c:v>0.23921672969736346</c:v>
                </c:pt>
                <c:pt idx="8">
                  <c:v>0.23582254759851992</c:v>
                </c:pt>
                <c:pt idx="9">
                  <c:v>0.24410697184021551</c:v>
                </c:pt>
                <c:pt idx="10">
                  <c:v>0.24849575095330023</c:v>
                </c:pt>
                <c:pt idx="11">
                  <c:v>0.2462778331866704</c:v>
                </c:pt>
                <c:pt idx="12">
                  <c:v>0.24985928523290424</c:v>
                </c:pt>
                <c:pt idx="13">
                  <c:v>0.25334433596420591</c:v>
                </c:pt>
                <c:pt idx="14">
                  <c:v>0.256214</c:v>
                </c:pt>
                <c:pt idx="15">
                  <c:v>0.25871699999999997</c:v>
                </c:pt>
                <c:pt idx="16">
                  <c:v>0.25356569294506703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D8-4706-A006-C60E1FA56BCD}"/>
            </c:ext>
          </c:extLst>
        </c:ser>
        <c:ser>
          <c:idx val="2"/>
          <c:order val="2"/>
          <c:tx>
            <c:v>White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'S5-S7'!$F$67:$F$83</c:f>
              <c:numCache>
                <c:formatCode>0.0%</c:formatCode>
                <c:ptCount val="17"/>
                <c:pt idx="0">
                  <c:v>0.20655559148650127</c:v>
                </c:pt>
                <c:pt idx="1">
                  <c:v>0.21690488417166015</c:v>
                </c:pt>
                <c:pt idx="2">
                  <c:v>0.22892337646946434</c:v>
                </c:pt>
                <c:pt idx="3">
                  <c:v>0.22792438604438198</c:v>
                </c:pt>
                <c:pt idx="4">
                  <c:v>0.2247393010491458</c:v>
                </c:pt>
                <c:pt idx="5">
                  <c:v>0.22588818022859469</c:v>
                </c:pt>
                <c:pt idx="6">
                  <c:v>0.23663024161561211</c:v>
                </c:pt>
                <c:pt idx="7">
                  <c:v>0.23746998937727035</c:v>
                </c:pt>
                <c:pt idx="8">
                  <c:v>0.22979380784540474</c:v>
                </c:pt>
                <c:pt idx="9">
                  <c:v>0.24054885362889972</c:v>
                </c:pt>
                <c:pt idx="10">
                  <c:v>0.25274299376049292</c:v>
                </c:pt>
                <c:pt idx="11">
                  <c:v>0.25134504790952378</c:v>
                </c:pt>
                <c:pt idx="12">
                  <c:v>0.24951834618955596</c:v>
                </c:pt>
                <c:pt idx="13">
                  <c:v>0.24740339859851021</c:v>
                </c:pt>
                <c:pt idx="14">
                  <c:v>0.24974099999999999</c:v>
                </c:pt>
                <c:pt idx="15">
                  <c:v>0.25363799999999997</c:v>
                </c:pt>
                <c:pt idx="16">
                  <c:v>0.25238671080112896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D8-4706-A006-C60E1FA56BCD}"/>
            </c:ext>
          </c:extLst>
        </c:ser>
        <c:ser>
          <c:idx val="3"/>
          <c:order val="3"/>
          <c:tx>
            <c:v>Black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'S5-S7'!$F$86:$F$102</c:f>
              <c:numCache>
                <c:formatCode>0.0%</c:formatCode>
                <c:ptCount val="17"/>
                <c:pt idx="0">
                  <c:v>0.1298235340361017</c:v>
                </c:pt>
                <c:pt idx="1">
                  <c:v>0.13545431283533099</c:v>
                </c:pt>
                <c:pt idx="2">
                  <c:v>0.15383496414951389</c:v>
                </c:pt>
                <c:pt idx="3">
                  <c:v>0.17065667945813121</c:v>
                </c:pt>
                <c:pt idx="4">
                  <c:v>0.1448598707350402</c:v>
                </c:pt>
                <c:pt idx="5">
                  <c:v>0.13442886539565072</c:v>
                </c:pt>
                <c:pt idx="6">
                  <c:v>0.161211192696366</c:v>
                </c:pt>
                <c:pt idx="7">
                  <c:v>0.16430047679541662</c:v>
                </c:pt>
                <c:pt idx="8">
                  <c:v>0.14465087436662327</c:v>
                </c:pt>
                <c:pt idx="9">
                  <c:v>0.13936992624336575</c:v>
                </c:pt>
                <c:pt idx="10">
                  <c:v>0.1430039937044606</c:v>
                </c:pt>
                <c:pt idx="11">
                  <c:v>0.16058144676674121</c:v>
                </c:pt>
                <c:pt idx="12">
                  <c:v>0.16020618116034632</c:v>
                </c:pt>
                <c:pt idx="13">
                  <c:v>0.17019665744825274</c:v>
                </c:pt>
                <c:pt idx="14">
                  <c:v>0.18720500000000001</c:v>
                </c:pt>
                <c:pt idx="15">
                  <c:v>0.17976900000000001</c:v>
                </c:pt>
                <c:pt idx="16">
                  <c:v>0.18445486648966899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D8-4706-A006-C60E1FA56BCD}"/>
            </c:ext>
          </c:extLst>
        </c:ser>
        <c:ser>
          <c:idx val="4"/>
          <c:order val="4"/>
          <c:tx>
            <c:v>Other Race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'S5-S7'!$F$105:$F$121</c:f>
              <c:numCache>
                <c:formatCode>0.0%</c:formatCode>
                <c:ptCount val="17"/>
                <c:pt idx="0">
                  <c:v>0.3407047237986992</c:v>
                </c:pt>
                <c:pt idx="1">
                  <c:v>0.38467184949102762</c:v>
                </c:pt>
                <c:pt idx="2">
                  <c:v>0.38404767932875039</c:v>
                </c:pt>
                <c:pt idx="3">
                  <c:v>0.38592325801056265</c:v>
                </c:pt>
                <c:pt idx="4">
                  <c:v>0.37450302212716197</c:v>
                </c:pt>
                <c:pt idx="5">
                  <c:v>0.40721397340873228</c:v>
                </c:pt>
                <c:pt idx="6">
                  <c:v>0.39383358305862437</c:v>
                </c:pt>
                <c:pt idx="7">
                  <c:v>0.36538684768659591</c:v>
                </c:pt>
                <c:pt idx="8">
                  <c:v>0.39338162474180133</c:v>
                </c:pt>
                <c:pt idx="9">
                  <c:v>0.39485625890510406</c:v>
                </c:pt>
                <c:pt idx="10">
                  <c:v>0.38969254649731744</c:v>
                </c:pt>
                <c:pt idx="11">
                  <c:v>0.35179023562061357</c:v>
                </c:pt>
                <c:pt idx="12">
                  <c:v>0.34251690012066638</c:v>
                </c:pt>
                <c:pt idx="13">
                  <c:v>0.37517527401418854</c:v>
                </c:pt>
                <c:pt idx="14">
                  <c:v>0.36498199999999997</c:v>
                </c:pt>
                <c:pt idx="15">
                  <c:v>0.37347599999999997</c:v>
                </c:pt>
                <c:pt idx="16">
                  <c:v>0.39377945074112314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D8-4706-A006-C60E1FA56BCD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'S5-S7'!$F$125:$F$141</c:f>
              <c:numCache>
                <c:formatCode>0.0%</c:formatCode>
                <c:ptCount val="17"/>
                <c:pt idx="0">
                  <c:v>9.45997515932466E-2</c:v>
                </c:pt>
                <c:pt idx="1">
                  <c:v>0.12367476155614694</c:v>
                </c:pt>
                <c:pt idx="2">
                  <c:v>0.13502777233175742</c:v>
                </c:pt>
                <c:pt idx="3">
                  <c:v>0.12876025434952246</c:v>
                </c:pt>
                <c:pt idx="4">
                  <c:v>0.11667622455930057</c:v>
                </c:pt>
                <c:pt idx="5">
                  <c:v>0.10977653028680177</c:v>
                </c:pt>
                <c:pt idx="6">
                  <c:v>9.7341617856392781E-2</c:v>
                </c:pt>
                <c:pt idx="7">
                  <c:v>9.2986676845689745E-2</c:v>
                </c:pt>
                <c:pt idx="8">
                  <c:v>9.8319463605834795E-2</c:v>
                </c:pt>
                <c:pt idx="9">
                  <c:v>0.10429088852275985</c:v>
                </c:pt>
                <c:pt idx="10">
                  <c:v>0.11621763432284307</c:v>
                </c:pt>
                <c:pt idx="11">
                  <c:v>0.12840481660838399</c:v>
                </c:pt>
                <c:pt idx="12">
                  <c:v>0.14169926896848956</c:v>
                </c:pt>
                <c:pt idx="13">
                  <c:v>0.15089092739942597</c:v>
                </c:pt>
                <c:pt idx="14">
                  <c:v>0.15356400000000001</c:v>
                </c:pt>
                <c:pt idx="15">
                  <c:v>0.15564</c:v>
                </c:pt>
                <c:pt idx="16">
                  <c:v>0.15231416562954259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D8-4706-A006-C60E1FA56BCD}"/>
            </c:ext>
          </c:extLst>
        </c:ser>
        <c:ser>
          <c:idx val="6"/>
          <c:order val="6"/>
          <c:tx>
            <c:v>Non-Hispanic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'S5-S7'!$F$144:$F$160</c:f>
              <c:numCache>
                <c:formatCode>0.0%</c:formatCode>
                <c:ptCount val="17"/>
                <c:pt idx="0">
                  <c:v>0.21770765626841446</c:v>
                </c:pt>
                <c:pt idx="1">
                  <c:v>0.22945831534765115</c:v>
                </c:pt>
                <c:pt idx="2">
                  <c:v>0.24185232598150752</c:v>
                </c:pt>
                <c:pt idx="3">
                  <c:v>0.24585208703032105</c:v>
                </c:pt>
                <c:pt idx="4">
                  <c:v>0.24334952970741294</c:v>
                </c:pt>
                <c:pt idx="5">
                  <c:v>0.2502667920895621</c:v>
                </c:pt>
                <c:pt idx="6">
                  <c:v>0.26626819463239837</c:v>
                </c:pt>
                <c:pt idx="7">
                  <c:v>0.26647916320931414</c:v>
                </c:pt>
                <c:pt idx="8">
                  <c:v>0.25931695247085956</c:v>
                </c:pt>
                <c:pt idx="9">
                  <c:v>0.26741510744667912</c:v>
                </c:pt>
                <c:pt idx="10">
                  <c:v>0.27673234930083707</c:v>
                </c:pt>
                <c:pt idx="11">
                  <c:v>0.2716298522487175</c:v>
                </c:pt>
                <c:pt idx="12">
                  <c:v>0.26577705523458112</c:v>
                </c:pt>
                <c:pt idx="13">
                  <c:v>0.26872501506113233</c:v>
                </c:pt>
                <c:pt idx="14">
                  <c:v>0.273561</c:v>
                </c:pt>
                <c:pt idx="15">
                  <c:v>0.27599299999999999</c:v>
                </c:pt>
                <c:pt idx="16">
                  <c:v>0.27791962305856988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D8-4706-A006-C60E1FA5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30287936"/>
        <c:axId val="630288920"/>
      </c:lineChart>
      <c:catAx>
        <c:axId val="63028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288920"/>
        <c:crosses val="autoZero"/>
        <c:auto val="1"/>
        <c:lblAlgn val="ctr"/>
        <c:lblOffset val="100"/>
        <c:noMultiLvlLbl val="0"/>
      </c:catAx>
      <c:valAx>
        <c:axId val="630288920"/>
        <c:scaling>
          <c:orientation val="minMax"/>
          <c:max val="0.42000000000000004"/>
          <c:min val="7.0000000000000007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2879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397317002041411"/>
          <c:w val="1"/>
          <c:h val="5.6138086905803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NJ 25 Years or Over Have Postgraduate</a:t>
            </a:r>
            <a:r>
              <a:rPr lang="en-US" baseline="0"/>
              <a:t> Degree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765608246337631E-2"/>
          <c:y val="2.5428331875182269E-2"/>
          <c:w val="0.91604256704754006"/>
          <c:h val="0.75028178769320497"/>
        </c:manualLayout>
      </c:layout>
      <c:lineChart>
        <c:grouping val="standard"/>
        <c:varyColors val="0"/>
        <c:ser>
          <c:idx val="0"/>
          <c:order val="0"/>
          <c:tx>
            <c:v>Male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'S5-S7'!$G$29:$G$45</c:f>
              <c:numCache>
                <c:formatCode>0.0%</c:formatCode>
                <c:ptCount val="17"/>
                <c:pt idx="0">
                  <c:v>0.11745665083686978</c:v>
                </c:pt>
                <c:pt idx="1">
                  <c:v>0.12003217450062494</c:v>
                </c:pt>
                <c:pt idx="2">
                  <c:v>0.12772002610449099</c:v>
                </c:pt>
                <c:pt idx="3">
                  <c:v>0.14377032837368289</c:v>
                </c:pt>
                <c:pt idx="4">
                  <c:v>0.14996890566943524</c:v>
                </c:pt>
                <c:pt idx="5">
                  <c:v>0.15381842559858552</c:v>
                </c:pt>
                <c:pt idx="6">
                  <c:v>0.16090333824408087</c:v>
                </c:pt>
                <c:pt idx="7">
                  <c:v>0.16498452128817204</c:v>
                </c:pt>
                <c:pt idx="8">
                  <c:v>0.15124858259166249</c:v>
                </c:pt>
                <c:pt idx="9">
                  <c:v>0.12930303756159828</c:v>
                </c:pt>
                <c:pt idx="10">
                  <c:v>0.12946940640398213</c:v>
                </c:pt>
                <c:pt idx="11">
                  <c:v>0.14696899836740732</c:v>
                </c:pt>
                <c:pt idx="12">
                  <c:v>0.14717220168267089</c:v>
                </c:pt>
                <c:pt idx="13">
                  <c:v>0.14481334054548414</c:v>
                </c:pt>
                <c:pt idx="14">
                  <c:v>0.166353</c:v>
                </c:pt>
                <c:pt idx="15">
                  <c:v>0.165987</c:v>
                </c:pt>
                <c:pt idx="16">
                  <c:v>0.15813816083704463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D-4688-BCE2-C0303A6C5CC8}"/>
            </c:ext>
          </c:extLst>
        </c:ser>
        <c:ser>
          <c:idx val="1"/>
          <c:order val="1"/>
          <c:tx>
            <c:v>Female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'S5-S7'!$G$47:$G$63</c:f>
              <c:numCache>
                <c:formatCode>0.0%</c:formatCode>
                <c:ptCount val="17"/>
                <c:pt idx="0">
                  <c:v>8.1942515639631883E-2</c:v>
                </c:pt>
                <c:pt idx="1">
                  <c:v>9.244167418843087E-2</c:v>
                </c:pt>
                <c:pt idx="2">
                  <c:v>9.5052404988198017E-2</c:v>
                </c:pt>
                <c:pt idx="3">
                  <c:v>0.10500259468715339</c:v>
                </c:pt>
                <c:pt idx="4">
                  <c:v>0.11988892145598319</c:v>
                </c:pt>
                <c:pt idx="5">
                  <c:v>0.12262661320445432</c:v>
                </c:pt>
                <c:pt idx="6">
                  <c:v>0.11162607558556507</c:v>
                </c:pt>
                <c:pt idx="7">
                  <c:v>0.10995750691205516</c:v>
                </c:pt>
                <c:pt idx="8">
                  <c:v>0.11677838883902955</c:v>
                </c:pt>
                <c:pt idx="9">
                  <c:v>0.11906893338441488</c:v>
                </c:pt>
                <c:pt idx="10">
                  <c:v>0.12196723632592807</c:v>
                </c:pt>
                <c:pt idx="11">
                  <c:v>0.1353133415266326</c:v>
                </c:pt>
                <c:pt idx="12">
                  <c:v>0.13840461334363693</c:v>
                </c:pt>
                <c:pt idx="13">
                  <c:v>0.13685820825505823</c:v>
                </c:pt>
                <c:pt idx="14">
                  <c:v>0.145317</c:v>
                </c:pt>
                <c:pt idx="15">
                  <c:v>0.15351799999999999</c:v>
                </c:pt>
                <c:pt idx="16">
                  <c:v>0.16401201747039007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D-4688-BCE2-C0303A6C5CC8}"/>
            </c:ext>
          </c:extLst>
        </c:ser>
        <c:ser>
          <c:idx val="2"/>
          <c:order val="2"/>
          <c:tx>
            <c:v>White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'S5-S7'!$G$67:$G$83</c:f>
              <c:numCache>
                <c:formatCode>0.0%</c:formatCode>
                <c:ptCount val="17"/>
                <c:pt idx="0">
                  <c:v>9.8459742171235029E-2</c:v>
                </c:pt>
                <c:pt idx="1">
                  <c:v>0.1016663962986801</c:v>
                </c:pt>
                <c:pt idx="2">
                  <c:v>0.10623645717008177</c:v>
                </c:pt>
                <c:pt idx="3">
                  <c:v>0.12356397244546649</c:v>
                </c:pt>
                <c:pt idx="4">
                  <c:v>0.13572653751588226</c:v>
                </c:pt>
                <c:pt idx="5">
                  <c:v>0.13640592117742209</c:v>
                </c:pt>
                <c:pt idx="6">
                  <c:v>0.1317244286290912</c:v>
                </c:pt>
                <c:pt idx="7">
                  <c:v>0.13033261798475407</c:v>
                </c:pt>
                <c:pt idx="8">
                  <c:v>0.12784169948469126</c:v>
                </c:pt>
                <c:pt idx="9">
                  <c:v>0.12032932883848677</c:v>
                </c:pt>
                <c:pt idx="10">
                  <c:v>0.11585888961832284</c:v>
                </c:pt>
                <c:pt idx="11">
                  <c:v>0.12955883332662349</c:v>
                </c:pt>
                <c:pt idx="12">
                  <c:v>0.13325098649606001</c:v>
                </c:pt>
                <c:pt idx="13">
                  <c:v>0.13063054529994375</c:v>
                </c:pt>
                <c:pt idx="14">
                  <c:v>0.13875199999999999</c:v>
                </c:pt>
                <c:pt idx="15">
                  <c:v>0.13710700000000001</c:v>
                </c:pt>
                <c:pt idx="16">
                  <c:v>0.14743955215213467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D-4688-BCE2-C0303A6C5CC8}"/>
            </c:ext>
          </c:extLst>
        </c:ser>
        <c:ser>
          <c:idx val="3"/>
          <c:order val="3"/>
          <c:tx>
            <c:v>Black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'S5-S7'!$G$86:$G$102</c:f>
              <c:numCache>
                <c:formatCode>0.0%</c:formatCode>
                <c:ptCount val="17"/>
                <c:pt idx="0">
                  <c:v>4.5901701667064199E-2</c:v>
                </c:pt>
                <c:pt idx="1">
                  <c:v>5.3239279627174396E-2</c:v>
                </c:pt>
                <c:pt idx="2">
                  <c:v>5.5057142930534403E-2</c:v>
                </c:pt>
                <c:pt idx="3">
                  <c:v>4.4594437286988496E-2</c:v>
                </c:pt>
                <c:pt idx="4">
                  <c:v>5.0648058848128154E-2</c:v>
                </c:pt>
                <c:pt idx="5">
                  <c:v>5.9215667381797794E-2</c:v>
                </c:pt>
                <c:pt idx="6">
                  <c:v>5.3968616237353939E-2</c:v>
                </c:pt>
                <c:pt idx="7">
                  <c:v>5.8800177347467529E-2</c:v>
                </c:pt>
                <c:pt idx="8">
                  <c:v>6.444649934171888E-2</c:v>
                </c:pt>
                <c:pt idx="9">
                  <c:v>5.65182925301638E-2</c:v>
                </c:pt>
                <c:pt idx="10">
                  <c:v>6.7631499580491874E-2</c:v>
                </c:pt>
                <c:pt idx="11">
                  <c:v>7.764299449973687E-2</c:v>
                </c:pt>
                <c:pt idx="12">
                  <c:v>6.3030658902829398E-2</c:v>
                </c:pt>
                <c:pt idx="13">
                  <c:v>6.7205129688751156E-2</c:v>
                </c:pt>
                <c:pt idx="14">
                  <c:v>8.6442000000000005E-2</c:v>
                </c:pt>
                <c:pt idx="15">
                  <c:v>9.1853000000000004E-2</c:v>
                </c:pt>
                <c:pt idx="16">
                  <c:v>8.8327774120957395E-2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D-4688-BCE2-C0303A6C5CC8}"/>
            </c:ext>
          </c:extLst>
        </c:ser>
        <c:ser>
          <c:idx val="4"/>
          <c:order val="4"/>
          <c:tx>
            <c:v>Other Race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'S5-S7'!$G$105:$G$121</c:f>
              <c:numCache>
                <c:formatCode>0.0%</c:formatCode>
                <c:ptCount val="17"/>
                <c:pt idx="0">
                  <c:v>0.20508900801756771</c:v>
                </c:pt>
                <c:pt idx="1">
                  <c:v>0.24623735536818031</c:v>
                </c:pt>
                <c:pt idx="2">
                  <c:v>0.27309859697295552</c:v>
                </c:pt>
                <c:pt idx="3">
                  <c:v>0.28139487807998081</c:v>
                </c:pt>
                <c:pt idx="4">
                  <c:v>0.27879120953649744</c:v>
                </c:pt>
                <c:pt idx="5">
                  <c:v>0.27110019055933887</c:v>
                </c:pt>
                <c:pt idx="6">
                  <c:v>0.27207989144592021</c:v>
                </c:pt>
                <c:pt idx="7">
                  <c:v>0.28695930901397682</c:v>
                </c:pt>
                <c:pt idx="8">
                  <c:v>0.28507292009183433</c:v>
                </c:pt>
                <c:pt idx="9">
                  <c:v>0.2794226692749498</c:v>
                </c:pt>
                <c:pt idx="10">
                  <c:v>0.32481315725203147</c:v>
                </c:pt>
                <c:pt idx="11">
                  <c:v>0.34286583660011982</c:v>
                </c:pt>
                <c:pt idx="12">
                  <c:v>0.33944480645990216</c:v>
                </c:pt>
                <c:pt idx="13">
                  <c:v>0.3304434298568904</c:v>
                </c:pt>
                <c:pt idx="14">
                  <c:v>0.36399999999999999</c:v>
                </c:pt>
                <c:pt idx="15">
                  <c:v>0.392374</c:v>
                </c:pt>
                <c:pt idx="16">
                  <c:v>0.37079611825794373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0D-4688-BCE2-C0303A6C5CC8}"/>
            </c:ext>
          </c:extLst>
        </c:ser>
        <c:ser>
          <c:idx val="5"/>
          <c:order val="5"/>
          <c:tx>
            <c:v>Hispanic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'S5-S7'!$G$125:$G$141</c:f>
              <c:numCache>
                <c:formatCode>0.0%</c:formatCode>
                <c:ptCount val="17"/>
                <c:pt idx="0">
                  <c:v>2.821811829133998E-2</c:v>
                </c:pt>
                <c:pt idx="1">
                  <c:v>3.8750606000641542E-2</c:v>
                </c:pt>
                <c:pt idx="2">
                  <c:v>3.4083151038221765E-2</c:v>
                </c:pt>
                <c:pt idx="3">
                  <c:v>2.8500897895909007E-2</c:v>
                </c:pt>
                <c:pt idx="4">
                  <c:v>3.4303590303701503E-2</c:v>
                </c:pt>
                <c:pt idx="5">
                  <c:v>3.3099078938852666E-2</c:v>
                </c:pt>
                <c:pt idx="6">
                  <c:v>3.9643436587552844E-2</c:v>
                </c:pt>
                <c:pt idx="7">
                  <c:v>3.868859915032663E-2</c:v>
                </c:pt>
                <c:pt idx="8">
                  <c:v>2.7047453571473524E-2</c:v>
                </c:pt>
                <c:pt idx="9">
                  <c:v>2.8687206371031854E-2</c:v>
                </c:pt>
                <c:pt idx="10">
                  <c:v>3.7330662092661532E-2</c:v>
                </c:pt>
                <c:pt idx="11">
                  <c:v>4.4382731331655795E-2</c:v>
                </c:pt>
                <c:pt idx="12">
                  <c:v>5.0988964067668875E-2</c:v>
                </c:pt>
                <c:pt idx="13">
                  <c:v>5.3467676671447271E-2</c:v>
                </c:pt>
                <c:pt idx="14">
                  <c:v>4.3012000000000002E-2</c:v>
                </c:pt>
                <c:pt idx="15">
                  <c:v>3.7504000000000003E-2</c:v>
                </c:pt>
                <c:pt idx="16">
                  <c:v>4.1667297613931287E-2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0D-4688-BCE2-C0303A6C5CC8}"/>
            </c:ext>
          </c:extLst>
        </c:ser>
        <c:ser>
          <c:idx val="6"/>
          <c:order val="6"/>
          <c:tx>
            <c:v>Non-Hispanic</c:v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'S5-S7'!$A$29:$A$45</c:f>
              <c:strCache>
                <c:ptCount val="17"/>
                <c:pt idx="0">
                  <c:v>2001-02 </c:v>
                </c:pt>
                <c:pt idx="1">
                  <c:v>2002-03 </c:v>
                </c:pt>
                <c:pt idx="2">
                  <c:v>2003-04</c:v>
                </c:pt>
                <c:pt idx="3">
                  <c:v>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  <c:pt idx="16">
                  <c:v>2017-18</c:v>
                </c:pt>
              </c:strCache>
            </c:strRef>
          </c:cat>
          <c:val>
            <c:numRef>
              <c:f>'S5-S7'!$G$144:$G$160</c:f>
              <c:numCache>
                <c:formatCode>0.0%</c:formatCode>
                <c:ptCount val="17"/>
                <c:pt idx="0">
                  <c:v>0.10645799137529481</c:v>
                </c:pt>
                <c:pt idx="1">
                  <c:v>0.11396358415422313</c:v>
                </c:pt>
                <c:pt idx="2">
                  <c:v>0.12061495246847902</c:v>
                </c:pt>
                <c:pt idx="3">
                  <c:v>0.13705083185395434</c:v>
                </c:pt>
                <c:pt idx="4">
                  <c:v>0.15109271130003643</c:v>
                </c:pt>
                <c:pt idx="5">
                  <c:v>0.15581525209943148</c:v>
                </c:pt>
                <c:pt idx="6">
                  <c:v>0.15150360947640604</c:v>
                </c:pt>
                <c:pt idx="7">
                  <c:v>0.15386455258995257</c:v>
                </c:pt>
                <c:pt idx="8">
                  <c:v>0.15415399857521792</c:v>
                </c:pt>
                <c:pt idx="9">
                  <c:v>0.1440966799915161</c:v>
                </c:pt>
                <c:pt idx="10">
                  <c:v>0.14428615075805384</c:v>
                </c:pt>
                <c:pt idx="11">
                  <c:v>0.1606935919728277</c:v>
                </c:pt>
                <c:pt idx="12">
                  <c:v>0.16104271952591315</c:v>
                </c:pt>
                <c:pt idx="13">
                  <c:v>0.1582089443280906</c:v>
                </c:pt>
                <c:pt idx="14">
                  <c:v>0.178205</c:v>
                </c:pt>
                <c:pt idx="15">
                  <c:v>0.18369199999999999</c:v>
                </c:pt>
                <c:pt idx="16">
                  <c:v>0.18549791788373687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0D-4688-BCE2-C0303A6C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2036144"/>
        <c:axId val="562007608"/>
      </c:lineChart>
      <c:catAx>
        <c:axId val="56203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07608"/>
        <c:crosses val="autoZero"/>
        <c:auto val="1"/>
        <c:lblAlgn val="ctr"/>
        <c:lblOffset val="100"/>
        <c:noMultiLvlLbl val="0"/>
      </c:catAx>
      <c:valAx>
        <c:axId val="562007608"/>
        <c:scaling>
          <c:orientation val="minMax"/>
          <c:max val="0.4"/>
          <c:min val="2.0000000000000004E-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0361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397317002041411"/>
          <c:w val="1"/>
          <c:h val="5.6138086905803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</a:t>
            </a:r>
            <a:r>
              <a:rPr lang="en-US" baseline="0"/>
              <a:t> Income for 25 or Older by Education Attainment (in 2017 $)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90901949321304E-2"/>
          <c:y val="7.9120370370370396E-2"/>
          <c:w val="0.92100909805067865"/>
          <c:h val="0.66163495188101484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('S5-S7'!$J$18,'S5-S7'!$J$29,'S5-S7'!$J$40,'S5-S7'!$J$51,'S5-S7'!$J$62,'S5-S7'!$J$73,'S5-S7'!$J$84,'S5-S7'!$J$95,'S5-S7'!$J$106,'S5-S7'!$J$117,'S5-S7'!$J$128,'S5-S7'!$J$139,'S5-S7'!$J$150,'S5-S7'!$J$161,'S5-S7'!$J$172,'S5-S7'!$J$183,'S5-S7'!$J$194)</c:f>
              <c:numCache>
                <c:formatCode>"$"#,##0</c:formatCode>
                <c:ptCount val="17"/>
                <c:pt idx="0">
                  <c:v>47730.353896001376</c:v>
                </c:pt>
                <c:pt idx="1">
                  <c:v>48668.15439739413</c:v>
                </c:pt>
                <c:pt idx="2">
                  <c:v>50558.357494826683</c:v>
                </c:pt>
                <c:pt idx="3">
                  <c:v>51629.662933401312</c:v>
                </c:pt>
                <c:pt idx="4">
                  <c:v>50065.05667987949</c:v>
                </c:pt>
                <c:pt idx="5">
                  <c:v>49382.695765334436</c:v>
                </c:pt>
                <c:pt idx="6">
                  <c:v>48503.51485808564</c:v>
                </c:pt>
                <c:pt idx="7">
                  <c:v>47021.20730719011</c:v>
                </c:pt>
                <c:pt idx="8">
                  <c:v>47313.338728518043</c:v>
                </c:pt>
                <c:pt idx="9">
                  <c:v>45770.923502421312</c:v>
                </c:pt>
                <c:pt idx="10">
                  <c:v>44719.115828210328</c:v>
                </c:pt>
                <c:pt idx="11">
                  <c:v>43721.55202899086</c:v>
                </c:pt>
                <c:pt idx="12">
                  <c:v>43506.282230867182</c:v>
                </c:pt>
                <c:pt idx="13">
                  <c:v>43450.664014944312</c:v>
                </c:pt>
                <c:pt idx="14">
                  <c:v>45979.286487152538</c:v>
                </c:pt>
                <c:pt idx="15">
                  <c:v>48854.438211893197</c:v>
                </c:pt>
                <c:pt idx="16">
                  <c:v>48242.5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83-46DF-8611-766EA0A4327B}"/>
            </c:ext>
          </c:extLst>
        </c:ser>
        <c:ser>
          <c:idx val="1"/>
          <c:order val="1"/>
          <c:tx>
            <c:v>Less Than High School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('S5-S7'!$K$18,'S5-S7'!$K$29,'S5-S7'!$K$40,'S5-S7'!$K$51,'S5-S7'!$K$62,'S5-S7'!$K$73,'S5-S7'!$K$84,'S5-S7'!$K$95,'S5-S7'!$K$106,'S5-S7'!$K$117,'S5-S7'!$K$128,'S5-S7'!$K$139,'S5-S7'!$K$150,'S5-S7'!$K$161,'S5-S7'!$K$172,'S5-S7'!$K$183,'S5-S7'!$K$194)</c:f>
              <c:numCache>
                <c:formatCode>"$"#,##0</c:formatCode>
                <c:ptCount val="17"/>
                <c:pt idx="0">
                  <c:v>25496.118156633973</c:v>
                </c:pt>
                <c:pt idx="1">
                  <c:v>27151.060217915307</c:v>
                </c:pt>
                <c:pt idx="2">
                  <c:v>24006.586021210547</c:v>
                </c:pt>
                <c:pt idx="3">
                  <c:v>23717.066240497865</c:v>
                </c:pt>
                <c:pt idx="4">
                  <c:v>25964.781272297627</c:v>
                </c:pt>
                <c:pt idx="5">
                  <c:v>25024.931302548204</c:v>
                </c:pt>
                <c:pt idx="6">
                  <c:v>24821.057683268729</c:v>
                </c:pt>
                <c:pt idx="7">
                  <c:v>24115.196944747047</c:v>
                </c:pt>
                <c:pt idx="8">
                  <c:v>22530.161299294308</c:v>
                </c:pt>
                <c:pt idx="9">
                  <c:v>20111.054035818001</c:v>
                </c:pt>
                <c:pt idx="10">
                  <c:v>20417.326062902281</c:v>
                </c:pt>
                <c:pt idx="11">
                  <c:v>22129.820289271302</c:v>
                </c:pt>
                <c:pt idx="12">
                  <c:v>21492.856821444642</c:v>
                </c:pt>
                <c:pt idx="13">
                  <c:v>21208.142655777177</c:v>
                </c:pt>
                <c:pt idx="14">
                  <c:v>21063.305542476686</c:v>
                </c:pt>
                <c:pt idx="15">
                  <c:v>22503.091074716503</c:v>
                </c:pt>
                <c:pt idx="16">
                  <c:v>22500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83-46DF-8611-766EA0A4327B}"/>
            </c:ext>
          </c:extLst>
        </c:ser>
        <c:ser>
          <c:idx val="2"/>
          <c:order val="2"/>
          <c:tx>
            <c:v>High School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('S5-S7'!$L$18,'S5-S7'!$L$29,'S5-S7'!$L$40,'S5-S7'!$L$51,'S5-S7'!$L$62,'S5-S7'!$L$73,'S5-S7'!$L$84,'S5-S7'!$L$95,'S5-S7'!$L$106,'S5-S7'!$L$117,'S5-S7'!$L$128,'S5-S7'!$L$139,'S5-S7'!$L$150,'S5-S7'!$L$161,'S5-S7'!$L$172,'S5-S7'!$L$183,'S5-S7'!$L$194)</c:f>
              <c:numCache>
                <c:formatCode>"$"#,##0</c:formatCode>
                <c:ptCount val="17"/>
                <c:pt idx="0">
                  <c:v>37379.619000634222</c:v>
                </c:pt>
                <c:pt idx="1">
                  <c:v>39619.031433224751</c:v>
                </c:pt>
                <c:pt idx="2">
                  <c:v>40735.688469994828</c:v>
                </c:pt>
                <c:pt idx="3">
                  <c:v>38184.912276997064</c:v>
                </c:pt>
                <c:pt idx="4">
                  <c:v>36723.594954159824</c:v>
                </c:pt>
                <c:pt idx="5">
                  <c:v>37802.483046418216</c:v>
                </c:pt>
                <c:pt idx="6">
                  <c:v>36676.970899802676</c:v>
                </c:pt>
                <c:pt idx="7">
                  <c:v>35829.281955943399</c:v>
                </c:pt>
                <c:pt idx="8">
                  <c:v>36329.946316646296</c:v>
                </c:pt>
                <c:pt idx="9">
                  <c:v>34608.928985616716</c:v>
                </c:pt>
                <c:pt idx="10">
                  <c:v>32731.374610923922</c:v>
                </c:pt>
                <c:pt idx="11">
                  <c:v>31730.569202041723</c:v>
                </c:pt>
                <c:pt idx="12">
                  <c:v>33807.813294715772</c:v>
                </c:pt>
                <c:pt idx="13">
                  <c:v>34148.014157000456</c:v>
                </c:pt>
                <c:pt idx="14">
                  <c:v>33392.947385583677</c:v>
                </c:pt>
                <c:pt idx="15">
                  <c:v>32746.557078002385</c:v>
                </c:pt>
                <c:pt idx="16">
                  <c:v>32500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83-46DF-8611-766EA0A4327B}"/>
            </c:ext>
          </c:extLst>
        </c:ser>
        <c:ser>
          <c:idx val="3"/>
          <c:order val="3"/>
          <c:tx>
            <c:v>Some College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('S5-S7'!$M$18,'S5-S7'!$M$29,'S5-S7'!$M$40,'S5-S7'!$M$51,'S5-S7'!$M$62,'S5-S7'!$M$73,'S5-S7'!$M$84,'S5-S7'!$M$95,'S5-S7'!$M$106,'S5-S7'!$M$117,'S5-S7'!$M$128,'S5-S7'!$M$139,'S5-S7'!$M$150,'S5-S7'!$M$161,'S5-S7'!$M$172,'S5-S7'!$M$183,'S5-S7'!$M$194)</c:f>
              <c:numCache>
                <c:formatCode>"$"#,##0</c:formatCode>
                <c:ptCount val="17"/>
                <c:pt idx="0">
                  <c:v>45962.83873851088</c:v>
                </c:pt>
                <c:pt idx="1">
                  <c:v>46573.864800488591</c:v>
                </c:pt>
                <c:pt idx="2">
                  <c:v>49535.607478660102</c:v>
                </c:pt>
                <c:pt idx="3">
                  <c:v>48066.246612412906</c:v>
                </c:pt>
                <c:pt idx="4">
                  <c:v>45593.742715247165</c:v>
                </c:pt>
                <c:pt idx="5">
                  <c:v>46942.352830570147</c:v>
                </c:pt>
                <c:pt idx="6">
                  <c:v>44970.236299726246</c:v>
                </c:pt>
                <c:pt idx="7">
                  <c:v>43558.51482268289</c:v>
                </c:pt>
                <c:pt idx="8">
                  <c:v>45060.322598588617</c:v>
                </c:pt>
                <c:pt idx="9">
                  <c:v>44090.597138239493</c:v>
                </c:pt>
                <c:pt idx="10">
                  <c:v>42819.831268976966</c:v>
                </c:pt>
                <c:pt idx="11">
                  <c:v>42376.330655111509</c:v>
                </c:pt>
                <c:pt idx="12">
                  <c:v>39341.733527044053</c:v>
                </c:pt>
                <c:pt idx="13">
                  <c:v>36717.064734060819</c:v>
                </c:pt>
                <c:pt idx="14">
                  <c:v>41098.713788470341</c:v>
                </c:pt>
                <c:pt idx="15">
                  <c:v>42977.180660559672</c:v>
                </c:pt>
                <c:pt idx="16">
                  <c:v>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83-46DF-8611-766EA0A4327B}"/>
            </c:ext>
          </c:extLst>
        </c:ser>
        <c:ser>
          <c:idx val="4"/>
          <c:order val="4"/>
          <c:tx>
            <c:v>Bechelor's Degree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('S5-S7'!$N$18,'S5-S7'!$N$29,'S5-S7'!$N$40,'S5-S7'!$N$51,'S5-S7'!$N$62,'S5-S7'!$N$73,'S5-S7'!$N$84,'S5-S7'!$N$95,'S5-S7'!$N$106,'S5-S7'!$N$117,'S5-S7'!$N$128,'S5-S7'!$N$139,'S5-S7'!$N$150,'S5-S7'!$N$161,'S5-S7'!$N$172,'S5-S7'!$N$183,'S5-S7'!$N$194)</c:f>
              <c:numCache>
                <c:formatCode>"$"#,##0</c:formatCode>
                <c:ptCount val="17"/>
                <c:pt idx="0">
                  <c:v>65534.415354926357</c:v>
                </c:pt>
                <c:pt idx="1">
                  <c:v>67438.364902280126</c:v>
                </c:pt>
                <c:pt idx="2">
                  <c:v>66887.495318158297</c:v>
                </c:pt>
                <c:pt idx="3">
                  <c:v>66079.732388305318</c:v>
                </c:pt>
                <c:pt idx="4">
                  <c:v>65892.526225220179</c:v>
                </c:pt>
                <c:pt idx="5">
                  <c:v>65843.594353779248</c:v>
                </c:pt>
                <c:pt idx="6">
                  <c:v>65498.665062195345</c:v>
                </c:pt>
                <c:pt idx="7">
                  <c:v>62958.878518783829</c:v>
                </c:pt>
                <c:pt idx="8">
                  <c:v>61957.943573059347</c:v>
                </c:pt>
                <c:pt idx="9">
                  <c:v>64149.673666508301</c:v>
                </c:pt>
                <c:pt idx="10">
                  <c:v>61696.12937498567</c:v>
                </c:pt>
                <c:pt idx="11">
                  <c:v>54920.984311014443</c:v>
                </c:pt>
                <c:pt idx="12">
                  <c:v>53992.426347600558</c:v>
                </c:pt>
                <c:pt idx="13">
                  <c:v>55849.691510492252</c:v>
                </c:pt>
                <c:pt idx="14">
                  <c:v>59079.851302621799</c:v>
                </c:pt>
                <c:pt idx="15">
                  <c:v>62911.913822363022</c:v>
                </c:pt>
                <c:pt idx="16">
                  <c:v>61500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83-46DF-8611-766EA0A4327B}"/>
            </c:ext>
          </c:extLst>
        </c:ser>
        <c:ser>
          <c:idx val="5"/>
          <c:order val="5"/>
          <c:tx>
            <c:v>Post Graduate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('S5-S7'!$O$18,'S5-S7'!$O$29,'S5-S7'!$O$40,'S5-S7'!$O$51,'S5-S7'!$O$62,'S5-S7'!$O$73,'S5-S7'!$O$84,'S5-S7'!$O$95,'S5-S7'!$O$106,'S5-S7'!$O$117,'S5-S7'!$O$128,'S5-S7'!$O$139,'S5-S7'!$O$150,'S5-S7'!$O$161,'S5-S7'!$O$172,'S5-S7'!$O$183,'S5-S7'!$O$194)</c:f>
              <c:numCache>
                <c:formatCode>"$"#,##0</c:formatCode>
                <c:ptCount val="17"/>
                <c:pt idx="0">
                  <c:v>87650.492843153712</c:v>
                </c:pt>
                <c:pt idx="1">
                  <c:v>82786.035830618886</c:v>
                </c:pt>
                <c:pt idx="2">
                  <c:v>90149.277424987056</c:v>
                </c:pt>
                <c:pt idx="3">
                  <c:v>95462.280692492655</c:v>
                </c:pt>
                <c:pt idx="4">
                  <c:v>91808.987385399581</c:v>
                </c:pt>
                <c:pt idx="5">
                  <c:v>91512.860053661061</c:v>
                </c:pt>
                <c:pt idx="6">
                  <c:v>88699.079687122212</c:v>
                </c:pt>
                <c:pt idx="7">
                  <c:v>83235.219539911865</c:v>
                </c:pt>
                <c:pt idx="8">
                  <c:v>85050.012031083024</c:v>
                </c:pt>
                <c:pt idx="9">
                  <c:v>94273.898574016799</c:v>
                </c:pt>
                <c:pt idx="10">
                  <c:v>97088.209291146981</c:v>
                </c:pt>
                <c:pt idx="11">
                  <c:v>90671.63535529215</c:v>
                </c:pt>
                <c:pt idx="12">
                  <c:v>88313.985931679083</c:v>
                </c:pt>
                <c:pt idx="13">
                  <c:v>84607.106312179676</c:v>
                </c:pt>
                <c:pt idx="14">
                  <c:v>79630.512882746683</c:v>
                </c:pt>
                <c:pt idx="15">
                  <c:v>84391.942538823787</c:v>
                </c:pt>
                <c:pt idx="16">
                  <c:v>87500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83-46DF-8611-766EA0A43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20568736"/>
        <c:axId val="220569064"/>
      </c:lineChart>
      <c:catAx>
        <c:axId val="2205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9064"/>
        <c:crosses val="autoZero"/>
        <c:auto val="1"/>
        <c:lblAlgn val="ctr"/>
        <c:lblOffset val="100"/>
        <c:noMultiLvlLbl val="0"/>
      </c:catAx>
      <c:valAx>
        <c:axId val="220569064"/>
        <c:scaling>
          <c:orientation val="minMax"/>
          <c:max val="98500"/>
          <c:min val="18500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687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3712780694079911"/>
          <c:w val="1"/>
          <c:h val="6.1345873432487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25 Years &amp; Over Population by Education Attainment</a:t>
            </a:r>
            <a:endParaRPr lang="en-US"/>
          </a:p>
        </c:rich>
      </c:tx>
      <c:layout>
        <c:manualLayout>
          <c:xMode val="edge"/>
          <c:yMode val="edge"/>
          <c:x val="0.179960394354295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6061435507382"/>
          <c:y val="0.1059496287042475"/>
          <c:w val="0.88661417322834646"/>
          <c:h val="0.64583250380752355"/>
        </c:manualLayout>
      </c:layout>
      <c:lineChart>
        <c:grouping val="standard"/>
        <c:varyColors val="0"/>
        <c:ser>
          <c:idx val="0"/>
          <c:order val="0"/>
          <c:tx>
            <c:v>Less Thank High School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('S5-S7'!$K$9,'S5-S7'!$K$20,'S5-S7'!$K$31,'S5-S7'!$K$42,'S5-S7'!$K$53,'S5-S7'!$K$64,'S5-S7'!$K$75,'S5-S7'!$K$86,'S5-S7'!$K$97,'S5-S7'!$K$108,'S5-S7'!$K$119,'S5-S7'!$K$130,'S5-S7'!$K$141,'S5-S7'!$K$152,'S5-S7'!$K$163,'S5-S7'!$K$174,'S5-S7'!$K$185)</c:f>
              <c:numCache>
                <c:formatCode>_-* #,##0_-;\-* #,##0_-;_-* "-"??_-;_-@_-</c:formatCode>
                <c:ptCount val="17"/>
                <c:pt idx="0">
                  <c:v>775400</c:v>
                </c:pt>
                <c:pt idx="1">
                  <c:v>811900</c:v>
                </c:pt>
                <c:pt idx="2">
                  <c:v>747800</c:v>
                </c:pt>
                <c:pt idx="3">
                  <c:v>727300</c:v>
                </c:pt>
                <c:pt idx="4">
                  <c:v>760900</c:v>
                </c:pt>
                <c:pt idx="5">
                  <c:v>739000</c:v>
                </c:pt>
                <c:pt idx="6">
                  <c:v>675900</c:v>
                </c:pt>
                <c:pt idx="7">
                  <c:v>654600</c:v>
                </c:pt>
                <c:pt idx="8">
                  <c:v>634500</c:v>
                </c:pt>
                <c:pt idx="9">
                  <c:v>587800</c:v>
                </c:pt>
                <c:pt idx="10">
                  <c:v>588700</c:v>
                </c:pt>
                <c:pt idx="11">
                  <c:v>612800</c:v>
                </c:pt>
                <c:pt idx="12">
                  <c:v>609300</c:v>
                </c:pt>
                <c:pt idx="13">
                  <c:v>590900</c:v>
                </c:pt>
                <c:pt idx="14">
                  <c:v>536666</c:v>
                </c:pt>
                <c:pt idx="15">
                  <c:v>443254.2</c:v>
                </c:pt>
                <c:pt idx="16">
                  <c:v>400869.05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9-4A49-A858-F6C9EC3AF7FA}"/>
            </c:ext>
          </c:extLst>
        </c:ser>
        <c:ser>
          <c:idx val="1"/>
          <c:order val="1"/>
          <c:tx>
            <c:v>High School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('S5-S7'!$L$9,'S5-S7'!$L$20,'S5-S7'!$L$31,'S5-S7'!$L$42,'S5-S7'!$L$53,'S5-S7'!$L$64,'S5-S7'!$L$75,'S5-S7'!$L$86,'S5-S7'!$L$97,'S5-S7'!$L$108,'S5-S7'!$L$119,'S5-S7'!$L$130,'S5-S7'!$L$141,'S5-S7'!$L$152,'S5-S7'!$L$163,'S5-S7'!$L$174,'S5-S7'!$L$185)</c:f>
              <c:numCache>
                <c:formatCode>_-* #,##0_-;\-* #,##0_-;_-* "-"??_-;_-@_-</c:formatCode>
                <c:ptCount val="17"/>
                <c:pt idx="0">
                  <c:v>1953700</c:v>
                </c:pt>
                <c:pt idx="1">
                  <c:v>1966000</c:v>
                </c:pt>
                <c:pt idx="2">
                  <c:v>1915600</c:v>
                </c:pt>
                <c:pt idx="3">
                  <c:v>1872700</c:v>
                </c:pt>
                <c:pt idx="4">
                  <c:v>1834600</c:v>
                </c:pt>
                <c:pt idx="5">
                  <c:v>1821200</c:v>
                </c:pt>
                <c:pt idx="6">
                  <c:v>1829500</c:v>
                </c:pt>
                <c:pt idx="7">
                  <c:v>1843700</c:v>
                </c:pt>
                <c:pt idx="8">
                  <c:v>1870300</c:v>
                </c:pt>
                <c:pt idx="9">
                  <c:v>1880200</c:v>
                </c:pt>
                <c:pt idx="10">
                  <c:v>1466100</c:v>
                </c:pt>
                <c:pt idx="11">
                  <c:v>1423500</c:v>
                </c:pt>
                <c:pt idx="12">
                  <c:v>1771700</c:v>
                </c:pt>
                <c:pt idx="13">
                  <c:v>1792000</c:v>
                </c:pt>
                <c:pt idx="14">
                  <c:v>1839039</c:v>
                </c:pt>
                <c:pt idx="15">
                  <c:v>1879806</c:v>
                </c:pt>
                <c:pt idx="16">
                  <c:v>1846559.48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9-4A49-A858-F6C9EC3AF7FA}"/>
            </c:ext>
          </c:extLst>
        </c:ser>
        <c:ser>
          <c:idx val="2"/>
          <c:order val="2"/>
          <c:tx>
            <c:v>Some College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('S5-S7'!$M$9,'S5-S7'!$M$20,'S5-S7'!$M$31,'S5-S7'!$M$42,'S5-S7'!$M$53,'S5-S7'!$M$64,'S5-S7'!$M$75,'S5-S7'!$M$86,'S5-S7'!$M$97,'S5-S7'!$M$108,'S5-S7'!$M$119,'S5-S7'!$M$130,'S5-S7'!$M$141,'S5-S7'!$M$152,'S5-S7'!$M$163,'S5-S7'!$M$174,'S5-S7'!$M$185)</c:f>
              <c:numCache>
                <c:formatCode>_-* #,##0_-;\-* #,##0_-;_-* "-"??_-;_-@_-</c:formatCode>
                <c:ptCount val="17"/>
                <c:pt idx="0">
                  <c:v>1194100</c:v>
                </c:pt>
                <c:pt idx="1">
                  <c:v>1155800</c:v>
                </c:pt>
                <c:pt idx="2">
                  <c:v>1096600</c:v>
                </c:pt>
                <c:pt idx="3">
                  <c:v>1080700</c:v>
                </c:pt>
                <c:pt idx="4">
                  <c:v>1100300</c:v>
                </c:pt>
                <c:pt idx="5">
                  <c:v>1102800</c:v>
                </c:pt>
                <c:pt idx="6">
                  <c:v>1077000</c:v>
                </c:pt>
                <c:pt idx="7">
                  <c:v>1058300</c:v>
                </c:pt>
                <c:pt idx="8">
                  <c:v>1122700</c:v>
                </c:pt>
                <c:pt idx="9">
                  <c:v>1189400</c:v>
                </c:pt>
                <c:pt idx="10">
                  <c:v>1158200</c:v>
                </c:pt>
                <c:pt idx="11">
                  <c:v>1134200</c:v>
                </c:pt>
                <c:pt idx="12">
                  <c:v>1220800</c:v>
                </c:pt>
                <c:pt idx="13">
                  <c:v>1274600</c:v>
                </c:pt>
                <c:pt idx="14">
                  <c:v>1235674</c:v>
                </c:pt>
                <c:pt idx="15">
                  <c:v>1268890</c:v>
                </c:pt>
                <c:pt idx="16">
                  <c:v>1264811.2250000001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29-4A49-A858-F6C9EC3AF7FA}"/>
            </c:ext>
          </c:extLst>
        </c:ser>
        <c:ser>
          <c:idx val="3"/>
          <c:order val="3"/>
          <c:tx>
            <c:v>Bechelor Degree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('S5-S7'!$N$9,'S5-S7'!$N$20,'S5-S7'!$N$31,'S5-S7'!$N$42,'S5-S7'!$N$53,'S5-S7'!$N$64,'S5-S7'!$N$75,'S5-S7'!$N$86,'S5-S7'!$N$97,'S5-S7'!$N$108,'S5-S7'!$N$119,'S5-S7'!$N$130,'S5-S7'!$N$141,'S5-S7'!$N$152,'S5-S7'!$N$163,'S5-S7'!$N$174,'S5-S7'!$N$185)</c:f>
              <c:numCache>
                <c:formatCode>_-* #,##0_-;\-* #,##0_-;_-* "-"??_-;_-@_-</c:formatCode>
                <c:ptCount val="17"/>
                <c:pt idx="0">
                  <c:v>1159000</c:v>
                </c:pt>
                <c:pt idx="1">
                  <c:v>1268700</c:v>
                </c:pt>
                <c:pt idx="2">
                  <c:v>1307400</c:v>
                </c:pt>
                <c:pt idx="3">
                  <c:v>1320900</c:v>
                </c:pt>
                <c:pt idx="4">
                  <c:v>1301200</c:v>
                </c:pt>
                <c:pt idx="5">
                  <c:v>1327900</c:v>
                </c:pt>
                <c:pt idx="6">
                  <c:v>1386000</c:v>
                </c:pt>
                <c:pt idx="7">
                  <c:v>1363000</c:v>
                </c:pt>
                <c:pt idx="8">
                  <c:v>1332200</c:v>
                </c:pt>
                <c:pt idx="9">
                  <c:v>1372200</c:v>
                </c:pt>
                <c:pt idx="10">
                  <c:v>1424700</c:v>
                </c:pt>
                <c:pt idx="11">
                  <c:v>1430800</c:v>
                </c:pt>
                <c:pt idx="12">
                  <c:v>1440000</c:v>
                </c:pt>
                <c:pt idx="13">
                  <c:v>1491600</c:v>
                </c:pt>
                <c:pt idx="14">
                  <c:v>1546567</c:v>
                </c:pt>
                <c:pt idx="15">
                  <c:v>1575521.29</c:v>
                </c:pt>
                <c:pt idx="16">
                  <c:v>1584319.24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29-4A49-A858-F6C9EC3AF7FA}"/>
            </c:ext>
          </c:extLst>
        </c:ser>
        <c:ser>
          <c:idx val="4"/>
          <c:order val="4"/>
          <c:tx>
            <c:v>Post Graduate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('S5-S7'!$I$8,'S5-S7'!$I$19,'S5-S7'!$I$30,'S5-S7'!$I$41,'S5-S7'!$I$52,'S5-S7'!$I$63,'S5-S7'!$I$74,'S5-S7'!$I$85,'S5-S7'!$I$96,'S5-S7'!$I$107,'S5-S7'!$I$118,'S5-S7'!$I$129,'S5-S7'!$I$140,'S5-S7'!$I$151,'S5-S7'!$I$162,'S5-S7'!$I$173,'S5-S7'!$I$184)</c:f>
              <c:strCache>
                <c:ptCount val="17"/>
                <c:pt idx="0">
                  <c:v>2001-2002</c:v>
                </c:pt>
                <c:pt idx="1">
                  <c:v>2002-2003</c:v>
                </c:pt>
                <c:pt idx="2">
                  <c:v>2003-2004</c:v>
                </c:pt>
                <c:pt idx="3">
                  <c:v>2004-2005</c:v>
                </c:pt>
                <c:pt idx="4">
                  <c:v>2005-2006</c:v>
                </c:pt>
                <c:pt idx="5">
                  <c:v>2006-2007</c:v>
                </c:pt>
                <c:pt idx="6">
                  <c:v>2007-2008</c:v>
                </c:pt>
                <c:pt idx="7">
                  <c:v>2008-2009</c:v>
                </c:pt>
                <c:pt idx="8">
                  <c:v>2009-2010</c:v>
                </c:pt>
                <c:pt idx="9">
                  <c:v>2010-2011</c:v>
                </c:pt>
                <c:pt idx="10">
                  <c:v>2011-2012</c:v>
                </c:pt>
                <c:pt idx="11">
                  <c:v>2012-2013</c:v>
                </c:pt>
                <c:pt idx="12">
                  <c:v>2013-2014</c:v>
                </c:pt>
                <c:pt idx="13">
                  <c:v>2014-2015</c:v>
                </c:pt>
                <c:pt idx="14">
                  <c:v>2015-2016</c:v>
                </c:pt>
                <c:pt idx="15">
                  <c:v>2016-2017</c:v>
                </c:pt>
                <c:pt idx="16">
                  <c:v>2017-2018</c:v>
                </c:pt>
              </c:strCache>
            </c:strRef>
          </c:cat>
          <c:val>
            <c:numRef>
              <c:f>('S5-S7'!$O$9,'S5-S7'!$O$20,'S5-S7'!$O$31,'S5-S7'!$O$42,'S5-S7'!$O$53,'S5-S7'!$O$64,'S5-S7'!$O$75,'S5-S7'!$O$86,'S5-S7'!$O$97,'S5-S7'!$O$108,'S5-S7'!$O$119,'S5-S7'!$O$130,'S5-S7'!$O$141,'S5-S7'!$O$152,'S5-S7'!$O$163,'S5-S7'!$O$174,'S5-S7'!$O$185)</c:f>
              <c:numCache>
                <c:formatCode>_-* #,##0_-;\-* #,##0_-;_-* "-"??_-;_-@_-</c:formatCode>
                <c:ptCount val="17"/>
                <c:pt idx="0">
                  <c:v>556900</c:v>
                </c:pt>
                <c:pt idx="1">
                  <c:v>614100</c:v>
                </c:pt>
                <c:pt idx="2">
                  <c:v>630100</c:v>
                </c:pt>
                <c:pt idx="3">
                  <c:v>702800</c:v>
                </c:pt>
                <c:pt idx="4">
                  <c:v>773600</c:v>
                </c:pt>
                <c:pt idx="5">
                  <c:v>796500</c:v>
                </c:pt>
                <c:pt idx="6">
                  <c:v>775300</c:v>
                </c:pt>
                <c:pt idx="7">
                  <c:v>773600</c:v>
                </c:pt>
                <c:pt idx="8">
                  <c:v>762400</c:v>
                </c:pt>
                <c:pt idx="9">
                  <c:v>711900</c:v>
                </c:pt>
                <c:pt idx="10">
                  <c:v>719500</c:v>
                </c:pt>
                <c:pt idx="11">
                  <c:v>815200</c:v>
                </c:pt>
                <c:pt idx="12">
                  <c:v>838100</c:v>
                </c:pt>
                <c:pt idx="13">
                  <c:v>842600</c:v>
                </c:pt>
                <c:pt idx="14">
                  <c:v>948575</c:v>
                </c:pt>
                <c:pt idx="15">
                  <c:v>981251.72499999998</c:v>
                </c:pt>
                <c:pt idx="16">
                  <c:v>994817.625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29-4A49-A858-F6C9EC3A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9059168"/>
        <c:axId val="439062448"/>
      </c:lineChart>
      <c:catAx>
        <c:axId val="43905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062448"/>
        <c:crosses val="autoZero"/>
        <c:auto val="1"/>
        <c:lblAlgn val="ctr"/>
        <c:lblOffset val="100"/>
        <c:noMultiLvlLbl val="0"/>
      </c:catAx>
      <c:valAx>
        <c:axId val="439062448"/>
        <c:scaling>
          <c:orientation val="minMax"/>
          <c:max val="2029999.9999999998"/>
          <c:min val="43000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05916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281377899563128E-3"/>
          <c:y val="0.92526465441819772"/>
          <c:w val="0.99887186221004354"/>
          <c:h val="7.1183289588801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</a:t>
            </a:r>
            <a:r>
              <a:rPr lang="en-US" baseline="0"/>
              <a:t> Percent of People Covered by Health Insurances</a:t>
            </a:r>
            <a:endParaRPr lang="en-US"/>
          </a:p>
        </c:rich>
      </c:tx>
      <c:layout>
        <c:manualLayout>
          <c:xMode val="edge"/>
          <c:yMode val="edge"/>
          <c:x val="7.1017150253478586E-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76240127518308E-2"/>
          <c:y val="2.5428331875182269E-2"/>
          <c:w val="0.93252375987248171"/>
          <c:h val="0.75544692330125396"/>
        </c:manualLayout>
      </c:layout>
      <c:lineChart>
        <c:grouping val="standard"/>
        <c:varyColors val="0"/>
        <c:ser>
          <c:idx val="0"/>
          <c:order val="0"/>
          <c:tx>
            <c:v>Covered by Health Insurance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HI!$D$10:$D$38</c:f>
              <c:numCache>
                <c:formatCode>##0.0</c:formatCode>
                <c:ptCount val="29"/>
                <c:pt idx="0" formatCode="#,##0.0">
                  <c:v>91.3</c:v>
                </c:pt>
                <c:pt idx="1">
                  <c:v>91.4</c:v>
                </c:pt>
                <c:pt idx="2" formatCode="0.0">
                  <c:v>90.6</c:v>
                </c:pt>
                <c:pt idx="3" formatCode="0.0">
                  <c:v>88.3</c:v>
                </c:pt>
                <c:pt idx="4" formatCode="0.0">
                  <c:v>85.479832999999999</c:v>
                </c:pt>
                <c:pt idx="5" formatCode="0.0">
                  <c:v>84.587529881999998</c:v>
                </c:pt>
                <c:pt idx="6" formatCode="0.0">
                  <c:v>84.258687434999999</c:v>
                </c:pt>
                <c:pt idx="7" formatCode="0.0">
                  <c:v>83.69731852517846</c:v>
                </c:pt>
                <c:pt idx="8" formatCode="General">
                  <c:v>83.3</c:v>
                </c:pt>
                <c:pt idx="9" formatCode="General">
                  <c:v>84.6</c:v>
                </c:pt>
                <c:pt idx="10" formatCode="General">
                  <c:v>84.7</c:v>
                </c:pt>
                <c:pt idx="11" formatCode="General">
                  <c:v>84.2</c:v>
                </c:pt>
                <c:pt idx="12" formatCode="General">
                  <c:v>84.1</c:v>
                </c:pt>
                <c:pt idx="13" formatCode="General">
                  <c:v>84.4</c:v>
                </c:pt>
                <c:pt idx="14" formatCode="General">
                  <c:v>84.4</c:v>
                </c:pt>
                <c:pt idx="15" formatCode="General">
                  <c:v>84.8</c:v>
                </c:pt>
                <c:pt idx="16" formatCode="#,##0.0">
                  <c:v>85.4</c:v>
                </c:pt>
                <c:pt idx="17" formatCode="#,##0.0">
                  <c:v>85.8</c:v>
                </c:pt>
                <c:pt idx="18" formatCode="#,##0.0">
                  <c:v>85.5</c:v>
                </c:pt>
                <c:pt idx="19" formatCode="#,##0.0">
                  <c:v>84.5</c:v>
                </c:pt>
                <c:pt idx="20" formatCode="#,##0.0">
                  <c:v>83.7</c:v>
                </c:pt>
                <c:pt idx="21" formatCode="#,##0.0">
                  <c:v>83.9</c:v>
                </c:pt>
                <c:pt idx="22" formatCode="#,##0.0">
                  <c:v>84.4</c:v>
                </c:pt>
                <c:pt idx="23" formatCode="#,##0.0">
                  <c:v>84.6</c:v>
                </c:pt>
                <c:pt idx="24" formatCode="#,##0.0">
                  <c:v>84.8</c:v>
                </c:pt>
                <c:pt idx="25" formatCode="#,##0.0">
                  <c:v>84.7</c:v>
                </c:pt>
                <c:pt idx="26" formatCode="#,##0.0">
                  <c:v>85</c:v>
                </c:pt>
                <c:pt idx="27" formatCode="#,##0.0">
                  <c:v>85.9</c:v>
                </c:pt>
                <c:pt idx="28" formatCode="#,##0.0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1-41CA-97FA-512B689F4E8E}"/>
            </c:ext>
          </c:extLst>
        </c:ser>
        <c:ser>
          <c:idx val="1"/>
          <c:order val="1"/>
          <c:tx>
            <c:v>Covered by Private HI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HI!$F$10:$F$38</c:f>
              <c:numCache>
                <c:formatCode>##0.0</c:formatCode>
                <c:ptCount val="29"/>
                <c:pt idx="0" formatCode="#,##0.0">
                  <c:v>67.599999999999994</c:v>
                </c:pt>
                <c:pt idx="1">
                  <c:v>67.8</c:v>
                </c:pt>
                <c:pt idx="2" formatCode="0.0">
                  <c:v>67.5</c:v>
                </c:pt>
                <c:pt idx="3" formatCode="0.0">
                  <c:v>66.400000000000006</c:v>
                </c:pt>
                <c:pt idx="4" formatCode="0.0">
                  <c:v>65.044397000000004</c:v>
                </c:pt>
                <c:pt idx="5" formatCode="0.0">
                  <c:v>63.902690694</c:v>
                </c:pt>
                <c:pt idx="6" formatCode="0.0">
                  <c:v>63.894258440999998</c:v>
                </c:pt>
                <c:pt idx="7" formatCode="0.0">
                  <c:v>63.988203731781248</c:v>
                </c:pt>
                <c:pt idx="8" formatCode="General">
                  <c:v>63.9</c:v>
                </c:pt>
                <c:pt idx="9" formatCode="General">
                  <c:v>66.7</c:v>
                </c:pt>
                <c:pt idx="10" formatCode="General">
                  <c:v>67.5</c:v>
                </c:pt>
                <c:pt idx="11" formatCode="General">
                  <c:v>67.900000000000006</c:v>
                </c:pt>
                <c:pt idx="12" formatCode="General">
                  <c:v>67.7</c:v>
                </c:pt>
                <c:pt idx="13" formatCode="General">
                  <c:v>68.2</c:v>
                </c:pt>
                <c:pt idx="14" formatCode="General">
                  <c:v>68.599999999999994</c:v>
                </c:pt>
                <c:pt idx="15" formatCode="General">
                  <c:v>69.599999999999994</c:v>
                </c:pt>
                <c:pt idx="16" formatCode="#,##0.0">
                  <c:v>70.900000000000006</c:v>
                </c:pt>
                <c:pt idx="17" formatCode="#,##0.0">
                  <c:v>71.900000000000006</c:v>
                </c:pt>
                <c:pt idx="18" formatCode="#,##0.0">
                  <c:v>71.8</c:v>
                </c:pt>
                <c:pt idx="19" formatCode="#,##0.0">
                  <c:v>71</c:v>
                </c:pt>
                <c:pt idx="20" formatCode="#,##0.0">
                  <c:v>70.2</c:v>
                </c:pt>
                <c:pt idx="21" formatCode="#,##0.0">
                  <c:v>70.099999999999994</c:v>
                </c:pt>
                <c:pt idx="22" formatCode="#,##0.0">
                  <c:v>70.2</c:v>
                </c:pt>
                <c:pt idx="23" formatCode="#,##0.0">
                  <c:v>70.3</c:v>
                </c:pt>
                <c:pt idx="24" formatCode="#,##0.0">
                  <c:v>70.3</c:v>
                </c:pt>
                <c:pt idx="25" formatCode="#,##0.0">
                  <c:v>70.2</c:v>
                </c:pt>
                <c:pt idx="26" formatCode="#,##0.0">
                  <c:v>70.7</c:v>
                </c:pt>
                <c:pt idx="27" formatCode="#,##0.0">
                  <c:v>72.099999999999994</c:v>
                </c:pt>
                <c:pt idx="28" formatCode="#,##0.0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1-41CA-97FA-512B689F4E8E}"/>
            </c:ext>
          </c:extLst>
        </c:ser>
        <c:ser>
          <c:idx val="2"/>
          <c:order val="2"/>
          <c:tx>
            <c:v>Covered by Employment-Based HI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HI!$H$10:$H$38</c:f>
              <c:numCache>
                <c:formatCode>##0.0</c:formatCode>
                <c:ptCount val="29"/>
                <c:pt idx="0" formatCode="#,##0.0">
                  <c:v>55</c:v>
                </c:pt>
                <c:pt idx="1">
                  <c:v>54.7</c:v>
                </c:pt>
                <c:pt idx="2" formatCode="0.0">
                  <c:v>54.4</c:v>
                </c:pt>
                <c:pt idx="3" formatCode="0.0">
                  <c:v>54.2</c:v>
                </c:pt>
                <c:pt idx="4" formatCode="0.0">
                  <c:v>54.010787999999998</c:v>
                </c:pt>
                <c:pt idx="5" formatCode="0.0">
                  <c:v>54.923718608999998</c:v>
                </c:pt>
                <c:pt idx="6" formatCode="0.0">
                  <c:v>55.079902586000003</c:v>
                </c:pt>
                <c:pt idx="7" formatCode="0.0">
                  <c:v>55.295301736051229</c:v>
                </c:pt>
                <c:pt idx="8" formatCode="General">
                  <c:v>55.8</c:v>
                </c:pt>
                <c:pt idx="9" formatCode="General">
                  <c:v>58.5</c:v>
                </c:pt>
                <c:pt idx="10" formatCode="General">
                  <c:v>59.3</c:v>
                </c:pt>
                <c:pt idx="11" formatCode="General">
                  <c:v>59.7</c:v>
                </c:pt>
                <c:pt idx="12" formatCode="General">
                  <c:v>59.5</c:v>
                </c:pt>
                <c:pt idx="13" formatCode="General">
                  <c:v>59.8</c:v>
                </c:pt>
                <c:pt idx="14" formatCode="General">
                  <c:v>60.4</c:v>
                </c:pt>
                <c:pt idx="15" formatCode="General">
                  <c:v>61.3</c:v>
                </c:pt>
                <c:pt idx="16" formatCode="#,##0.0">
                  <c:v>62.6</c:v>
                </c:pt>
                <c:pt idx="17" formatCode="#,##0.0">
                  <c:v>63.6</c:v>
                </c:pt>
                <c:pt idx="18" formatCode="#,##0.0">
                  <c:v>63.3</c:v>
                </c:pt>
                <c:pt idx="19" formatCode="#,##0.0">
                  <c:v>62.8</c:v>
                </c:pt>
                <c:pt idx="20" formatCode="#,##0.0">
                  <c:v>62</c:v>
                </c:pt>
                <c:pt idx="21" formatCode="#,##0.0">
                  <c:v>61.4</c:v>
                </c:pt>
                <c:pt idx="22" formatCode="#,##0.0">
                  <c:v>61.2</c:v>
                </c:pt>
                <c:pt idx="23" formatCode="#,##0.0">
                  <c:v>61.1</c:v>
                </c:pt>
                <c:pt idx="24" formatCode="#,##0.0">
                  <c:v>60.9</c:v>
                </c:pt>
                <c:pt idx="25" formatCode="#,##0.0">
                  <c:v>57.1</c:v>
                </c:pt>
                <c:pt idx="26" formatCode="#,##0.0">
                  <c:v>57.9</c:v>
                </c:pt>
                <c:pt idx="27" formatCode="#,##0.0">
                  <c:v>59.7</c:v>
                </c:pt>
                <c:pt idx="28" formatCode="#,##0.0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1-41CA-97FA-512B689F4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5249416"/>
        <c:axId val="435249744"/>
      </c:lineChart>
      <c:catAx>
        <c:axId val="43524941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249744"/>
        <c:crosses val="autoZero"/>
        <c:auto val="1"/>
        <c:lblAlgn val="ctr"/>
        <c:lblOffset val="100"/>
        <c:noMultiLvlLbl val="0"/>
      </c:catAx>
      <c:valAx>
        <c:axId val="435249744"/>
        <c:scaling>
          <c:orientation val="minMax"/>
          <c:max val="95"/>
          <c:min val="50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2494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402668416447943"/>
          <c:w val="0.99711086342517685"/>
          <c:h val="6.5973315835520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Percent</a:t>
            </a:r>
            <a:r>
              <a:rPr lang="en-US" baseline="0"/>
              <a:t> of People with Different Health Care</a:t>
            </a:r>
            <a:endParaRPr lang="en-US"/>
          </a:p>
        </c:rich>
      </c:tx>
      <c:layout>
        <c:manualLayout>
          <c:xMode val="edge"/>
          <c:yMode val="edge"/>
          <c:x val="9.077869261776067E-2"/>
          <c:y val="4.38596491228070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130730234063209E-2"/>
          <c:y val="2.408999861859373E-2"/>
          <c:w val="0.92186926976593675"/>
          <c:h val="0.75855953861030534"/>
        </c:manualLayout>
      </c:layout>
      <c:lineChart>
        <c:grouping val="standard"/>
        <c:varyColors val="0"/>
        <c:ser>
          <c:idx val="0"/>
          <c:order val="0"/>
          <c:tx>
            <c:v>Medicaid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HI!$K$10:$K$38</c:f>
              <c:numCache>
                <c:formatCode>##0.0</c:formatCode>
                <c:ptCount val="29"/>
                <c:pt idx="0" formatCode="#,##0.0">
                  <c:v>20.6</c:v>
                </c:pt>
                <c:pt idx="1">
                  <c:v>20.9</c:v>
                </c:pt>
                <c:pt idx="2" formatCode="0.0">
                  <c:v>20.5</c:v>
                </c:pt>
                <c:pt idx="3" formatCode="0.0">
                  <c:v>19.2</c:v>
                </c:pt>
                <c:pt idx="4" formatCode="0.0">
                  <c:v>17.890801</c:v>
                </c:pt>
                <c:pt idx="5" formatCode="0.0">
                  <c:v>16.361377494999999</c:v>
                </c:pt>
                <c:pt idx="6" formatCode="0.0">
                  <c:v>16.460603725999999</c:v>
                </c:pt>
                <c:pt idx="7" formatCode="0.0">
                  <c:v>15.870163911681676</c:v>
                </c:pt>
                <c:pt idx="8" formatCode="General">
                  <c:v>15.7</c:v>
                </c:pt>
                <c:pt idx="9" formatCode="General">
                  <c:v>14.1</c:v>
                </c:pt>
                <c:pt idx="10" formatCode="General">
                  <c:v>13.2</c:v>
                </c:pt>
                <c:pt idx="11" formatCode="General">
                  <c:v>12.9</c:v>
                </c:pt>
                <c:pt idx="12" formatCode="0.0_ ">
                  <c:v>13</c:v>
                </c:pt>
                <c:pt idx="13" formatCode="0.0_ ">
                  <c:v>13</c:v>
                </c:pt>
                <c:pt idx="14" formatCode="General">
                  <c:v>12.4</c:v>
                </c:pt>
                <c:pt idx="15" formatCode="General">
                  <c:v>11.6</c:v>
                </c:pt>
                <c:pt idx="16" formatCode="#,##0.0">
                  <c:v>11.2</c:v>
                </c:pt>
                <c:pt idx="17" formatCode="#,##0.0">
                  <c:v>10.6</c:v>
                </c:pt>
                <c:pt idx="18" formatCode="#,##0.0">
                  <c:v>10.3</c:v>
                </c:pt>
                <c:pt idx="19" formatCode="#,##0.0">
                  <c:v>10.199999999999999</c:v>
                </c:pt>
                <c:pt idx="20" formatCode="#,##0.0">
                  <c:v>10.3</c:v>
                </c:pt>
                <c:pt idx="21" formatCode="#,##0.0">
                  <c:v>10.8</c:v>
                </c:pt>
                <c:pt idx="22" formatCode="#,##0.0">
                  <c:v>11.8</c:v>
                </c:pt>
                <c:pt idx="23" formatCode="#,##0.0">
                  <c:v>12.1</c:v>
                </c:pt>
                <c:pt idx="24" formatCode="#,##0.0">
                  <c:v>12.1</c:v>
                </c:pt>
                <c:pt idx="25" formatCode="#,##0.0">
                  <c:v>12.2</c:v>
                </c:pt>
                <c:pt idx="26" formatCode="#,##0.0">
                  <c:v>11.5</c:v>
                </c:pt>
                <c:pt idx="27" formatCode="#,##0.0">
                  <c:v>10.7</c:v>
                </c:pt>
                <c:pt idx="28" formatCode="#,##0.0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6-4D6C-B2AF-ADF68D1A87BB}"/>
            </c:ext>
          </c:extLst>
        </c:ser>
        <c:ser>
          <c:idx val="1"/>
          <c:order val="1"/>
          <c:tx>
            <c:v>Medicare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HI!$N$10:$N$38</c:f>
              <c:numCache>
                <c:formatCode>##0.0</c:formatCode>
                <c:ptCount val="29"/>
                <c:pt idx="0" formatCode="#,##0.0">
                  <c:v>17.3</c:v>
                </c:pt>
                <c:pt idx="1">
                  <c:v>17</c:v>
                </c:pt>
                <c:pt idx="2" formatCode="0.0">
                  <c:v>16.7</c:v>
                </c:pt>
                <c:pt idx="3" formatCode="0.0">
                  <c:v>16.3</c:v>
                </c:pt>
                <c:pt idx="4" formatCode="0.0">
                  <c:v>15.882350000000001</c:v>
                </c:pt>
                <c:pt idx="5" formatCode="0.0">
                  <c:v>15.712478027</c:v>
                </c:pt>
                <c:pt idx="6" formatCode="0.0">
                  <c:v>15.193560716</c:v>
                </c:pt>
                <c:pt idx="7" formatCode="0.0">
                  <c:v>14.4808738215735</c:v>
                </c:pt>
                <c:pt idx="8" formatCode="General">
                  <c:v>14.3</c:v>
                </c:pt>
                <c:pt idx="9" formatCode="General">
                  <c:v>14.3</c:v>
                </c:pt>
                <c:pt idx="10" formatCode="General">
                  <c:v>13.8</c:v>
                </c:pt>
                <c:pt idx="11" formatCode="General">
                  <c:v>13.6</c:v>
                </c:pt>
                <c:pt idx="12" formatCode="General">
                  <c:v>13.7</c:v>
                </c:pt>
                <c:pt idx="13" formatCode="General">
                  <c:v>13.7</c:v>
                </c:pt>
                <c:pt idx="14" formatCode="General">
                  <c:v>13.7</c:v>
                </c:pt>
                <c:pt idx="15" formatCode="General">
                  <c:v>13.4</c:v>
                </c:pt>
                <c:pt idx="16" formatCode="#,##0.0">
                  <c:v>13.5</c:v>
                </c:pt>
                <c:pt idx="17" formatCode="#,##0.0">
                  <c:v>13.5</c:v>
                </c:pt>
                <c:pt idx="18" formatCode="#,##0.0">
                  <c:v>13.3</c:v>
                </c:pt>
                <c:pt idx="19" formatCode="#,##0.0">
                  <c:v>13.2</c:v>
                </c:pt>
                <c:pt idx="20" formatCode="#,##0.0">
                  <c:v>13.2</c:v>
                </c:pt>
                <c:pt idx="21" formatCode="#,##0.0">
                  <c:v>13.2</c:v>
                </c:pt>
                <c:pt idx="22" formatCode="#,##0.0">
                  <c:v>13.2</c:v>
                </c:pt>
                <c:pt idx="23" formatCode="#,##0.0">
                  <c:v>13.1</c:v>
                </c:pt>
                <c:pt idx="24" formatCode="#,##0.0">
                  <c:v>12.9</c:v>
                </c:pt>
                <c:pt idx="25" formatCode="#,##0.0">
                  <c:v>12.7</c:v>
                </c:pt>
                <c:pt idx="26" formatCode="#,##0.0">
                  <c:v>12.9</c:v>
                </c:pt>
                <c:pt idx="27" formatCode="#,##0.0">
                  <c:v>13.1</c:v>
                </c:pt>
                <c:pt idx="28" formatCode="#,##0.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C6-4D6C-B2AF-ADF68D1A87BB}"/>
            </c:ext>
          </c:extLst>
        </c:ser>
        <c:ser>
          <c:idx val="2"/>
          <c:order val="2"/>
          <c:tx>
            <c:v>Military Health Care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HI!$Q$10:$Q$38</c:f>
              <c:numCache>
                <c:formatCode>##0.0</c:formatCode>
                <c:ptCount val="29"/>
                <c:pt idx="0" formatCode="#,##0.0">
                  <c:v>2.2999999999999998</c:v>
                </c:pt>
                <c:pt idx="1">
                  <c:v>2.2999999999999998</c:v>
                </c:pt>
                <c:pt idx="2" formatCode="0.0">
                  <c:v>2.2000000000000002</c:v>
                </c:pt>
                <c:pt idx="3" formatCode="0.0">
                  <c:v>2.2000000000000002</c:v>
                </c:pt>
                <c:pt idx="4" formatCode="0.0">
                  <c:v>2.1644575000000001</c:v>
                </c:pt>
                <c:pt idx="5" formatCode="0.0">
                  <c:v>4.4041222726000004</c:v>
                </c:pt>
                <c:pt idx="6" formatCode="0.0">
                  <c:v>4.4399450840999997</c:v>
                </c:pt>
                <c:pt idx="7" formatCode="0.0">
                  <c:v>4.1971668929053543</c:v>
                </c:pt>
                <c:pt idx="8" formatCode="General">
                  <c:v>4.0999999999999996</c:v>
                </c:pt>
                <c:pt idx="9" formatCode="General">
                  <c:v>3.8</c:v>
                </c:pt>
                <c:pt idx="10" formatCode="General">
                  <c:v>3.7</c:v>
                </c:pt>
                <c:pt idx="11" formatCode="General">
                  <c:v>3.6</c:v>
                </c:pt>
                <c:pt idx="12" formatCode="General">
                  <c:v>3.8</c:v>
                </c:pt>
                <c:pt idx="13" formatCode="General">
                  <c:v>3.7</c:v>
                </c:pt>
                <c:pt idx="14" formatCode="General">
                  <c:v>3.5</c:v>
                </c:pt>
                <c:pt idx="15" formatCode="General">
                  <c:v>3.5</c:v>
                </c:pt>
                <c:pt idx="16" formatCode="#,##0.0">
                  <c:v>3.4</c:v>
                </c:pt>
                <c:pt idx="17" formatCode="#,##0.0">
                  <c:v>3.3</c:v>
                </c:pt>
                <c:pt idx="18" formatCode="#,##0.0">
                  <c:v>3.1</c:v>
                </c:pt>
                <c:pt idx="19" formatCode="#,##0.0">
                  <c:v>3.1</c:v>
                </c:pt>
                <c:pt idx="20" formatCode="#,##0.0">
                  <c:v>3.2</c:v>
                </c:pt>
                <c:pt idx="21" formatCode="#,##0.0">
                  <c:v>3.2</c:v>
                </c:pt>
                <c:pt idx="22" formatCode="#,##0.0">
                  <c:v>3.3</c:v>
                </c:pt>
                <c:pt idx="23" formatCode="#,##0.0">
                  <c:v>3.5</c:v>
                </c:pt>
                <c:pt idx="24" formatCode="#,##0.0">
                  <c:v>4.3</c:v>
                </c:pt>
                <c:pt idx="25" formatCode="#,##0.0">
                  <c:v>3.7</c:v>
                </c:pt>
                <c:pt idx="26" formatCode="#,##0.0">
                  <c:v>3.7</c:v>
                </c:pt>
                <c:pt idx="27" formatCode="#,##0.0">
                  <c:v>3.9</c:v>
                </c:pt>
                <c:pt idx="28" formatCode="#,##0.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C6-4D6C-B2AF-ADF68D1A87BB}"/>
            </c:ext>
          </c:extLst>
        </c:ser>
        <c:ser>
          <c:idx val="3"/>
          <c:order val="3"/>
          <c:tx>
            <c:v>Not Covered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HI!$A$10:$A$38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HI!$T$10:$T$38</c:f>
              <c:numCache>
                <c:formatCode>##0.0</c:formatCode>
                <c:ptCount val="29"/>
                <c:pt idx="0" formatCode="#,##0.0">
                  <c:v>8.6999999999999993</c:v>
                </c:pt>
                <c:pt idx="1">
                  <c:v>8.6</c:v>
                </c:pt>
                <c:pt idx="2" formatCode="0.0">
                  <c:v>9.4</c:v>
                </c:pt>
                <c:pt idx="3" formatCode="0.0">
                  <c:v>11.7</c:v>
                </c:pt>
                <c:pt idx="4" formatCode="0.0">
                  <c:v>14.520167000000001</c:v>
                </c:pt>
                <c:pt idx="5" formatCode="0.0">
                  <c:v>15.412470118</c:v>
                </c:pt>
                <c:pt idx="6" formatCode="0.0">
                  <c:v>15.741312564999999</c:v>
                </c:pt>
                <c:pt idx="7" formatCode="0.0">
                  <c:v>16.302681474821533</c:v>
                </c:pt>
                <c:pt idx="8" formatCode="General">
                  <c:v>16.7</c:v>
                </c:pt>
                <c:pt idx="9" formatCode="General">
                  <c:v>15.4</c:v>
                </c:pt>
                <c:pt idx="10" formatCode="General">
                  <c:v>15.3</c:v>
                </c:pt>
                <c:pt idx="11" formatCode="General">
                  <c:v>15.8</c:v>
                </c:pt>
                <c:pt idx="12" formatCode="General">
                  <c:v>15.9</c:v>
                </c:pt>
                <c:pt idx="13" formatCode="General">
                  <c:v>15.6</c:v>
                </c:pt>
                <c:pt idx="14" formatCode="General">
                  <c:v>15.6</c:v>
                </c:pt>
                <c:pt idx="15" formatCode="General">
                  <c:v>15.2</c:v>
                </c:pt>
                <c:pt idx="16" formatCode="#,##0.0">
                  <c:v>14.6</c:v>
                </c:pt>
                <c:pt idx="17" formatCode="#,##0.0">
                  <c:v>14.2</c:v>
                </c:pt>
                <c:pt idx="18" formatCode="#,##0.0">
                  <c:v>14.5</c:v>
                </c:pt>
                <c:pt idx="19" formatCode="#,##0.0">
                  <c:v>15.5</c:v>
                </c:pt>
                <c:pt idx="20" formatCode="#,##0.0">
                  <c:v>16.3</c:v>
                </c:pt>
                <c:pt idx="21" formatCode="#,##0.0">
                  <c:v>16.100000000000001</c:v>
                </c:pt>
                <c:pt idx="22" formatCode="#,##0.0">
                  <c:v>15.6</c:v>
                </c:pt>
                <c:pt idx="23" formatCode="#,##0.0">
                  <c:v>15.4</c:v>
                </c:pt>
                <c:pt idx="24" formatCode="#,##0.0">
                  <c:v>15.2</c:v>
                </c:pt>
                <c:pt idx="25" formatCode="#,##0.0">
                  <c:v>15.3</c:v>
                </c:pt>
                <c:pt idx="26" formatCode="#,##0.0">
                  <c:v>15</c:v>
                </c:pt>
                <c:pt idx="27" formatCode="#,##0.0">
                  <c:v>14.1</c:v>
                </c:pt>
                <c:pt idx="28" formatCode="#,##0.0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C6-4D6C-B2AF-ADF68D1A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431104"/>
        <c:axId val="450431432"/>
      </c:lineChart>
      <c:catAx>
        <c:axId val="45043110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431432"/>
        <c:crosses val="autoZero"/>
        <c:auto val="1"/>
        <c:lblAlgn val="ctr"/>
        <c:lblOffset val="100"/>
        <c:noMultiLvlLbl val="0"/>
      </c:catAx>
      <c:valAx>
        <c:axId val="450431432"/>
        <c:scaling>
          <c:orientation val="minMax"/>
          <c:max val="21"/>
          <c:min val="1.8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4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99626473631287E-3"/>
          <c:y val="0.94353018372703401"/>
          <c:w val="0.99445003735263682"/>
          <c:h val="5.20838513606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NJ People Covered by Health Insurance</a:t>
            </a:r>
          </a:p>
        </c:rich>
      </c:tx>
      <c:layout>
        <c:manualLayout>
          <c:xMode val="edge"/>
          <c:yMode val="edge"/>
          <c:x val="0.123196138211382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40650406504065E-3"/>
          <c:y val="4.6712962962962977E-2"/>
          <c:w val="0.92988024934383207"/>
          <c:h val="0.71551691455234767"/>
        </c:manualLayout>
      </c:layout>
      <c:lineChart>
        <c:grouping val="standard"/>
        <c:varyColors val="0"/>
        <c:ser>
          <c:idx val="0"/>
          <c:order val="0"/>
          <c:tx>
            <c:v>Covered by Health Insurance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HI!$D$41:$D$69</c:f>
              <c:numCache>
                <c:formatCode>##0.0</c:formatCode>
                <c:ptCount val="29"/>
                <c:pt idx="0" formatCode="#,##0.0">
                  <c:v>92.3</c:v>
                </c:pt>
                <c:pt idx="1">
                  <c:v>92</c:v>
                </c:pt>
                <c:pt idx="2" formatCode="#,##0.0">
                  <c:v>91.3</c:v>
                </c:pt>
                <c:pt idx="3" formatCode="#,##0.0">
                  <c:v>89.1</c:v>
                </c:pt>
                <c:pt idx="4" formatCode="#,##0.0">
                  <c:v>86.802321000000006</c:v>
                </c:pt>
                <c:pt idx="5" formatCode="#,##0.0">
                  <c:v>85.980678542000007</c:v>
                </c:pt>
                <c:pt idx="6" formatCode="#,##0.0">
                  <c:v>84.562925465999996</c:v>
                </c:pt>
                <c:pt idx="7" formatCode="#,##0.0">
                  <c:v>84.570841113599712</c:v>
                </c:pt>
                <c:pt idx="8" formatCode="#,##0.0">
                  <c:v>84.2</c:v>
                </c:pt>
                <c:pt idx="9" formatCode="#,##0.0">
                  <c:v>85.9</c:v>
                </c:pt>
                <c:pt idx="10" formatCode="#,##0.0">
                  <c:v>84.2</c:v>
                </c:pt>
                <c:pt idx="11" formatCode="#,##0.0">
                  <c:v>84.5</c:v>
                </c:pt>
                <c:pt idx="12" formatCode="0.0_ ">
                  <c:v>84.8</c:v>
                </c:pt>
                <c:pt idx="13" formatCode="0.0_ ">
                  <c:v>84.7</c:v>
                </c:pt>
                <c:pt idx="14" formatCode="0.0_ ">
                  <c:v>86</c:v>
                </c:pt>
                <c:pt idx="15" formatCode="General">
                  <c:v>86.1</c:v>
                </c:pt>
                <c:pt idx="16" formatCode="0.0">
                  <c:v>86.9</c:v>
                </c:pt>
                <c:pt idx="17" formatCode="0.0">
                  <c:v>87.8</c:v>
                </c:pt>
                <c:pt idx="18" formatCode="0.0">
                  <c:v>88.1</c:v>
                </c:pt>
                <c:pt idx="19" formatCode="0.0">
                  <c:v>86.6</c:v>
                </c:pt>
                <c:pt idx="20" formatCode="0.0">
                  <c:v>83.6</c:v>
                </c:pt>
                <c:pt idx="21" formatCode="0.0">
                  <c:v>83.5</c:v>
                </c:pt>
                <c:pt idx="22" formatCode="0.0">
                  <c:v>83.2</c:v>
                </c:pt>
                <c:pt idx="23" formatCode="0.0">
                  <c:v>85.8</c:v>
                </c:pt>
                <c:pt idx="24" formatCode="0.0">
                  <c:v>87</c:v>
                </c:pt>
                <c:pt idx="25" formatCode="0.0">
                  <c:v>86.3</c:v>
                </c:pt>
                <c:pt idx="26" formatCode="0.0">
                  <c:v>86.7</c:v>
                </c:pt>
                <c:pt idx="27" formatCode="0.0">
                  <c:v>89.2</c:v>
                </c:pt>
                <c:pt idx="28" formatCode="0.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B-4930-8C7F-41B886E23D7B}"/>
            </c:ext>
          </c:extLst>
        </c:ser>
        <c:ser>
          <c:idx val="1"/>
          <c:order val="1"/>
          <c:tx>
            <c:v>Covered by Private HI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HI!$F$41:$F$69</c:f>
              <c:numCache>
                <c:formatCode>##0.0</c:formatCode>
                <c:ptCount val="29"/>
                <c:pt idx="0" formatCode="#,##0.0">
                  <c:v>72</c:v>
                </c:pt>
                <c:pt idx="1">
                  <c:v>72.3</c:v>
                </c:pt>
                <c:pt idx="2" formatCode="#,##0.0">
                  <c:v>71.3</c:v>
                </c:pt>
                <c:pt idx="3" formatCode="#,##0.0">
                  <c:v>70.900000000000006</c:v>
                </c:pt>
                <c:pt idx="4" formatCode="#,##0.0">
                  <c:v>70.016204000000002</c:v>
                </c:pt>
                <c:pt idx="5" formatCode="#,##0.0">
                  <c:v>70.838125947999998</c:v>
                </c:pt>
                <c:pt idx="6" formatCode="#,##0.0">
                  <c:v>69.041289348999996</c:v>
                </c:pt>
                <c:pt idx="7" formatCode="#,##0.0">
                  <c:v>69.723011418577158</c:v>
                </c:pt>
                <c:pt idx="8" formatCode="#,##0.0">
                  <c:v>71.3</c:v>
                </c:pt>
                <c:pt idx="9" formatCode="#,##0.0">
                  <c:v>72.7</c:v>
                </c:pt>
                <c:pt idx="10" formatCode="#,##0.0">
                  <c:v>71.3</c:v>
                </c:pt>
                <c:pt idx="11" formatCode="#,##0.0">
                  <c:v>73.5</c:v>
                </c:pt>
                <c:pt idx="12" formatCode="General">
                  <c:v>74.2</c:v>
                </c:pt>
                <c:pt idx="13" formatCode="General">
                  <c:v>74.2</c:v>
                </c:pt>
                <c:pt idx="14" formatCode="General">
                  <c:v>74.2</c:v>
                </c:pt>
                <c:pt idx="15" formatCode="General">
                  <c:v>74.099999999999994</c:v>
                </c:pt>
                <c:pt idx="16" formatCode="0.0">
                  <c:v>75.400000000000006</c:v>
                </c:pt>
                <c:pt idx="17" formatCode="0.0">
                  <c:v>77.900000000000006</c:v>
                </c:pt>
                <c:pt idx="18" formatCode="0.0">
                  <c:v>77.3</c:v>
                </c:pt>
                <c:pt idx="19" formatCode="0.0">
                  <c:v>76.099999999999994</c:v>
                </c:pt>
                <c:pt idx="20" formatCode="0.0">
                  <c:v>74</c:v>
                </c:pt>
                <c:pt idx="21" formatCode="0.0">
                  <c:v>73.599999999999994</c:v>
                </c:pt>
                <c:pt idx="22" formatCode="0.0">
                  <c:v>73.5</c:v>
                </c:pt>
                <c:pt idx="23" formatCode="0.0">
                  <c:v>75.599999999999994</c:v>
                </c:pt>
                <c:pt idx="24" formatCode="0.0">
                  <c:v>75.7</c:v>
                </c:pt>
                <c:pt idx="25" formatCode="0.0">
                  <c:v>75.599999999999994</c:v>
                </c:pt>
                <c:pt idx="26" formatCode="0.0">
                  <c:v>76</c:v>
                </c:pt>
                <c:pt idx="27" formatCode="0.0">
                  <c:v>79.7</c:v>
                </c:pt>
                <c:pt idx="28" formatCode="0.0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B-4930-8C7F-41B886E23D7B}"/>
            </c:ext>
          </c:extLst>
        </c:ser>
        <c:ser>
          <c:idx val="2"/>
          <c:order val="2"/>
          <c:tx>
            <c:v>Covered by Employment-based HI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HI!$H$41:$H$69</c:f>
              <c:numCache>
                <c:formatCode>##0.0</c:formatCode>
                <c:ptCount val="29"/>
                <c:pt idx="0" formatCode="#,##0.0">
                  <c:v>62</c:v>
                </c:pt>
                <c:pt idx="1">
                  <c:v>62</c:v>
                </c:pt>
                <c:pt idx="2" formatCode="#,##0.0">
                  <c:v>61.6</c:v>
                </c:pt>
                <c:pt idx="3" formatCode="#,##0.0">
                  <c:v>62</c:v>
                </c:pt>
                <c:pt idx="4" formatCode="#,##0.0">
                  <c:v>61.806404999999998</c:v>
                </c:pt>
                <c:pt idx="5" formatCode="#,##0.0">
                  <c:v>63.196172292999997</c:v>
                </c:pt>
                <c:pt idx="6" formatCode="#,##0.0">
                  <c:v>61.109949041999997</c:v>
                </c:pt>
                <c:pt idx="7" formatCode="#,##0.0">
                  <c:v>62.304244158323442</c:v>
                </c:pt>
                <c:pt idx="8" formatCode="#,##0.0">
                  <c:v>65.3</c:v>
                </c:pt>
                <c:pt idx="9" formatCode="#,##0.0">
                  <c:v>65.5</c:v>
                </c:pt>
                <c:pt idx="10" formatCode="#,##0.0">
                  <c:v>64</c:v>
                </c:pt>
                <c:pt idx="11" formatCode="#,##0.0">
                  <c:v>67.5</c:v>
                </c:pt>
                <c:pt idx="12" formatCode="General">
                  <c:v>68.3</c:v>
                </c:pt>
                <c:pt idx="13" formatCode="General">
                  <c:v>68.5</c:v>
                </c:pt>
                <c:pt idx="14" formatCode="General">
                  <c:v>68.3</c:v>
                </c:pt>
                <c:pt idx="15" formatCode="General">
                  <c:v>67.099999999999994</c:v>
                </c:pt>
                <c:pt idx="16" formatCode="0.0">
                  <c:v>68.900000000000006</c:v>
                </c:pt>
                <c:pt idx="17" formatCode="0.0">
                  <c:v>71.099999999999994</c:v>
                </c:pt>
                <c:pt idx="18" formatCode="0.0">
                  <c:v>69.7</c:v>
                </c:pt>
                <c:pt idx="19" formatCode="0.0">
                  <c:v>68.7</c:v>
                </c:pt>
                <c:pt idx="20" formatCode="0.0">
                  <c:v>65.900000000000006</c:v>
                </c:pt>
                <c:pt idx="21" formatCode="0.0">
                  <c:v>65.8</c:v>
                </c:pt>
                <c:pt idx="22" formatCode="0.0">
                  <c:v>65.3</c:v>
                </c:pt>
                <c:pt idx="23" formatCode="0.0">
                  <c:v>66.599999999999994</c:v>
                </c:pt>
                <c:pt idx="24" formatCode="0.0">
                  <c:v>67.099999999999994</c:v>
                </c:pt>
                <c:pt idx="25" formatCode="0.0">
                  <c:v>61</c:v>
                </c:pt>
                <c:pt idx="26" formatCode="0.0">
                  <c:v>64.5</c:v>
                </c:pt>
                <c:pt idx="27" formatCode="0.0">
                  <c:v>69.3</c:v>
                </c:pt>
                <c:pt idx="28" formatCode="0.0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B-4930-8C7F-41B886E2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6414968"/>
        <c:axId val="436413984"/>
      </c:lineChart>
      <c:catAx>
        <c:axId val="4364149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13984"/>
        <c:crosses val="autoZero"/>
        <c:auto val="1"/>
        <c:lblAlgn val="ctr"/>
        <c:lblOffset val="100"/>
        <c:noMultiLvlLbl val="0"/>
      </c:catAx>
      <c:valAx>
        <c:axId val="436413984"/>
        <c:scaling>
          <c:orientation val="minMax"/>
          <c:max val="93"/>
          <c:min val="58"/>
        </c:scaling>
        <c:delete val="0"/>
        <c:axPos val="r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1496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27533448563221E-4"/>
          <c:y val="0.93113371245261012"/>
          <c:w val="0.99970572466551433"/>
          <c:h val="6.8866287547389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NJ People Covered by Different Health Care</a:t>
            </a:r>
          </a:p>
        </c:rich>
      </c:tx>
      <c:layout>
        <c:manualLayout>
          <c:xMode val="edge"/>
          <c:yMode val="edge"/>
          <c:x val="0.10976870078740157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40650406504065E-3"/>
          <c:y val="0.1350925925925926"/>
          <c:w val="0.92988024934383207"/>
          <c:h val="0.63639654418197722"/>
        </c:manualLayout>
      </c:layout>
      <c:lineChart>
        <c:grouping val="standard"/>
        <c:varyColors val="0"/>
        <c:ser>
          <c:idx val="0"/>
          <c:order val="0"/>
          <c:tx>
            <c:v>Medicaid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HI!$K$41:$K$69</c:f>
              <c:numCache>
                <c:formatCode>##0.0</c:formatCode>
                <c:ptCount val="29"/>
                <c:pt idx="0" formatCode="#,##0.0">
                  <c:v>17.2</c:v>
                </c:pt>
                <c:pt idx="1">
                  <c:v>17.2</c:v>
                </c:pt>
                <c:pt idx="2" formatCode="#,##0.0">
                  <c:v>17.399999999999999</c:v>
                </c:pt>
                <c:pt idx="3" formatCode="#,##0.0">
                  <c:v>15.4</c:v>
                </c:pt>
                <c:pt idx="4" formatCode="#,##0.0">
                  <c:v>14.085725999999999</c:v>
                </c:pt>
                <c:pt idx="5" formatCode="#,##0.0">
                  <c:v>12.153091828000001</c:v>
                </c:pt>
                <c:pt idx="6" formatCode="#,##0.0">
                  <c:v>12.479956954</c:v>
                </c:pt>
                <c:pt idx="7" formatCode="#,##0.0">
                  <c:v>12.581525895151261</c:v>
                </c:pt>
                <c:pt idx="8" formatCode="#,##0.0">
                  <c:v>11</c:v>
                </c:pt>
                <c:pt idx="9" formatCode="#,##0.0">
                  <c:v>9.8000000000000007</c:v>
                </c:pt>
                <c:pt idx="10" formatCode="#,##0.0">
                  <c:v>8.4</c:v>
                </c:pt>
                <c:pt idx="11" formatCode="#,##0.0">
                  <c:v>7.8</c:v>
                </c:pt>
                <c:pt idx="12" formatCode="General">
                  <c:v>7.7</c:v>
                </c:pt>
                <c:pt idx="13" formatCode="General">
                  <c:v>8.1999999999999993</c:v>
                </c:pt>
                <c:pt idx="14" formatCode="General">
                  <c:v>8.3000000000000007</c:v>
                </c:pt>
                <c:pt idx="15" formatCode="General">
                  <c:v>9.1999999999999993</c:v>
                </c:pt>
                <c:pt idx="16" formatCode="0.0">
                  <c:v>8</c:v>
                </c:pt>
                <c:pt idx="17" formatCode="0.0">
                  <c:v>7.5</c:v>
                </c:pt>
                <c:pt idx="18" formatCode="0.0">
                  <c:v>7.6</c:v>
                </c:pt>
                <c:pt idx="19" formatCode="0.0">
                  <c:v>7.5</c:v>
                </c:pt>
                <c:pt idx="20" formatCode="0.0">
                  <c:v>6.2</c:v>
                </c:pt>
                <c:pt idx="21" formatCode="0.0">
                  <c:v>7.9</c:v>
                </c:pt>
                <c:pt idx="22" formatCode="0.0">
                  <c:v>7.8</c:v>
                </c:pt>
                <c:pt idx="23" formatCode="0.0">
                  <c:v>7.1</c:v>
                </c:pt>
                <c:pt idx="24" formatCode="0.0">
                  <c:v>8.6</c:v>
                </c:pt>
                <c:pt idx="25" formatCode="0.0">
                  <c:v>9.6</c:v>
                </c:pt>
                <c:pt idx="26" formatCode="0.0">
                  <c:v>7.8</c:v>
                </c:pt>
                <c:pt idx="27" formatCode="0.0">
                  <c:v>7.3</c:v>
                </c:pt>
                <c:pt idx="28" formatCode="0.0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04-4572-9C90-E2492A0C9EB7}"/>
            </c:ext>
          </c:extLst>
        </c:ser>
        <c:ser>
          <c:idx val="1"/>
          <c:order val="1"/>
          <c:tx>
            <c:v>Medicare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HI!$N$41:$N$69</c:f>
              <c:numCache>
                <c:formatCode>##0.0</c:formatCode>
                <c:ptCount val="29"/>
                <c:pt idx="0" formatCode="#,##0.0">
                  <c:v>16.8</c:v>
                </c:pt>
                <c:pt idx="1">
                  <c:v>16.399999999999999</c:v>
                </c:pt>
                <c:pt idx="2" formatCode="#,##0.0">
                  <c:v>16</c:v>
                </c:pt>
                <c:pt idx="3" formatCode="#,##0.0">
                  <c:v>15.6</c:v>
                </c:pt>
                <c:pt idx="4" formatCode="#,##0.0">
                  <c:v>15.434437000000001</c:v>
                </c:pt>
                <c:pt idx="5" formatCode="#,##0.0">
                  <c:v>15.848382515000001</c:v>
                </c:pt>
                <c:pt idx="6" formatCode="#,##0.0">
                  <c:v>15.042224675</c:v>
                </c:pt>
                <c:pt idx="7" formatCode="#,##0.0">
                  <c:v>14.232214409552945</c:v>
                </c:pt>
                <c:pt idx="8" formatCode="#,##0.0">
                  <c:v>12.9</c:v>
                </c:pt>
                <c:pt idx="9" formatCode="#,##0.0">
                  <c:v>14.3</c:v>
                </c:pt>
                <c:pt idx="10" formatCode="#,##0.0">
                  <c:v>13.9</c:v>
                </c:pt>
                <c:pt idx="11" formatCode="#,##0.0">
                  <c:v>13</c:v>
                </c:pt>
                <c:pt idx="12" formatCode="General">
                  <c:v>12.7</c:v>
                </c:pt>
                <c:pt idx="13" formatCode="General">
                  <c:v>13.5</c:v>
                </c:pt>
                <c:pt idx="14" formatCode="General">
                  <c:v>12.6</c:v>
                </c:pt>
                <c:pt idx="15" formatCode="General">
                  <c:v>14.4</c:v>
                </c:pt>
                <c:pt idx="16" formatCode="0.0">
                  <c:v>16.100000000000001</c:v>
                </c:pt>
                <c:pt idx="17" formatCode="0.0">
                  <c:v>14.8</c:v>
                </c:pt>
                <c:pt idx="18" formatCode="0.0">
                  <c:v>13.6</c:v>
                </c:pt>
                <c:pt idx="19" formatCode="0.0">
                  <c:v>13.4</c:v>
                </c:pt>
                <c:pt idx="20" formatCode="0.0">
                  <c:v>11.5</c:v>
                </c:pt>
                <c:pt idx="21" formatCode="0.0">
                  <c:v>12.1</c:v>
                </c:pt>
                <c:pt idx="22" formatCode="0.0">
                  <c:v>13.3</c:v>
                </c:pt>
                <c:pt idx="23" formatCode="0.0">
                  <c:v>14</c:v>
                </c:pt>
                <c:pt idx="24" formatCode="0.0">
                  <c:v>12.8</c:v>
                </c:pt>
                <c:pt idx="25" formatCode="0.0">
                  <c:v>13</c:v>
                </c:pt>
                <c:pt idx="26" formatCode="0.0">
                  <c:v>13.2</c:v>
                </c:pt>
                <c:pt idx="27" formatCode="0.0">
                  <c:v>13.3</c:v>
                </c:pt>
                <c:pt idx="28" formatCode="0.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4-4572-9C90-E2492A0C9EB7}"/>
            </c:ext>
          </c:extLst>
        </c:ser>
        <c:ser>
          <c:idx val="2"/>
          <c:order val="2"/>
          <c:tx>
            <c:v>Military Health Care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HI!$Q$41:$Q$69</c:f>
              <c:numCache>
                <c:formatCode>##0.0</c:formatCode>
                <c:ptCount val="29"/>
                <c:pt idx="0" formatCode="#,##0.0">
                  <c:v>1.1000000000000001</c:v>
                </c:pt>
                <c:pt idx="1">
                  <c:v>1.1000000000000001</c:v>
                </c:pt>
                <c:pt idx="2" formatCode="#,##0.0">
                  <c:v>1</c:v>
                </c:pt>
                <c:pt idx="3" formatCode="#,##0.0">
                  <c:v>1</c:v>
                </c:pt>
                <c:pt idx="4" formatCode="#,##0.0">
                  <c:v>1.0823677</c:v>
                </c:pt>
                <c:pt idx="5" formatCode="#,##0.0">
                  <c:v>1.9472606593999999</c:v>
                </c:pt>
                <c:pt idx="6" formatCode="#,##0.0">
                  <c:v>1.5671524897</c:v>
                </c:pt>
                <c:pt idx="7" formatCode="#,##0.0">
                  <c:v>0.76283978882165848</c:v>
                </c:pt>
                <c:pt idx="8" formatCode="#,##0.0">
                  <c:v>0.8</c:v>
                </c:pt>
                <c:pt idx="9" formatCode="#,##0.0">
                  <c:v>1.6</c:v>
                </c:pt>
                <c:pt idx="10" formatCode="#,##0.0">
                  <c:v>1.3</c:v>
                </c:pt>
                <c:pt idx="11" formatCode="#,##0.0">
                  <c:v>1</c:v>
                </c:pt>
                <c:pt idx="12" formatCode="General">
                  <c:v>1.5</c:v>
                </c:pt>
                <c:pt idx="13" formatCode="General">
                  <c:v>1.5</c:v>
                </c:pt>
                <c:pt idx="14" formatCode="General">
                  <c:v>1.4</c:v>
                </c:pt>
                <c:pt idx="15" formatCode="General">
                  <c:v>1.2</c:v>
                </c:pt>
                <c:pt idx="16" formatCode="0.0">
                  <c:v>1.2</c:v>
                </c:pt>
                <c:pt idx="17" formatCode="0.0">
                  <c:v>1.4</c:v>
                </c:pt>
                <c:pt idx="18" formatCode="0.0">
                  <c:v>0.9</c:v>
                </c:pt>
                <c:pt idx="19" formatCode="0.0">
                  <c:v>0.8</c:v>
                </c:pt>
                <c:pt idx="20" formatCode="0.0">
                  <c:v>1.2</c:v>
                </c:pt>
                <c:pt idx="21" formatCode="0.0">
                  <c:v>1.1000000000000001</c:v>
                </c:pt>
                <c:pt idx="22" formatCode="0.0">
                  <c:v>1.9</c:v>
                </c:pt>
                <c:pt idx="23" formatCode="0.0">
                  <c:v>1.2</c:v>
                </c:pt>
                <c:pt idx="24" formatCode="0.0">
                  <c:v>1.4</c:v>
                </c:pt>
                <c:pt idx="25" formatCode="0.0">
                  <c:v>1.4</c:v>
                </c:pt>
                <c:pt idx="26" formatCode="0.0">
                  <c:v>1.6</c:v>
                </c:pt>
                <c:pt idx="27" formatCode="0.0">
                  <c:v>1.3</c:v>
                </c:pt>
                <c:pt idx="28" formatCode="0.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04-4572-9C90-E2492A0C9EB7}"/>
            </c:ext>
          </c:extLst>
        </c:ser>
        <c:ser>
          <c:idx val="3"/>
          <c:order val="3"/>
          <c:tx>
            <c:v>Not Covered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HI!$A$41:$A$69</c:f>
              <c:strCache>
                <c:ptCount val="29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2013  9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2004 8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  <c:pt idx="17">
                  <c:v>2000 7</c:v>
                </c:pt>
                <c:pt idx="18">
                  <c:v>1999 6</c:v>
                </c:pt>
                <c:pt idx="19">
                  <c:v>1999</c:v>
                </c:pt>
                <c:pt idx="20">
                  <c:v>1998</c:v>
                </c:pt>
                <c:pt idx="21">
                  <c:v>1997 5</c:v>
                </c:pt>
                <c:pt idx="22">
                  <c:v>1996</c:v>
                </c:pt>
                <c:pt idx="23">
                  <c:v>1995</c:v>
                </c:pt>
                <c:pt idx="24">
                  <c:v>1994 4</c:v>
                </c:pt>
                <c:pt idx="25">
                  <c:v>1993 3</c:v>
                </c:pt>
                <c:pt idx="26">
                  <c:v>1992 2</c:v>
                </c:pt>
                <c:pt idx="27">
                  <c:v>1991</c:v>
                </c:pt>
                <c:pt idx="28">
                  <c:v>1990</c:v>
                </c:pt>
              </c:strCache>
            </c:strRef>
          </c:cat>
          <c:val>
            <c:numRef>
              <c:f>HI!$T$41:$T$69</c:f>
              <c:numCache>
                <c:formatCode>##0.0</c:formatCode>
                <c:ptCount val="29"/>
                <c:pt idx="0" formatCode="#,##0.0">
                  <c:v>7.7</c:v>
                </c:pt>
                <c:pt idx="1">
                  <c:v>8</c:v>
                </c:pt>
                <c:pt idx="2" formatCode="#,##0.0">
                  <c:v>8.6999999999999993</c:v>
                </c:pt>
                <c:pt idx="3" formatCode="#,##0.0">
                  <c:v>10.9</c:v>
                </c:pt>
                <c:pt idx="4" formatCode="#,##0.0">
                  <c:v>13.197679000000001</c:v>
                </c:pt>
                <c:pt idx="5" formatCode="#,##0.0">
                  <c:v>14.019321458</c:v>
                </c:pt>
                <c:pt idx="6" formatCode="#,##0.0">
                  <c:v>15.437074534000001</c:v>
                </c:pt>
                <c:pt idx="7" formatCode="#,##0.0">
                  <c:v>15.429158886400293</c:v>
                </c:pt>
                <c:pt idx="8" formatCode="#,##0.0">
                  <c:v>15.8</c:v>
                </c:pt>
                <c:pt idx="9" formatCode="#,##0.0">
                  <c:v>14.1</c:v>
                </c:pt>
                <c:pt idx="10" formatCode="#,##0.0">
                  <c:v>15.8</c:v>
                </c:pt>
                <c:pt idx="11" formatCode="#,##0.0">
                  <c:v>15.5</c:v>
                </c:pt>
                <c:pt idx="12" formatCode="0.0_ ">
                  <c:v>15.2</c:v>
                </c:pt>
                <c:pt idx="13" formatCode="0.0_ ">
                  <c:v>14.5</c:v>
                </c:pt>
                <c:pt idx="14" formatCode="0.0_ ">
                  <c:v>14</c:v>
                </c:pt>
                <c:pt idx="15" formatCode="General">
                  <c:v>13.9</c:v>
                </c:pt>
                <c:pt idx="16" formatCode="0.0">
                  <c:v>13.1</c:v>
                </c:pt>
                <c:pt idx="17" formatCode="0.0">
                  <c:v>12.2</c:v>
                </c:pt>
                <c:pt idx="18" formatCode="0.0">
                  <c:v>12.1</c:v>
                </c:pt>
                <c:pt idx="19" formatCode="0.0">
                  <c:v>13.4</c:v>
                </c:pt>
                <c:pt idx="20" formatCode="0.0">
                  <c:v>16.399999999999999</c:v>
                </c:pt>
                <c:pt idx="21" formatCode="0.0">
                  <c:v>16.5</c:v>
                </c:pt>
                <c:pt idx="22" formatCode="0.0">
                  <c:v>16.8</c:v>
                </c:pt>
                <c:pt idx="23" formatCode="0.0">
                  <c:v>14.2</c:v>
                </c:pt>
                <c:pt idx="24" formatCode="0.0">
                  <c:v>13</c:v>
                </c:pt>
                <c:pt idx="25" formatCode="0.0">
                  <c:v>13.7</c:v>
                </c:pt>
                <c:pt idx="26" formatCode="0.0">
                  <c:v>13.3</c:v>
                </c:pt>
                <c:pt idx="27" formatCode="0.0">
                  <c:v>10.8</c:v>
                </c:pt>
                <c:pt idx="28" formatCode="0.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04-4572-9C90-E2492A0C9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49925464"/>
        <c:axId val="449926776"/>
      </c:lineChart>
      <c:catAx>
        <c:axId val="44992546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26776"/>
        <c:crosses val="autoZero"/>
        <c:auto val="1"/>
        <c:lblAlgn val="ctr"/>
        <c:lblOffset val="100"/>
        <c:noMultiLvlLbl val="0"/>
      </c:catAx>
      <c:valAx>
        <c:axId val="449926776"/>
        <c:scaling>
          <c:orientation val="minMax"/>
          <c:max val="18"/>
          <c:min val="0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2546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583445362012717E-4"/>
          <c:y val="0.94039297171186931"/>
          <c:w val="0.99908416554637991"/>
          <c:h val="5.9607028288130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</a:t>
            </a:r>
            <a:r>
              <a:rPr lang="en-US" baseline="0"/>
              <a:t> Non-Family Household: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9636920384951"/>
          <c:y val="0.17171296296296296"/>
          <c:w val="0.73240004374453194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NJ NonFamily Households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('T1-T6'!$G$9,'T1-T6'!$G$12,'T1-T6'!$G$15,'T1-T6'!$G$18,'T1-T6'!$G$21,'T1-T6'!$G$24,'T1-T6'!$G$27,'T1-T6'!$G$30,'T1-T6'!$G$33,'T1-T6'!$G$36,'T1-T6'!$G$39,'T1-T6'!$G$42,'T1-T6'!$G$45,'T1-T6'!$G$48,'T1-T6'!$G$51,'T1-T6'!$G$54,'T1-T6'!$G$57)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('T1-T6'!$N$9,'T1-T6'!$N$12,'T1-T6'!$N$15,'T1-T6'!$N$18,'T1-T6'!$N$21,'T1-T6'!$N$24,'T1-T6'!$N$27,'T1-T6'!$N$30,'T1-T6'!$N$33,'T1-T6'!$N$36,'T1-T6'!$N$39,'T1-T6'!$N$42,'T1-T6'!$N$45,'T1-T6'!$N$48,'T1-T6'!$N$51,'T1-T6'!$N$54,'T1-T6'!$N$57)</c:f>
              <c:numCache>
                <c:formatCode>_(* #,##0_);_(* \(#,##0\);_(* "-"??_);_(@_)</c:formatCode>
                <c:ptCount val="17"/>
                <c:pt idx="0">
                  <c:v>1105317</c:v>
                </c:pt>
                <c:pt idx="1">
                  <c:v>1105303.31</c:v>
                </c:pt>
                <c:pt idx="2">
                  <c:v>1059171</c:v>
                </c:pt>
                <c:pt idx="3" formatCode="#,##0">
                  <c:v>1079900</c:v>
                </c:pt>
                <c:pt idx="4" formatCode="#,##0">
                  <c:v>1076500</c:v>
                </c:pt>
                <c:pt idx="5" formatCode="#,##0">
                  <c:v>1013100</c:v>
                </c:pt>
                <c:pt idx="6" formatCode="#,##0">
                  <c:v>1012300</c:v>
                </c:pt>
                <c:pt idx="7" formatCode="#,##0">
                  <c:v>985800</c:v>
                </c:pt>
                <c:pt idx="8" formatCode="#,##0">
                  <c:v>967000</c:v>
                </c:pt>
                <c:pt idx="9" formatCode="#,##0">
                  <c:v>1015200</c:v>
                </c:pt>
                <c:pt idx="10" formatCode="#,##0">
                  <c:v>967200</c:v>
                </c:pt>
                <c:pt idx="11" formatCode="#,##0">
                  <c:v>880300</c:v>
                </c:pt>
                <c:pt idx="12" formatCode="#,##0">
                  <c:v>920000</c:v>
                </c:pt>
                <c:pt idx="13" formatCode="#,##0">
                  <c:v>969700</c:v>
                </c:pt>
                <c:pt idx="14" formatCode="#,##0">
                  <c:v>959400</c:v>
                </c:pt>
                <c:pt idx="15" formatCode="#,##0">
                  <c:v>953500</c:v>
                </c:pt>
                <c:pt idx="16" formatCode="#,##0">
                  <c:v>948500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2-43AB-8480-6BA9237BC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57300096"/>
        <c:axId val="457293864"/>
      </c:lineChart>
      <c:catAx>
        <c:axId val="4573000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293864"/>
        <c:crosses val="autoZero"/>
        <c:auto val="1"/>
        <c:lblAlgn val="ctr"/>
        <c:lblOffset val="100"/>
        <c:noMultiLvlLbl val="0"/>
      </c:catAx>
      <c:valAx>
        <c:axId val="457293864"/>
        <c:scaling>
          <c:orientation val="minMax"/>
          <c:min val="85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30009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</a:t>
            </a:r>
            <a:r>
              <a:rPr lang="en-US" baseline="0"/>
              <a:t> Non-Family Household: 2001~2018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7171296296296296"/>
          <c:w val="0.84752974628171474"/>
          <c:h val="0.5868161271507728"/>
        </c:manualLayout>
      </c:layout>
      <c:lineChart>
        <c:grouping val="standard"/>
        <c:varyColors val="0"/>
        <c:ser>
          <c:idx val="0"/>
          <c:order val="0"/>
          <c:tx>
            <c:v>US Non-Family Households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('T1-T6'!$G$62,'T1-T6'!$G$65,'T1-T6'!$G$68,'T1-T6'!$G$71,'T1-T6'!$G$74,'T1-T6'!$G$77,'T1-T6'!$G$80,'T1-T6'!$G$83,'T1-T6'!$G$86,'T1-T6'!$G$89,'T1-T6'!$G$92,'T1-T6'!$G$95,'T1-T6'!$G$98,'T1-T6'!$G$101,'T1-T6'!$G$104,'T1-T6'!$G$107,'T1-T6'!$G$110)</c:f>
              <c:strCache>
                <c:ptCount val="17"/>
                <c:pt idx="0">
                  <c:v>2017~2018</c:v>
                </c:pt>
                <c:pt idx="1">
                  <c:v>2016~2017</c:v>
                </c:pt>
                <c:pt idx="2">
                  <c:v>2015~2016</c:v>
                </c:pt>
                <c:pt idx="3">
                  <c:v>2014~2015</c:v>
                </c:pt>
                <c:pt idx="4">
                  <c:v>2013~2014</c:v>
                </c:pt>
                <c:pt idx="5">
                  <c:v>2012~2013</c:v>
                </c:pt>
                <c:pt idx="6">
                  <c:v>2011~2012</c:v>
                </c:pt>
                <c:pt idx="7">
                  <c:v>2010~2011</c:v>
                </c:pt>
                <c:pt idx="8">
                  <c:v>2009~2010</c:v>
                </c:pt>
                <c:pt idx="9">
                  <c:v>2008~2009</c:v>
                </c:pt>
                <c:pt idx="10">
                  <c:v>2007~2008</c:v>
                </c:pt>
                <c:pt idx="11">
                  <c:v>2006~2007</c:v>
                </c:pt>
                <c:pt idx="12">
                  <c:v>2005~2006</c:v>
                </c:pt>
                <c:pt idx="13">
                  <c:v>2004~2005</c:v>
                </c:pt>
                <c:pt idx="14">
                  <c:v>2003~2004</c:v>
                </c:pt>
                <c:pt idx="15">
                  <c:v>2002~2003</c:v>
                </c:pt>
                <c:pt idx="16">
                  <c:v>2001~2002</c:v>
                </c:pt>
              </c:strCache>
            </c:strRef>
          </c:cat>
          <c:val>
            <c:numRef>
              <c:f>('T1-T6'!$N$62,'T1-T6'!$N$65,'T1-T6'!$N$68,'T1-T6'!$N$71,'T1-T6'!$N$74,'T1-T6'!$N$77,'T1-T6'!$N$80,'T1-T6'!$N$83,'T1-T6'!$N$86,'T1-T6'!$N$89,'T1-T6'!$N$92,'T1-T6'!$N$95,'T1-T6'!$N$98,'T1-T6'!$N$101,'T1-T6'!$N$104,'T1-T6'!$N$107,'T1-T6'!$N$110)</c:f>
              <c:numCache>
                <c:formatCode>_(* #,##0_);_(* \(#,##0\);_(* "-"??_);_(@_)</c:formatCode>
                <c:ptCount val="17"/>
                <c:pt idx="0">
                  <c:v>43947390</c:v>
                </c:pt>
                <c:pt idx="1">
                  <c:v>43515640</c:v>
                </c:pt>
                <c:pt idx="2">
                  <c:v>43253080</c:v>
                </c:pt>
                <c:pt idx="3" formatCode="#,##0">
                  <c:v>42315700</c:v>
                </c:pt>
                <c:pt idx="4" formatCode="#,##0">
                  <c:v>41658800</c:v>
                </c:pt>
                <c:pt idx="5" formatCode="#,##0">
                  <c:v>41067800</c:v>
                </c:pt>
                <c:pt idx="6" formatCode="#,##0">
                  <c:v>40323500</c:v>
                </c:pt>
                <c:pt idx="7" formatCode="#,##0">
                  <c:v>39387000</c:v>
                </c:pt>
                <c:pt idx="8" formatCode="#,##0">
                  <c:v>38518000</c:v>
                </c:pt>
                <c:pt idx="9" formatCode="#,##0">
                  <c:v>38621000</c:v>
                </c:pt>
                <c:pt idx="10" formatCode="#,##0">
                  <c:v>38249000</c:v>
                </c:pt>
                <c:pt idx="11" formatCode="#,##0">
                  <c:v>37300000</c:v>
                </c:pt>
                <c:pt idx="12" formatCode="#,##0">
                  <c:v>36600000</c:v>
                </c:pt>
                <c:pt idx="13" formatCode="#,##0">
                  <c:v>35959000</c:v>
                </c:pt>
                <c:pt idx="14" formatCode="#,##0">
                  <c:v>35732000</c:v>
                </c:pt>
                <c:pt idx="15" formatCode="#,##0">
                  <c:v>35325000</c:v>
                </c:pt>
                <c:pt idx="16" formatCode="#,##0">
                  <c:v>34505000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8-4BE4-B1BD-BF11900E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1360832"/>
        <c:axId val="431368376"/>
      </c:lineChart>
      <c:catAx>
        <c:axId val="4313608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368376"/>
        <c:crosses val="autoZero"/>
        <c:auto val="1"/>
        <c:lblAlgn val="ctr"/>
        <c:lblOffset val="100"/>
        <c:noMultiLvlLbl val="0"/>
      </c:catAx>
      <c:valAx>
        <c:axId val="431368376"/>
        <c:scaling>
          <c:orientation val="minMax"/>
          <c:min val="3000000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3608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13" Type="http://schemas.openxmlformats.org/officeDocument/2006/relationships/chart" Target="../charts/chart58.xml"/><Relationship Id="rId18" Type="http://schemas.openxmlformats.org/officeDocument/2006/relationships/chart" Target="../charts/chart63.xml"/><Relationship Id="rId3" Type="http://schemas.openxmlformats.org/officeDocument/2006/relationships/chart" Target="../charts/chart48.xml"/><Relationship Id="rId21" Type="http://schemas.openxmlformats.org/officeDocument/2006/relationships/chart" Target="../charts/chart66.xml"/><Relationship Id="rId7" Type="http://schemas.openxmlformats.org/officeDocument/2006/relationships/chart" Target="../charts/chart52.xml"/><Relationship Id="rId12" Type="http://schemas.openxmlformats.org/officeDocument/2006/relationships/chart" Target="../charts/chart57.xml"/><Relationship Id="rId17" Type="http://schemas.openxmlformats.org/officeDocument/2006/relationships/chart" Target="../charts/chart62.xml"/><Relationship Id="rId2" Type="http://schemas.openxmlformats.org/officeDocument/2006/relationships/chart" Target="../charts/chart47.xml"/><Relationship Id="rId16" Type="http://schemas.openxmlformats.org/officeDocument/2006/relationships/chart" Target="../charts/chart61.xml"/><Relationship Id="rId20" Type="http://schemas.openxmlformats.org/officeDocument/2006/relationships/chart" Target="../charts/chart65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chart" Target="../charts/chart56.xml"/><Relationship Id="rId5" Type="http://schemas.openxmlformats.org/officeDocument/2006/relationships/chart" Target="../charts/chart50.xml"/><Relationship Id="rId15" Type="http://schemas.openxmlformats.org/officeDocument/2006/relationships/chart" Target="../charts/chart60.xml"/><Relationship Id="rId10" Type="http://schemas.openxmlformats.org/officeDocument/2006/relationships/chart" Target="../charts/chart55.xml"/><Relationship Id="rId19" Type="http://schemas.openxmlformats.org/officeDocument/2006/relationships/chart" Target="../charts/chart64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Relationship Id="rId14" Type="http://schemas.openxmlformats.org/officeDocument/2006/relationships/chart" Target="../charts/chart59.xml"/><Relationship Id="rId22" Type="http://schemas.openxmlformats.org/officeDocument/2006/relationships/chart" Target="../charts/chart6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5.xml"/><Relationship Id="rId3" Type="http://schemas.openxmlformats.org/officeDocument/2006/relationships/chart" Target="../charts/chart70.xml"/><Relationship Id="rId7" Type="http://schemas.openxmlformats.org/officeDocument/2006/relationships/chart" Target="../charts/chart74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4" Type="http://schemas.openxmlformats.org/officeDocument/2006/relationships/chart" Target="../charts/chart7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99060</xdr:rowOff>
    </xdr:from>
    <xdr:to>
      <xdr:col>4</xdr:col>
      <xdr:colOff>830580</xdr:colOff>
      <xdr:row>83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81</xdr:row>
      <xdr:rowOff>7620</xdr:rowOff>
    </xdr:from>
    <xdr:to>
      <xdr:col>4</xdr:col>
      <xdr:colOff>838200</xdr:colOff>
      <xdr:row>94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94</xdr:row>
      <xdr:rowOff>190500</xdr:rowOff>
    </xdr:from>
    <xdr:to>
      <xdr:col>5</xdr:col>
      <xdr:colOff>0</xdr:colOff>
      <xdr:row>108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108</xdr:row>
      <xdr:rowOff>160020</xdr:rowOff>
    </xdr:from>
    <xdr:to>
      <xdr:col>5</xdr:col>
      <xdr:colOff>7620</xdr:colOff>
      <xdr:row>122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106680</xdr:colOff>
      <xdr:row>114</xdr:row>
      <xdr:rowOff>0</xdr:rowOff>
    </xdr:from>
    <xdr:to>
      <xdr:col>10</xdr:col>
      <xdr:colOff>0</xdr:colOff>
      <xdr:row>127</xdr:row>
      <xdr:rowOff>190500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22860</xdr:colOff>
      <xdr:row>113</xdr:row>
      <xdr:rowOff>182880</xdr:rowOff>
    </xdr:from>
    <xdr:to>
      <xdr:col>14</xdr:col>
      <xdr:colOff>45720</xdr:colOff>
      <xdr:row>127</xdr:row>
      <xdr:rowOff>190500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</xdr:colOff>
      <xdr:row>127</xdr:row>
      <xdr:rowOff>190500</xdr:rowOff>
    </xdr:from>
    <xdr:to>
      <xdr:col>14</xdr:col>
      <xdr:colOff>60960</xdr:colOff>
      <xdr:row>141</xdr:row>
      <xdr:rowOff>190500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4354</xdr:colOff>
      <xdr:row>141</xdr:row>
      <xdr:rowOff>179615</xdr:rowOff>
    </xdr:from>
    <xdr:to>
      <xdr:col>10</xdr:col>
      <xdr:colOff>16328</xdr:colOff>
      <xdr:row>155</xdr:row>
      <xdr:rowOff>185057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13062</xdr:colOff>
      <xdr:row>141</xdr:row>
      <xdr:rowOff>179614</xdr:rowOff>
    </xdr:from>
    <xdr:to>
      <xdr:col>14</xdr:col>
      <xdr:colOff>105591</xdr:colOff>
      <xdr:row>155</xdr:row>
      <xdr:rowOff>192676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777240</xdr:colOff>
      <xdr:row>217</xdr:row>
      <xdr:rowOff>0</xdr:rowOff>
    </xdr:from>
    <xdr:to>
      <xdr:col>23</xdr:col>
      <xdr:colOff>53340</xdr:colOff>
      <xdr:row>230</xdr:row>
      <xdr:rowOff>167640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110490</xdr:colOff>
      <xdr:row>230</xdr:row>
      <xdr:rowOff>192405</xdr:rowOff>
    </xdr:from>
    <xdr:to>
      <xdr:col>18</xdr:col>
      <xdr:colOff>777240</xdr:colOff>
      <xdr:row>244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792480</xdr:colOff>
      <xdr:row>230</xdr:row>
      <xdr:rowOff>175260</xdr:rowOff>
    </xdr:from>
    <xdr:to>
      <xdr:col>23</xdr:col>
      <xdr:colOff>68580</xdr:colOff>
      <xdr:row>244</xdr:row>
      <xdr:rowOff>144780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112395</xdr:colOff>
      <xdr:row>244</xdr:row>
      <xdr:rowOff>156210</xdr:rowOff>
    </xdr:from>
    <xdr:to>
      <xdr:col>18</xdr:col>
      <xdr:colOff>777240</xdr:colOff>
      <xdr:row>258</xdr:row>
      <xdr:rowOff>125730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784860</xdr:colOff>
      <xdr:row>244</xdr:row>
      <xdr:rowOff>144780</xdr:rowOff>
    </xdr:from>
    <xdr:to>
      <xdr:col>23</xdr:col>
      <xdr:colOff>68580</xdr:colOff>
      <xdr:row>258</xdr:row>
      <xdr:rowOff>114300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120016</xdr:colOff>
      <xdr:row>216</xdr:row>
      <xdr:rowOff>191862</xdr:rowOff>
    </xdr:from>
    <xdr:to>
      <xdr:col>18</xdr:col>
      <xdr:colOff>762000</xdr:colOff>
      <xdr:row>230</xdr:row>
      <xdr:rowOff>191862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127</xdr:row>
      <xdr:rowOff>185057</xdr:rowOff>
    </xdr:from>
    <xdr:to>
      <xdr:col>10</xdr:col>
      <xdr:colOff>0</xdr:colOff>
      <xdr:row>141</xdr:row>
      <xdr:rowOff>185057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88447</xdr:colOff>
      <xdr:row>258</xdr:row>
      <xdr:rowOff>134167</xdr:rowOff>
    </xdr:from>
    <xdr:to>
      <xdr:col>18</xdr:col>
      <xdr:colOff>807720</xdr:colOff>
      <xdr:row>272</xdr:row>
      <xdr:rowOff>134167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792480</xdr:colOff>
      <xdr:row>258</xdr:row>
      <xdr:rowOff>97972</xdr:rowOff>
    </xdr:from>
    <xdr:to>
      <xdr:col>23</xdr:col>
      <xdr:colOff>76200</xdr:colOff>
      <xdr:row>272</xdr:row>
      <xdr:rowOff>137160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121375</xdr:colOff>
      <xdr:row>272</xdr:row>
      <xdr:rowOff>123281</xdr:rowOff>
    </xdr:from>
    <xdr:to>
      <xdr:col>18</xdr:col>
      <xdr:colOff>807720</xdr:colOff>
      <xdr:row>286</xdr:row>
      <xdr:rowOff>123281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812075</xdr:colOff>
      <xdr:row>272</xdr:row>
      <xdr:rowOff>114300</xdr:rowOff>
    </xdr:from>
    <xdr:to>
      <xdr:col>24</xdr:col>
      <xdr:colOff>0</xdr:colOff>
      <xdr:row>286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116205</xdr:colOff>
      <xdr:row>286</xdr:row>
      <xdr:rowOff>123282</xdr:rowOff>
    </xdr:from>
    <xdr:to>
      <xdr:col>18</xdr:col>
      <xdr:colOff>815340</xdr:colOff>
      <xdr:row>300</xdr:row>
      <xdr:rowOff>123282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830580</xdr:colOff>
      <xdr:row>286</xdr:row>
      <xdr:rowOff>121921</xdr:rowOff>
    </xdr:from>
    <xdr:to>
      <xdr:col>24</xdr:col>
      <xdr:colOff>7619</xdr:colOff>
      <xdr:row>300</xdr:row>
      <xdr:rowOff>137161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108584</xdr:colOff>
      <xdr:row>300</xdr:row>
      <xdr:rowOff>110490</xdr:rowOff>
    </xdr:from>
    <xdr:to>
      <xdr:col>18</xdr:col>
      <xdr:colOff>815340</xdr:colOff>
      <xdr:row>314</xdr:row>
      <xdr:rowOff>110490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18</xdr:col>
      <xdr:colOff>819692</xdr:colOff>
      <xdr:row>300</xdr:row>
      <xdr:rowOff>132806</xdr:rowOff>
    </xdr:from>
    <xdr:to>
      <xdr:col>24</xdr:col>
      <xdr:colOff>7620</xdr:colOff>
      <xdr:row>314</xdr:row>
      <xdr:rowOff>132806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1</xdr:colOff>
      <xdr:row>115</xdr:row>
      <xdr:rowOff>163283</xdr:rowOff>
    </xdr:from>
    <xdr:to>
      <xdr:col>29</xdr:col>
      <xdr:colOff>0</xdr:colOff>
      <xdr:row>129</xdr:row>
      <xdr:rowOff>163283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4082</xdr:colOff>
      <xdr:row>130</xdr:row>
      <xdr:rowOff>20409</xdr:rowOff>
    </xdr:from>
    <xdr:to>
      <xdr:col>29</xdr:col>
      <xdr:colOff>19050</xdr:colOff>
      <xdr:row>144</xdr:row>
      <xdr:rowOff>20409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23</xdr:col>
      <xdr:colOff>118381</xdr:colOff>
      <xdr:row>144</xdr:row>
      <xdr:rowOff>35378</xdr:rowOff>
    </xdr:from>
    <xdr:to>
      <xdr:col>29</xdr:col>
      <xdr:colOff>31296</xdr:colOff>
      <xdr:row>158</xdr:row>
      <xdr:rowOff>35378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23</xdr:col>
      <xdr:colOff>89806</xdr:colOff>
      <xdr:row>158</xdr:row>
      <xdr:rowOff>54427</xdr:rowOff>
    </xdr:from>
    <xdr:to>
      <xdr:col>29</xdr:col>
      <xdr:colOff>2721</xdr:colOff>
      <xdr:row>172</xdr:row>
      <xdr:rowOff>54427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23</xdr:col>
      <xdr:colOff>99334</xdr:colOff>
      <xdr:row>172</xdr:row>
      <xdr:rowOff>53069</xdr:rowOff>
    </xdr:from>
    <xdr:to>
      <xdr:col>29</xdr:col>
      <xdr:colOff>12246</xdr:colOff>
      <xdr:row>186</xdr:row>
      <xdr:rowOff>182336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23</xdr:col>
      <xdr:colOff>97974</xdr:colOff>
      <xdr:row>186</xdr:row>
      <xdr:rowOff>183697</xdr:rowOff>
    </xdr:from>
    <xdr:to>
      <xdr:col>29</xdr:col>
      <xdr:colOff>21771</xdr:colOff>
      <xdr:row>200</xdr:row>
      <xdr:rowOff>183697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29</xdr:col>
      <xdr:colOff>110216</xdr:colOff>
      <xdr:row>161</xdr:row>
      <xdr:rowOff>118384</xdr:rowOff>
    </xdr:from>
    <xdr:to>
      <xdr:col>36</xdr:col>
      <xdr:colOff>523875</xdr:colOff>
      <xdr:row>175</xdr:row>
      <xdr:rowOff>118384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29</xdr:col>
      <xdr:colOff>110216</xdr:colOff>
      <xdr:row>176</xdr:row>
      <xdr:rowOff>14968</xdr:rowOff>
    </xdr:from>
    <xdr:to>
      <xdr:col>36</xdr:col>
      <xdr:colOff>523874</xdr:colOff>
      <xdr:row>190</xdr:row>
      <xdr:rowOff>14968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37</xdr:col>
      <xdr:colOff>129539</xdr:colOff>
      <xdr:row>161</xdr:row>
      <xdr:rowOff>115934</xdr:rowOff>
    </xdr:from>
    <xdr:to>
      <xdr:col>44</xdr:col>
      <xdr:colOff>149951</xdr:colOff>
      <xdr:row>175</xdr:row>
      <xdr:rowOff>115934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37</xdr:col>
      <xdr:colOff>129539</xdr:colOff>
      <xdr:row>175</xdr:row>
      <xdr:rowOff>197846</xdr:rowOff>
    </xdr:from>
    <xdr:to>
      <xdr:col>44</xdr:col>
      <xdr:colOff>148046</xdr:colOff>
      <xdr:row>189</xdr:row>
      <xdr:rowOff>197846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45</xdr:col>
      <xdr:colOff>8165</xdr:colOff>
      <xdr:row>52</xdr:row>
      <xdr:rowOff>180976</xdr:rowOff>
    </xdr:from>
    <xdr:to>
      <xdr:col>50</xdr:col>
      <xdr:colOff>223158</xdr:colOff>
      <xdr:row>66</xdr:row>
      <xdr:rowOff>180976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44</xdr:col>
      <xdr:colOff>160019</xdr:colOff>
      <xdr:row>66</xdr:row>
      <xdr:rowOff>188323</xdr:rowOff>
    </xdr:from>
    <xdr:to>
      <xdr:col>50</xdr:col>
      <xdr:colOff>203562</xdr:colOff>
      <xdr:row>80</xdr:row>
      <xdr:rowOff>188323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53340</xdr:rowOff>
    </xdr:from>
    <xdr:to>
      <xdr:col>5</xdr:col>
      <xdr:colOff>472440</xdr:colOff>
      <xdr:row>60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22860</xdr:rowOff>
    </xdr:from>
    <xdr:to>
      <xdr:col>5</xdr:col>
      <xdr:colOff>472440</xdr:colOff>
      <xdr:row>73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480060</xdr:colOff>
      <xdr:row>46</xdr:row>
      <xdr:rowOff>53340</xdr:rowOff>
    </xdr:from>
    <xdr:to>
      <xdr:col>13</xdr:col>
      <xdr:colOff>419100</xdr:colOff>
      <xdr:row>60</xdr:row>
      <xdr:rowOff>22860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472440</xdr:colOff>
      <xdr:row>60</xdr:row>
      <xdr:rowOff>15240</xdr:rowOff>
    </xdr:from>
    <xdr:to>
      <xdr:col>13</xdr:col>
      <xdr:colOff>411480</xdr:colOff>
      <xdr:row>73</xdr:row>
      <xdr:rowOff>182880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114300</xdr:colOff>
      <xdr:row>47</xdr:row>
      <xdr:rowOff>190500</xdr:rowOff>
    </xdr:from>
    <xdr:to>
      <xdr:col>23</xdr:col>
      <xdr:colOff>190500</xdr:colOff>
      <xdr:row>61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190500</xdr:colOff>
      <xdr:row>47</xdr:row>
      <xdr:rowOff>190500</xdr:rowOff>
    </xdr:from>
    <xdr:to>
      <xdr:col>30</xdr:col>
      <xdr:colOff>571500</xdr:colOff>
      <xdr:row>61</xdr:row>
      <xdr:rowOff>160020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7619</xdr:colOff>
      <xdr:row>40</xdr:row>
      <xdr:rowOff>129540</xdr:rowOff>
    </xdr:from>
    <xdr:to>
      <xdr:col>69</xdr:col>
      <xdr:colOff>9525</xdr:colOff>
      <xdr:row>59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79</xdr:col>
      <xdr:colOff>119743</xdr:colOff>
      <xdr:row>2</xdr:row>
      <xdr:rowOff>78376</xdr:rowOff>
    </xdr:from>
    <xdr:to>
      <xdr:col>86</xdr:col>
      <xdr:colOff>50074</xdr:colOff>
      <xdr:row>16</xdr:row>
      <xdr:rowOff>47896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79</xdr:col>
      <xdr:colOff>119742</xdr:colOff>
      <xdr:row>16</xdr:row>
      <xdr:rowOff>51162</xdr:rowOff>
    </xdr:from>
    <xdr:to>
      <xdr:col>86</xdr:col>
      <xdr:colOff>50073</xdr:colOff>
      <xdr:row>30</xdr:row>
      <xdr:rowOff>11974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41</xdr:row>
      <xdr:rowOff>0</xdr:rowOff>
    </xdr:from>
    <xdr:to>
      <xdr:col>9</xdr:col>
      <xdr:colOff>129540</xdr:colOff>
      <xdr:row>51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7620</xdr:rowOff>
    </xdr:from>
    <xdr:to>
      <xdr:col>9</xdr:col>
      <xdr:colOff>121920</xdr:colOff>
      <xdr:row>65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0</xdr:colOff>
      <xdr:row>61</xdr:row>
      <xdr:rowOff>182880</xdr:rowOff>
    </xdr:from>
    <xdr:to>
      <xdr:col>49</xdr:col>
      <xdr:colOff>7620</xdr:colOff>
      <xdr:row>75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0</xdr:colOff>
      <xdr:row>75</xdr:row>
      <xdr:rowOff>160020</xdr:rowOff>
    </xdr:from>
    <xdr:to>
      <xdr:col>49</xdr:col>
      <xdr:colOff>7620</xdr:colOff>
      <xdr:row>89</xdr:row>
      <xdr:rowOff>129540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0</xdr:colOff>
      <xdr:row>89</xdr:row>
      <xdr:rowOff>114300</xdr:rowOff>
    </xdr:from>
    <xdr:to>
      <xdr:col>49</xdr:col>
      <xdr:colOff>7620</xdr:colOff>
      <xdr:row>103</xdr:row>
      <xdr:rowOff>83820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114300</xdr:colOff>
      <xdr:row>162</xdr:row>
      <xdr:rowOff>76200</xdr:rowOff>
    </xdr:from>
    <xdr:to>
      <xdr:col>56</xdr:col>
      <xdr:colOff>38100</xdr:colOff>
      <xdr:row>176</xdr:row>
      <xdr:rowOff>45720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106680</xdr:colOff>
      <xdr:row>176</xdr:row>
      <xdr:rowOff>38100</xdr:rowOff>
    </xdr:from>
    <xdr:to>
      <xdr:col>56</xdr:col>
      <xdr:colOff>30480</xdr:colOff>
      <xdr:row>190</xdr:row>
      <xdr:rowOff>7620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118110</xdr:colOff>
      <xdr:row>190</xdr:row>
      <xdr:rowOff>7620</xdr:rowOff>
    </xdr:from>
    <xdr:to>
      <xdr:col>56</xdr:col>
      <xdr:colOff>30480</xdr:colOff>
      <xdr:row>203</xdr:row>
      <xdr:rowOff>175260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57</xdr:col>
      <xdr:colOff>0</xdr:colOff>
      <xdr:row>46</xdr:row>
      <xdr:rowOff>0</xdr:rowOff>
    </xdr:from>
    <xdr:to>
      <xdr:col>71</xdr:col>
      <xdr:colOff>0</xdr:colOff>
      <xdr:row>59</xdr:row>
      <xdr:rowOff>167640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114300</xdr:colOff>
      <xdr:row>59</xdr:row>
      <xdr:rowOff>175260</xdr:rowOff>
    </xdr:from>
    <xdr:to>
      <xdr:col>71</xdr:col>
      <xdr:colOff>0</xdr:colOff>
      <xdr:row>76</xdr:row>
      <xdr:rowOff>190500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91</xdr:col>
      <xdr:colOff>16934</xdr:colOff>
      <xdr:row>60</xdr:row>
      <xdr:rowOff>138007</xdr:rowOff>
    </xdr:from>
    <xdr:to>
      <xdr:col>100</xdr:col>
      <xdr:colOff>8466</xdr:colOff>
      <xdr:row>74</xdr:row>
      <xdr:rowOff>107526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91</xdr:col>
      <xdr:colOff>0</xdr:colOff>
      <xdr:row>45</xdr:row>
      <xdr:rowOff>121920</xdr:rowOff>
    </xdr:from>
    <xdr:to>
      <xdr:col>100</xdr:col>
      <xdr:colOff>7620</xdr:colOff>
      <xdr:row>60</xdr:row>
      <xdr:rowOff>59267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100</xdr:col>
      <xdr:colOff>50799</xdr:colOff>
      <xdr:row>45</xdr:row>
      <xdr:rowOff>106679</xdr:rowOff>
    </xdr:from>
    <xdr:to>
      <xdr:col>110</xdr:col>
      <xdr:colOff>601133</xdr:colOff>
      <xdr:row>60</xdr:row>
      <xdr:rowOff>67732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124</xdr:col>
      <xdr:colOff>114300</xdr:colOff>
      <xdr:row>120</xdr:row>
      <xdr:rowOff>118534</xdr:rowOff>
    </xdr:from>
    <xdr:to>
      <xdr:col>141</xdr:col>
      <xdr:colOff>7620</xdr:colOff>
      <xdr:row>134</xdr:row>
      <xdr:rowOff>91440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4234</xdr:colOff>
      <xdr:row>134</xdr:row>
      <xdr:rowOff>185420</xdr:rowOff>
    </xdr:from>
    <xdr:to>
      <xdr:col>141</xdr:col>
      <xdr:colOff>16087</xdr:colOff>
      <xdr:row>148</xdr:row>
      <xdr:rowOff>154941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124</xdr:col>
      <xdr:colOff>105833</xdr:colOff>
      <xdr:row>149</xdr:row>
      <xdr:rowOff>121073</xdr:rowOff>
    </xdr:from>
    <xdr:to>
      <xdr:col>140</xdr:col>
      <xdr:colOff>563033</xdr:colOff>
      <xdr:row>163</xdr:row>
      <xdr:rowOff>90594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124</xdr:col>
      <xdr:colOff>89746</xdr:colOff>
      <xdr:row>164</xdr:row>
      <xdr:rowOff>14393</xdr:rowOff>
    </xdr:from>
    <xdr:to>
      <xdr:col>140</xdr:col>
      <xdr:colOff>566419</xdr:colOff>
      <xdr:row>177</xdr:row>
      <xdr:rowOff>178646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152</xdr:col>
      <xdr:colOff>0</xdr:colOff>
      <xdr:row>54</xdr:row>
      <xdr:rowOff>106680</xdr:rowOff>
    </xdr:from>
    <xdr:to>
      <xdr:col>168</xdr:col>
      <xdr:colOff>273844</xdr:colOff>
      <xdr:row>73</xdr:row>
      <xdr:rowOff>38100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68580</xdr:colOff>
      <xdr:row>39</xdr:row>
      <xdr:rowOff>68580</xdr:rowOff>
    </xdr:from>
    <xdr:to>
      <xdr:col>24</xdr:col>
      <xdr:colOff>327660</xdr:colOff>
      <xdr:row>53</xdr:row>
      <xdr:rowOff>38100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190</xdr:col>
      <xdr:colOff>25398</xdr:colOff>
      <xdr:row>57</xdr:row>
      <xdr:rowOff>25399</xdr:rowOff>
    </xdr:from>
    <xdr:to>
      <xdr:col>202</xdr:col>
      <xdr:colOff>93133</xdr:colOff>
      <xdr:row>77</xdr:row>
      <xdr:rowOff>33866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171</xdr:col>
      <xdr:colOff>67731</xdr:colOff>
      <xdr:row>24</xdr:row>
      <xdr:rowOff>59267</xdr:rowOff>
    </xdr:from>
    <xdr:to>
      <xdr:col>181</xdr:col>
      <xdr:colOff>245532</xdr:colOff>
      <xdr:row>38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143</xdr:col>
      <xdr:colOff>25399</xdr:colOff>
      <xdr:row>27</xdr:row>
      <xdr:rowOff>84666</xdr:rowOff>
    </xdr:from>
    <xdr:to>
      <xdr:col>151</xdr:col>
      <xdr:colOff>93133</xdr:colOff>
      <xdr:row>41</xdr:row>
      <xdr:rowOff>101599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3810</xdr:rowOff>
    </xdr:from>
    <xdr:to>
      <xdr:col>7</xdr:col>
      <xdr:colOff>7620</xdr:colOff>
      <xdr:row>177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177</xdr:row>
      <xdr:rowOff>156210</xdr:rowOff>
    </xdr:from>
    <xdr:to>
      <xdr:col>7</xdr:col>
      <xdr:colOff>7620</xdr:colOff>
      <xdr:row>191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191</xdr:row>
      <xdr:rowOff>118110</xdr:rowOff>
    </xdr:from>
    <xdr:to>
      <xdr:col>7</xdr:col>
      <xdr:colOff>7620</xdr:colOff>
      <xdr:row>205</xdr:row>
      <xdr:rowOff>87630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205</xdr:row>
      <xdr:rowOff>80010</xdr:rowOff>
    </xdr:from>
    <xdr:to>
      <xdr:col>7</xdr:col>
      <xdr:colOff>0</xdr:colOff>
      <xdr:row>219</xdr:row>
      <xdr:rowOff>49530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219</xdr:row>
      <xdr:rowOff>49530</xdr:rowOff>
    </xdr:from>
    <xdr:to>
      <xdr:col>7</xdr:col>
      <xdr:colOff>0</xdr:colOff>
      <xdr:row>233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233</xdr:row>
      <xdr:rowOff>3810</xdr:rowOff>
    </xdr:from>
    <xdr:to>
      <xdr:col>7</xdr:col>
      <xdr:colOff>7620</xdr:colOff>
      <xdr:row>246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</xdr:colOff>
      <xdr:row>201</xdr:row>
      <xdr:rowOff>0</xdr:rowOff>
    </xdr:from>
    <xdr:to>
      <xdr:col>15</xdr:col>
      <xdr:colOff>31432</xdr:colOff>
      <xdr:row>214</xdr:row>
      <xdr:rowOff>167639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106203</xdr:colOff>
      <xdr:row>216</xdr:row>
      <xdr:rowOff>47624</xdr:rowOff>
    </xdr:from>
    <xdr:to>
      <xdr:col>14</xdr:col>
      <xdr:colOff>1154905</xdr:colOff>
      <xdr:row>232</xdr:row>
      <xdr:rowOff>23812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373380</xdr:colOff>
      <xdr:row>10</xdr:row>
      <xdr:rowOff>0</xdr:rowOff>
    </xdr:from>
    <xdr:to>
      <xdr:col>28</xdr:col>
      <xdr:colOff>15240</xdr:colOff>
      <xdr:row>23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373380</xdr:colOff>
      <xdr:row>24</xdr:row>
      <xdr:rowOff>7620</xdr:rowOff>
    </xdr:from>
    <xdr:to>
      <xdr:col>28</xdr:col>
      <xdr:colOff>15240</xdr:colOff>
      <xdr:row>38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373380</xdr:colOff>
      <xdr:row>41</xdr:row>
      <xdr:rowOff>0</xdr:rowOff>
    </xdr:from>
    <xdr:to>
      <xdr:col>28</xdr:col>
      <xdr:colOff>7620</xdr:colOff>
      <xdr:row>54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388620</xdr:colOff>
      <xdr:row>55</xdr:row>
      <xdr:rowOff>15240</xdr:rowOff>
    </xdr:from>
    <xdr:to>
      <xdr:col>28</xdr:col>
      <xdr:colOff>22860</xdr:colOff>
      <xdr:row>69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song/Desktop/ADP-CPS-ASEC/ADP-CPS-2018/cpsUSmar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song/Desktop/ADP-CPS-ASEC/ADP-CPS-2018/cpsNJmar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US Tables"/>
      <sheetName val="Table 2"/>
      <sheetName val="Table 3"/>
      <sheetName val="Table 4"/>
      <sheetName val="Table 5"/>
      <sheetName val="Table 6-H &amp; 8"/>
      <sheetName val="Table 6_F &amp; 7"/>
      <sheetName val="Table 8"/>
      <sheetName val="Table 10"/>
    </sheetNames>
    <sheetDataSet>
      <sheetData sheetId="0">
        <row r="13">
          <cell r="C13">
            <v>127099.2</v>
          </cell>
        </row>
      </sheetData>
      <sheetData sheetId="1">
        <row r="8">
          <cell r="B8">
            <v>61022.46</v>
          </cell>
        </row>
        <row r="9">
          <cell r="B9">
            <v>6410.4880000000003</v>
          </cell>
        </row>
        <row r="10">
          <cell r="B10">
            <v>15480.65</v>
          </cell>
        </row>
        <row r="11">
          <cell r="B11">
            <v>43.936439999999997</v>
          </cell>
        </row>
        <row r="12">
          <cell r="B12">
            <v>43947.39</v>
          </cell>
        </row>
      </sheetData>
      <sheetData sheetId="2">
        <row r="6">
          <cell r="F6">
            <v>126549.592</v>
          </cell>
          <cell r="G6">
            <v>134238.09899999999</v>
          </cell>
        </row>
        <row r="7">
          <cell r="C7">
            <v>63548.24</v>
          </cell>
        </row>
        <row r="8">
          <cell r="C8">
            <v>63548.24</v>
          </cell>
        </row>
        <row r="9">
          <cell r="C9">
            <v>2076.7689999999998</v>
          </cell>
        </row>
        <row r="10">
          <cell r="C10">
            <v>1867.942</v>
          </cell>
        </row>
        <row r="11">
          <cell r="C11">
            <v>3348.0540000000001</v>
          </cell>
        </row>
        <row r="12">
          <cell r="C12">
            <v>11703.25</v>
          </cell>
        </row>
        <row r="13">
          <cell r="C13">
            <v>10987.36</v>
          </cell>
        </row>
        <row r="14">
          <cell r="C14">
            <v>14730.24</v>
          </cell>
        </row>
        <row r="15">
          <cell r="C15">
            <v>2217.009</v>
          </cell>
        </row>
        <row r="16">
          <cell r="C16">
            <v>2910.0369999999998</v>
          </cell>
        </row>
        <row r="17">
          <cell r="C17">
            <v>44372.160000000003</v>
          </cell>
        </row>
        <row r="18">
          <cell r="C18">
            <v>39478.39</v>
          </cell>
        </row>
      </sheetData>
      <sheetData sheetId="3">
        <row r="8">
          <cell r="B8">
            <v>50901.13</v>
          </cell>
        </row>
        <row r="9">
          <cell r="B9">
            <v>19811.150000000001</v>
          </cell>
        </row>
        <row r="10">
          <cell r="B10">
            <v>3061.0839999999998</v>
          </cell>
        </row>
      </sheetData>
      <sheetData sheetId="4">
        <row r="7">
          <cell r="G7">
            <v>255755.149</v>
          </cell>
          <cell r="H7">
            <v>123637.82800000001</v>
          </cell>
          <cell r="I7">
            <v>132117.321</v>
          </cell>
        </row>
        <row r="8">
          <cell r="G8">
            <v>160759.06900000002</v>
          </cell>
          <cell r="H8">
            <v>84975.918000000005</v>
          </cell>
          <cell r="I8">
            <v>75783.150999999998</v>
          </cell>
        </row>
        <row r="9">
          <cell r="G9">
            <v>153685.39000000001</v>
          </cell>
          <cell r="H9">
            <v>80993.02</v>
          </cell>
          <cell r="I9">
            <v>72692.37</v>
          </cell>
        </row>
        <row r="10">
          <cell r="G10">
            <v>7073.6790000000001</v>
          </cell>
          <cell r="H10">
            <v>3982.8980000000001</v>
          </cell>
          <cell r="I10">
            <v>3090.7809999999999</v>
          </cell>
        </row>
        <row r="16">
          <cell r="G16">
            <v>199299.65899999999</v>
          </cell>
        </row>
        <row r="17">
          <cell r="G17">
            <v>125354.739</v>
          </cell>
        </row>
        <row r="18">
          <cell r="G18">
            <v>120503.1</v>
          </cell>
        </row>
        <row r="19">
          <cell r="G19">
            <v>4851.6390000000001</v>
          </cell>
        </row>
        <row r="22">
          <cell r="G22">
            <v>32381.21</v>
          </cell>
        </row>
        <row r="23">
          <cell r="G23">
            <v>20090.949999999997</v>
          </cell>
        </row>
        <row r="24">
          <cell r="G24">
            <v>18596.759999999998</v>
          </cell>
        </row>
        <row r="25">
          <cell r="G25">
            <v>1494.19</v>
          </cell>
          <cell r="L25">
            <v>19369.905299999999</v>
          </cell>
        </row>
        <row r="26">
          <cell r="L26">
            <v>12192.979299999999</v>
          </cell>
        </row>
        <row r="27">
          <cell r="L27">
            <v>11672.32</v>
          </cell>
        </row>
        <row r="28">
          <cell r="L28">
            <v>520.65930000000003</v>
          </cell>
        </row>
        <row r="31">
          <cell r="G31">
            <v>16761.958899999998</v>
          </cell>
        </row>
        <row r="32">
          <cell r="G32">
            <v>5678.4989000000005</v>
          </cell>
        </row>
        <row r="33">
          <cell r="G33">
            <v>4916.7060000000001</v>
          </cell>
        </row>
        <row r="34">
          <cell r="G34">
            <v>761.79290000000003</v>
          </cell>
        </row>
        <row r="43">
          <cell r="G43">
            <v>41748.673999999999</v>
          </cell>
        </row>
        <row r="44">
          <cell r="G44">
            <v>27464.724000000002</v>
          </cell>
        </row>
        <row r="45">
          <cell r="G45">
            <v>26041.08</v>
          </cell>
        </row>
        <row r="46">
          <cell r="G46">
            <v>1423.644</v>
          </cell>
        </row>
      </sheetData>
      <sheetData sheetId="5">
        <row r="18">
          <cell r="L18">
            <v>58148.899123357376</v>
          </cell>
        </row>
        <row r="19">
          <cell r="L19">
            <v>57762.68980522413</v>
          </cell>
        </row>
        <row r="20">
          <cell r="L20">
            <v>57677.432539063266</v>
          </cell>
        </row>
        <row r="21">
          <cell r="L21">
            <v>57892.771476220878</v>
          </cell>
        </row>
        <row r="22">
          <cell r="L22">
            <v>58417.162028537306</v>
          </cell>
        </row>
        <row r="23">
          <cell r="L23">
            <v>59075.012408137431</v>
          </cell>
        </row>
        <row r="24">
          <cell r="L24">
            <v>58414.318743281809</v>
          </cell>
        </row>
        <row r="25">
          <cell r="L25">
            <v>57175.420872624614</v>
          </cell>
        </row>
        <row r="26">
          <cell r="L26">
            <v>56274.860097856712</v>
          </cell>
        </row>
        <row r="27">
          <cell r="L27">
            <v>55050.299910177913</v>
          </cell>
        </row>
        <row r="28">
          <cell r="L28">
            <v>54480.30081196838</v>
          </cell>
        </row>
        <row r="29">
          <cell r="L29">
            <v>54527.527315256055</v>
          </cell>
        </row>
        <row r="30">
          <cell r="L30">
            <v>55058.126005118233</v>
          </cell>
        </row>
        <row r="31">
          <cell r="L31">
            <v>56904.797831998694</v>
          </cell>
        </row>
        <row r="32">
          <cell r="L32">
            <v>57953.65136231319</v>
          </cell>
        </row>
        <row r="33">
          <cell r="L33">
            <v>58210.289245605949</v>
          </cell>
        </row>
      </sheetData>
      <sheetData sheetId="6">
        <row r="24">
          <cell r="L24">
            <v>70877.67805570089</v>
          </cell>
        </row>
        <row r="25">
          <cell r="L25">
            <v>70386.977467268094</v>
          </cell>
        </row>
        <row r="26">
          <cell r="L26">
            <v>70296.862077800411</v>
          </cell>
        </row>
        <row r="27">
          <cell r="L27">
            <v>70472.883296649903</v>
          </cell>
        </row>
        <row r="28">
          <cell r="L28">
            <v>70901.357362028706</v>
          </cell>
        </row>
        <row r="29">
          <cell r="L29">
            <v>71889.477335397663</v>
          </cell>
        </row>
        <row r="30">
          <cell r="L30">
            <v>71383.275839249633</v>
          </cell>
        </row>
        <row r="31">
          <cell r="L31">
            <v>69444.678995173977</v>
          </cell>
        </row>
        <row r="32">
          <cell r="L32">
            <v>68324.958064341743</v>
          </cell>
        </row>
        <row r="33">
          <cell r="L33">
            <v>67166.53082680708</v>
          </cell>
        </row>
        <row r="34">
          <cell r="L34">
            <v>66447.35621696047</v>
          </cell>
        </row>
        <row r="35">
          <cell r="L35">
            <v>66796.312883211882</v>
          </cell>
        </row>
        <row r="36">
          <cell r="L36">
            <v>68061.900518102892</v>
          </cell>
        </row>
        <row r="37">
          <cell r="L37">
            <v>71066.027336273575</v>
          </cell>
        </row>
        <row r="38">
          <cell r="L38">
            <v>72430.858038761988</v>
          </cell>
        </row>
        <row r="39">
          <cell r="L39">
            <v>72582.372308861726</v>
          </cell>
        </row>
      </sheetData>
      <sheetData sheetId="7"/>
      <sheetData sheetId="8">
        <row r="7">
          <cell r="C7">
            <v>3049.7269999999999</v>
          </cell>
          <cell r="F7">
            <v>3.6762509684172127E-2</v>
          </cell>
        </row>
        <row r="9">
          <cell r="C9">
            <v>4047.99</v>
          </cell>
          <cell r="D9">
            <v>7918.0389999999998</v>
          </cell>
          <cell r="F9">
            <v>9.5446899154302212E-2</v>
          </cell>
          <cell r="H9">
            <v>0.26120412300886214</v>
          </cell>
        </row>
        <row r="22">
          <cell r="C22">
            <v>5300.9780000000001</v>
          </cell>
          <cell r="F22">
            <v>8.0690111089783773E-2</v>
          </cell>
        </row>
        <row r="23">
          <cell r="C23">
            <v>1859.2650000000001</v>
          </cell>
          <cell r="F23">
            <v>0.18595139331302282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NJ Tables"/>
      <sheetName val="Table 1"/>
      <sheetName val="Table 2"/>
      <sheetName val="Table 3 &amp; 13"/>
      <sheetName val="Table 4"/>
      <sheetName val="Table 5"/>
      <sheetName val="Table 6-H &amp; 8"/>
      <sheetName val="Table 6-7f"/>
      <sheetName val="Table 7-14"/>
      <sheetName val="Table 8 &amp; 15"/>
      <sheetName val="Table 9-10-14-16"/>
      <sheetName val="Table 11"/>
      <sheetName val="Table 12"/>
      <sheetName val="Table 14-7"/>
      <sheetName val="Table 15"/>
      <sheetName val="Table S1"/>
      <sheetName val="Table S2"/>
      <sheetName val="Table S3"/>
      <sheetName val="Table S4"/>
      <sheetName val="Table S5"/>
      <sheetName val="Table S6"/>
      <sheetName val="Table S7"/>
      <sheetName val="HI-05"/>
    </sheetNames>
    <sheetDataSet>
      <sheetData sheetId="0"/>
      <sheetData sheetId="1"/>
      <sheetData sheetId="2"/>
      <sheetData sheetId="3">
        <row r="7">
          <cell r="F7">
            <v>3547315.15</v>
          </cell>
          <cell r="G7">
            <v>3750310.27</v>
          </cell>
        </row>
        <row r="8">
          <cell r="F8">
            <v>0.52135006950256446</v>
          </cell>
          <cell r="I8">
            <v>0.50684788367775668</v>
          </cell>
        </row>
        <row r="9">
          <cell r="G9">
            <v>0.49313066569289477</v>
          </cell>
        </row>
        <row r="10">
          <cell r="F10">
            <v>2.3035444144284729E-2</v>
          </cell>
          <cell r="I10">
            <v>1.842218012883429E-2</v>
          </cell>
        </row>
        <row r="11">
          <cell r="G11">
            <v>1.4058620808459136E-2</v>
          </cell>
        </row>
        <row r="12">
          <cell r="F12">
            <v>2.4111827222343073E-2</v>
          </cell>
          <cell r="I12">
            <v>5.4593751675459386E-2</v>
          </cell>
        </row>
        <row r="13">
          <cell r="G13">
            <v>8.3425764130176883E-2</v>
          </cell>
        </row>
        <row r="14">
          <cell r="F14">
            <v>6.2331197159068319E-2</v>
          </cell>
          <cell r="I14">
            <v>7.8953805770973662E-2</v>
          </cell>
        </row>
        <row r="15">
          <cell r="G15">
            <v>9.4676673244957946E-2</v>
          </cell>
        </row>
        <row r="16">
          <cell r="F16">
            <v>1.5818306980703419E-2</v>
          </cell>
          <cell r="I16">
            <v>1.7156841135866355E-2</v>
          </cell>
        </row>
        <row r="17">
          <cell r="G17">
            <v>1.8422923711855978E-2</v>
          </cell>
        </row>
        <row r="18">
          <cell r="F18">
            <v>0.35335315499103598</v>
          </cell>
          <cell r="I18">
            <v>0.32402553761110969</v>
          </cell>
        </row>
        <row r="19">
          <cell r="D19">
            <v>7297625</v>
          </cell>
          <cell r="G19">
            <v>0.29628535241165527</v>
          </cell>
        </row>
        <row r="22">
          <cell r="F22">
            <v>5475435.6799999997</v>
          </cell>
          <cell r="G22">
            <v>1046939.22</v>
          </cell>
          <cell r="H22">
            <v>1273803.51</v>
          </cell>
        </row>
        <row r="23">
          <cell r="F23">
            <v>0.5227706373130111</v>
          </cell>
        </row>
        <row r="24">
          <cell r="G24">
            <v>0.33868594587563544</v>
          </cell>
        </row>
        <row r="25">
          <cell r="H25">
            <v>0.40842319550524714</v>
          </cell>
        </row>
        <row r="27">
          <cell r="F27">
            <v>1.3339827964155721E-2</v>
          </cell>
        </row>
        <row r="28">
          <cell r="G28">
            <v>3.3981132161616794E-2</v>
          </cell>
        </row>
        <row r="29">
          <cell r="H29">
            <v>3.5549085588561458E-2</v>
          </cell>
        </row>
        <row r="31">
          <cell r="F31">
            <v>5.8495564320098094E-2</v>
          </cell>
        </row>
        <row r="32">
          <cell r="G32">
            <v>5.413732613818785E-2</v>
          </cell>
        </row>
        <row r="33">
          <cell r="H33">
            <v>2.9887089885629221E-2</v>
          </cell>
        </row>
        <row r="35">
          <cell r="F35">
            <v>8.413715856123434E-2</v>
          </cell>
        </row>
        <row r="36">
          <cell r="G36">
            <v>8.5037916527761756E-2</v>
          </cell>
        </row>
        <row r="37">
          <cell r="H37">
            <v>9.4389361511494033E-2</v>
          </cell>
        </row>
        <row r="39">
          <cell r="F39">
            <v>1.6849985168668806E-2</v>
          </cell>
        </row>
        <row r="40">
          <cell r="G40">
            <v>2.0592523031088661E-2</v>
          </cell>
        </row>
        <row r="41">
          <cell r="H41">
            <v>3.9023271336408864E-2</v>
          </cell>
        </row>
        <row r="42">
          <cell r="F42">
            <v>0.30440682667283203</v>
          </cell>
        </row>
        <row r="43">
          <cell r="G43">
            <v>0.46756515626570949</v>
          </cell>
        </row>
        <row r="45">
          <cell r="H45">
            <v>0.3927279961726593</v>
          </cell>
        </row>
      </sheetData>
      <sheetData sheetId="4"/>
      <sheetData sheetId="5">
        <row r="6">
          <cell r="G6">
            <v>3479680.2</v>
          </cell>
        </row>
        <row r="7">
          <cell r="G7">
            <v>2373551.2000000002</v>
          </cell>
        </row>
      </sheetData>
      <sheetData sheetId="6">
        <row r="16">
          <cell r="L16">
            <v>74174.499742013082</v>
          </cell>
        </row>
        <row r="17">
          <cell r="L17">
            <v>75301.072501514107</v>
          </cell>
        </row>
        <row r="18">
          <cell r="L18">
            <v>73614.900776894152</v>
          </cell>
        </row>
        <row r="19">
          <cell r="L19">
            <v>75809.752227153804</v>
          </cell>
        </row>
        <row r="20">
          <cell r="L20">
            <v>80689.361121264461</v>
          </cell>
        </row>
        <row r="21">
          <cell r="L21">
            <v>76261.71452623044</v>
          </cell>
        </row>
        <row r="22">
          <cell r="L22">
            <v>72197.579542150459</v>
          </cell>
        </row>
        <row r="23">
          <cell r="L23">
            <v>73431.879403117622</v>
          </cell>
        </row>
        <row r="24">
          <cell r="L24">
            <v>71809.110350796778</v>
          </cell>
        </row>
        <row r="25">
          <cell r="L25">
            <v>68622.136496054969</v>
          </cell>
        </row>
        <row r="26">
          <cell r="L26">
            <v>68700.587731315551</v>
          </cell>
        </row>
        <row r="27">
          <cell r="L27">
            <v>67376.123921841208</v>
          </cell>
        </row>
        <row r="28">
          <cell r="L28">
            <v>65691.590641251416</v>
          </cell>
        </row>
        <row r="29">
          <cell r="L29">
            <v>67317.601007229561</v>
          </cell>
        </row>
        <row r="30">
          <cell r="L30">
            <v>67387.356730917323</v>
          </cell>
        </row>
        <row r="31">
          <cell r="L31">
            <v>68849.235528743971</v>
          </cell>
        </row>
      </sheetData>
      <sheetData sheetId="7">
        <row r="23">
          <cell r="L23">
            <v>91778.148563966854</v>
          </cell>
        </row>
        <row r="24">
          <cell r="L24">
            <v>93447.090623525903</v>
          </cell>
        </row>
        <row r="25">
          <cell r="L25">
            <v>93564.434733482543</v>
          </cell>
        </row>
        <row r="26">
          <cell r="L26">
            <v>95878.826159990887</v>
          </cell>
        </row>
        <row r="27">
          <cell r="L27">
            <v>98473.546434899094</v>
          </cell>
        </row>
        <row r="28">
          <cell r="L28">
            <v>95945.212375720876</v>
          </cell>
        </row>
        <row r="29">
          <cell r="L29">
            <v>94360.920391729887</v>
          </cell>
        </row>
        <row r="30">
          <cell r="L30">
            <v>91689.497800978046</v>
          </cell>
        </row>
        <row r="31">
          <cell r="L31">
            <v>87412.140988697065</v>
          </cell>
        </row>
        <row r="32">
          <cell r="L32">
            <v>86269.896598271676</v>
          </cell>
        </row>
        <row r="33">
          <cell r="L33">
            <v>86034.244150838334</v>
          </cell>
        </row>
        <row r="34">
          <cell r="L34">
            <v>85425.380316543451</v>
          </cell>
        </row>
        <row r="35">
          <cell r="L35">
            <v>84655.690302300733</v>
          </cell>
        </row>
        <row r="36">
          <cell r="L36">
            <v>88471.11491837044</v>
          </cell>
        </row>
        <row r="37">
          <cell r="L37">
            <v>91562.757908514614</v>
          </cell>
        </row>
        <row r="38">
          <cell r="L38">
            <v>89367.914351206273</v>
          </cell>
        </row>
      </sheetData>
      <sheetData sheetId="8">
        <row r="244">
          <cell r="G244">
            <v>1119.6969999999999</v>
          </cell>
        </row>
        <row r="296">
          <cell r="G296">
            <v>599.59114999999986</v>
          </cell>
        </row>
      </sheetData>
      <sheetData sheetId="9">
        <row r="49">
          <cell r="G49">
            <v>1738.5045</v>
          </cell>
        </row>
        <row r="102">
          <cell r="G102">
            <v>1647.4994999999999</v>
          </cell>
        </row>
        <row r="155">
          <cell r="G155">
            <v>2574.6379999999999</v>
          </cell>
        </row>
        <row r="206">
          <cell r="G206">
            <v>485.97630000000004</v>
          </cell>
        </row>
        <row r="258">
          <cell r="G258">
            <v>528.84010000000001</v>
          </cell>
        </row>
        <row r="325">
          <cell r="G325">
            <v>1328.41435</v>
          </cell>
        </row>
        <row r="377">
          <cell r="G377">
            <v>1244.97</v>
          </cell>
        </row>
      </sheetData>
      <sheetData sheetId="10">
        <row r="6">
          <cell r="H6">
            <v>1710067.88</v>
          </cell>
          <cell r="I6">
            <v>316188.48</v>
          </cell>
          <cell r="J6">
            <v>388842.1</v>
          </cell>
        </row>
        <row r="7">
          <cell r="C7">
            <v>86933.37</v>
          </cell>
          <cell r="H7">
            <v>5.0836210080736681E-2</v>
          </cell>
        </row>
        <row r="8">
          <cell r="C8">
            <v>37848.83</v>
          </cell>
          <cell r="I8">
            <v>0.11970338071772887</v>
          </cell>
        </row>
        <row r="10">
          <cell r="E10">
            <v>149096.6</v>
          </cell>
          <cell r="F10">
            <v>6.54</v>
          </cell>
        </row>
        <row r="11">
          <cell r="H11">
            <v>2.4872860602469186E-2</v>
          </cell>
          <cell r="J11">
            <v>8.7660955436666965E-2</v>
          </cell>
        </row>
        <row r="12">
          <cell r="I12">
            <v>5.0127854120428424E-2</v>
          </cell>
        </row>
        <row r="14">
          <cell r="K14">
            <v>2.9100000000000001E-2</v>
          </cell>
        </row>
        <row r="15">
          <cell r="H15">
            <v>3.2276631030576403E-2</v>
          </cell>
          <cell r="J15">
            <v>6.674853365929255E-2</v>
          </cell>
        </row>
        <row r="16">
          <cell r="I16">
            <v>5.4446006382016202E-2</v>
          </cell>
        </row>
        <row r="18">
          <cell r="K18">
            <v>3.3699999999999994E-2</v>
          </cell>
        </row>
        <row r="19">
          <cell r="H19">
            <v>0.89201429828621781</v>
          </cell>
          <cell r="J19">
            <v>0.70872752718905696</v>
          </cell>
        </row>
        <row r="20">
          <cell r="I20">
            <v>0.77572275877982655</v>
          </cell>
        </row>
        <row r="22">
          <cell r="K22">
            <v>0.87159999999999993</v>
          </cell>
        </row>
        <row r="25">
          <cell r="H25">
            <v>1768313.35</v>
          </cell>
          <cell r="I25">
            <v>373248.12</v>
          </cell>
        </row>
        <row r="26">
          <cell r="C26">
            <v>67697.070000000007</v>
          </cell>
          <cell r="H26">
            <v>3.8283412835174266E-2</v>
          </cell>
        </row>
        <row r="28">
          <cell r="C28">
            <v>69918.3</v>
          </cell>
          <cell r="I28">
            <v>0.18732391739843191</v>
          </cell>
        </row>
        <row r="29">
          <cell r="H29">
            <v>2.0886315199735387E-2</v>
          </cell>
        </row>
        <row r="31">
          <cell r="I31">
            <v>6.7644814929007549E-2</v>
          </cell>
        </row>
        <row r="32">
          <cell r="H32">
            <v>2.3173341987154032E-2</v>
          </cell>
        </row>
        <row r="34">
          <cell r="I34">
            <v>6.4051012500746143E-2</v>
          </cell>
        </row>
        <row r="35">
          <cell r="H35">
            <v>0.91765692997793624</v>
          </cell>
        </row>
        <row r="37">
          <cell r="I37">
            <v>0.68098025517181437</v>
          </cell>
        </row>
        <row r="40">
          <cell r="H40">
            <v>1336190.79</v>
          </cell>
          <cell r="I40">
            <v>782864.7350000001</v>
          </cell>
          <cell r="J40">
            <v>161632.76</v>
          </cell>
        </row>
        <row r="41">
          <cell r="C41">
            <v>55139.99</v>
          </cell>
          <cell r="H41">
            <v>4.1266554456643123E-2</v>
          </cell>
        </row>
        <row r="42">
          <cell r="C42">
            <v>27087.23</v>
          </cell>
          <cell r="I42">
            <v>8.0090783499144322E-2</v>
          </cell>
          <cell r="L42">
            <v>6.7593425963181297E-2</v>
          </cell>
        </row>
        <row r="43">
          <cell r="C43">
            <v>35613.019999999997</v>
          </cell>
          <cell r="M43">
            <v>9.3196793595596752E-2</v>
          </cell>
        </row>
        <row r="44">
          <cell r="C44">
            <v>17135.72</v>
          </cell>
          <cell r="J44">
            <v>0.19337855766368153</v>
          </cell>
        </row>
        <row r="45">
          <cell r="C45">
            <v>14120.59</v>
          </cell>
        </row>
        <row r="46">
          <cell r="H46">
            <v>1.6071911407202558E-2</v>
          </cell>
        </row>
        <row r="47">
          <cell r="I47">
            <v>3.5148147272210439E-2</v>
          </cell>
        </row>
        <row r="49">
          <cell r="J49">
            <v>0.10929504637549961</v>
          </cell>
        </row>
        <row r="51">
          <cell r="H51">
            <v>2.9832311596759323E-2</v>
          </cell>
        </row>
        <row r="52">
          <cell r="I52">
            <v>4.0670295360794348E-2</v>
          </cell>
        </row>
        <row r="54">
          <cell r="J54">
            <v>3.2077346201351754E-2</v>
          </cell>
        </row>
        <row r="56">
          <cell r="H56">
            <v>0.91282922253939491</v>
          </cell>
        </row>
        <row r="57">
          <cell r="I57">
            <v>0.84409077386785081</v>
          </cell>
        </row>
        <row r="59">
          <cell r="J59">
            <v>0.66524904975946708</v>
          </cell>
        </row>
        <row r="63">
          <cell r="H63">
            <v>1908910.17</v>
          </cell>
          <cell r="I63">
            <v>371777.55000000005</v>
          </cell>
        </row>
        <row r="64">
          <cell r="H64">
            <v>5.6389348064503214E-2</v>
          </cell>
        </row>
        <row r="65">
          <cell r="C65">
            <v>41454.32</v>
          </cell>
          <cell r="I65">
            <v>0.1115030210942</v>
          </cell>
        </row>
        <row r="66">
          <cell r="H66">
            <v>2.4758105825377838E-2</v>
          </cell>
        </row>
        <row r="67">
          <cell r="I67">
            <v>5.2171116841240137E-2</v>
          </cell>
        </row>
        <row r="68">
          <cell r="H68">
            <v>3.308902167984154E-2</v>
          </cell>
        </row>
        <row r="69">
          <cell r="I69">
            <v>3.6908576109557986E-2</v>
          </cell>
        </row>
        <row r="70">
          <cell r="H70">
            <v>0.88576352443027739</v>
          </cell>
        </row>
        <row r="71">
          <cell r="I71">
            <v>0.79941728595500183</v>
          </cell>
        </row>
        <row r="74">
          <cell r="H74">
            <v>230595.24000000002</v>
          </cell>
          <cell r="I74">
            <v>524267.32</v>
          </cell>
          <cell r="J74">
            <v>799443.73</v>
          </cell>
          <cell r="K74">
            <v>726381.66</v>
          </cell>
        </row>
        <row r="75">
          <cell r="C75">
            <v>31784.63</v>
          </cell>
          <cell r="H75">
            <v>0.13783732049282543</v>
          </cell>
        </row>
        <row r="76">
          <cell r="C76">
            <v>55611.06</v>
          </cell>
          <cell r="I76">
            <v>0.1060738632345041</v>
          </cell>
        </row>
        <row r="77">
          <cell r="C77">
            <v>24378.6</v>
          </cell>
          <cell r="J77">
            <v>3.049445393736467E-2</v>
          </cell>
        </row>
        <row r="78">
          <cell r="C78">
            <v>37322.26</v>
          </cell>
          <cell r="K78">
            <v>5.1381060474461872E-2</v>
          </cell>
        </row>
        <row r="79">
          <cell r="H79">
            <v>3.8280321831448035E-2</v>
          </cell>
        </row>
        <row r="80">
          <cell r="I80">
            <v>4.8777463374982059E-2</v>
          </cell>
        </row>
        <row r="81">
          <cell r="J81">
            <v>2.0140204239265221E-2</v>
          </cell>
        </row>
        <row r="82">
          <cell r="K82">
            <v>2.2242301657230717E-2</v>
          </cell>
        </row>
        <row r="83">
          <cell r="H83">
            <v>0.10199755207436198</v>
          </cell>
        </row>
        <row r="84">
          <cell r="I84">
            <v>4.2371380310334814E-2</v>
          </cell>
        </row>
        <row r="85">
          <cell r="J85">
            <v>1.685881006284207E-2</v>
          </cell>
        </row>
        <row r="86">
          <cell r="K86">
            <v>2.4331561454896865E-2</v>
          </cell>
        </row>
        <row r="87">
          <cell r="H87">
            <v>0.72188480560136448</v>
          </cell>
        </row>
        <row r="88">
          <cell r="I88">
            <v>0.80277729308017909</v>
          </cell>
        </row>
        <row r="89">
          <cell r="J89">
            <v>0.93250653176052811</v>
          </cell>
        </row>
        <row r="90">
          <cell r="K90">
            <v>0.90204507641341047</v>
          </cell>
        </row>
        <row r="95">
          <cell r="C95">
            <v>53218.09</v>
          </cell>
          <cell r="H95">
            <v>0.13686298371498354</v>
          </cell>
        </row>
      </sheetData>
      <sheetData sheetId="11">
        <row r="8">
          <cell r="E8">
            <v>0.37885713985212061</v>
          </cell>
        </row>
        <row r="9">
          <cell r="E9">
            <v>0.19785499594457864</v>
          </cell>
        </row>
        <row r="10">
          <cell r="E10">
            <v>0.20381891013501774</v>
          </cell>
        </row>
        <row r="12">
          <cell r="E12">
            <v>0.11638438345567104</v>
          </cell>
        </row>
        <row r="13">
          <cell r="E13">
            <v>6.5320782207928252E-2</v>
          </cell>
        </row>
        <row r="14">
          <cell r="C14">
            <v>8937419</v>
          </cell>
          <cell r="E14">
            <v>3.6678441505316017E-2</v>
          </cell>
        </row>
        <row r="19">
          <cell r="E19">
            <v>0.25518418684409894</v>
          </cell>
        </row>
        <row r="20">
          <cell r="E20">
            <v>0.12367295300802167</v>
          </cell>
        </row>
        <row r="28">
          <cell r="E28">
            <v>0.48937181976138749</v>
          </cell>
        </row>
        <row r="29">
          <cell r="E29">
            <v>0.51062818023861256</v>
          </cell>
        </row>
        <row r="34">
          <cell r="E34">
            <v>0.73537662271400728</v>
          </cell>
        </row>
        <row r="35">
          <cell r="E35">
            <v>0.14702600381609052</v>
          </cell>
        </row>
        <row r="36">
          <cell r="E36">
            <v>0.10365699538088122</v>
          </cell>
        </row>
        <row r="43">
          <cell r="E43">
            <v>0.18399562558273255</v>
          </cell>
        </row>
        <row r="48">
          <cell r="E48">
            <v>0.22467101520024965</v>
          </cell>
        </row>
        <row r="49">
          <cell r="E49">
            <v>0.61410279634422416</v>
          </cell>
        </row>
        <row r="50">
          <cell r="E50">
            <v>0.16122618845552614</v>
          </cell>
        </row>
        <row r="55">
          <cell r="E55">
            <v>0.21012140082052772</v>
          </cell>
        </row>
        <row r="56">
          <cell r="E56">
            <v>3.4609096876850015E-2</v>
          </cell>
        </row>
        <row r="57">
          <cell r="E57">
            <v>0.75526950230262224</v>
          </cell>
        </row>
      </sheetData>
      <sheetData sheetId="12">
        <row r="8">
          <cell r="E8">
            <v>0.10110773591126888</v>
          </cell>
        </row>
        <row r="9">
          <cell r="E9">
            <v>0.22987243323067424</v>
          </cell>
        </row>
        <row r="10">
          <cell r="E10">
            <v>0.35052742856541536</v>
          </cell>
        </row>
        <row r="11">
          <cell r="C11">
            <v>2280688</v>
          </cell>
          <cell r="E11">
            <v>0.31849231459980498</v>
          </cell>
        </row>
        <row r="33">
          <cell r="D33">
            <v>3.2966158457447929</v>
          </cell>
        </row>
        <row r="37">
          <cell r="E37">
            <v>0.77534191436969901</v>
          </cell>
        </row>
        <row r="38">
          <cell r="E38">
            <v>6.1002162505349261E-2</v>
          </cell>
        </row>
        <row r="39">
          <cell r="E39">
            <v>0.16365592312495175</v>
          </cell>
        </row>
        <row r="44">
          <cell r="E44">
            <v>0.58587145633247506</v>
          </cell>
        </row>
        <row r="45">
          <cell r="E45">
            <v>0.17570912812274192</v>
          </cell>
        </row>
        <row r="46">
          <cell r="E46">
            <v>0.16754904660348105</v>
          </cell>
        </row>
        <row r="47">
          <cell r="E47">
            <v>4.9786336403751852E-2</v>
          </cell>
        </row>
        <row r="48">
          <cell r="E48">
            <v>2.1083830844026014E-2</v>
          </cell>
        </row>
        <row r="53">
          <cell r="E53">
            <v>0.83698866307009112</v>
          </cell>
        </row>
        <row r="54">
          <cell r="E54">
            <v>0.11822542145177244</v>
          </cell>
        </row>
        <row r="55">
          <cell r="E55">
            <v>3.9899657471780446E-2</v>
          </cell>
        </row>
        <row r="56">
          <cell r="E56">
            <v>4.886025620339126E-3</v>
          </cell>
        </row>
      </sheetData>
      <sheetData sheetId="13">
        <row r="3">
          <cell r="L3">
            <v>41482.030384092708</v>
          </cell>
        </row>
        <row r="4">
          <cell r="L4">
            <v>40002.517704050464</v>
          </cell>
        </row>
        <row r="5">
          <cell r="L5">
            <v>37880.69679858267</v>
          </cell>
        </row>
        <row r="6">
          <cell r="L6">
            <v>41141.418399904564</v>
          </cell>
        </row>
        <row r="7">
          <cell r="L7">
            <v>43889.317206071202</v>
          </cell>
        </row>
        <row r="8">
          <cell r="L8">
            <v>44102.991568196878</v>
          </cell>
        </row>
        <row r="9">
          <cell r="L9">
            <v>45775.888397349059</v>
          </cell>
        </row>
        <row r="10">
          <cell r="L10">
            <v>45201.079859098885</v>
          </cell>
        </row>
        <row r="11">
          <cell r="L11">
            <v>39801.34901632792</v>
          </cell>
        </row>
        <row r="12">
          <cell r="L12">
            <v>34253.750745552868</v>
          </cell>
        </row>
        <row r="13">
          <cell r="L13">
            <v>35379.058872251931</v>
          </cell>
        </row>
        <row r="14">
          <cell r="L14">
            <v>39565.52748332583</v>
          </cell>
        </row>
        <row r="15">
          <cell r="L15">
            <v>37362.394784685843</v>
          </cell>
        </row>
        <row r="16">
          <cell r="L16">
            <v>29938.548481741749</v>
          </cell>
        </row>
        <row r="17">
          <cell r="L17">
            <v>33722.336565260164</v>
          </cell>
        </row>
        <row r="18">
          <cell r="L18">
            <v>36064.034960373858</v>
          </cell>
        </row>
        <row r="41">
          <cell r="G41">
            <v>145.98349999999999</v>
          </cell>
        </row>
        <row r="59">
          <cell r="L59">
            <v>74274.728416194906</v>
          </cell>
        </row>
        <row r="60">
          <cell r="L60">
            <v>75737.620725655433</v>
          </cell>
        </row>
        <row r="61">
          <cell r="L61">
            <v>73950.281595444787</v>
          </cell>
        </row>
        <row r="62">
          <cell r="L62">
            <v>73826.363773388497</v>
          </cell>
        </row>
        <row r="63">
          <cell r="L63">
            <v>76909.925900576156</v>
          </cell>
        </row>
        <row r="64">
          <cell r="L64">
            <v>72627.360937700345</v>
          </cell>
        </row>
        <row r="65">
          <cell r="L65">
            <v>65927.483190751038</v>
          </cell>
        </row>
        <row r="66">
          <cell r="L66">
            <v>64379.144358302467</v>
          </cell>
        </row>
        <row r="67">
          <cell r="L67">
            <v>61520.740228896153</v>
          </cell>
        </row>
        <row r="68">
          <cell r="L68">
            <v>58785.084964063353</v>
          </cell>
        </row>
        <row r="69">
          <cell r="L69">
            <v>59453.410426466689</v>
          </cell>
        </row>
        <row r="70">
          <cell r="L70">
            <v>64897.158335574313</v>
          </cell>
        </row>
        <row r="71">
          <cell r="L71">
            <v>67182.731003865483</v>
          </cell>
        </row>
        <row r="72">
          <cell r="L72">
            <v>64635.522847586675</v>
          </cell>
        </row>
        <row r="73">
          <cell r="L73">
            <v>62740.188973901131</v>
          </cell>
        </row>
        <row r="74">
          <cell r="L74">
            <v>63541.142385614978</v>
          </cell>
        </row>
        <row r="93">
          <cell r="G93">
            <v>600.27200000000005</v>
          </cell>
        </row>
        <row r="115">
          <cell r="L115">
            <v>100700.23404499504</v>
          </cell>
        </row>
        <row r="116">
          <cell r="L116">
            <v>91199.311395080964</v>
          </cell>
        </row>
        <row r="117">
          <cell r="L117">
            <v>88984.147397736029</v>
          </cell>
        </row>
        <row r="118">
          <cell r="L118">
            <v>88956.479897405981</v>
          </cell>
        </row>
        <row r="119">
          <cell r="L119">
            <v>89696.633490609209</v>
          </cell>
        </row>
        <row r="120">
          <cell r="L120">
            <v>86948.448030258369</v>
          </cell>
        </row>
        <row r="121">
          <cell r="L121">
            <v>85857.026991063118</v>
          </cell>
        </row>
        <row r="122">
          <cell r="L122">
            <v>83614.843334843186</v>
          </cell>
        </row>
        <row r="123">
          <cell r="L123">
            <v>82563.784168266866</v>
          </cell>
        </row>
        <row r="124">
          <cell r="L124">
            <v>82450.277619729808</v>
          </cell>
        </row>
        <row r="125">
          <cell r="L125">
            <v>82413.79027336021</v>
          </cell>
        </row>
        <row r="126">
          <cell r="L126">
            <v>78099.442342723341</v>
          </cell>
        </row>
        <row r="127">
          <cell r="L127">
            <v>73345.2533461813</v>
          </cell>
        </row>
        <row r="128">
          <cell r="L128">
            <v>73161.334887561839</v>
          </cell>
        </row>
        <row r="129">
          <cell r="L129">
            <v>75435.076567630487</v>
          </cell>
        </row>
        <row r="130">
          <cell r="L130">
            <v>78227.792156537689</v>
          </cell>
        </row>
        <row r="143">
          <cell r="G143">
            <v>522.06174999999996</v>
          </cell>
        </row>
        <row r="176">
          <cell r="L176">
            <v>137730.19286053197</v>
          </cell>
        </row>
        <row r="177">
          <cell r="L177">
            <v>136062.47936317453</v>
          </cell>
        </row>
        <row r="178">
          <cell r="L178">
            <v>132685.90597116738</v>
          </cell>
        </row>
        <row r="179">
          <cell r="L179">
            <v>140953.42540877027</v>
          </cell>
        </row>
        <row r="180">
          <cell r="L180">
            <v>149116.58618707588</v>
          </cell>
        </row>
        <row r="181">
          <cell r="L181">
            <v>142775.30051140147</v>
          </cell>
        </row>
        <row r="182">
          <cell r="L182">
            <v>137283.11165900072</v>
          </cell>
        </row>
        <row r="183">
          <cell r="L183">
            <v>138096.15422964247</v>
          </cell>
        </row>
        <row r="184">
          <cell r="L184">
            <v>139852.79145551298</v>
          </cell>
        </row>
        <row r="185">
          <cell r="L185">
            <v>132786.41595894701</v>
          </cell>
        </row>
        <row r="186">
          <cell r="L186">
            <v>128638.8178480677</v>
          </cell>
        </row>
        <row r="187">
          <cell r="L187">
            <v>127800.87870480359</v>
          </cell>
        </row>
        <row r="188">
          <cell r="L188">
            <v>124197.18491615598</v>
          </cell>
        </row>
        <row r="189">
          <cell r="L189">
            <v>123742.55782437007</v>
          </cell>
        </row>
        <row r="190">
          <cell r="L190">
            <v>128679.10887195251</v>
          </cell>
        </row>
        <row r="191">
          <cell r="L191">
            <v>128204.67195712098</v>
          </cell>
        </row>
        <row r="195">
          <cell r="G195">
            <v>1012.3705</v>
          </cell>
        </row>
        <row r="257">
          <cell r="L257">
            <v>36654.725445161246</v>
          </cell>
        </row>
        <row r="258">
          <cell r="L258">
            <v>32364.74059060897</v>
          </cell>
        </row>
        <row r="259">
          <cell r="L259">
            <v>32724.637394177153</v>
          </cell>
        </row>
        <row r="260">
          <cell r="L260">
            <v>35186.716214486732</v>
          </cell>
        </row>
        <row r="261">
          <cell r="L261">
            <v>35362.405129698818</v>
          </cell>
        </row>
        <row r="262">
          <cell r="L262">
            <v>32532.060006830368</v>
          </cell>
        </row>
        <row r="263">
          <cell r="L263">
            <v>31995.418638738589</v>
          </cell>
        </row>
        <row r="264">
          <cell r="L264">
            <v>33566.607910477731</v>
          </cell>
        </row>
        <row r="265">
          <cell r="L265">
            <v>31619.316178337896</v>
          </cell>
        </row>
        <row r="266">
          <cell r="L266">
            <v>34434.906592394967</v>
          </cell>
        </row>
        <row r="267">
          <cell r="L267">
            <v>38445.058286972926</v>
          </cell>
        </row>
        <row r="268">
          <cell r="L268">
            <v>36248.609587944593</v>
          </cell>
        </row>
        <row r="269">
          <cell r="L269">
            <v>39277.893099334178</v>
          </cell>
        </row>
        <row r="270">
          <cell r="L270">
            <v>39670.611278532349</v>
          </cell>
        </row>
        <row r="271">
          <cell r="L271">
            <v>36114.035823700484</v>
          </cell>
        </row>
        <row r="272">
          <cell r="L272">
            <v>39140.25149269744</v>
          </cell>
        </row>
        <row r="312">
          <cell r="L312">
            <v>72384.539878179348</v>
          </cell>
        </row>
        <row r="313">
          <cell r="L313">
            <v>72132.173956020313</v>
          </cell>
        </row>
        <row r="314">
          <cell r="L314">
            <v>71107.001950760678</v>
          </cell>
        </row>
        <row r="315">
          <cell r="L315">
            <v>73647.675559766882</v>
          </cell>
        </row>
        <row r="316">
          <cell r="L316">
            <v>72405.596156222717</v>
          </cell>
        </row>
        <row r="317">
          <cell r="L317">
            <v>64326.332042539812</v>
          </cell>
        </row>
        <row r="318">
          <cell r="L318">
            <v>67120.393645041011</v>
          </cell>
        </row>
        <row r="319">
          <cell r="L319">
            <v>69234.416359717012</v>
          </cell>
        </row>
        <row r="320">
          <cell r="L320">
            <v>63795.210573731078</v>
          </cell>
        </row>
        <row r="321">
          <cell r="L321">
            <v>61677.235237976769</v>
          </cell>
        </row>
        <row r="322">
          <cell r="L322">
            <v>62065.878426931595</v>
          </cell>
        </row>
        <row r="323">
          <cell r="L323">
            <v>64920.839556093662</v>
          </cell>
        </row>
        <row r="324">
          <cell r="L324">
            <v>65943.622335061547</v>
          </cell>
        </row>
        <row r="325">
          <cell r="L325">
            <v>65100.897045587328</v>
          </cell>
        </row>
        <row r="326">
          <cell r="L326">
            <v>65747.40922914035</v>
          </cell>
        </row>
        <row r="327">
          <cell r="L327">
            <v>63923.20425062078</v>
          </cell>
        </row>
        <row r="380">
          <cell r="L380">
            <v>116900.52523350844</v>
          </cell>
        </row>
        <row r="381">
          <cell r="L381">
            <v>117451.08881576576</v>
          </cell>
        </row>
        <row r="382">
          <cell r="L382">
            <v>120031.48392017937</v>
          </cell>
        </row>
        <row r="383">
          <cell r="L383">
            <v>118956.57264128119</v>
          </cell>
        </row>
        <row r="384">
          <cell r="L384">
            <v>118257.57757111132</v>
          </cell>
        </row>
        <row r="385">
          <cell r="L385">
            <v>120402.30212823881</v>
          </cell>
        </row>
        <row r="386">
          <cell r="L386">
            <v>119293.74631804557</v>
          </cell>
        </row>
        <row r="387">
          <cell r="L387">
            <v>111793.17657228885</v>
          </cell>
        </row>
        <row r="388">
          <cell r="L388">
            <v>107374.94835492107</v>
          </cell>
        </row>
        <row r="389">
          <cell r="L389">
            <v>109089.30962965799</v>
          </cell>
        </row>
        <row r="390">
          <cell r="L390">
            <v>109537.24910064085</v>
          </cell>
        </row>
        <row r="391">
          <cell r="L391">
            <v>110437.31961232248</v>
          </cell>
        </row>
        <row r="392">
          <cell r="L392">
            <v>106897.50384362591</v>
          </cell>
        </row>
        <row r="393">
          <cell r="L393">
            <v>109650.6750557272</v>
          </cell>
        </row>
        <row r="394">
          <cell r="L394">
            <v>113306.14461594183</v>
          </cell>
        </row>
        <row r="395">
          <cell r="L395">
            <v>112872.87938382207</v>
          </cell>
        </row>
        <row r="422">
          <cell r="L422">
            <v>136184.45644280524</v>
          </cell>
        </row>
        <row r="423">
          <cell r="L423">
            <v>133235.36673203006</v>
          </cell>
        </row>
        <row r="424">
          <cell r="L424">
            <v>129113.00903349841</v>
          </cell>
        </row>
        <row r="425">
          <cell r="L425">
            <v>125568.52455278866</v>
          </cell>
        </row>
        <row r="426">
          <cell r="L426">
            <v>129795.0406665811</v>
          </cell>
        </row>
        <row r="427">
          <cell r="L427">
            <v>134783.10299858835</v>
          </cell>
        </row>
        <row r="428">
          <cell r="L428">
            <v>139364.57963566261</v>
          </cell>
        </row>
        <row r="429">
          <cell r="L429">
            <v>135538.47477337063</v>
          </cell>
        </row>
        <row r="430">
          <cell r="L430">
            <v>126254.93338155581</v>
          </cell>
        </row>
        <row r="431">
          <cell r="L431">
            <v>119364.27831060017</v>
          </cell>
        </row>
        <row r="432">
          <cell r="L432">
            <v>118409.48811839617</v>
          </cell>
        </row>
        <row r="433">
          <cell r="L433">
            <v>124599.74368280478</v>
          </cell>
        </row>
        <row r="434">
          <cell r="L434">
            <v>125002.32642926973</v>
          </cell>
        </row>
        <row r="435">
          <cell r="L435">
            <v>122504.3366162631</v>
          </cell>
        </row>
        <row r="436">
          <cell r="L436">
            <v>130755.68885552797</v>
          </cell>
        </row>
        <row r="437">
          <cell r="L437">
            <v>138580.99952599325</v>
          </cell>
        </row>
      </sheetData>
      <sheetData sheetId="14">
        <row r="3">
          <cell r="L3">
            <v>32760.374445178197</v>
          </cell>
        </row>
        <row r="4">
          <cell r="L4">
            <v>30733.789727328523</v>
          </cell>
        </row>
        <row r="5">
          <cell r="L5">
            <v>29317.206864477506</v>
          </cell>
        </row>
        <row r="6">
          <cell r="L6">
            <v>32664.862846097458</v>
          </cell>
        </row>
        <row r="7">
          <cell r="L7">
            <v>35945.594835739525</v>
          </cell>
        </row>
        <row r="8">
          <cell r="L8">
            <v>33931.125752384047</v>
          </cell>
        </row>
        <row r="9">
          <cell r="L9">
            <v>33110.752612463075</v>
          </cell>
        </row>
        <row r="10">
          <cell r="L10">
            <v>33606.870580766888</v>
          </cell>
        </row>
        <row r="11">
          <cell r="L11">
            <v>29763.015689730688</v>
          </cell>
        </row>
        <row r="12">
          <cell r="L12">
            <v>26528.708304321928</v>
          </cell>
        </row>
        <row r="13">
          <cell r="L13">
            <v>26327.994563434942</v>
          </cell>
        </row>
        <row r="14">
          <cell r="L14">
            <v>27100.260879391426</v>
          </cell>
        </row>
        <row r="15">
          <cell r="L15">
            <v>27317.753022807228</v>
          </cell>
        </row>
        <row r="16">
          <cell r="L16">
            <v>28525.650150102563</v>
          </cell>
        </row>
        <row r="17">
          <cell r="L17">
            <v>28953.113864441148</v>
          </cell>
        </row>
        <row r="18">
          <cell r="L18">
            <v>26882.687795774902</v>
          </cell>
        </row>
        <row r="43">
          <cell r="G43">
            <v>226.06915000000001</v>
          </cell>
        </row>
        <row r="54">
          <cell r="L54">
            <v>58599.617329390458</v>
          </cell>
        </row>
        <row r="55">
          <cell r="L55">
            <v>55755.078247601094</v>
          </cell>
        </row>
        <row r="56">
          <cell r="L56">
            <v>54820.177439326682</v>
          </cell>
        </row>
        <row r="57">
          <cell r="L57">
            <v>58167.774929590858</v>
          </cell>
        </row>
        <row r="58">
          <cell r="L58">
            <v>61493.790722683894</v>
          </cell>
        </row>
        <row r="59">
          <cell r="L59">
            <v>54863.660551081106</v>
          </cell>
        </row>
        <row r="60">
          <cell r="L60">
            <v>49899.107005071593</v>
          </cell>
        </row>
        <row r="61">
          <cell r="L61">
            <v>52569.212339154699</v>
          </cell>
        </row>
        <row r="62">
          <cell r="L62">
            <v>50194.772376913374</v>
          </cell>
        </row>
        <row r="63">
          <cell r="L63">
            <v>46574.313793461646</v>
          </cell>
        </row>
        <row r="64">
          <cell r="L64">
            <v>47486.644843238093</v>
          </cell>
        </row>
        <row r="65">
          <cell r="L65">
            <v>49333.456510916818</v>
          </cell>
        </row>
        <row r="66">
          <cell r="L66">
            <v>48202.4546312905</v>
          </cell>
        </row>
        <row r="67">
          <cell r="L67">
            <v>45862.31599931416</v>
          </cell>
        </row>
        <row r="68">
          <cell r="L68">
            <v>43855.326213676883</v>
          </cell>
        </row>
        <row r="69">
          <cell r="L69">
            <v>41199.507172096855</v>
          </cell>
        </row>
        <row r="95">
          <cell r="G95">
            <v>965.62815000000001</v>
          </cell>
        </row>
        <row r="111">
          <cell r="L111">
            <v>77449.884660409967</v>
          </cell>
        </row>
        <row r="112">
          <cell r="L112">
            <v>77476.033319951806</v>
          </cell>
        </row>
        <row r="113">
          <cell r="L113">
            <v>74479.354907035711</v>
          </cell>
        </row>
        <row r="114">
          <cell r="L114">
            <v>75421.771710845351</v>
          </cell>
        </row>
        <row r="115">
          <cell r="L115">
            <v>80692.873582340006</v>
          </cell>
        </row>
        <row r="116">
          <cell r="L116">
            <v>75923.334275274479</v>
          </cell>
        </row>
        <row r="117">
          <cell r="L117">
            <v>69317.013515331855</v>
          </cell>
        </row>
        <row r="118">
          <cell r="L118">
            <v>69370.916632771987</v>
          </cell>
        </row>
        <row r="119">
          <cell r="L119">
            <v>69159.909111679997</v>
          </cell>
        </row>
        <row r="120">
          <cell r="L120">
            <v>65315.849900998146</v>
          </cell>
        </row>
        <row r="121">
          <cell r="L121">
            <v>65776.711465950575</v>
          </cell>
        </row>
        <row r="122">
          <cell r="L122">
            <v>60698.281029894555</v>
          </cell>
        </row>
        <row r="123">
          <cell r="L123">
            <v>55006.994536781509</v>
          </cell>
        </row>
        <row r="124">
          <cell r="L124">
            <v>58670.810333886504</v>
          </cell>
        </row>
        <row r="125">
          <cell r="L125">
            <v>59293.621558351151</v>
          </cell>
        </row>
        <row r="126">
          <cell r="L126">
            <v>60554.689343831931</v>
          </cell>
        </row>
        <row r="146">
          <cell r="G146">
            <v>748.66469999999993</v>
          </cell>
        </row>
        <row r="178">
          <cell r="L178">
            <v>121830.90388211777</v>
          </cell>
        </row>
        <row r="179">
          <cell r="L179">
            <v>121258.76916579713</v>
          </cell>
        </row>
        <row r="180">
          <cell r="L180">
            <v>122859.11864710828</v>
          </cell>
        </row>
        <row r="181">
          <cell r="L181">
            <v>127048.41733687167</v>
          </cell>
        </row>
        <row r="182">
          <cell r="L182">
            <v>127476.91144780857</v>
          </cell>
        </row>
        <row r="183">
          <cell r="L183">
            <v>119642.33571590835</v>
          </cell>
        </row>
        <row r="184">
          <cell r="L184">
            <v>116450.86762446526</v>
          </cell>
        </row>
        <row r="185">
          <cell r="L185">
            <v>118019.89284571746</v>
          </cell>
        </row>
        <row r="186">
          <cell r="L186">
            <v>116471.8107714818</v>
          </cell>
        </row>
        <row r="187">
          <cell r="L187">
            <v>112932.57772787528</v>
          </cell>
        </row>
        <row r="188">
          <cell r="L188">
            <v>111073.6274348553</v>
          </cell>
        </row>
        <row r="189">
          <cell r="L189">
            <v>109354.34053944345</v>
          </cell>
        </row>
        <row r="190">
          <cell r="L190">
            <v>107415.16142767113</v>
          </cell>
        </row>
        <row r="191">
          <cell r="L191">
            <v>110291.77942271778</v>
          </cell>
        </row>
        <row r="192">
          <cell r="L192">
            <v>109426.18059823767</v>
          </cell>
        </row>
        <row r="193">
          <cell r="L193">
            <v>104038.14936572567</v>
          </cell>
        </row>
        <row r="199">
          <cell r="G199">
            <v>1421.5730000000001</v>
          </cell>
        </row>
        <row r="307">
          <cell r="L307">
            <v>30558.465038449245</v>
          </cell>
        </row>
        <row r="308">
          <cell r="L308">
            <v>29712.639317287023</v>
          </cell>
        </row>
        <row r="309">
          <cell r="L309">
            <v>29970.80117050244</v>
          </cell>
        </row>
        <row r="310">
          <cell r="L310">
            <v>33652.740695913148</v>
          </cell>
        </row>
        <row r="311">
          <cell r="L311">
            <v>35132.324974171876</v>
          </cell>
        </row>
        <row r="312">
          <cell r="L312">
            <v>32543.351956904153</v>
          </cell>
        </row>
        <row r="313">
          <cell r="L313">
            <v>33208.603661312962</v>
          </cell>
        </row>
        <row r="314">
          <cell r="L314">
            <v>34515.054736354767</v>
          </cell>
        </row>
        <row r="315">
          <cell r="L315">
            <v>32272.239487715233</v>
          </cell>
        </row>
        <row r="316">
          <cell r="L316">
            <v>30309.401476101251</v>
          </cell>
        </row>
        <row r="317">
          <cell r="L317">
            <v>28746.061777853574</v>
          </cell>
        </row>
        <row r="318">
          <cell r="L318">
            <v>28054.742795499151</v>
          </cell>
        </row>
        <row r="319">
          <cell r="L319">
            <v>30455.300155793055</v>
          </cell>
        </row>
        <row r="320">
          <cell r="L320">
            <v>32197.2476234571</v>
          </cell>
        </row>
        <row r="321">
          <cell r="L321">
            <v>28630.562385976835</v>
          </cell>
        </row>
        <row r="322">
          <cell r="L322">
            <v>27713.853449635135</v>
          </cell>
        </row>
        <row r="352">
          <cell r="G352">
            <v>937.13914999999997</v>
          </cell>
        </row>
        <row r="374">
          <cell r="L374">
            <v>71706.861994230392</v>
          </cell>
        </row>
        <row r="375">
          <cell r="L375">
            <v>75387.861302738253</v>
          </cell>
        </row>
        <row r="376">
          <cell r="L376">
            <v>77676.816724337317</v>
          </cell>
        </row>
        <row r="377">
          <cell r="L377">
            <v>75530.662802449151</v>
          </cell>
        </row>
        <row r="378">
          <cell r="L378">
            <v>80537.709531882123</v>
          </cell>
        </row>
        <row r="379">
          <cell r="L379">
            <v>80672.13697797824</v>
          </cell>
        </row>
        <row r="380">
          <cell r="L380">
            <v>80082.477345758234</v>
          </cell>
        </row>
        <row r="381">
          <cell r="L381">
            <v>79459.406071868696</v>
          </cell>
        </row>
        <row r="382">
          <cell r="L382">
            <v>73787.410379787412</v>
          </cell>
        </row>
        <row r="383">
          <cell r="L383">
            <v>69345.240163942304</v>
          </cell>
        </row>
        <row r="384">
          <cell r="L384">
            <v>69570.538449305837</v>
          </cell>
        </row>
        <row r="385">
          <cell r="L385">
            <v>70675.359297074086</v>
          </cell>
        </row>
        <row r="386">
          <cell r="L386">
            <v>67150.072896844184</v>
          </cell>
        </row>
        <row r="387">
          <cell r="L387">
            <v>65457.144173147113</v>
          </cell>
        </row>
        <row r="388">
          <cell r="L388">
            <v>70682.157751123275</v>
          </cell>
        </row>
        <row r="389">
          <cell r="L389">
            <v>76136.544794600442</v>
          </cell>
        </row>
        <row r="405">
          <cell r="G405">
            <v>1051.617</v>
          </cell>
        </row>
        <row r="435">
          <cell r="L435">
            <v>94965.640093552604</v>
          </cell>
        </row>
        <row r="436">
          <cell r="L436">
            <v>99430.339233426697</v>
          </cell>
        </row>
        <row r="437">
          <cell r="L437">
            <v>94329.846975954046</v>
          </cell>
        </row>
        <row r="438">
          <cell r="L438">
            <v>96965.323869658867</v>
          </cell>
        </row>
        <row r="439">
          <cell r="L439">
            <v>107768.65209482922</v>
          </cell>
        </row>
        <row r="440">
          <cell r="L440">
            <v>102182.79052094987</v>
          </cell>
        </row>
        <row r="441">
          <cell r="L441">
            <v>96543.402112906304</v>
          </cell>
        </row>
        <row r="442">
          <cell r="L442">
            <v>92515.419173282513</v>
          </cell>
        </row>
        <row r="443">
          <cell r="L443">
            <v>90204.705754354378</v>
          </cell>
        </row>
        <row r="444">
          <cell r="L444">
            <v>89449.097907895193</v>
          </cell>
        </row>
        <row r="445">
          <cell r="L445">
            <v>89301.548855353729</v>
          </cell>
        </row>
        <row r="446">
          <cell r="L446">
            <v>85103.631532683445</v>
          </cell>
        </row>
        <row r="447">
          <cell r="L447">
            <v>87382.602603643289</v>
          </cell>
        </row>
        <row r="448">
          <cell r="L448">
            <v>96381.310016395873</v>
          </cell>
        </row>
        <row r="449">
          <cell r="L449">
            <v>93498.232431401033</v>
          </cell>
        </row>
        <row r="450">
          <cell r="L450">
            <v>93022.999021273106</v>
          </cell>
        </row>
        <row r="458">
          <cell r="G458">
            <v>593.31319999999994</v>
          </cell>
        </row>
        <row r="488">
          <cell r="L488">
            <v>110987.06792451808</v>
          </cell>
        </row>
        <row r="489">
          <cell r="L489">
            <v>109406.12205002808</v>
          </cell>
        </row>
        <row r="490">
          <cell r="L490">
            <v>111120.28886431889</v>
          </cell>
        </row>
        <row r="491">
          <cell r="L491">
            <v>113364.51086009994</v>
          </cell>
        </row>
        <row r="492">
          <cell r="L492">
            <v>115236.44182387163</v>
          </cell>
        </row>
        <row r="493">
          <cell r="L493">
            <v>114170.20048387386</v>
          </cell>
        </row>
        <row r="494">
          <cell r="L494">
            <v>117003.17823126982</v>
          </cell>
        </row>
        <row r="495">
          <cell r="L495">
            <v>114501.88230739567</v>
          </cell>
        </row>
        <row r="496">
          <cell r="L496">
            <v>112304.22137316773</v>
          </cell>
        </row>
        <row r="497">
          <cell r="L497">
            <v>113019.29755113334</v>
          </cell>
        </row>
        <row r="498">
          <cell r="L498">
            <v>111391.56416164292</v>
          </cell>
        </row>
        <row r="499">
          <cell r="L499">
            <v>112770.16490899195</v>
          </cell>
        </row>
        <row r="500">
          <cell r="L500">
            <v>107353.31248665744</v>
          </cell>
        </row>
        <row r="501">
          <cell r="L501">
            <v>103640.86151742953</v>
          </cell>
        </row>
        <row r="502">
          <cell r="L502">
            <v>109009.53911202378</v>
          </cell>
        </row>
        <row r="503">
          <cell r="L503">
            <v>113691.32161706792</v>
          </cell>
        </row>
        <row r="508">
          <cell r="G508">
            <v>466.51069999999993</v>
          </cell>
        </row>
        <row r="534">
          <cell r="L534">
            <v>116265.10581138288</v>
          </cell>
        </row>
        <row r="535">
          <cell r="L535">
            <v>114505.88658743873</v>
          </cell>
        </row>
        <row r="536">
          <cell r="L536">
            <v>112505.00087671573</v>
          </cell>
        </row>
        <row r="537">
          <cell r="L537">
            <v>114745.44449362124</v>
          </cell>
        </row>
        <row r="538">
          <cell r="L538">
            <v>111234.59437040694</v>
          </cell>
        </row>
        <row r="539">
          <cell r="L539">
            <v>109756.05142207345</v>
          </cell>
        </row>
        <row r="540">
          <cell r="L540">
            <v>106975.24472346799</v>
          </cell>
        </row>
        <row r="541">
          <cell r="L541">
            <v>108911.4979088033</v>
          </cell>
        </row>
        <row r="542">
          <cell r="L542">
            <v>115027.29988337457</v>
          </cell>
        </row>
        <row r="543">
          <cell r="L543">
            <v>112089.10907968646</v>
          </cell>
        </row>
        <row r="544">
          <cell r="L544">
            <v>105356.03423693037</v>
          </cell>
        </row>
        <row r="545">
          <cell r="L545">
            <v>106373.3877795466</v>
          </cell>
        </row>
        <row r="546">
          <cell r="L546">
            <v>107157.28429712731</v>
          </cell>
        </row>
        <row r="547">
          <cell r="L547">
            <v>103925.9210473898</v>
          </cell>
        </row>
        <row r="548">
          <cell r="L548">
            <v>101884.60276442938</v>
          </cell>
        </row>
        <row r="549">
          <cell r="L549">
            <v>100253.2876128386</v>
          </cell>
        </row>
        <row r="555">
          <cell r="G555">
            <v>337.42470000000003</v>
          </cell>
        </row>
        <row r="566">
          <cell r="L566">
            <v>34608.258741741949</v>
          </cell>
        </row>
        <row r="567">
          <cell r="L567">
            <v>31632.144322778371</v>
          </cell>
        </row>
        <row r="568">
          <cell r="L568">
            <v>31756.950603286514</v>
          </cell>
        </row>
        <row r="569">
          <cell r="L569">
            <v>32950.160711976889</v>
          </cell>
        </row>
        <row r="570">
          <cell r="L570">
            <v>34786.145747030954</v>
          </cell>
        </row>
        <row r="571">
          <cell r="L571">
            <v>33406.221735067185</v>
          </cell>
        </row>
        <row r="572">
          <cell r="L572">
            <v>34249.148534795946</v>
          </cell>
        </row>
        <row r="573">
          <cell r="L573">
            <v>37586.030622995546</v>
          </cell>
        </row>
        <row r="574">
          <cell r="L574">
            <v>36672.180538636501</v>
          </cell>
        </row>
        <row r="575">
          <cell r="L575">
            <v>39878.608663297113</v>
          </cell>
        </row>
        <row r="576">
          <cell r="L576">
            <v>45044.190924924194</v>
          </cell>
        </row>
        <row r="577">
          <cell r="L577">
            <v>42737.217354948647</v>
          </cell>
        </row>
        <row r="578">
          <cell r="L578">
            <v>43820.438049192293</v>
          </cell>
        </row>
        <row r="579">
          <cell r="L579">
            <v>48286.908773640251</v>
          </cell>
        </row>
        <row r="580">
          <cell r="L580">
            <v>43152.763607122717</v>
          </cell>
        </row>
        <row r="581">
          <cell r="L581">
            <v>43118.670656287402</v>
          </cell>
        </row>
        <row r="607">
          <cell r="G607">
            <v>919.87839999999994</v>
          </cell>
        </row>
        <row r="631">
          <cell r="L631">
            <v>88935.398883560323</v>
          </cell>
        </row>
        <row r="632">
          <cell r="L632">
            <v>90896.305141879246</v>
          </cell>
        </row>
        <row r="633">
          <cell r="L633">
            <v>88474.287001435063</v>
          </cell>
        </row>
        <row r="634">
          <cell r="L634">
            <v>91963.432699026045</v>
          </cell>
        </row>
        <row r="635">
          <cell r="L635">
            <v>96347.581828111113</v>
          </cell>
        </row>
        <row r="636">
          <cell r="L636">
            <v>91395.033787664564</v>
          </cell>
        </row>
        <row r="637">
          <cell r="L637">
            <v>86886.035919229718</v>
          </cell>
        </row>
        <row r="638">
          <cell r="L638">
            <v>85979.066774358667</v>
          </cell>
        </row>
        <row r="639">
          <cell r="L639">
            <v>83938.411355840479</v>
          </cell>
        </row>
        <row r="640">
          <cell r="L640">
            <v>81212.391627132267</v>
          </cell>
        </row>
        <row r="641">
          <cell r="L641">
            <v>79905.281532541499</v>
          </cell>
        </row>
        <row r="642">
          <cell r="L642">
            <v>76874.769223015202</v>
          </cell>
        </row>
        <row r="643">
          <cell r="L643">
            <v>74046.319179992672</v>
          </cell>
        </row>
        <row r="644">
          <cell r="L644">
            <v>74023.419763973885</v>
          </cell>
        </row>
        <row r="645">
          <cell r="L645">
            <v>76205.233455361071</v>
          </cell>
        </row>
        <row r="646">
          <cell r="L646">
            <v>79738.980676758045</v>
          </cell>
        </row>
        <row r="660">
          <cell r="G660">
            <v>2466.1264999999999</v>
          </cell>
        </row>
      </sheetData>
      <sheetData sheetId="15">
        <row r="7">
          <cell r="G7">
            <v>729286.6</v>
          </cell>
          <cell r="H7">
            <v>158362.22999999998</v>
          </cell>
        </row>
        <row r="10">
          <cell r="D10">
            <v>414536.7</v>
          </cell>
        </row>
        <row r="14">
          <cell r="D14">
            <v>937139.19999999995</v>
          </cell>
          <cell r="F14">
            <v>522602.5</v>
          </cell>
        </row>
        <row r="23">
          <cell r="F23">
            <v>415279.1</v>
          </cell>
        </row>
      </sheetData>
      <sheetData sheetId="16">
        <row r="49">
          <cell r="C49">
            <v>8937419</v>
          </cell>
        </row>
        <row r="52">
          <cell r="F52">
            <v>2007979.24</v>
          </cell>
          <cell r="G52">
            <v>5488494.0999999996</v>
          </cell>
          <cell r="H52">
            <v>1440946.6</v>
          </cell>
          <cell r="J52">
            <v>9.1378282701079588E-2</v>
          </cell>
        </row>
        <row r="53">
          <cell r="F53">
            <v>0.12603860386524712</v>
          </cell>
          <cell r="G53">
            <v>7.8645160609719891E-2</v>
          </cell>
          <cell r="H53">
            <v>9.1578411025085862E-2</v>
          </cell>
        </row>
        <row r="67">
          <cell r="F67">
            <v>6572368.9000000004</v>
          </cell>
          <cell r="G67">
            <v>1314033.3500000001</v>
          </cell>
        </row>
        <row r="68">
          <cell r="F68">
            <v>7.5727063951020759E-2</v>
          </cell>
          <cell r="G68">
            <v>0.15733291700701507</v>
          </cell>
        </row>
        <row r="86">
          <cell r="F86">
            <v>4373721.2</v>
          </cell>
          <cell r="G86">
            <v>4563698.8</v>
          </cell>
        </row>
        <row r="87">
          <cell r="F87">
            <v>7.706997876316396E-2</v>
          </cell>
          <cell r="G87">
            <v>0.10509094070800643</v>
          </cell>
        </row>
        <row r="97">
          <cell r="F97">
            <v>1644446</v>
          </cell>
        </row>
        <row r="98">
          <cell r="F98">
            <v>0.14745780645883172</v>
          </cell>
        </row>
        <row r="108">
          <cell r="F108">
            <v>3698785.95</v>
          </cell>
          <cell r="G108">
            <v>134438.18</v>
          </cell>
          <cell r="H108">
            <v>398404.68999999994</v>
          </cell>
          <cell r="I108">
            <v>576175.39</v>
          </cell>
          <cell r="J108">
            <v>125204.20000000001</v>
          </cell>
          <cell r="K108">
            <v>4004411.4</v>
          </cell>
        </row>
        <row r="109">
          <cell r="F109">
            <v>3.7154975134476215E-2</v>
          </cell>
        </row>
        <row r="110">
          <cell r="G110">
            <v>0.11739157730341188</v>
          </cell>
        </row>
        <row r="111">
          <cell r="H111">
            <v>0.17998892031115399</v>
          </cell>
        </row>
        <row r="112">
          <cell r="I112">
            <v>0.13641137987514532</v>
          </cell>
        </row>
        <row r="113">
          <cell r="J113">
            <v>0.15190616608708013</v>
          </cell>
        </row>
        <row r="114">
          <cell r="K114">
            <v>0.12340170642806582</v>
          </cell>
        </row>
        <row r="135">
          <cell r="F135">
            <v>4285783.42</v>
          </cell>
          <cell r="G135">
            <v>188922.44</v>
          </cell>
          <cell r="H135">
            <v>2816113.5</v>
          </cell>
        </row>
        <row r="137">
          <cell r="F137">
            <v>3.2080552497914139E-2</v>
          </cell>
        </row>
        <row r="138">
          <cell r="G138">
            <v>0.17966706337267294</v>
          </cell>
        </row>
        <row r="139">
          <cell r="H139">
            <v>0.15071888970384184</v>
          </cell>
        </row>
      </sheetData>
      <sheetData sheetId="17">
        <row r="6">
          <cell r="F6">
            <v>431680.42000000004</v>
          </cell>
        </row>
        <row r="10">
          <cell r="F10">
            <v>0.60734165334624157</v>
          </cell>
        </row>
        <row r="11">
          <cell r="F11">
            <v>2.5363253677338431E-2</v>
          </cell>
        </row>
        <row r="12">
          <cell r="D12">
            <v>3750310</v>
          </cell>
          <cell r="F12">
            <v>0.36729509297641988</v>
          </cell>
        </row>
        <row r="15">
          <cell r="F15">
            <v>1304988.1800000002</v>
          </cell>
        </row>
        <row r="19">
          <cell r="F19">
            <v>0.58724233042478591</v>
          </cell>
        </row>
        <row r="20">
          <cell r="F20">
            <v>2.480932815805274E-2</v>
          </cell>
        </row>
        <row r="21">
          <cell r="F21">
            <v>0.38794834141716128</v>
          </cell>
        </row>
      </sheetData>
      <sheetData sheetId="18">
        <row r="7">
          <cell r="K7">
            <v>0.61944376646623067</v>
          </cell>
          <cell r="M7">
            <v>0.49369868152243374</v>
          </cell>
        </row>
        <row r="8">
          <cell r="K8">
            <v>0.15507716108094552</v>
          </cell>
          <cell r="M8">
            <v>0.21940652584024259</v>
          </cell>
        </row>
        <row r="9">
          <cell r="K9">
            <v>0.15328974684200583</v>
          </cell>
          <cell r="M9">
            <v>0.19338616515572965</v>
          </cell>
        </row>
        <row r="10">
          <cell r="K10">
            <v>4.8125587469308097E-2</v>
          </cell>
          <cell r="M10">
            <v>6.8936682732873789E-2</v>
          </cell>
        </row>
        <row r="11">
          <cell r="K11">
            <v>2.4063738141509996E-2</v>
          </cell>
          <cell r="M11">
            <v>2.4571944748720393E-2</v>
          </cell>
        </row>
        <row r="12">
          <cell r="L12">
            <v>0.55412517631690483</v>
          </cell>
        </row>
        <row r="13">
          <cell r="L13">
            <v>0.2137142660334389</v>
          </cell>
        </row>
        <row r="14">
          <cell r="L14">
            <v>0.15567334781340947</v>
          </cell>
        </row>
        <row r="15">
          <cell r="L15">
            <v>5.8771052336077323E-2</v>
          </cell>
        </row>
        <row r="16">
          <cell r="L16">
            <v>1.7716157500169562E-2</v>
          </cell>
        </row>
        <row r="26">
          <cell r="F26">
            <v>0.58587159444869275</v>
          </cell>
          <cell r="G26">
            <v>0.17570911716113732</v>
          </cell>
          <cell r="H26">
            <v>0.167549022487951</v>
          </cell>
          <cell r="I26">
            <v>4.978634298071459E-2</v>
          </cell>
          <cell r="J26">
            <v>2.108383084402601E-2</v>
          </cell>
        </row>
        <row r="41">
          <cell r="H41">
            <v>139126.94999999998</v>
          </cell>
        </row>
        <row r="42">
          <cell r="G42">
            <v>0.58506667088914688</v>
          </cell>
        </row>
        <row r="43">
          <cell r="G43">
            <v>0.16330926708111065</v>
          </cell>
        </row>
        <row r="44">
          <cell r="G44">
            <v>0.17818519685146239</v>
          </cell>
        </row>
        <row r="45">
          <cell r="G45">
            <v>4.9680509050151193E-2</v>
          </cell>
        </row>
        <row r="46">
          <cell r="G46">
            <v>2.3758537091566934E-2</v>
          </cell>
        </row>
        <row r="47">
          <cell r="H47">
            <v>0.73136225583900183</v>
          </cell>
        </row>
        <row r="48">
          <cell r="H48">
            <v>0.14296741213690087</v>
          </cell>
        </row>
        <row r="49">
          <cell r="H49">
            <v>0.10236995779753673</v>
          </cell>
        </row>
        <row r="50">
          <cell r="H50">
            <v>1.1347801414463555E-2</v>
          </cell>
        </row>
        <row r="51">
          <cell r="H51">
            <v>1.1952572812097155E-2</v>
          </cell>
        </row>
        <row r="52">
          <cell r="I52">
            <v>0.53545530681739895</v>
          </cell>
        </row>
        <row r="53">
          <cell r="I53">
            <v>0.24665931025591567</v>
          </cell>
        </row>
        <row r="54">
          <cell r="I54">
            <v>0.14145409885426222</v>
          </cell>
        </row>
        <row r="55">
          <cell r="I55">
            <v>6.4615592396313176E-2</v>
          </cell>
        </row>
        <row r="56">
          <cell r="I56">
            <v>1.1815691676110004E-2</v>
          </cell>
        </row>
      </sheetData>
      <sheetData sheetId="19">
        <row r="6">
          <cell r="G6">
            <v>2987272</v>
          </cell>
          <cell r="H6">
            <v>3185229.4</v>
          </cell>
        </row>
        <row r="7">
          <cell r="F7">
            <v>6.494435561857341E-2</v>
          </cell>
          <cell r="G7">
            <v>6.6206492077052231E-2</v>
          </cell>
        </row>
        <row r="8">
          <cell r="F8">
            <v>0.30766596878639629</v>
          </cell>
          <cell r="G8">
            <v>0.30536847665696326</v>
          </cell>
        </row>
        <row r="9">
          <cell r="F9">
            <v>0.209546632718245</v>
          </cell>
          <cell r="G9">
            <v>0.2102989952036507</v>
          </cell>
        </row>
        <row r="10">
          <cell r="F10">
            <v>0.25667378587706996</v>
          </cell>
          <cell r="G10">
            <v>0.25998780827457296</v>
          </cell>
        </row>
        <row r="11">
          <cell r="F11">
            <v>0.16116928940149222</v>
          </cell>
          <cell r="G11">
            <v>0.15813816083704463</v>
          </cell>
        </row>
        <row r="12">
          <cell r="H12">
            <v>6.3760650959707954E-2</v>
          </cell>
        </row>
        <row r="13">
          <cell r="H13">
            <v>0.30982063646656033</v>
          </cell>
        </row>
        <row r="14">
          <cell r="H14">
            <v>0.2088410021582747</v>
          </cell>
        </row>
        <row r="15">
          <cell r="H15">
            <v>0.25356569294506703</v>
          </cell>
        </row>
        <row r="16">
          <cell r="D16">
            <v>6172501</v>
          </cell>
          <cell r="H16">
            <v>0.16401201747039007</v>
          </cell>
        </row>
        <row r="19">
          <cell r="F19">
            <v>4658189</v>
          </cell>
          <cell r="G19">
            <v>855615.81</v>
          </cell>
          <cell r="H19">
            <v>623808.58000000007</v>
          </cell>
          <cell r="I19">
            <v>1044065.0700000001</v>
          </cell>
          <cell r="J19">
            <v>5128436</v>
          </cell>
        </row>
        <row r="20">
          <cell r="F20">
            <v>6.3601133401843507E-2</v>
          </cell>
          <cell r="I20">
            <v>0.2062312074093236</v>
          </cell>
          <cell r="J20">
            <v>3.6180660146680199E-2</v>
          </cell>
        </row>
        <row r="21">
          <cell r="F21">
            <v>0.32831965383972184</v>
          </cell>
          <cell r="I21">
            <v>0.41178726532820409</v>
          </cell>
          <cell r="J21">
            <v>0.28646862318258431</v>
          </cell>
        </row>
        <row r="22">
          <cell r="F22">
            <v>0.20825282099974904</v>
          </cell>
          <cell r="I22">
            <v>0.18800006401899833</v>
          </cell>
          <cell r="J22">
            <v>0.21393325372491731</v>
          </cell>
        </row>
        <row r="23">
          <cell r="F23">
            <v>0.25238671080112896</v>
          </cell>
          <cell r="I23">
            <v>0.15231416562954259</v>
          </cell>
          <cell r="J23">
            <v>0.27791962305856988</v>
          </cell>
        </row>
        <row r="24">
          <cell r="F24">
            <v>0.14743955215213467</v>
          </cell>
          <cell r="I24">
            <v>4.1667297613931287E-2</v>
          </cell>
          <cell r="J24">
            <v>0.18549791788373687</v>
          </cell>
        </row>
        <row r="25">
          <cell r="G25">
            <v>9.0119267431488903E-2</v>
          </cell>
        </row>
        <row r="26">
          <cell r="G26">
            <v>0.33746372685656656</v>
          </cell>
        </row>
        <row r="27">
          <cell r="G27">
            <v>0.29963436510131808</v>
          </cell>
        </row>
        <row r="28">
          <cell r="G28">
            <v>0.18445486648966899</v>
          </cell>
        </row>
        <row r="29">
          <cell r="G29">
            <v>8.8327774120957395E-2</v>
          </cell>
        </row>
        <row r="30">
          <cell r="H30">
            <v>4.4076886534648176E-2</v>
          </cell>
        </row>
        <row r="31">
          <cell r="H31">
            <v>0.11785087983239985</v>
          </cell>
        </row>
        <row r="32">
          <cell r="H32">
            <v>7.3496664633884948E-2</v>
          </cell>
        </row>
        <row r="33">
          <cell r="H33">
            <v>0.39377945074112314</v>
          </cell>
        </row>
        <row r="34">
          <cell r="H34">
            <v>0.37079611825794373</v>
          </cell>
        </row>
      </sheetData>
      <sheetData sheetId="20">
        <row r="7">
          <cell r="I7">
            <v>6172501</v>
          </cell>
        </row>
        <row r="8">
          <cell r="J8">
            <v>0.33817094561831584</v>
          </cell>
        </row>
        <row r="10">
          <cell r="J10">
            <v>3.9274112713792997E-2</v>
          </cell>
        </row>
        <row r="13">
          <cell r="J13">
            <v>0.11201237553464957</v>
          </cell>
        </row>
        <row r="21">
          <cell r="J21">
            <v>0.18453702964163149</v>
          </cell>
        </row>
        <row r="31">
          <cell r="J31">
            <v>0.1262839811609589</v>
          </cell>
        </row>
        <row r="41">
          <cell r="J41">
            <v>7.677908841165032E-2</v>
          </cell>
        </row>
        <row r="49">
          <cell r="J49">
            <v>0.1229424669190009</v>
          </cell>
        </row>
        <row r="240">
          <cell r="I240">
            <v>400869.05</v>
          </cell>
        </row>
        <row r="241">
          <cell r="J241">
            <v>0.60982607662028288</v>
          </cell>
        </row>
        <row r="242">
          <cell r="J242">
            <v>3.8718865923922055E-2</v>
          </cell>
        </row>
        <row r="243">
          <cell r="J243">
            <v>0.17675950537962462</v>
          </cell>
        </row>
        <row r="244">
          <cell r="J244">
            <v>0.12653057151705777</v>
          </cell>
        </row>
        <row r="245">
          <cell r="J245">
            <v>1.9371537912443025E-2</v>
          </cell>
        </row>
        <row r="246">
          <cell r="J246">
            <v>7.9964267633033347E-3</v>
          </cell>
        </row>
        <row r="247">
          <cell r="J247">
            <v>5.4882386155778303E-3</v>
          </cell>
        </row>
        <row r="264">
          <cell r="I264">
            <v>1846559.48</v>
          </cell>
        </row>
        <row r="265">
          <cell r="J265">
            <v>0.4236226660838458</v>
          </cell>
        </row>
        <row r="266">
          <cell r="J266">
            <v>4.4837131376889085E-2</v>
          </cell>
        </row>
        <row r="267">
          <cell r="J267">
            <v>0.14032019158137271</v>
          </cell>
        </row>
        <row r="268">
          <cell r="J268">
            <v>0.22788270540843886</v>
          </cell>
        </row>
        <row r="269">
          <cell r="J269">
            <v>9.7480569648371151E-2</v>
          </cell>
        </row>
        <row r="270">
          <cell r="J270">
            <v>3.1372707257715848E-2</v>
          </cell>
        </row>
        <row r="271">
          <cell r="J271">
            <v>3.4484028643366534E-2</v>
          </cell>
        </row>
        <row r="308">
          <cell r="I308">
            <v>1264811.2250000001</v>
          </cell>
        </row>
        <row r="309">
          <cell r="J309">
            <v>0.34707894848102722</v>
          </cell>
        </row>
        <row r="310">
          <cell r="J310">
            <v>5.2216954352219631E-2</v>
          </cell>
        </row>
        <row r="311">
          <cell r="J311">
            <v>0.11992762793514897</v>
          </cell>
        </row>
        <row r="312">
          <cell r="J312">
            <v>0.24170718045295647</v>
          </cell>
        </row>
        <row r="313">
          <cell r="J313">
            <v>0.13233447940027571</v>
          </cell>
        </row>
        <row r="314">
          <cell r="J314">
            <v>7.3477988780499631E-2</v>
          </cell>
        </row>
        <row r="315">
          <cell r="J315">
            <v>3.3256820597872223E-2</v>
          </cell>
        </row>
        <row r="347">
          <cell r="I347">
            <v>1584319.24</v>
          </cell>
        </row>
        <row r="348">
          <cell r="J348">
            <v>0.24582425698497481</v>
          </cell>
        </row>
        <row r="349">
          <cell r="J349">
            <v>3.1611880191519982E-2</v>
          </cell>
        </row>
        <row r="350">
          <cell r="J350">
            <v>8.0951825719165038E-2</v>
          </cell>
        </row>
        <row r="351">
          <cell r="J351">
            <v>0.16716606307198545</v>
          </cell>
        </row>
        <row r="352">
          <cell r="J352">
            <v>0.17735054773430639</v>
          </cell>
        </row>
        <row r="353">
          <cell r="J353">
            <v>0.10728126674772945</v>
          </cell>
        </row>
        <row r="354">
          <cell r="J354">
            <v>0.18981415955031891</v>
          </cell>
        </row>
        <row r="389">
          <cell r="I389">
            <v>994817.625</v>
          </cell>
        </row>
        <row r="390">
          <cell r="J390">
            <v>0.23341142553641425</v>
          </cell>
        </row>
        <row r="391">
          <cell r="J391">
            <v>2.8122687311656746E-2</v>
          </cell>
        </row>
        <row r="392">
          <cell r="J392">
            <v>2.9132475412264634E-2</v>
          </cell>
        </row>
        <row r="393">
          <cell r="J393">
            <v>9.7480611081855323E-2</v>
          </cell>
        </row>
        <row r="394">
          <cell r="J394">
            <v>0.13473415290566446</v>
          </cell>
        </row>
        <row r="395">
          <cell r="J395">
            <v>0.14631308427009423</v>
          </cell>
        </row>
        <row r="396">
          <cell r="J396">
            <v>0.33080556348205026</v>
          </cell>
        </row>
        <row r="468">
          <cell r="H468">
            <v>47730.353896001376</v>
          </cell>
          <cell r="I468">
            <v>25496.118156633973</v>
          </cell>
          <cell r="J468">
            <v>37379.619000634222</v>
          </cell>
          <cell r="K468">
            <v>45962.83873851088</v>
          </cell>
          <cell r="L468">
            <v>65534.415354926357</v>
          </cell>
          <cell r="M468">
            <v>87650.492843153712</v>
          </cell>
        </row>
        <row r="469">
          <cell r="H469">
            <v>48668.15439739413</v>
          </cell>
          <cell r="I469">
            <v>27151.060217915307</v>
          </cell>
          <cell r="J469">
            <v>39619.031433224751</v>
          </cell>
          <cell r="K469">
            <v>46573.864800488591</v>
          </cell>
          <cell r="L469">
            <v>67438.364902280126</v>
          </cell>
          <cell r="M469">
            <v>82786.035830618886</v>
          </cell>
        </row>
        <row r="470">
          <cell r="H470">
            <v>50558.357494826683</v>
          </cell>
          <cell r="I470">
            <v>24006.586021210547</v>
          </cell>
          <cell r="J470">
            <v>40735.688469994828</v>
          </cell>
          <cell r="K470">
            <v>49535.607478660102</v>
          </cell>
          <cell r="L470">
            <v>66887.495318158297</v>
          </cell>
          <cell r="M470">
            <v>90149.277424987056</v>
          </cell>
        </row>
        <row r="471">
          <cell r="H471">
            <v>51629.662933401312</v>
          </cell>
          <cell r="I471">
            <v>23717.066240497865</v>
          </cell>
          <cell r="J471">
            <v>38184.912276997064</v>
          </cell>
          <cell r="K471">
            <v>48066.246612412906</v>
          </cell>
          <cell r="L471">
            <v>66079.732388305318</v>
          </cell>
          <cell r="M471">
            <v>95462.280692492655</v>
          </cell>
        </row>
        <row r="472">
          <cell r="H472">
            <v>50065.05667987949</v>
          </cell>
          <cell r="I472">
            <v>25964.781272297627</v>
          </cell>
          <cell r="J472">
            <v>36723.594954159824</v>
          </cell>
          <cell r="K472">
            <v>45593.742715247165</v>
          </cell>
          <cell r="L472">
            <v>65892.526225220179</v>
          </cell>
          <cell r="M472">
            <v>91808.987385399581</v>
          </cell>
        </row>
        <row r="473">
          <cell r="H473">
            <v>49382.695765334436</v>
          </cell>
          <cell r="I473">
            <v>25024.931302548204</v>
          </cell>
          <cell r="J473">
            <v>37802.483046418216</v>
          </cell>
          <cell r="K473">
            <v>46942.352830570147</v>
          </cell>
          <cell r="L473">
            <v>65843.594353779248</v>
          </cell>
          <cell r="M473">
            <v>91512.860053661061</v>
          </cell>
        </row>
        <row r="474">
          <cell r="H474">
            <v>48503.51485808564</v>
          </cell>
          <cell r="I474">
            <v>24821.057683268729</v>
          </cell>
          <cell r="J474">
            <v>36676.970899802676</v>
          </cell>
          <cell r="K474">
            <v>44970.236299726246</v>
          </cell>
          <cell r="L474">
            <v>65498.665062195345</v>
          </cell>
          <cell r="M474">
            <v>88699.079687122212</v>
          </cell>
        </row>
        <row r="475">
          <cell r="H475">
            <v>47021.20730719011</v>
          </cell>
          <cell r="I475">
            <v>24115.196944747047</v>
          </cell>
          <cell r="J475">
            <v>35829.281955943399</v>
          </cell>
          <cell r="K475">
            <v>43558.51482268289</v>
          </cell>
          <cell r="L475">
            <v>62958.878518783829</v>
          </cell>
          <cell r="M475">
            <v>83235.219539911865</v>
          </cell>
        </row>
        <row r="476">
          <cell r="H476">
            <v>47313.338728518043</v>
          </cell>
          <cell r="I476">
            <v>22530.161299294308</v>
          </cell>
          <cell r="J476">
            <v>36329.946316646296</v>
          </cell>
          <cell r="K476">
            <v>45060.322598588617</v>
          </cell>
          <cell r="L476">
            <v>61957.943573059347</v>
          </cell>
          <cell r="M476">
            <v>85050.012031083024</v>
          </cell>
        </row>
        <row r="477">
          <cell r="H477">
            <v>45770.923502421312</v>
          </cell>
          <cell r="I477">
            <v>20111.054035818001</v>
          </cell>
          <cell r="J477">
            <v>34608.928985616716</v>
          </cell>
          <cell r="K477">
            <v>44090.597138239493</v>
          </cell>
          <cell r="L477">
            <v>64149.673666508301</v>
          </cell>
          <cell r="M477">
            <v>94273.898574016799</v>
          </cell>
        </row>
        <row r="478">
          <cell r="H478">
            <v>44719.115828210328</v>
          </cell>
          <cell r="I478">
            <v>20417.326062902281</v>
          </cell>
          <cell r="J478">
            <v>32731.374610923922</v>
          </cell>
          <cell r="K478">
            <v>42819.831268976966</v>
          </cell>
          <cell r="L478">
            <v>61696.12937498567</v>
          </cell>
          <cell r="M478">
            <v>97088.209291146981</v>
          </cell>
        </row>
        <row r="479">
          <cell r="H479">
            <v>43721.55202899086</v>
          </cell>
          <cell r="I479">
            <v>22129.820289271302</v>
          </cell>
          <cell r="J479">
            <v>31730.569202041723</v>
          </cell>
          <cell r="K479">
            <v>42376.330655111509</v>
          </cell>
          <cell r="L479">
            <v>54920.984311014443</v>
          </cell>
          <cell r="M479">
            <v>90671.63535529215</v>
          </cell>
        </row>
        <row r="480">
          <cell r="H480">
            <v>43506.282230867182</v>
          </cell>
          <cell r="I480">
            <v>21492.856821444642</v>
          </cell>
          <cell r="J480">
            <v>33807.813294715772</v>
          </cell>
          <cell r="K480">
            <v>39341.733527044053</v>
          </cell>
          <cell r="L480">
            <v>53992.426347600558</v>
          </cell>
          <cell r="M480">
            <v>88313.985931679083</v>
          </cell>
        </row>
        <row r="481">
          <cell r="H481">
            <v>43450.664014944312</v>
          </cell>
          <cell r="I481">
            <v>21208.142655777177</v>
          </cell>
          <cell r="J481">
            <v>34148.014157000456</v>
          </cell>
          <cell r="K481">
            <v>36717.064734060819</v>
          </cell>
          <cell r="L481">
            <v>55849.691510492252</v>
          </cell>
          <cell r="M481">
            <v>84607.106312179676</v>
          </cell>
        </row>
        <row r="482">
          <cell r="H482">
            <v>45979.286487152538</v>
          </cell>
          <cell r="I482">
            <v>21063.305542476686</v>
          </cell>
          <cell r="J482">
            <v>33392.947385583677</v>
          </cell>
          <cell r="K482">
            <v>41098.713788470341</v>
          </cell>
          <cell r="L482">
            <v>59079.851302621799</v>
          </cell>
          <cell r="M482">
            <v>79630.512882746683</v>
          </cell>
        </row>
        <row r="483">
          <cell r="H483">
            <v>48854.438211893197</v>
          </cell>
          <cell r="I483">
            <v>22503.091074716503</v>
          </cell>
          <cell r="J483">
            <v>32746.557078002385</v>
          </cell>
          <cell r="K483">
            <v>42977.180660559672</v>
          </cell>
          <cell r="L483">
            <v>62911.913822363022</v>
          </cell>
          <cell r="M483">
            <v>84391.942538823787</v>
          </cell>
        </row>
        <row r="484">
          <cell r="H484">
            <v>48683.866456635631</v>
          </cell>
          <cell r="I484">
            <v>22715.98784048127</v>
          </cell>
          <cell r="J484">
            <v>32781.723270192961</v>
          </cell>
          <cell r="K484">
            <v>40375.631026923948</v>
          </cell>
          <cell r="L484">
            <v>62091.61886740521</v>
          </cell>
          <cell r="M484">
            <v>88298.215932213381</v>
          </cell>
        </row>
        <row r="486">
          <cell r="H486">
            <v>48242.5</v>
          </cell>
          <cell r="I486">
            <v>22500</v>
          </cell>
          <cell r="J486">
            <v>32500</v>
          </cell>
          <cell r="K486">
            <v>40000</v>
          </cell>
          <cell r="L486">
            <v>61500</v>
          </cell>
          <cell r="M486">
            <v>87500</v>
          </cell>
        </row>
      </sheetData>
      <sheetData sheetId="21">
        <row r="5">
          <cell r="G5">
            <v>7297625</v>
          </cell>
          <cell r="H5">
            <v>3547315</v>
          </cell>
          <cell r="I5">
            <v>3750310</v>
          </cell>
        </row>
        <row r="7">
          <cell r="H7">
            <v>0.65644015262247646</v>
          </cell>
        </row>
        <row r="8">
          <cell r="G8">
            <v>0.60282722118497456</v>
          </cell>
          <cell r="I8">
            <v>0.55211595841410444</v>
          </cell>
        </row>
        <row r="14">
          <cell r="H14">
            <v>4.7024298659690496E-2</v>
          </cell>
        </row>
        <row r="15">
          <cell r="G15">
            <v>3.6778102464843011E-2</v>
          </cell>
          <cell r="I15">
            <v>2.7086480850916323E-2</v>
          </cell>
        </row>
        <row r="21">
          <cell r="H21">
            <v>1.656132314158737E-2</v>
          </cell>
        </row>
        <row r="22">
          <cell r="G22">
            <v>1.6821472739418648E-2</v>
          </cell>
          <cell r="I22">
            <v>1.706753575037797E-2</v>
          </cell>
        </row>
        <row r="28">
          <cell r="H28">
            <v>5.0530020593040088E-3</v>
          </cell>
        </row>
        <row r="29">
          <cell r="G29">
            <v>3.7826895736626644E-3</v>
          </cell>
          <cell r="I29">
            <v>2.581135959427354E-3</v>
          </cell>
        </row>
        <row r="35">
          <cell r="H35">
            <v>0.17745912048972251</v>
          </cell>
        </row>
        <row r="36">
          <cell r="G36">
            <v>0.1989008752847673</v>
          </cell>
          <cell r="I36">
            <v>0.21918193429343172</v>
          </cell>
        </row>
        <row r="42">
          <cell r="H42">
            <v>1.8474905668089809E-2</v>
          </cell>
        </row>
        <row r="43">
          <cell r="G43">
            <v>2.052048440417259E-2</v>
          </cell>
          <cell r="I43">
            <v>2.245533035935696E-2</v>
          </cell>
        </row>
        <row r="49">
          <cell r="H49">
            <v>3.537123148071147E-3</v>
          </cell>
        </row>
        <row r="50">
          <cell r="G50">
            <v>6.1696017539953074E-3</v>
          </cell>
          <cell r="I50">
            <v>8.6595908071599413E-3</v>
          </cell>
        </row>
        <row r="56">
          <cell r="H56">
            <v>1.3484824437638043E-2</v>
          </cell>
        </row>
        <row r="57">
          <cell r="G57">
            <v>7.4809571607200977E-3</v>
          </cell>
          <cell r="I57">
            <v>1.8020630294562317E-3</v>
          </cell>
        </row>
        <row r="63">
          <cell r="H63">
            <v>5.1459258622366501E-3</v>
          </cell>
        </row>
        <row r="64">
          <cell r="G64">
            <v>9.635181308987514E-3</v>
          </cell>
          <cell r="I64">
            <v>1.3881444467257373E-2</v>
          </cell>
        </row>
        <row r="70">
          <cell r="H70">
            <v>1.2238772141746644E-2</v>
          </cell>
        </row>
        <row r="71">
          <cell r="G71">
            <v>9.8847501755708195E-3</v>
          </cell>
          <cell r="I71">
            <v>7.6581455932976201E-3</v>
          </cell>
        </row>
        <row r="77">
          <cell r="H77">
            <v>0.10201329738125878</v>
          </cell>
        </row>
        <row r="78">
          <cell r="G78">
            <v>9.1861585104742988E-2</v>
          </cell>
          <cell r="I78">
            <v>8.225935989291551E-2</v>
          </cell>
        </row>
        <row r="84">
          <cell r="H84">
            <v>0.55588578967472579</v>
          </cell>
        </row>
        <row r="85">
          <cell r="G85">
            <v>0.53837406005378463</v>
          </cell>
          <cell r="I85">
            <v>0.52180993037908863</v>
          </cell>
        </row>
        <row r="91">
          <cell r="H91">
            <v>0.17529376443873745</v>
          </cell>
        </row>
        <row r="92">
          <cell r="G92">
            <v>0.1541533033007314</v>
          </cell>
          <cell r="I92">
            <v>0.13415701635331481</v>
          </cell>
        </row>
        <row r="98">
          <cell r="H98">
            <v>4.5861616462028326E-2</v>
          </cell>
        </row>
        <row r="99">
          <cell r="G99">
            <v>3.9241013343382265E-2</v>
          </cell>
          <cell r="I99">
            <v>3.2978793753049747E-2</v>
          </cell>
        </row>
        <row r="105">
          <cell r="H105">
            <v>2.5620659569279863E-2</v>
          </cell>
        </row>
        <row r="106">
          <cell r="G106">
            <v>2.5130655521488156E-2</v>
          </cell>
          <cell r="I106">
            <v>2.4667168847375284E-2</v>
          </cell>
        </row>
        <row r="112">
          <cell r="H112">
            <v>6.6051647513682885E-4</v>
          </cell>
        </row>
        <row r="113">
          <cell r="G113">
            <v>1.1400119902022918E-2</v>
          </cell>
          <cell r="I113">
            <v>2.1558415171012531E-2</v>
          </cell>
        </row>
        <row r="124">
          <cell r="H124">
            <v>6.0973074001040226E-3</v>
          </cell>
        </row>
        <row r="125">
          <cell r="G125">
            <v>7.9691063873520498E-3</v>
          </cell>
          <cell r="I125">
            <v>9.7395921937119857E-3</v>
          </cell>
        </row>
        <row r="131">
          <cell r="H131">
            <v>6.6732472306519162E-3</v>
          </cell>
        </row>
        <row r="132">
          <cell r="G132">
            <v>7.9320998269985094E-3</v>
          </cell>
          <cell r="I132">
            <v>9.1228138473886146E-3</v>
          </cell>
        </row>
      </sheetData>
      <sheetData sheetId="22">
        <row r="10">
          <cell r="C10">
            <v>320775</v>
          </cell>
          <cell r="D10">
            <v>292756</v>
          </cell>
          <cell r="E10">
            <v>91.3</v>
          </cell>
          <cell r="F10">
            <v>216952</v>
          </cell>
          <cell r="G10">
            <v>67.599999999999994</v>
          </cell>
          <cell r="H10">
            <v>176319</v>
          </cell>
          <cell r="I10">
            <v>55</v>
          </cell>
          <cell r="P10">
            <v>66131</v>
          </cell>
          <cell r="Q10">
            <v>20.6</v>
          </cell>
          <cell r="T10">
            <v>55473</v>
          </cell>
          <cell r="U10">
            <v>17.3</v>
          </cell>
          <cell r="Z10">
            <v>7290</v>
          </cell>
          <cell r="AA10">
            <v>2.2999999999999998</v>
          </cell>
          <cell r="AB10">
            <v>28019</v>
          </cell>
          <cell r="AC10">
            <v>8.6999999999999993</v>
          </cell>
        </row>
        <row r="11">
          <cell r="C11">
            <v>271275</v>
          </cell>
          <cell r="D11">
            <v>243641</v>
          </cell>
          <cell r="E11">
            <v>89.8</v>
          </cell>
          <cell r="F11">
            <v>187459</v>
          </cell>
          <cell r="G11">
            <v>69.099999999999994</v>
          </cell>
          <cell r="H11">
            <v>160428</v>
          </cell>
          <cell r="I11">
            <v>59.1</v>
          </cell>
          <cell r="P11">
            <v>59301</v>
          </cell>
          <cell r="Q11">
            <v>21.9</v>
          </cell>
          <cell r="T11">
            <v>8023</v>
          </cell>
          <cell r="U11">
            <v>3</v>
          </cell>
          <cell r="Z11">
            <v>3322</v>
          </cell>
          <cell r="AA11">
            <v>1.2</v>
          </cell>
          <cell r="AB11">
            <v>27633</v>
          </cell>
          <cell r="AC11">
            <v>10.199999999999999</v>
          </cell>
        </row>
        <row r="12">
          <cell r="C12">
            <v>78075</v>
          </cell>
          <cell r="D12">
            <v>74151</v>
          </cell>
          <cell r="E12">
            <v>95</v>
          </cell>
          <cell r="F12">
            <v>46812</v>
          </cell>
          <cell r="G12">
            <v>60</v>
          </cell>
          <cell r="H12">
            <v>40583</v>
          </cell>
          <cell r="I12">
            <v>52</v>
          </cell>
          <cell r="P12">
            <v>30132</v>
          </cell>
          <cell r="Q12">
            <v>38.6</v>
          </cell>
          <cell r="T12">
            <v>520</v>
          </cell>
          <cell r="U12">
            <v>0.7</v>
          </cell>
          <cell r="Z12">
            <v>96</v>
          </cell>
          <cell r="AA12">
            <v>0.1</v>
          </cell>
          <cell r="AB12">
            <v>3925</v>
          </cell>
          <cell r="AC12">
            <v>5</v>
          </cell>
        </row>
        <row r="15">
          <cell r="C15">
            <v>8902</v>
          </cell>
          <cell r="D15">
            <v>8214</v>
          </cell>
          <cell r="E15">
            <v>92.3</v>
          </cell>
          <cell r="F15">
            <v>6413</v>
          </cell>
          <cell r="G15">
            <v>72</v>
          </cell>
          <cell r="H15">
            <v>5523</v>
          </cell>
          <cell r="I15">
            <v>62</v>
          </cell>
          <cell r="P15">
            <v>1530</v>
          </cell>
          <cell r="Q15">
            <v>17.2</v>
          </cell>
          <cell r="T15">
            <v>1492</v>
          </cell>
          <cell r="U15">
            <v>16.8</v>
          </cell>
          <cell r="Z15">
            <v>96</v>
          </cell>
          <cell r="AA15">
            <v>1.1000000000000001</v>
          </cell>
          <cell r="AB15">
            <v>688</v>
          </cell>
          <cell r="AC15">
            <v>7.7</v>
          </cell>
        </row>
        <row r="16">
          <cell r="C16">
            <v>7525</v>
          </cell>
          <cell r="D16">
            <v>6851</v>
          </cell>
          <cell r="E16">
            <v>91</v>
          </cell>
          <cell r="F16">
            <v>5574</v>
          </cell>
          <cell r="G16">
            <v>74.099999999999994</v>
          </cell>
          <cell r="H16">
            <v>4979</v>
          </cell>
          <cell r="I16">
            <v>66.2</v>
          </cell>
          <cell r="P16">
            <v>1357</v>
          </cell>
          <cell r="Q16">
            <v>18</v>
          </cell>
          <cell r="T16">
            <v>187</v>
          </cell>
          <cell r="U16">
            <v>2.5</v>
          </cell>
          <cell r="Z16">
            <v>32</v>
          </cell>
          <cell r="AA16">
            <v>0.4</v>
          </cell>
          <cell r="AB16">
            <v>674</v>
          </cell>
          <cell r="AC16">
            <v>9</v>
          </cell>
        </row>
        <row r="17">
          <cell r="C17">
            <v>2094</v>
          </cell>
          <cell r="D17">
            <v>2015</v>
          </cell>
          <cell r="E17">
            <v>96.3</v>
          </cell>
          <cell r="F17">
            <v>1416</v>
          </cell>
          <cell r="G17">
            <v>67.599999999999994</v>
          </cell>
          <cell r="H17">
            <v>1279</v>
          </cell>
          <cell r="I17">
            <v>61.1</v>
          </cell>
          <cell r="P17">
            <v>662</v>
          </cell>
          <cell r="Q17">
            <v>31.6</v>
          </cell>
          <cell r="T17">
            <v>11</v>
          </cell>
          <cell r="U17">
            <v>0.5</v>
          </cell>
          <cell r="Z17" t="str">
            <v>Z</v>
          </cell>
          <cell r="AA17" t="str">
            <v>Z</v>
          </cell>
          <cell r="AB17">
            <v>78</v>
          </cell>
          <cell r="AC17">
            <v>3.7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zoomScale="91" zoomScaleNormal="91" workbookViewId="0">
      <pane ySplit="2" topLeftCell="A3" activePane="bottomLeft" state="frozen"/>
      <selection pane="bottomLeft"/>
    </sheetView>
  </sheetViews>
  <sheetFormatPr defaultColWidth="8.75" defaultRowHeight="15.75"/>
  <cols>
    <col min="1" max="1" width="85.25" style="104" customWidth="1"/>
    <col min="2" max="16384" width="8.75" style="104"/>
  </cols>
  <sheetData>
    <row r="1" spans="1:1">
      <c r="A1" s="151" t="s">
        <v>539</v>
      </c>
    </row>
    <row r="2" spans="1:1">
      <c r="A2" s="152" t="s">
        <v>371</v>
      </c>
    </row>
    <row r="3" spans="1:1">
      <c r="A3" s="153"/>
    </row>
    <row r="4" spans="1:1">
      <c r="A4" s="154" t="s">
        <v>372</v>
      </c>
    </row>
    <row r="5" spans="1:1">
      <c r="A5" s="304" t="s">
        <v>540</v>
      </c>
    </row>
    <row r="6" spans="1:1">
      <c r="A6" s="304" t="s">
        <v>541</v>
      </c>
    </row>
    <row r="7" spans="1:1">
      <c r="A7" s="304" t="s">
        <v>542</v>
      </c>
    </row>
    <row r="8" spans="1:1">
      <c r="A8" s="304" t="s">
        <v>543</v>
      </c>
    </row>
    <row r="9" spans="1:1">
      <c r="A9" s="305" t="s">
        <v>544</v>
      </c>
    </row>
    <row r="10" spans="1:1">
      <c r="A10" s="305" t="s">
        <v>554</v>
      </c>
    </row>
    <row r="11" spans="1:1">
      <c r="A11" s="305" t="s">
        <v>555</v>
      </c>
    </row>
    <row r="12" spans="1:1">
      <c r="A12" s="305" t="s">
        <v>556</v>
      </c>
    </row>
    <row r="13" spans="1:1">
      <c r="A13" s="304" t="s">
        <v>621</v>
      </c>
    </row>
    <row r="14" spans="1:1">
      <c r="A14" s="304" t="s">
        <v>596</v>
      </c>
    </row>
    <row r="15" spans="1:1">
      <c r="A15" s="304" t="s">
        <v>545</v>
      </c>
    </row>
    <row r="16" spans="1:1">
      <c r="A16" s="304" t="s">
        <v>546</v>
      </c>
    </row>
    <row r="17" spans="1:1">
      <c r="A17" s="305" t="s">
        <v>547</v>
      </c>
    </row>
    <row r="18" spans="1:1">
      <c r="A18" s="304" t="s">
        <v>575</v>
      </c>
    </row>
    <row r="19" spans="1:1">
      <c r="A19" s="305" t="s">
        <v>577</v>
      </c>
    </row>
    <row r="20" spans="1:1">
      <c r="A20" s="305" t="s">
        <v>597</v>
      </c>
    </row>
    <row r="22" spans="1:1">
      <c r="A22" s="154" t="s">
        <v>373</v>
      </c>
    </row>
    <row r="23" spans="1:1">
      <c r="A23" s="304" t="s">
        <v>548</v>
      </c>
    </row>
    <row r="24" spans="1:1">
      <c r="A24" s="305" t="s">
        <v>549</v>
      </c>
    </row>
    <row r="25" spans="1:1">
      <c r="A25" s="304" t="s">
        <v>550</v>
      </c>
    </row>
    <row r="26" spans="1:1">
      <c r="A26" s="305" t="s">
        <v>551</v>
      </c>
    </row>
    <row r="27" spans="1:1">
      <c r="A27" s="306" t="s">
        <v>552</v>
      </c>
    </row>
    <row r="28" spans="1:1">
      <c r="A28" s="307" t="s">
        <v>553</v>
      </c>
    </row>
    <row r="29" spans="1:1">
      <c r="A29" s="308" t="s">
        <v>623</v>
      </c>
    </row>
    <row r="31" spans="1:1">
      <c r="A31" s="154" t="s">
        <v>374</v>
      </c>
    </row>
    <row r="32" spans="1:1">
      <c r="A32" s="17" t="s">
        <v>375</v>
      </c>
    </row>
    <row r="33" spans="1:1">
      <c r="A33" s="306" t="s">
        <v>604</v>
      </c>
    </row>
    <row r="34" spans="1:1">
      <c r="A34" s="306" t="s">
        <v>605</v>
      </c>
    </row>
    <row r="35" spans="1:1">
      <c r="A35" s="306" t="s">
        <v>606</v>
      </c>
    </row>
  </sheetData>
  <phoneticPr fontId="2" type="noConversion"/>
  <hyperlinks>
    <hyperlink ref="A5" location="'T1-T6'!A2" display="Table 1.  Family and Nonfamily Households in New Jersey: 2001-2018"/>
    <hyperlink ref="A6" location="'T1-T6'!G2" display="Table 2.  Households by Household Type, New Jersey and United States: 2001 to 2018"/>
    <hyperlink ref="A7" location="'T1-T6'!P3" display="Table 3.  Marital Status for Men and Women 15 Years Old and Over: New Jersey and United States: 2001 - 2018"/>
    <hyperlink ref="A8" location="'T1-T6'!Y3" display="Table 4.  Living Arrangements of Children Under 18 Years Old: New Jersey &amp; United States, 2001 - 2018"/>
    <hyperlink ref="A9" location="'T1-T6'!AE2" display="Table 5.  Civilian Labor Force Composition: New Jersey and United States, 2001 - 2018"/>
    <hyperlink ref="A10" location="'T1-T6'!AT3" display="Table 6.  Median Family and Household Income: New Jersey and United States, 2001 to 2017"/>
    <hyperlink ref="A11" location="'T7-T10'!A3" display="Table 7.  Median Family Income by Selected Family Characteristics: New Jersey and United States, 2001 to 2017"/>
    <hyperlink ref="A12" location="'T7-T10'!S3" display="Table 8.  Median Household Income by Selected Household Characteristics: New Jersey and United States, 2001 to 2017"/>
    <hyperlink ref="A13" location="'T7-T10'!AK3" display="Table 9.  Number of Families Below Poverty Level and Family Poverty Rates by Selected Characteristics: New Jersey, 2002 to 2018"/>
    <hyperlink ref="A14" location="'T7-T10'!BV3" display="Table 10.  Families Below Poverty Level and Poverty Rates: New Jersey and United States, 2001 to 2018"/>
    <hyperlink ref="A15" location="'T11-S4'!A2" display="Table 11.  Characteristics of Persons in New Jersey: 2001 to 2018"/>
    <hyperlink ref="A16" location="'T11-S4'!T2" display="Table 12.  Characteristics of Families in New Jersey: 2001 to 2018"/>
    <hyperlink ref="A17" location="'T11-S4'!AM3" display="Table 13.  Marital Status by Sex and Race for Persons 15 Years Old and Over:  New Jersey, 2001 to 2018"/>
    <hyperlink ref="A18" location="'T11-S4'!BF3" display="Table 14.  Median Family Income by Selected Family Characteristics: New Jersey, 2001 to 2017"/>
    <hyperlink ref="A19" location="'T11-S4'!CN3" display="Table 15.  Median Household Income by Selected Household Characteristics: New Jersey, 2001 to 2017"/>
    <hyperlink ref="A20" location="'T11-S4'!DV2" display="Table 16.  Family Poverty Status:  New Jersey, 2001 to 2018"/>
    <hyperlink ref="A23" location="'T11-S4'!EO2" display="Table S1.  One-Person Households in New Jersey: 2001 to 2018"/>
    <hyperlink ref="A24" location="'T11-S4'!EW3" display="Table S2.  Percent of Persons Living Below Poverty Level: New Jersey, 2000-2018"/>
    <hyperlink ref="A25" location="'T11-S4'!FP3" display="Table S3.  Labor Force Status for Women Having Own Children: New Jersey, 2001 to 2018"/>
    <hyperlink ref="A26" location="'T11-S4'!GI2" display="Table S4.  Families With Children Under 18:  New Jersey, 2001 to 2018"/>
    <hyperlink ref="A27" location="'S5-S7'!A3" display="Table S5.  Educational Attainment for Persons 25 Years Old and Over by Race and Sex: New Jersey, 2001 to 2018"/>
    <hyperlink ref="A28" location="'S5-S7'!I3" display="Table S6.  Personal Earnings by Educational Attainment for Persons 25 Years Old and Over: New Jersey, 2001 to 2018"/>
    <hyperlink ref="A29" location="'S5-S7'!Q2" display="Table S7.  Source of Income for Persons with Income: New Jersey, 200-2018"/>
    <hyperlink ref="A33" location="HI!A3" display="Table HI-4.  Health Insurance Coverage Status and Type of Coverage by State: All People, 1990 to 2017"/>
    <hyperlink ref="A34" location="HI!A88" display="Table HI-5.  Health Insurance Coverage Status and Type of Coverage by State: Children Under 18, 1990 to 2017"/>
    <hyperlink ref="A35" location="HI!A174" display="Table HI-6.  Health Insurance Coverage Status and Type of Coverage by State: People Under 65, 1990 to 2017"/>
  </hyperlinks>
  <pageMargins left="0.75" right="0.5" top="1" bottom="1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217"/>
  <sheetViews>
    <sheetView zoomScaleNormal="100" workbookViewId="0">
      <selection activeCell="E137" sqref="E137"/>
    </sheetView>
  </sheetViews>
  <sheetFormatPr defaultColWidth="8.75" defaultRowHeight="15.75"/>
  <cols>
    <col min="1" max="1" width="15.5" style="104" customWidth="1"/>
    <col min="2" max="5" width="11.125" style="104" customWidth="1"/>
    <col min="6" max="6" width="1.625" style="104" customWidth="1"/>
    <col min="7" max="7" width="15.5" style="104" customWidth="1"/>
    <col min="8" max="8" width="10.25" style="104" customWidth="1"/>
    <col min="9" max="9" width="9.375" style="104" customWidth="1"/>
    <col min="10" max="10" width="10.75" style="104" customWidth="1"/>
    <col min="11" max="12" width="10.25" style="104" customWidth="1"/>
    <col min="13" max="13" width="6.875" style="104" customWidth="1"/>
    <col min="14" max="14" width="10.375" style="104" customWidth="1"/>
    <col min="15" max="15" width="1.625" style="104" customWidth="1"/>
    <col min="16" max="16" width="16.75" style="104" bestFit="1" customWidth="1"/>
    <col min="17" max="17" width="11.75" style="104" bestFit="1" customWidth="1"/>
    <col min="18" max="18" width="12.25" style="104" bestFit="1" customWidth="1"/>
    <col min="19" max="19" width="12" style="104" bestFit="1" customWidth="1"/>
    <col min="20" max="21" width="8.5" style="104" customWidth="1"/>
    <col min="22" max="22" width="9.375" style="104" bestFit="1" customWidth="1"/>
    <col min="23" max="23" width="9.5" style="104" customWidth="1"/>
    <col min="24" max="24" width="1.625" style="104" customWidth="1"/>
    <col min="25" max="25" width="14.625" style="104" customWidth="1"/>
    <col min="26" max="26" width="11.125" style="104" customWidth="1"/>
    <col min="27" max="27" width="10.5" style="104" customWidth="1"/>
    <col min="28" max="29" width="11.125" style="104" customWidth="1"/>
    <col min="30" max="30" width="1.625" style="104" customWidth="1"/>
    <col min="31" max="31" width="13.5" style="104" customWidth="1"/>
    <col min="32" max="32" width="10.75" style="104" customWidth="1"/>
    <col min="33" max="33" width="8.5" style="104" customWidth="1"/>
    <col min="34" max="34" width="7.625" style="245" customWidth="1"/>
    <col min="35" max="35" width="11.125" style="104" customWidth="1"/>
    <col min="36" max="36" width="7.25" style="104" customWidth="1"/>
    <col min="37" max="37" width="7.125" style="104" customWidth="1"/>
    <col min="38" max="38" width="1.875" style="104" customWidth="1"/>
    <col min="39" max="39" width="11.375" style="104" customWidth="1"/>
    <col min="40" max="40" width="8.75" style="104" customWidth="1"/>
    <col min="41" max="41" width="7.625" style="104" customWidth="1"/>
    <col min="42" max="42" width="11.125" style="104" customWidth="1"/>
    <col min="43" max="43" width="8.5" style="104" customWidth="1"/>
    <col min="44" max="44" width="6.75" style="104" customWidth="1"/>
    <col min="45" max="45" width="2.25" style="104" customWidth="1"/>
    <col min="46" max="46" width="16.75" style="104" customWidth="1"/>
    <col min="47" max="47" width="10.5" style="253" customWidth="1"/>
    <col min="48" max="48" width="10.75" style="104" customWidth="1"/>
    <col min="49" max="49" width="10.25" style="104" customWidth="1"/>
    <col min="50" max="16384" width="8.75" style="104"/>
  </cols>
  <sheetData>
    <row r="1" spans="1:49">
      <c r="A1" s="153" t="s">
        <v>540</v>
      </c>
      <c r="B1" s="18"/>
      <c r="C1" s="18"/>
      <c r="D1" s="18"/>
      <c r="E1" s="19"/>
      <c r="G1" s="153" t="s">
        <v>560</v>
      </c>
      <c r="H1" s="24"/>
      <c r="I1" s="24"/>
      <c r="J1" s="24"/>
      <c r="K1" s="24"/>
      <c r="L1" s="24"/>
      <c r="M1" s="24"/>
      <c r="N1" s="24"/>
      <c r="P1" s="153" t="s">
        <v>369</v>
      </c>
      <c r="Q1" s="24"/>
      <c r="R1" s="24"/>
      <c r="S1" s="24"/>
      <c r="T1" s="24"/>
      <c r="U1" s="24"/>
      <c r="V1" s="24"/>
      <c r="W1" s="24"/>
      <c r="Y1" s="153" t="s">
        <v>0</v>
      </c>
      <c r="Z1" s="24"/>
      <c r="AA1" s="24"/>
      <c r="AB1" s="24"/>
      <c r="AC1" s="24"/>
      <c r="AE1" s="157" t="s">
        <v>563</v>
      </c>
      <c r="AF1" s="35"/>
      <c r="AG1" s="35"/>
      <c r="AH1" s="145"/>
      <c r="AI1" s="35"/>
      <c r="AJ1" s="35"/>
      <c r="AK1" s="35"/>
      <c r="AT1" s="158" t="s">
        <v>564</v>
      </c>
      <c r="AU1" s="247"/>
      <c r="AV1" s="25"/>
      <c r="AW1" s="25"/>
    </row>
    <row r="2" spans="1:49">
      <c r="A2" s="19"/>
      <c r="B2" s="19"/>
      <c r="C2" s="19"/>
      <c r="D2" s="19"/>
      <c r="E2" s="19"/>
      <c r="G2" s="24"/>
      <c r="H2" s="24"/>
      <c r="I2" s="24"/>
      <c r="J2" s="24"/>
      <c r="K2" s="24"/>
      <c r="L2" s="24"/>
      <c r="M2" s="144"/>
      <c r="N2" s="24"/>
      <c r="P2" s="158" t="s">
        <v>562</v>
      </c>
      <c r="Q2" s="24"/>
      <c r="R2" s="24"/>
      <c r="S2" s="24"/>
      <c r="T2" s="24"/>
      <c r="U2" s="144"/>
      <c r="V2" s="24"/>
      <c r="W2" s="24"/>
      <c r="Y2" s="153" t="s">
        <v>561</v>
      </c>
      <c r="Z2" s="24"/>
      <c r="AA2" s="24"/>
      <c r="AB2" s="24"/>
      <c r="AC2" s="144"/>
      <c r="AE2" s="36" t="s">
        <v>483</v>
      </c>
      <c r="AF2" s="35"/>
      <c r="AG2" s="35"/>
      <c r="AH2" s="145"/>
      <c r="AI2" s="35"/>
      <c r="AJ2" s="35"/>
      <c r="AK2" s="35"/>
      <c r="AL2" s="133"/>
      <c r="AT2" s="158" t="s">
        <v>565</v>
      </c>
      <c r="AU2" s="247"/>
      <c r="AV2" s="25"/>
      <c r="AW2" s="156"/>
    </row>
    <row r="3" spans="1:49">
      <c r="A3" s="163" t="s">
        <v>19</v>
      </c>
      <c r="B3" s="85" t="s">
        <v>20</v>
      </c>
      <c r="C3" s="85" t="s">
        <v>21</v>
      </c>
      <c r="D3" s="28" t="s">
        <v>22</v>
      </c>
      <c r="E3" s="28" t="s">
        <v>23</v>
      </c>
      <c r="G3" s="91"/>
      <c r="H3" s="91"/>
      <c r="I3" s="5" t="s">
        <v>35</v>
      </c>
      <c r="J3" s="5"/>
      <c r="K3" s="5"/>
      <c r="L3" s="5"/>
      <c r="M3" s="5"/>
      <c r="N3" s="91"/>
      <c r="Y3" s="24"/>
      <c r="Z3" s="24"/>
      <c r="AA3" s="24"/>
      <c r="AB3" s="24"/>
      <c r="AC3" s="24"/>
      <c r="AE3" s="159"/>
      <c r="AF3" s="160" t="s">
        <v>69</v>
      </c>
      <c r="AG3" s="159"/>
      <c r="AH3" s="241"/>
      <c r="AI3" s="159"/>
      <c r="AJ3" s="159"/>
      <c r="AK3" s="159"/>
      <c r="AL3" s="161"/>
      <c r="AM3" s="160" t="s">
        <v>69</v>
      </c>
      <c r="AN3" s="159"/>
      <c r="AO3" s="159"/>
      <c r="AP3" s="159"/>
      <c r="AQ3" s="159"/>
      <c r="AR3" s="159"/>
      <c r="AS3" s="162"/>
      <c r="AT3" s="25"/>
      <c r="AU3" s="247"/>
      <c r="AV3" s="25"/>
      <c r="AW3" s="156"/>
    </row>
    <row r="4" spans="1:49">
      <c r="A4" s="87" t="s">
        <v>24</v>
      </c>
      <c r="B4" s="9" t="s">
        <v>25</v>
      </c>
      <c r="C4" s="9" t="s">
        <v>25</v>
      </c>
      <c r="D4" s="9" t="s">
        <v>25</v>
      </c>
      <c r="E4" s="9" t="s">
        <v>26</v>
      </c>
      <c r="G4" s="24"/>
      <c r="H4" s="24"/>
      <c r="I4" s="25"/>
      <c r="J4" s="25"/>
      <c r="K4" s="21" t="s">
        <v>37</v>
      </c>
      <c r="L4" s="21" t="s">
        <v>36</v>
      </c>
      <c r="M4" s="21" t="s">
        <v>38</v>
      </c>
      <c r="N4" s="310" t="s">
        <v>39</v>
      </c>
      <c r="P4" s="163" t="s">
        <v>19</v>
      </c>
      <c r="Q4" s="28" t="s">
        <v>48</v>
      </c>
      <c r="R4" s="28" t="s">
        <v>40</v>
      </c>
      <c r="S4" s="28" t="s">
        <v>40</v>
      </c>
      <c r="T4" s="29"/>
      <c r="U4" s="29"/>
      <c r="V4" s="29"/>
      <c r="W4" s="28" t="s">
        <v>49</v>
      </c>
      <c r="Y4" s="163" t="s">
        <v>19</v>
      </c>
      <c r="Z4" s="28" t="s">
        <v>59</v>
      </c>
      <c r="AA4" s="28" t="s">
        <v>60</v>
      </c>
      <c r="AB4" s="28" t="s">
        <v>61</v>
      </c>
      <c r="AC4" s="28" t="s">
        <v>62</v>
      </c>
      <c r="AE4" s="164" t="s">
        <v>19</v>
      </c>
      <c r="AF4" s="37" t="s">
        <v>70</v>
      </c>
      <c r="AG4" s="165" t="s">
        <v>71</v>
      </c>
      <c r="AH4" s="242"/>
      <c r="AI4" s="35"/>
      <c r="AJ4" s="165" t="s">
        <v>72</v>
      </c>
      <c r="AK4" s="38"/>
      <c r="AM4" s="37" t="s">
        <v>70</v>
      </c>
      <c r="AN4" s="165" t="s">
        <v>71</v>
      </c>
      <c r="AO4" s="38"/>
      <c r="AP4" s="35"/>
      <c r="AQ4" s="165" t="s">
        <v>72</v>
      </c>
      <c r="AR4" s="108"/>
      <c r="AS4" s="38"/>
      <c r="AT4" s="29"/>
      <c r="AU4" s="248"/>
      <c r="AV4" s="29"/>
      <c r="AW4" s="166" t="s">
        <v>80</v>
      </c>
    </row>
    <row r="5" spans="1:49">
      <c r="A5" s="20"/>
      <c r="C5" s="110"/>
      <c r="E5" s="20"/>
      <c r="G5" s="86" t="s">
        <v>19</v>
      </c>
      <c r="H5" s="21" t="s">
        <v>20</v>
      </c>
      <c r="I5" s="24"/>
      <c r="J5" s="26" t="s">
        <v>40</v>
      </c>
      <c r="K5" s="21" t="s">
        <v>41</v>
      </c>
      <c r="L5" s="21" t="s">
        <v>41</v>
      </c>
      <c r="M5" s="26" t="s">
        <v>42</v>
      </c>
      <c r="N5" s="21" t="s">
        <v>43</v>
      </c>
      <c r="P5" s="87" t="s">
        <v>24</v>
      </c>
      <c r="Q5" s="9" t="s">
        <v>50</v>
      </c>
      <c r="R5" s="9" t="s">
        <v>51</v>
      </c>
      <c r="S5" s="9" t="s">
        <v>52</v>
      </c>
      <c r="T5" s="9" t="s">
        <v>53</v>
      </c>
      <c r="U5" s="9" t="s">
        <v>54</v>
      </c>
      <c r="V5" s="9" t="s">
        <v>55</v>
      </c>
      <c r="W5" s="9" t="s">
        <v>40</v>
      </c>
      <c r="Y5" s="87" t="s">
        <v>24</v>
      </c>
      <c r="Z5" s="9" t="s">
        <v>63</v>
      </c>
      <c r="AA5" s="9" t="s">
        <v>64</v>
      </c>
      <c r="AB5" s="9" t="s">
        <v>65</v>
      </c>
      <c r="AC5" s="9" t="s">
        <v>66</v>
      </c>
      <c r="AE5" s="164" t="s">
        <v>24</v>
      </c>
      <c r="AF5" s="37" t="s">
        <v>73</v>
      </c>
      <c r="AG5" s="167" t="s">
        <v>11</v>
      </c>
      <c r="AH5" s="243" t="s">
        <v>74</v>
      </c>
      <c r="AI5" s="167" t="s">
        <v>75</v>
      </c>
      <c r="AJ5" s="167" t="s">
        <v>11</v>
      </c>
      <c r="AK5" s="167" t="s">
        <v>74</v>
      </c>
      <c r="AL5" s="168"/>
      <c r="AM5" s="169" t="s">
        <v>73</v>
      </c>
      <c r="AN5" s="170" t="s">
        <v>11</v>
      </c>
      <c r="AO5" s="170" t="s">
        <v>74</v>
      </c>
      <c r="AP5" s="170" t="s">
        <v>75</v>
      </c>
      <c r="AQ5" s="170" t="s">
        <v>11</v>
      </c>
      <c r="AR5" s="170" t="s">
        <v>74</v>
      </c>
      <c r="AS5" s="171"/>
      <c r="AT5" s="172" t="s">
        <v>19</v>
      </c>
      <c r="AU5" s="247"/>
      <c r="AV5" s="25"/>
      <c r="AW5" s="42" t="s">
        <v>81</v>
      </c>
    </row>
    <row r="6" spans="1:49">
      <c r="A6" s="21" t="s">
        <v>557</v>
      </c>
      <c r="B6" s="110">
        <v>3386005</v>
      </c>
      <c r="C6" s="110">
        <v>2280687.91</v>
      </c>
      <c r="D6" s="111">
        <v>1105316.77</v>
      </c>
      <c r="E6" s="20">
        <v>2.5499999999999998</v>
      </c>
      <c r="G6" s="87" t="s">
        <v>24</v>
      </c>
      <c r="H6" s="9" t="s">
        <v>44</v>
      </c>
      <c r="I6" s="183" t="s">
        <v>45</v>
      </c>
      <c r="J6" s="9" t="s">
        <v>583</v>
      </c>
      <c r="K6" s="277" t="s">
        <v>582</v>
      </c>
      <c r="L6" s="277" t="s">
        <v>582</v>
      </c>
      <c r="M6" s="277" t="s">
        <v>25</v>
      </c>
      <c r="N6" s="9" t="s">
        <v>25</v>
      </c>
      <c r="P6" s="24"/>
      <c r="Q6" s="24"/>
      <c r="R6" s="24"/>
      <c r="S6" s="24"/>
      <c r="T6" s="24"/>
      <c r="U6" s="24"/>
      <c r="V6" s="24"/>
      <c r="W6" s="24"/>
      <c r="Y6" s="24"/>
      <c r="Z6" s="24"/>
      <c r="AA6" s="24"/>
      <c r="AB6" s="24"/>
      <c r="AC6" s="24"/>
      <c r="AE6" s="39"/>
      <c r="AF6" s="39"/>
      <c r="AG6" s="39"/>
      <c r="AH6" s="241"/>
      <c r="AI6" s="39"/>
      <c r="AJ6" s="39"/>
      <c r="AK6" s="39"/>
      <c r="AT6" s="173" t="s">
        <v>24</v>
      </c>
      <c r="AU6" s="249" t="s">
        <v>82</v>
      </c>
      <c r="AV6" s="174" t="s">
        <v>83</v>
      </c>
      <c r="AW6" s="174" t="s">
        <v>83</v>
      </c>
    </row>
    <row r="7" spans="1:49">
      <c r="A7" s="21" t="s">
        <v>27</v>
      </c>
      <c r="B7" s="112">
        <f>C7+D7</f>
        <v>0.99999990549334683</v>
      </c>
      <c r="C7" s="112">
        <f>C6/B6</f>
        <v>0.67356306620929385</v>
      </c>
      <c r="D7" s="112">
        <f>D6/B6</f>
        <v>0.32643683928405304</v>
      </c>
      <c r="E7" s="2"/>
      <c r="G7" s="24"/>
      <c r="H7" s="24"/>
      <c r="I7" s="24"/>
      <c r="M7" s="24"/>
      <c r="N7" s="24"/>
      <c r="P7" s="24"/>
      <c r="Q7" s="24"/>
      <c r="R7" s="24"/>
      <c r="S7" s="24"/>
      <c r="T7" s="24"/>
      <c r="U7" s="24"/>
      <c r="V7" s="24"/>
      <c r="W7" s="24"/>
      <c r="Y7" s="24"/>
      <c r="Z7" s="24"/>
      <c r="AA7" s="24"/>
      <c r="AB7" s="24"/>
      <c r="AC7" s="24"/>
      <c r="AE7" s="238"/>
      <c r="AF7" s="238"/>
      <c r="AG7" s="238"/>
      <c r="AH7" s="244"/>
      <c r="AI7" s="238"/>
      <c r="AJ7" s="238"/>
      <c r="AK7" s="238"/>
      <c r="AT7" s="239"/>
      <c r="AU7" s="250"/>
      <c r="AV7" s="240"/>
      <c r="AW7" s="240"/>
    </row>
    <row r="8" spans="1:49">
      <c r="A8" s="20"/>
      <c r="C8" s="110"/>
      <c r="E8" s="20"/>
      <c r="G8" s="175" t="s">
        <v>46</v>
      </c>
      <c r="P8" s="30" t="s">
        <v>56</v>
      </c>
      <c r="Y8" s="98" t="s">
        <v>46</v>
      </c>
      <c r="AE8" s="100" t="s">
        <v>484</v>
      </c>
      <c r="AF8" s="157" t="s">
        <v>511</v>
      </c>
      <c r="AG8" s="35"/>
      <c r="AH8" s="145"/>
      <c r="AI8" s="35"/>
      <c r="AJ8" s="35"/>
      <c r="AK8" s="35"/>
      <c r="AM8" s="157" t="s">
        <v>512</v>
      </c>
      <c r="AT8" s="126" t="s">
        <v>84</v>
      </c>
      <c r="AU8" s="251"/>
      <c r="AV8" s="43"/>
      <c r="AW8" s="43"/>
    </row>
    <row r="9" spans="1:49">
      <c r="A9" s="21" t="s">
        <v>495</v>
      </c>
      <c r="B9" s="110">
        <f>C9+D9</f>
        <v>3419450.69</v>
      </c>
      <c r="C9" s="110">
        <v>2314147.38</v>
      </c>
      <c r="D9" s="111">
        <v>1105303.31</v>
      </c>
      <c r="E9" s="20">
        <v>2.5499999999999998</v>
      </c>
      <c r="G9" s="21" t="s">
        <v>557</v>
      </c>
      <c r="H9" s="11">
        <f>B6</f>
        <v>3386005</v>
      </c>
      <c r="I9" s="11">
        <f>C6</f>
        <v>2280687.91</v>
      </c>
      <c r="J9" s="113">
        <v>1768313</v>
      </c>
      <c r="K9" s="113">
        <v>138052.1</v>
      </c>
      <c r="L9" s="113">
        <v>373248.1</v>
      </c>
      <c r="M9" s="113">
        <v>1074.8499999999999</v>
      </c>
      <c r="N9" s="113">
        <v>1105317</v>
      </c>
      <c r="P9" s="21" t="s">
        <v>557</v>
      </c>
      <c r="Q9" s="118">
        <v>3547315.15</v>
      </c>
      <c r="R9" s="113">
        <v>1849393</v>
      </c>
      <c r="S9" s="113">
        <v>81713.98</v>
      </c>
      <c r="T9" s="113">
        <v>85532.25</v>
      </c>
      <c r="U9" s="113">
        <v>221108.4</v>
      </c>
      <c r="V9" s="113">
        <v>56112.52</v>
      </c>
      <c r="W9" s="113">
        <v>1253455</v>
      </c>
      <c r="Y9" s="21" t="s">
        <v>557</v>
      </c>
      <c r="Z9" s="118">
        <v>2007979</v>
      </c>
      <c r="AA9" s="113">
        <v>1527593</v>
      </c>
      <c r="AB9" s="118">
        <v>413036.35</v>
      </c>
      <c r="AC9" s="113">
        <v>67349.820000000007</v>
      </c>
      <c r="AE9" s="37" t="s">
        <v>557</v>
      </c>
      <c r="AF9" s="113">
        <v>7192</v>
      </c>
      <c r="AG9" s="35">
        <v>4469</v>
      </c>
      <c r="AH9" s="145">
        <v>0.62139999999999995</v>
      </c>
      <c r="AI9" s="35">
        <v>4283</v>
      </c>
      <c r="AJ9" s="35">
        <v>186</v>
      </c>
      <c r="AK9" s="145">
        <v>4.1700000000000001E-2</v>
      </c>
      <c r="AM9" s="113">
        <f>'[1]Table 5'!$G$7</f>
        <v>255755.149</v>
      </c>
      <c r="AN9" s="118">
        <f>'[1]Table 5'!$G$8</f>
        <v>160759.06900000002</v>
      </c>
      <c r="AO9" s="121">
        <f>AN9/AM9</f>
        <v>0.62856630503263111</v>
      </c>
      <c r="AP9" s="118">
        <f>'[1]Table 5'!$G$9</f>
        <v>153685.39000000001</v>
      </c>
      <c r="AQ9" s="118">
        <f>'[1]Table 5'!$G$10</f>
        <v>7073.6790000000001</v>
      </c>
      <c r="AR9" s="145">
        <f>AQ9/AN9</f>
        <v>4.4001741512946925E-2</v>
      </c>
      <c r="AS9" s="121"/>
      <c r="AT9" s="126"/>
      <c r="AU9" s="251"/>
      <c r="AV9" s="43"/>
      <c r="AW9" s="43"/>
    </row>
    <row r="10" spans="1:49">
      <c r="A10" s="21" t="s">
        <v>27</v>
      </c>
      <c r="B10" s="112">
        <f>C10+D10</f>
        <v>1</v>
      </c>
      <c r="C10" s="112">
        <f>C9/B9</f>
        <v>0.67675997983173142</v>
      </c>
      <c r="D10" s="112">
        <f>D9/B9</f>
        <v>0.32324002016826864</v>
      </c>
      <c r="E10" s="2"/>
      <c r="G10" s="21" t="s">
        <v>27</v>
      </c>
      <c r="H10" s="114">
        <f>I10+N10</f>
        <v>0.9999999734200038</v>
      </c>
      <c r="I10" s="115">
        <f t="shared" ref="I10:N10" si="0">I9/$H$9</f>
        <v>0.67356306620929385</v>
      </c>
      <c r="J10" s="115">
        <f t="shared" si="0"/>
        <v>0.52224169781202334</v>
      </c>
      <c r="K10" s="115">
        <f t="shared" si="0"/>
        <v>4.077138102276872E-2</v>
      </c>
      <c r="L10" s="115">
        <f t="shared" si="0"/>
        <v>0.11023258973332879</v>
      </c>
      <c r="M10" s="115">
        <f t="shared" si="0"/>
        <v>3.1743898783374505E-4</v>
      </c>
      <c r="N10" s="115">
        <f t="shared" si="0"/>
        <v>0.32643690721070995</v>
      </c>
      <c r="P10" s="21" t="s">
        <v>27</v>
      </c>
      <c r="Q10" s="115">
        <f>SUM(R10:W10)</f>
        <v>1</v>
      </c>
      <c r="R10" s="112">
        <f t="shared" ref="R10:W10" si="1">R9/$Q$9</f>
        <v>0.52135006950256446</v>
      </c>
      <c r="S10" s="112">
        <f t="shared" si="1"/>
        <v>2.3035444144284729E-2</v>
      </c>
      <c r="T10" s="112">
        <f t="shared" si="1"/>
        <v>2.4111827222343073E-2</v>
      </c>
      <c r="U10" s="112">
        <f t="shared" si="1"/>
        <v>6.2331197159068319E-2</v>
      </c>
      <c r="V10" s="112">
        <f t="shared" si="1"/>
        <v>1.5818306980703419E-2</v>
      </c>
      <c r="W10" s="112">
        <f t="shared" si="1"/>
        <v>0.35335315499103598</v>
      </c>
      <c r="Y10" s="21" t="s">
        <v>27</v>
      </c>
      <c r="Z10" s="115">
        <f>SUM(AA10:AC10)</f>
        <v>1.0000000846622401</v>
      </c>
      <c r="AA10" s="112">
        <v>0.76076144222623843</v>
      </c>
      <c r="AB10" s="112">
        <v>0.20569754464563622</v>
      </c>
      <c r="AC10" s="112">
        <v>3.3541097790365342E-2</v>
      </c>
      <c r="AE10" s="37" t="s">
        <v>495</v>
      </c>
      <c r="AF10" s="113">
        <f>7135237/1000</f>
        <v>7135.2370000000001</v>
      </c>
      <c r="AG10" s="113">
        <f>4555993.9/1000</f>
        <v>4555.9939000000004</v>
      </c>
      <c r="AH10" s="145">
        <f>AG10/AF10</f>
        <v>0.63852033226086258</v>
      </c>
      <c r="AI10" s="122">
        <f>4325889/1000</f>
        <v>4325.8890000000001</v>
      </c>
      <c r="AJ10" s="122">
        <f>230104.9/1000</f>
        <v>230.10489999999999</v>
      </c>
      <c r="AK10" s="145">
        <f>AJ10/AG10</f>
        <v>5.0505971924150288E-2</v>
      </c>
      <c r="AL10" s="103"/>
      <c r="AM10" s="113">
        <v>253589.8</v>
      </c>
      <c r="AN10" s="118">
        <v>159383.79999999999</v>
      </c>
      <c r="AO10" s="121">
        <f>AN10/AM10</f>
        <v>0.62851029497243183</v>
      </c>
      <c r="AP10" s="118">
        <v>151559.1</v>
      </c>
      <c r="AQ10" s="118">
        <v>7824.69</v>
      </c>
      <c r="AR10" s="145">
        <f>AQ10/AN10</f>
        <v>4.9093383392791491E-2</v>
      </c>
      <c r="AS10" s="41"/>
      <c r="AT10" s="37" t="s">
        <v>495</v>
      </c>
      <c r="AU10" s="247">
        <f>'[2]Table 6-7f'!$L$38</f>
        <v>89367.914351206273</v>
      </c>
      <c r="AV10" s="176">
        <f>'[1]Table 6_F &amp; 7'!$L$39</f>
        <v>72582.372308861726</v>
      </c>
      <c r="AW10" s="22">
        <f>AU10/AV10</f>
        <v>1.2312619649701801</v>
      </c>
    </row>
    <row r="11" spans="1:49">
      <c r="A11" s="20"/>
      <c r="C11" s="110"/>
      <c r="E11" s="20"/>
      <c r="G11" s="20"/>
      <c r="P11" s="20"/>
      <c r="Y11" s="20"/>
      <c r="AE11" s="37" t="s">
        <v>489</v>
      </c>
      <c r="AF11" s="113">
        <f>7157061.5/1000</f>
        <v>7157.0614999999998</v>
      </c>
      <c r="AG11" s="113">
        <f>4616593/1000</f>
        <v>4616.5929999999998</v>
      </c>
      <c r="AH11" s="145">
        <f>AG11/AF11</f>
        <v>0.64504028643599054</v>
      </c>
      <c r="AI11" s="122">
        <f>4320112/1000</f>
        <v>4320.1120000000001</v>
      </c>
      <c r="AJ11" s="122">
        <f>296481/1000</f>
        <v>296.48099999999999</v>
      </c>
      <c r="AK11" s="145">
        <f>AJ11/AG11</f>
        <v>6.4220735940985055E-2</v>
      </c>
      <c r="AL11" s="103"/>
      <c r="AM11" s="113">
        <v>251423</v>
      </c>
      <c r="AN11" s="118">
        <v>157682</v>
      </c>
      <c r="AO11" s="121">
        <f>AN11/AM11</f>
        <v>0.62715821543772843</v>
      </c>
      <c r="AP11" s="118">
        <v>149092</v>
      </c>
      <c r="AQ11" s="118">
        <v>8589</v>
      </c>
      <c r="AR11" s="145">
        <f>AQ11/AN11</f>
        <v>5.4470389771819235E-2</v>
      </c>
      <c r="AS11" s="41"/>
      <c r="AT11" s="37" t="s">
        <v>489</v>
      </c>
      <c r="AU11" s="252">
        <f>'[2]Table 6-7f'!$L$37</f>
        <v>91562.757908514614</v>
      </c>
      <c r="AV11" s="176">
        <f>'[1]Table 6_F &amp; 7'!$L$38</f>
        <v>72430.858038761988</v>
      </c>
      <c r="AW11" s="22">
        <f>AU11/AV11</f>
        <v>1.2641401798597225</v>
      </c>
    </row>
    <row r="12" spans="1:49">
      <c r="A12" s="21" t="s">
        <v>489</v>
      </c>
      <c r="B12" s="110">
        <f>C12+D12</f>
        <v>3363219</v>
      </c>
      <c r="C12" s="110">
        <v>2304048</v>
      </c>
      <c r="D12" s="111">
        <v>1059171</v>
      </c>
      <c r="E12" s="20">
        <v>2.61</v>
      </c>
      <c r="G12" s="21" t="s">
        <v>495</v>
      </c>
      <c r="H12" s="11">
        <f>B9</f>
        <v>3419450.69</v>
      </c>
      <c r="I12" s="11">
        <f>C9</f>
        <v>2314147.38</v>
      </c>
      <c r="J12" s="113">
        <v>1762494</v>
      </c>
      <c r="K12" s="113">
        <v>155413</v>
      </c>
      <c r="L12" s="113">
        <v>394181</v>
      </c>
      <c r="M12" s="113">
        <v>2060</v>
      </c>
      <c r="N12" s="113">
        <f>D9</f>
        <v>1105303.31</v>
      </c>
      <c r="P12" s="21" t="s">
        <v>495</v>
      </c>
      <c r="Q12" s="118">
        <f>SUM(R12:W12)</f>
        <v>3506411</v>
      </c>
      <c r="R12" s="113">
        <v>1828896</v>
      </c>
      <c r="S12" s="113">
        <v>84508</v>
      </c>
      <c r="T12" s="113">
        <v>101974</v>
      </c>
      <c r="U12" s="113">
        <v>231473</v>
      </c>
      <c r="V12" s="113">
        <v>59666</v>
      </c>
      <c r="W12" s="113">
        <v>1199894</v>
      </c>
      <c r="Y12" s="21" t="s">
        <v>495</v>
      </c>
      <c r="Z12" s="118">
        <v>1974699</v>
      </c>
      <c r="AA12" s="113">
        <v>1518760</v>
      </c>
      <c r="AB12" s="118">
        <v>378345.71</v>
      </c>
      <c r="AC12" s="113">
        <v>77593.48</v>
      </c>
      <c r="AE12" s="37" t="s">
        <v>607</v>
      </c>
      <c r="AF12" s="40">
        <v>7103.6819999999998</v>
      </c>
      <c r="AG12" s="40">
        <v>4536.1781000000001</v>
      </c>
      <c r="AH12" s="148">
        <v>0.63856716840646865</v>
      </c>
      <c r="AI12" s="40">
        <v>4216.3329999999996</v>
      </c>
      <c r="AJ12" s="40">
        <v>319.8451</v>
      </c>
      <c r="AK12" s="146">
        <v>7.0509819709239363E-2</v>
      </c>
      <c r="AL12" s="103"/>
      <c r="AM12" s="40">
        <v>248668.94500000001</v>
      </c>
      <c r="AN12" s="40">
        <v>155965.005</v>
      </c>
      <c r="AO12" s="41">
        <v>0.62719936741598348</v>
      </c>
      <c r="AP12" s="40">
        <v>146148.79999999999</v>
      </c>
      <c r="AQ12" s="40">
        <v>9816.2049999999999</v>
      </c>
      <c r="AR12" s="146">
        <v>6.2938509827893757E-2</v>
      </c>
      <c r="AS12" s="41"/>
      <c r="AT12" s="37" t="s">
        <v>607</v>
      </c>
      <c r="AU12" s="252">
        <f>'[2]Table 6-7f'!$L$36</f>
        <v>88471.11491837044</v>
      </c>
      <c r="AV12" s="44">
        <f>'[1]Table 6_F &amp; 7'!$L$37</f>
        <v>71066.027336273575</v>
      </c>
      <c r="AW12" s="22">
        <f t="shared" ref="AW12:AW25" si="2">AU12/AV12</f>
        <v>1.2449143174943302</v>
      </c>
    </row>
    <row r="13" spans="1:49">
      <c r="A13" s="21" t="s">
        <v>27</v>
      </c>
      <c r="B13" s="112">
        <f>C13+D13</f>
        <v>1</v>
      </c>
      <c r="C13" s="112">
        <f>C12/B12</f>
        <v>0.68507224774836251</v>
      </c>
      <c r="D13" s="112">
        <f>D12/B12</f>
        <v>0.31492775225163749</v>
      </c>
      <c r="E13" s="2"/>
      <c r="G13" s="21" t="s">
        <v>27</v>
      </c>
      <c r="H13" s="114">
        <f>I13+N13</f>
        <v>1</v>
      </c>
      <c r="I13" s="115">
        <f t="shared" ref="I13:N13" si="3">I12/$H$12</f>
        <v>0.67675997983173142</v>
      </c>
      <c r="J13" s="115">
        <f t="shared" si="3"/>
        <v>0.51543190991299248</v>
      </c>
      <c r="K13" s="115">
        <f t="shared" si="3"/>
        <v>4.5449697653046142E-2</v>
      </c>
      <c r="L13" s="115">
        <f t="shared" si="3"/>
        <v>0.11527611763864914</v>
      </c>
      <c r="M13" s="115">
        <f t="shared" si="3"/>
        <v>6.0243594271569979E-4</v>
      </c>
      <c r="N13" s="115">
        <f t="shared" si="3"/>
        <v>0.32324002016826864</v>
      </c>
      <c r="P13" s="21" t="s">
        <v>27</v>
      </c>
      <c r="Q13" s="115">
        <f>SUM(R13:W13)</f>
        <v>1</v>
      </c>
      <c r="R13" s="112">
        <f t="shared" ref="R13:W13" si="4">R12/$Q$12</f>
        <v>0.52158631717730752</v>
      </c>
      <c r="S13" s="112">
        <f t="shared" si="4"/>
        <v>2.4100996717156088E-2</v>
      </c>
      <c r="T13" s="112">
        <f t="shared" si="4"/>
        <v>2.9082158366489266E-2</v>
      </c>
      <c r="U13" s="112">
        <f t="shared" si="4"/>
        <v>6.6014223660603388E-2</v>
      </c>
      <c r="V13" s="112">
        <f t="shared" si="4"/>
        <v>1.70162596455464E-2</v>
      </c>
      <c r="W13" s="112">
        <f t="shared" si="4"/>
        <v>0.34220004443289737</v>
      </c>
      <c r="Y13" s="21" t="s">
        <v>27</v>
      </c>
      <c r="Z13" s="115">
        <f>SUM(AA13:AC13)</f>
        <v>1.0000009999999999</v>
      </c>
      <c r="AA13" s="112">
        <v>0.76910999999999996</v>
      </c>
      <c r="AB13" s="112">
        <v>0.19159699999999999</v>
      </c>
      <c r="AC13" s="112">
        <v>3.9294000000000003E-2</v>
      </c>
      <c r="AE13" s="37" t="s">
        <v>608</v>
      </c>
      <c r="AF13" s="40">
        <v>6998.6692999999996</v>
      </c>
      <c r="AG13" s="40">
        <v>4547.3702999999996</v>
      </c>
      <c r="AH13" s="148">
        <v>0.64974784563688415</v>
      </c>
      <c r="AI13" s="40">
        <v>4168.0929999999998</v>
      </c>
      <c r="AJ13" s="40">
        <v>379.27729999999997</v>
      </c>
      <c r="AK13" s="146">
        <v>8.3405853268646274E-2</v>
      </c>
      <c r="AL13" s="103"/>
      <c r="AM13" s="40">
        <v>246125.63500000001</v>
      </c>
      <c r="AN13" s="40">
        <v>154995.82500000001</v>
      </c>
      <c r="AO13" s="41">
        <v>0.62974271249721714</v>
      </c>
      <c r="AP13" s="40">
        <v>143562</v>
      </c>
      <c r="AQ13" s="40">
        <v>11433.825000000001</v>
      </c>
      <c r="AR13" s="146">
        <v>7.3768599896158499E-2</v>
      </c>
      <c r="AS13" s="41"/>
      <c r="AT13" s="37" t="s">
        <v>608</v>
      </c>
      <c r="AU13" s="252">
        <f>'[2]Table 6-7f'!$L$35</f>
        <v>84655.690302300733</v>
      </c>
      <c r="AV13" s="44">
        <f>'[1]Table 6_F &amp; 7'!$L$36</f>
        <v>68061.900518102892</v>
      </c>
      <c r="AW13" s="22">
        <f t="shared" si="2"/>
        <v>1.243804384800925</v>
      </c>
    </row>
    <row r="14" spans="1:49">
      <c r="A14" s="20"/>
      <c r="B14" s="118"/>
      <c r="C14" s="118"/>
      <c r="D14" s="118"/>
      <c r="E14" s="20"/>
      <c r="G14" s="20"/>
      <c r="P14" s="20"/>
      <c r="Y14" s="20"/>
      <c r="AE14" s="37" t="s">
        <v>609</v>
      </c>
      <c r="AF14" s="40">
        <v>6894.0529999999999</v>
      </c>
      <c r="AG14" s="40">
        <v>4544.6429000000007</v>
      </c>
      <c r="AH14" s="148">
        <v>0.65921206291857648</v>
      </c>
      <c r="AI14" s="40">
        <v>4124.6760000000004</v>
      </c>
      <c r="AJ14" s="40">
        <v>419.96690000000001</v>
      </c>
      <c r="AK14" s="146">
        <v>9.2409218774922877E-2</v>
      </c>
      <c r="AL14" s="103"/>
      <c r="AM14" s="40">
        <v>243798</v>
      </c>
      <c r="AN14" s="40">
        <v>154381.02599999998</v>
      </c>
      <c r="AO14" s="41">
        <v>0.63323378309231582</v>
      </c>
      <c r="AP14" s="40">
        <v>141709.22999999998</v>
      </c>
      <c r="AQ14" s="40">
        <v>12671.796</v>
      </c>
      <c r="AR14" s="146">
        <v>8.2081304473258274E-2</v>
      </c>
      <c r="AS14" s="41"/>
      <c r="AT14" s="37" t="s">
        <v>609</v>
      </c>
      <c r="AU14" s="252">
        <f>'[2]Table 6-7f'!$L$34</f>
        <v>85425.380316543451</v>
      </c>
      <c r="AV14" s="44">
        <f>'[1]Table 6_F &amp; 7'!$L$35</f>
        <v>66796.312883211882</v>
      </c>
      <c r="AW14" s="22">
        <f t="shared" si="2"/>
        <v>1.2788936489039902</v>
      </c>
    </row>
    <row r="15" spans="1:49">
      <c r="A15" s="21" t="s">
        <v>607</v>
      </c>
      <c r="B15" s="11">
        <v>3314100</v>
      </c>
      <c r="C15" s="11">
        <v>2234200</v>
      </c>
      <c r="D15" s="11">
        <v>1079900</v>
      </c>
      <c r="E15" s="22">
        <v>2.6837432293755259</v>
      </c>
      <c r="G15" s="21" t="s">
        <v>489</v>
      </c>
      <c r="H15" s="11">
        <f>B12</f>
        <v>3363219</v>
      </c>
      <c r="I15" s="11">
        <f>C12</f>
        <v>2304048</v>
      </c>
      <c r="J15" s="113">
        <v>1724244</v>
      </c>
      <c r="K15" s="113">
        <v>161108.6</v>
      </c>
      <c r="L15" s="113">
        <v>417711</v>
      </c>
      <c r="M15" s="113">
        <v>984.71500000000003</v>
      </c>
      <c r="N15" s="113">
        <f>D12</f>
        <v>1059171</v>
      </c>
      <c r="P15" s="21" t="s">
        <v>489</v>
      </c>
      <c r="Q15" s="118">
        <f>SUM(R15:W15)</f>
        <v>3534536.45</v>
      </c>
      <c r="R15" s="113">
        <v>1792515</v>
      </c>
      <c r="S15" s="113">
        <v>74465.42</v>
      </c>
      <c r="T15" s="113">
        <v>103236</v>
      </c>
      <c r="U15" s="113">
        <v>209063.2</v>
      </c>
      <c r="V15" s="113">
        <v>61524.83</v>
      </c>
      <c r="W15" s="113">
        <v>1293732</v>
      </c>
      <c r="Y15" s="21" t="s">
        <v>489</v>
      </c>
      <c r="Z15" s="118">
        <f>SUM(AA15:AC15)</f>
        <v>1988384.64</v>
      </c>
      <c r="AA15" s="113">
        <v>1525723</v>
      </c>
      <c r="AB15" s="118">
        <f>332683+53240</f>
        <v>385923</v>
      </c>
      <c r="AC15" s="113">
        <v>76738.64</v>
      </c>
      <c r="AE15" s="37" t="s">
        <v>610</v>
      </c>
      <c r="AF15" s="40">
        <v>6857.8</v>
      </c>
      <c r="AG15" s="40">
        <v>4536.7</v>
      </c>
      <c r="AH15" s="148">
        <v>0.66153868587593689</v>
      </c>
      <c r="AI15" s="40">
        <v>4083.2</v>
      </c>
      <c r="AJ15" s="40">
        <v>453.5</v>
      </c>
      <c r="AK15" s="146">
        <v>9.996252782859788E-2</v>
      </c>
      <c r="AL15" s="103"/>
      <c r="AM15" s="40">
        <v>240800</v>
      </c>
      <c r="AN15" s="40">
        <v>153540</v>
      </c>
      <c r="AO15" s="41">
        <v>0.63762454013295111</v>
      </c>
      <c r="AP15" s="40">
        <v>139690</v>
      </c>
      <c r="AQ15" s="40">
        <v>13850</v>
      </c>
      <c r="AR15" s="146">
        <v>9.020695056159192E-2</v>
      </c>
      <c r="AS15" s="41"/>
      <c r="AT15" s="37" t="s">
        <v>610</v>
      </c>
      <c r="AU15" s="252">
        <f>'[2]Table 6-7f'!$L$33</f>
        <v>86034.244150838334</v>
      </c>
      <c r="AV15" s="176">
        <f>'[1]Table 6_F &amp; 7'!$L$34</f>
        <v>66447.35621696047</v>
      </c>
      <c r="AW15" s="22">
        <f t="shared" si="2"/>
        <v>1.2947730210653343</v>
      </c>
    </row>
    <row r="16" spans="1:49">
      <c r="A16" s="21" t="s">
        <v>27</v>
      </c>
      <c r="B16" s="23">
        <v>1</v>
      </c>
      <c r="C16" s="23">
        <v>0.67415572483999442</v>
      </c>
      <c r="D16" s="23">
        <v>0.32584427516000564</v>
      </c>
      <c r="E16" s="22"/>
      <c r="G16" s="21" t="s">
        <v>27</v>
      </c>
      <c r="H16" s="114">
        <f t="shared" ref="H16:N16" si="5">H15/$H$15</f>
        <v>1</v>
      </c>
      <c r="I16" s="115">
        <f t="shared" si="5"/>
        <v>0.68507224774836251</v>
      </c>
      <c r="J16" s="115">
        <f t="shared" si="5"/>
        <v>0.51267669455958709</v>
      </c>
      <c r="K16" s="115">
        <f t="shared" si="5"/>
        <v>4.7903095219193281E-2</v>
      </c>
      <c r="L16" s="115">
        <f t="shared" si="5"/>
        <v>0.12419976219211416</v>
      </c>
      <c r="M16" s="116">
        <f t="shared" si="5"/>
        <v>2.9278943773807176E-4</v>
      </c>
      <c r="N16" s="115">
        <f t="shared" si="5"/>
        <v>0.31492775225163749</v>
      </c>
      <c r="P16" s="21" t="s">
        <v>27</v>
      </c>
      <c r="Q16" s="115">
        <f>SUM(R16:W16)</f>
        <v>1</v>
      </c>
      <c r="R16" s="112">
        <f t="shared" ref="R16:W16" si="6">R15/$Q$15</f>
        <v>0.50714288149440356</v>
      </c>
      <c r="S16" s="112">
        <f t="shared" si="6"/>
        <v>2.1067945133229564E-2</v>
      </c>
      <c r="T16" s="112">
        <f t="shared" si="6"/>
        <v>2.9207790458632841E-2</v>
      </c>
      <c r="U16" s="112">
        <f t="shared" si="6"/>
        <v>5.9148689780805626E-2</v>
      </c>
      <c r="V16" s="112">
        <f t="shared" si="6"/>
        <v>1.7406760651739777E-2</v>
      </c>
      <c r="W16" s="112">
        <f t="shared" si="6"/>
        <v>0.36602593248118859</v>
      </c>
      <c r="Y16" s="21" t="s">
        <v>27</v>
      </c>
      <c r="Z16" s="115">
        <f>SUM(AA16:AC16)</f>
        <v>1</v>
      </c>
      <c r="AA16" s="112">
        <f>AA15/$Z$15</f>
        <v>0.76731783645240792</v>
      </c>
      <c r="AB16" s="112">
        <f>AB15/$Z$15</f>
        <v>0.19408870509078163</v>
      </c>
      <c r="AC16" s="112">
        <f>AC15/$Z$15</f>
        <v>3.8593458456810448E-2</v>
      </c>
      <c r="AE16" s="37" t="s">
        <v>611</v>
      </c>
      <c r="AF16" s="40">
        <v>6865.7</v>
      </c>
      <c r="AG16" s="40">
        <v>4603.2999999999993</v>
      </c>
      <c r="AH16" s="148">
        <v>0.67047788280874487</v>
      </c>
      <c r="AI16" s="40">
        <v>4115.8999999999996</v>
      </c>
      <c r="AJ16" s="40">
        <v>487.4</v>
      </c>
      <c r="AK16" s="146">
        <v>0.10588056394325811</v>
      </c>
      <c r="AL16" s="103"/>
      <c r="AM16" s="40">
        <v>238078</v>
      </c>
      <c r="AN16" s="40">
        <v>153193</v>
      </c>
      <c r="AO16" s="41">
        <v>0.64345718630028814</v>
      </c>
      <c r="AP16" s="40">
        <v>138082</v>
      </c>
      <c r="AQ16" s="40">
        <v>15111</v>
      </c>
      <c r="AR16" s="146">
        <v>9.8640277297265544E-2</v>
      </c>
      <c r="AS16" s="41"/>
      <c r="AT16" s="37" t="s">
        <v>611</v>
      </c>
      <c r="AU16" s="252">
        <f>'[2]Table 6-7f'!$L$32</f>
        <v>86269.896598271676</v>
      </c>
      <c r="AV16" s="44">
        <f>'[1]Table 6_F &amp; 7'!$L$33</f>
        <v>67166.53082680708</v>
      </c>
      <c r="AW16" s="22">
        <f t="shared" si="2"/>
        <v>1.2844179316142406</v>
      </c>
    </row>
    <row r="17" spans="1:49">
      <c r="G17" s="20"/>
      <c r="P17" s="20"/>
      <c r="Y17" s="20"/>
      <c r="AE17" s="37" t="s">
        <v>612</v>
      </c>
      <c r="AF17" s="40">
        <v>6788.1</v>
      </c>
      <c r="AG17" s="40">
        <v>4512.1000000000004</v>
      </c>
      <c r="AH17" s="148">
        <v>0.66470735551921745</v>
      </c>
      <c r="AI17" s="40">
        <v>4085.4</v>
      </c>
      <c r="AJ17" s="40">
        <v>426.7</v>
      </c>
      <c r="AK17" s="146">
        <v>9.4567939540347062E-2</v>
      </c>
      <c r="AL17" s="103"/>
      <c r="AM17" s="40">
        <v>236122</v>
      </c>
      <c r="AN17" s="40">
        <v>153323</v>
      </c>
      <c r="AO17" s="41">
        <v>0.64933805405680112</v>
      </c>
      <c r="AP17" s="40">
        <v>138356</v>
      </c>
      <c r="AQ17" s="40">
        <v>14967</v>
      </c>
      <c r="AR17" s="146">
        <v>9.7617448132374135E-2</v>
      </c>
      <c r="AS17" s="41"/>
      <c r="AT17" s="37" t="s">
        <v>612</v>
      </c>
      <c r="AU17" s="252">
        <f>'[2]Table 6-7f'!$L$31</f>
        <v>87412.140988697065</v>
      </c>
      <c r="AV17" s="44">
        <f>'[1]Table 6_F &amp; 7'!$L$32</f>
        <v>68324.958064341743</v>
      </c>
      <c r="AW17" s="22">
        <f t="shared" si="2"/>
        <v>1.2793588677563605</v>
      </c>
    </row>
    <row r="18" spans="1:49">
      <c r="A18" s="21" t="s">
        <v>608</v>
      </c>
      <c r="B18" s="11">
        <v>3294100</v>
      </c>
      <c r="C18" s="11">
        <v>2217600</v>
      </c>
      <c r="D18" s="11">
        <v>1076500</v>
      </c>
      <c r="E18" s="136">
        <v>2.67</v>
      </c>
      <c r="G18" s="21" t="s">
        <v>607</v>
      </c>
      <c r="H18" s="11">
        <v>3314100</v>
      </c>
      <c r="I18" s="11">
        <v>2234200</v>
      </c>
      <c r="J18" s="11">
        <v>1689200</v>
      </c>
      <c r="K18" s="11">
        <v>140400</v>
      </c>
      <c r="L18" s="11">
        <v>404700</v>
      </c>
      <c r="M18" s="11">
        <v>0</v>
      </c>
      <c r="N18" s="11">
        <v>1079900</v>
      </c>
      <c r="P18" s="21" t="s">
        <v>607</v>
      </c>
      <c r="Q18" s="11">
        <v>3507900</v>
      </c>
      <c r="R18" s="11">
        <v>1760500</v>
      </c>
      <c r="S18" s="11">
        <v>61700</v>
      </c>
      <c r="T18" s="11">
        <v>96200</v>
      </c>
      <c r="U18" s="11">
        <v>204800</v>
      </c>
      <c r="V18" s="11">
        <v>53400</v>
      </c>
      <c r="W18" s="11">
        <v>1331400</v>
      </c>
      <c r="Y18" s="21" t="s">
        <v>607</v>
      </c>
      <c r="Z18" s="11">
        <v>2034000</v>
      </c>
      <c r="AA18" s="11">
        <v>1544100</v>
      </c>
      <c r="AB18" s="11">
        <v>443200</v>
      </c>
      <c r="AC18" s="11">
        <v>46800</v>
      </c>
      <c r="AE18" s="37" t="s">
        <v>613</v>
      </c>
      <c r="AF18" s="40">
        <v>6723.9</v>
      </c>
      <c r="AG18" s="40">
        <v>4439.8</v>
      </c>
      <c r="AH18" s="148">
        <v>0.6603013132259552</v>
      </c>
      <c r="AI18" s="40">
        <v>4144.5</v>
      </c>
      <c r="AJ18" s="40">
        <v>295.3</v>
      </c>
      <c r="AK18" s="146">
        <v>6.6512005045272313E-2</v>
      </c>
      <c r="AL18" s="103"/>
      <c r="AM18" s="40">
        <v>234040.1</v>
      </c>
      <c r="AN18" s="40">
        <v>153109.79999999999</v>
      </c>
      <c r="AO18" s="41">
        <v>0.65420327542160506</v>
      </c>
      <c r="AP18" s="40">
        <v>141874.70000000001</v>
      </c>
      <c r="AQ18" s="40">
        <v>11235.1</v>
      </c>
      <c r="AR18" s="146">
        <v>7.3379365657848153E-2</v>
      </c>
      <c r="AS18" s="41"/>
      <c r="AT18" s="37" t="s">
        <v>613</v>
      </c>
      <c r="AU18" s="252">
        <f>'[2]Table 6-7f'!$L$30</f>
        <v>91689.497800978046</v>
      </c>
      <c r="AV18" s="44">
        <f>'[1]Table 6_F &amp; 7'!$L$31</f>
        <v>69444.678995173977</v>
      </c>
      <c r="AW18" s="22">
        <f t="shared" si="2"/>
        <v>1.3203243088984538</v>
      </c>
    </row>
    <row r="19" spans="1:49">
      <c r="A19" s="21" t="s">
        <v>27</v>
      </c>
      <c r="B19" s="23">
        <v>1</v>
      </c>
      <c r="C19" s="23">
        <v>0.67321312991387128</v>
      </c>
      <c r="D19" s="23">
        <v>0.32678687008612883</v>
      </c>
      <c r="E19" s="22"/>
      <c r="G19" s="21" t="s">
        <v>27</v>
      </c>
      <c r="H19" s="23">
        <v>1</v>
      </c>
      <c r="I19" s="23">
        <v>0.67321312991387128</v>
      </c>
      <c r="J19" s="23">
        <v>0.50968141592386307</v>
      </c>
      <c r="K19" s="23">
        <v>4.237337487662686E-2</v>
      </c>
      <c r="L19" s="23">
        <v>0.12210077266060233</v>
      </c>
      <c r="M19" s="23">
        <v>2.4741757901898932E-4</v>
      </c>
      <c r="N19" s="23">
        <v>0.32678687008612883</v>
      </c>
      <c r="P19" s="21" t="s">
        <v>27</v>
      </c>
      <c r="Q19" s="23">
        <v>1</v>
      </c>
      <c r="R19" s="23">
        <v>0.50186402062880731</v>
      </c>
      <c r="S19" s="23">
        <v>1.7583220148043002E-2</v>
      </c>
      <c r="T19" s="23">
        <v>2.7421905869845303E-2</v>
      </c>
      <c r="U19" s="23">
        <v>5.839140022301844E-2</v>
      </c>
      <c r="V19" s="23">
        <v>1.5209647989777447E-2</v>
      </c>
      <c r="W19" s="23">
        <v>0.37952980514050866</v>
      </c>
      <c r="Y19" s="21" t="s">
        <v>27</v>
      </c>
      <c r="Z19" s="23">
        <v>1</v>
      </c>
      <c r="AA19" s="23">
        <v>0.75912811040604833</v>
      </c>
      <c r="AB19" s="23">
        <v>0.21788082117227026</v>
      </c>
      <c r="AC19" s="23">
        <v>2.2991289658552846E-2</v>
      </c>
      <c r="AE19" s="37" t="s">
        <v>614</v>
      </c>
      <c r="AF19" s="40">
        <v>6778</v>
      </c>
      <c r="AG19" s="40">
        <v>4521</v>
      </c>
      <c r="AH19" s="148">
        <v>0.66701091767483034</v>
      </c>
      <c r="AI19" s="40">
        <v>4288</v>
      </c>
      <c r="AJ19" s="40">
        <v>233</v>
      </c>
      <c r="AK19" s="146">
        <v>5.1537270515372706E-2</v>
      </c>
      <c r="AL19" s="103"/>
      <c r="AM19" s="40">
        <v>232014</v>
      </c>
      <c r="AN19" s="40">
        <v>152699</v>
      </c>
      <c r="AO19" s="41">
        <v>0.65814562914306896</v>
      </c>
      <c r="AP19" s="40">
        <v>144951</v>
      </c>
      <c r="AQ19" s="40">
        <v>7748</v>
      </c>
      <c r="AR19" s="146">
        <v>5.0740345385365981E-2</v>
      </c>
      <c r="AS19" s="41"/>
      <c r="AT19" s="37" t="s">
        <v>614</v>
      </c>
      <c r="AU19" s="252">
        <f>'[2]Table 6-7f'!$L$29</f>
        <v>94360.920391729887</v>
      </c>
      <c r="AV19" s="44">
        <f>'[1]Table 6_F &amp; 7'!$L$30</f>
        <v>71383.275839249633</v>
      </c>
      <c r="AW19" s="22">
        <f t="shared" si="2"/>
        <v>1.3218911472236772</v>
      </c>
    </row>
    <row r="20" spans="1:49">
      <c r="AE20" s="37" t="s">
        <v>615</v>
      </c>
      <c r="AF20" s="40">
        <v>6818.3</v>
      </c>
      <c r="AG20" s="40">
        <v>4595.6000000000004</v>
      </c>
      <c r="AH20" s="148">
        <v>0.67400965049939143</v>
      </c>
      <c r="AI20" s="40">
        <v>4343.3999999999996</v>
      </c>
      <c r="AJ20" s="40">
        <v>252.20000000000073</v>
      </c>
      <c r="AK20" s="146">
        <v>5.4878579510836634E-2</v>
      </c>
      <c r="AL20" s="103"/>
      <c r="AM20" s="40">
        <v>229500</v>
      </c>
      <c r="AN20" s="40">
        <v>151000</v>
      </c>
      <c r="AO20" s="41">
        <v>0.65795206971677556</v>
      </c>
      <c r="AP20" s="40">
        <v>143600</v>
      </c>
      <c r="AQ20" s="40">
        <v>7400</v>
      </c>
      <c r="AR20" s="146">
        <v>4.900662251655629E-2</v>
      </c>
      <c r="AS20" s="41"/>
      <c r="AT20" s="37" t="s">
        <v>615</v>
      </c>
      <c r="AU20" s="252">
        <f>'[2]Table 6-7f'!$L$28</f>
        <v>95945.212375720876</v>
      </c>
      <c r="AV20" s="44">
        <f>'[1]Table 6_F &amp; 7'!$L$29</f>
        <v>71889.477335397663</v>
      </c>
      <c r="AW20" s="22">
        <f t="shared" si="2"/>
        <v>1.3346210868677217</v>
      </c>
    </row>
    <row r="21" spans="1:49">
      <c r="A21" s="21" t="s">
        <v>609</v>
      </c>
      <c r="B21" s="11">
        <v>3233400</v>
      </c>
      <c r="C21" s="11">
        <v>2220300</v>
      </c>
      <c r="D21" s="11">
        <v>1013100</v>
      </c>
      <c r="E21" s="136">
        <v>2.69</v>
      </c>
      <c r="G21" s="21" t="s">
        <v>608</v>
      </c>
      <c r="H21" s="11">
        <v>3294100</v>
      </c>
      <c r="I21" s="11">
        <v>2217600</v>
      </c>
      <c r="J21" s="11">
        <v>1671300</v>
      </c>
      <c r="K21" s="11">
        <v>147100</v>
      </c>
      <c r="L21" s="11">
        <v>399200</v>
      </c>
      <c r="M21" s="11">
        <v>0</v>
      </c>
      <c r="N21" s="11">
        <v>1076500</v>
      </c>
      <c r="P21" s="21" t="s">
        <v>608</v>
      </c>
      <c r="Q21" s="11">
        <v>3429700</v>
      </c>
      <c r="R21" s="11">
        <v>1738300</v>
      </c>
      <c r="S21" s="11">
        <v>60200</v>
      </c>
      <c r="T21" s="11">
        <v>92600</v>
      </c>
      <c r="U21" s="11">
        <v>217100</v>
      </c>
      <c r="V21" s="11">
        <v>57800</v>
      </c>
      <c r="W21" s="11">
        <v>1263600</v>
      </c>
      <c r="Y21" s="21" t="s">
        <v>608</v>
      </c>
      <c r="Z21" s="11">
        <v>2045700</v>
      </c>
      <c r="AA21" s="11">
        <v>1499000</v>
      </c>
      <c r="AB21" s="11">
        <v>438800</v>
      </c>
      <c r="AC21" s="11">
        <v>75400</v>
      </c>
      <c r="AE21" s="37" t="s">
        <v>616</v>
      </c>
      <c r="AF21" s="40">
        <v>6782.2522200000003</v>
      </c>
      <c r="AG21" s="40">
        <v>4535.6080700000002</v>
      </c>
      <c r="AH21" s="148">
        <v>0.66874659373844403</v>
      </c>
      <c r="AI21" s="40">
        <v>4300.7820000000002</v>
      </c>
      <c r="AJ21" s="40">
        <v>234.82607000000002</v>
      </c>
      <c r="AK21" s="146">
        <v>5.1773889272579941E-2</v>
      </c>
      <c r="AL21" s="103"/>
      <c r="AM21" s="40">
        <v>226605.58749999999</v>
      </c>
      <c r="AN21" s="40">
        <v>148559.2825</v>
      </c>
      <c r="AO21" s="41">
        <v>0.65558525779952359</v>
      </c>
      <c r="AP21" s="40">
        <v>140711.815</v>
      </c>
      <c r="AQ21" s="40">
        <v>7847.4675000000007</v>
      </c>
      <c r="AR21" s="146">
        <v>5.2823811262012528E-2</v>
      </c>
      <c r="AS21" s="41"/>
      <c r="AT21" s="37" t="s">
        <v>616</v>
      </c>
      <c r="AU21" s="252">
        <f>'[2]Table 6-7f'!$L$27</f>
        <v>98473.546434899094</v>
      </c>
      <c r="AV21" s="44">
        <f>'[1]Table 6_F &amp; 7'!$L$28</f>
        <v>70901.357362028706</v>
      </c>
      <c r="AW21" s="22">
        <f t="shared" si="2"/>
        <v>1.3888809763131094</v>
      </c>
    </row>
    <row r="22" spans="1:49">
      <c r="A22" s="21" t="s">
        <v>27</v>
      </c>
      <c r="B22" s="23">
        <v>1</v>
      </c>
      <c r="C22" s="23">
        <v>0.68667656336982741</v>
      </c>
      <c r="D22" s="23">
        <v>0.31332343663017259</v>
      </c>
      <c r="E22" s="136"/>
      <c r="G22" s="21" t="s">
        <v>27</v>
      </c>
      <c r="H22" s="23">
        <v>1</v>
      </c>
      <c r="I22" s="23">
        <v>0.67321312991387128</v>
      </c>
      <c r="J22" s="23">
        <v>0.50736692556270802</v>
      </c>
      <c r="K22" s="23">
        <v>4.4664469819663245E-2</v>
      </c>
      <c r="L22" s="23">
        <v>0.12118168309242391</v>
      </c>
      <c r="M22" s="23">
        <v>2.4741757901898932E-4</v>
      </c>
      <c r="N22" s="23">
        <v>0.32678687008612883</v>
      </c>
      <c r="P22" s="21" t="s">
        <v>27</v>
      </c>
      <c r="Q22" s="23">
        <v>1</v>
      </c>
      <c r="R22" s="23">
        <v>0.50685018627330192</v>
      </c>
      <c r="S22" s="23">
        <v>1.7566811321195711E-2</v>
      </c>
      <c r="T22" s="23">
        <v>2.6986460365938859E-2</v>
      </c>
      <c r="U22" s="23">
        <v>6.3291682526306098E-2</v>
      </c>
      <c r="V22" s="23">
        <v>1.6867397140781677E-2</v>
      </c>
      <c r="W22" s="23">
        <v>0.36843746237247582</v>
      </c>
      <c r="Y22" s="21" t="s">
        <v>27</v>
      </c>
      <c r="Z22" s="23">
        <v>1</v>
      </c>
      <c r="AA22" s="23">
        <v>0.73274243448565457</v>
      </c>
      <c r="AB22" s="23">
        <v>0.214495939525746</v>
      </c>
      <c r="AC22" s="23">
        <v>3.6873559476305634E-2</v>
      </c>
      <c r="AE22" s="37" t="s">
        <v>617</v>
      </c>
      <c r="AF22" s="40">
        <v>6704</v>
      </c>
      <c r="AG22" s="40">
        <v>4439</v>
      </c>
      <c r="AH22" s="148">
        <v>0.66207374644582773</v>
      </c>
      <c r="AI22" s="40">
        <v>4208</v>
      </c>
      <c r="AJ22" s="40">
        <v>231</v>
      </c>
      <c r="AK22" s="146">
        <v>5.2114418763336619E-2</v>
      </c>
      <c r="AL22" s="103"/>
      <c r="AM22" s="40">
        <v>223873</v>
      </c>
      <c r="AN22" s="40">
        <v>146756</v>
      </c>
      <c r="AO22" s="41">
        <v>0.65553344944335423</v>
      </c>
      <c r="AP22" s="40">
        <v>138214</v>
      </c>
      <c r="AQ22" s="40">
        <v>8542</v>
      </c>
      <c r="AR22" s="146">
        <v>5.8206039724738041E-2</v>
      </c>
      <c r="AS22" s="41"/>
      <c r="AT22" s="37" t="s">
        <v>617</v>
      </c>
      <c r="AU22" s="252">
        <f>'[2]Table 6-7f'!$L$26</f>
        <v>95878.826159990887</v>
      </c>
      <c r="AV22" s="44">
        <f>'[1]Table 6_F &amp; 7'!$L$27</f>
        <v>70472.883296649903</v>
      </c>
      <c r="AW22" s="22">
        <f t="shared" si="2"/>
        <v>1.3605066470233198</v>
      </c>
    </row>
    <row r="23" spans="1:49">
      <c r="E23" s="177"/>
      <c r="AE23" s="37" t="s">
        <v>618</v>
      </c>
      <c r="AF23" s="40">
        <v>6677</v>
      </c>
      <c r="AG23" s="40">
        <v>4435</v>
      </c>
      <c r="AH23" s="148">
        <v>0.66411874016657912</v>
      </c>
      <c r="AI23" s="40">
        <v>4172</v>
      </c>
      <c r="AJ23" s="40">
        <v>262</v>
      </c>
      <c r="AK23" s="146">
        <v>5.9191242550664984E-2</v>
      </c>
      <c r="AL23" s="103"/>
      <c r="AM23" s="40">
        <v>221397</v>
      </c>
      <c r="AN23" s="40">
        <v>145839</v>
      </c>
      <c r="AO23" s="41">
        <v>0.65872174568233022</v>
      </c>
      <c r="AP23" s="40">
        <v>136714</v>
      </c>
      <c r="AQ23" s="40">
        <v>9125</v>
      </c>
      <c r="AR23" s="146">
        <v>6.2567714879705E-2</v>
      </c>
      <c r="AS23" s="41"/>
      <c r="AT23" s="37" t="s">
        <v>618</v>
      </c>
      <c r="AU23" s="252">
        <f>'[2]Table 6-7f'!$L$25</f>
        <v>93564.434733482543</v>
      </c>
      <c r="AV23" s="44">
        <f>'[1]Table 6_F &amp; 7'!$L$26</f>
        <v>70296.862077800411</v>
      </c>
      <c r="AW23" s="22">
        <f t="shared" si="2"/>
        <v>1.3309902030894489</v>
      </c>
    </row>
    <row r="24" spans="1:49">
      <c r="A24" s="21" t="s">
        <v>610</v>
      </c>
      <c r="B24" s="11">
        <v>3188100</v>
      </c>
      <c r="C24" s="11">
        <v>2175700</v>
      </c>
      <c r="D24" s="11">
        <v>1012300</v>
      </c>
      <c r="E24" s="136">
        <v>2.72</v>
      </c>
      <c r="G24" s="21" t="s">
        <v>609</v>
      </c>
      <c r="H24" s="11">
        <v>3233400</v>
      </c>
      <c r="I24" s="11">
        <v>2220300</v>
      </c>
      <c r="J24" s="11">
        <v>1606700</v>
      </c>
      <c r="K24" s="11">
        <v>175600</v>
      </c>
      <c r="L24" s="11">
        <v>437200</v>
      </c>
      <c r="M24" s="11">
        <v>800</v>
      </c>
      <c r="N24" s="11">
        <v>1013100</v>
      </c>
      <c r="P24" s="21" t="s">
        <v>609</v>
      </c>
      <c r="Q24" s="11">
        <v>3348300</v>
      </c>
      <c r="R24" s="11">
        <v>1663600</v>
      </c>
      <c r="S24" s="11">
        <v>59400</v>
      </c>
      <c r="T24" s="11">
        <v>89000</v>
      </c>
      <c r="U24" s="11">
        <v>235400</v>
      </c>
      <c r="V24" s="11">
        <v>67500</v>
      </c>
      <c r="W24" s="11">
        <v>1233400</v>
      </c>
      <c r="Y24" s="21" t="s">
        <v>609</v>
      </c>
      <c r="Z24" s="11">
        <v>2028500</v>
      </c>
      <c r="AA24" s="11">
        <v>1428800</v>
      </c>
      <c r="AB24" s="11">
        <v>545900</v>
      </c>
      <c r="AC24" s="11">
        <v>53800</v>
      </c>
      <c r="AE24" s="37" t="s">
        <v>619</v>
      </c>
      <c r="AF24" s="40">
        <v>6732</v>
      </c>
      <c r="AG24" s="40">
        <v>4415</v>
      </c>
      <c r="AH24" s="148">
        <v>0.65577705645514739</v>
      </c>
      <c r="AI24" s="40">
        <v>4138</v>
      </c>
      <c r="AJ24" s="40">
        <v>277</v>
      </c>
      <c r="AK24" s="146">
        <v>6.2728277402932214E-2</v>
      </c>
      <c r="AL24" s="103"/>
      <c r="AM24" s="40">
        <v>218536.128</v>
      </c>
      <c r="AN24" s="40">
        <v>144858.38799999998</v>
      </c>
      <c r="AO24" s="41">
        <v>0.66285785021321497</v>
      </c>
      <c r="AP24" s="40">
        <v>135715.42500000002</v>
      </c>
      <c r="AQ24" s="40">
        <v>9142.9629999999997</v>
      </c>
      <c r="AR24" s="146">
        <v>6.3116559049380017E-2</v>
      </c>
      <c r="AT24" s="37" t="s">
        <v>619</v>
      </c>
      <c r="AU24" s="252">
        <f>'[2]Table 6-7f'!$L$24</f>
        <v>93447.090623525903</v>
      </c>
      <c r="AV24" s="44">
        <f>'[1]Table 6_F &amp; 7'!$L$25</f>
        <v>70386.977467268094</v>
      </c>
      <c r="AW24" s="22">
        <f t="shared" si="2"/>
        <v>1.3276190282070488</v>
      </c>
    </row>
    <row r="25" spans="1:49">
      <c r="A25" s="21" t="s">
        <v>27</v>
      </c>
      <c r="B25" s="23">
        <v>1</v>
      </c>
      <c r="C25" s="23">
        <v>0.68244408895580444</v>
      </c>
      <c r="D25" s="23">
        <v>0.31752454439948558</v>
      </c>
      <c r="E25" s="136"/>
      <c r="G25" s="21" t="s">
        <v>27</v>
      </c>
      <c r="H25" s="23">
        <v>1</v>
      </c>
      <c r="I25" s="23">
        <v>0.68678822577633958</v>
      </c>
      <c r="J25" s="23">
        <v>0.49690728026226261</v>
      </c>
      <c r="K25" s="23">
        <v>5.430815859466815E-2</v>
      </c>
      <c r="L25" s="23">
        <v>0.13521370693387766</v>
      </c>
      <c r="M25" s="23">
        <v>2.4741757901898932E-4</v>
      </c>
      <c r="N25" s="23">
        <v>0.31332343663017259</v>
      </c>
      <c r="P25" s="21" t="s">
        <v>27</v>
      </c>
      <c r="Q25" s="23">
        <v>1</v>
      </c>
      <c r="R25" s="23">
        <v>0.49685911946825195</v>
      </c>
      <c r="S25" s="23">
        <v>1.7742890328060052E-2</v>
      </c>
      <c r="T25" s="23">
        <v>2.6578656462592654E-2</v>
      </c>
      <c r="U25" s="23">
        <v>7.0305234194413924E-2</v>
      </c>
      <c r="V25" s="23">
        <v>2.0144583439498345E-2</v>
      </c>
      <c r="W25" s="23">
        <v>0.3683695161071831</v>
      </c>
      <c r="Y25" s="21" t="s">
        <v>27</v>
      </c>
      <c r="Z25" s="23">
        <v>1</v>
      </c>
      <c r="AA25" s="23">
        <v>0.70435789992605369</v>
      </c>
      <c r="AB25" s="23">
        <v>0.26909859009120041</v>
      </c>
      <c r="AC25" s="23">
        <v>2.6543623367019965E-2</v>
      </c>
      <c r="AE25" s="37" t="s">
        <v>620</v>
      </c>
      <c r="AF25" s="40">
        <v>6544</v>
      </c>
      <c r="AG25" s="40">
        <v>4263</v>
      </c>
      <c r="AH25" s="148">
        <v>0.65143643031784837</v>
      </c>
      <c r="AI25" s="40">
        <v>4045</v>
      </c>
      <c r="AJ25" s="40">
        <v>219</v>
      </c>
      <c r="AK25" s="146">
        <v>5.1372273047149891E-2</v>
      </c>
      <c r="AL25" s="103"/>
      <c r="AM25" s="40">
        <v>213984.011</v>
      </c>
      <c r="AN25" s="40">
        <v>142902.13099999999</v>
      </c>
      <c r="AO25" s="41">
        <v>0.66781686319544686</v>
      </c>
      <c r="AP25" s="40">
        <v>135177.92499999999</v>
      </c>
      <c r="AQ25" s="40">
        <v>7724.2060000000001</v>
      </c>
      <c r="AR25" s="146">
        <v>5.4052419974059032E-2</v>
      </c>
      <c r="AT25" s="37" t="s">
        <v>620</v>
      </c>
      <c r="AU25" s="252">
        <f>'[2]Table 6-7f'!$L$23</f>
        <v>91778.148563966854</v>
      </c>
      <c r="AV25" s="44">
        <f>'[1]Table 6_F &amp; 7'!$L$24</f>
        <v>70877.67805570089</v>
      </c>
      <c r="AW25" s="22">
        <f t="shared" si="2"/>
        <v>1.2948808578610722</v>
      </c>
    </row>
    <row r="26" spans="1:49">
      <c r="E26" s="177"/>
      <c r="AK26" s="178"/>
      <c r="AR26" s="178"/>
      <c r="AS26" s="121"/>
      <c r="AT26" s="45"/>
      <c r="AU26" s="252"/>
      <c r="AV26" s="44"/>
      <c r="AW26" s="22"/>
    </row>
    <row r="27" spans="1:49">
      <c r="A27" s="21" t="s">
        <v>611</v>
      </c>
      <c r="B27" s="11">
        <v>3203469.5</v>
      </c>
      <c r="C27" s="11">
        <v>2217600</v>
      </c>
      <c r="D27" s="11">
        <v>985800</v>
      </c>
      <c r="E27" s="136">
        <v>2.71</v>
      </c>
      <c r="G27" s="21" t="s">
        <v>610</v>
      </c>
      <c r="H27" s="11">
        <v>3188100</v>
      </c>
      <c r="I27" s="11">
        <v>2175700</v>
      </c>
      <c r="J27" s="11">
        <v>1577200</v>
      </c>
      <c r="K27" s="11">
        <v>167800</v>
      </c>
      <c r="L27" s="11">
        <v>429900</v>
      </c>
      <c r="M27" s="11">
        <v>800</v>
      </c>
      <c r="N27" s="11">
        <v>1012300</v>
      </c>
      <c r="P27" s="21" t="s">
        <v>610</v>
      </c>
      <c r="Q27" s="11">
        <v>3361600</v>
      </c>
      <c r="R27" s="11">
        <v>1637300</v>
      </c>
      <c r="S27" s="11">
        <v>66100</v>
      </c>
      <c r="T27" s="11">
        <v>88200</v>
      </c>
      <c r="U27" s="11">
        <v>222200</v>
      </c>
      <c r="V27" s="11">
        <v>62100</v>
      </c>
      <c r="W27" s="11">
        <v>1285700</v>
      </c>
      <c r="Y27" s="21" t="s">
        <v>610</v>
      </c>
      <c r="Z27" s="11">
        <v>2036800</v>
      </c>
      <c r="AA27" s="11">
        <v>1451900</v>
      </c>
      <c r="AB27" s="11">
        <v>520100</v>
      </c>
      <c r="AC27" s="11">
        <v>64800</v>
      </c>
      <c r="AE27" s="100" t="s">
        <v>484</v>
      </c>
      <c r="AF27" s="157" t="s">
        <v>513</v>
      </c>
      <c r="AG27" s="36"/>
      <c r="AH27" s="148"/>
      <c r="AI27" s="36"/>
      <c r="AJ27" s="36"/>
      <c r="AK27" s="147"/>
      <c r="AM27" s="157" t="s">
        <v>514</v>
      </c>
      <c r="AR27" s="178"/>
      <c r="AS27" s="41"/>
      <c r="AT27" s="126" t="s">
        <v>85</v>
      </c>
    </row>
    <row r="28" spans="1:49">
      <c r="A28" s="21" t="s">
        <v>27</v>
      </c>
      <c r="B28" s="23">
        <v>1</v>
      </c>
      <c r="C28" s="23">
        <v>0.69224945016645234</v>
      </c>
      <c r="D28" s="23">
        <v>0.30772885460592025</v>
      </c>
      <c r="E28" s="136"/>
      <c r="G28" s="21" t="s">
        <v>27</v>
      </c>
      <c r="H28" s="23">
        <v>1</v>
      </c>
      <c r="I28" s="23">
        <v>0.68244408895580444</v>
      </c>
      <c r="J28" s="23">
        <v>0.49471472036636244</v>
      </c>
      <c r="K28" s="23">
        <v>5.2633229823405792E-2</v>
      </c>
      <c r="L28" s="23">
        <v>0.13484520560835608</v>
      </c>
      <c r="M28" s="23">
        <v>2.5093315768012298E-4</v>
      </c>
      <c r="N28" s="23">
        <v>0.31752454439948558</v>
      </c>
      <c r="P28" s="21" t="s">
        <v>27</v>
      </c>
      <c r="Q28" s="23">
        <v>1</v>
      </c>
      <c r="R28" s="23">
        <v>0.48705286028286088</v>
      </c>
      <c r="S28" s="23">
        <v>1.9659274951465661E-2</v>
      </c>
      <c r="T28" s="23">
        <v>2.6251338807175773E-2</v>
      </c>
      <c r="U28" s="23">
        <v>6.6085322835281762E-2</v>
      </c>
      <c r="V28" s="23">
        <v>1.8482527546933466E-2</v>
      </c>
      <c r="W28" s="23">
        <v>0.38246867557628245</v>
      </c>
      <c r="Y28" s="21" t="s">
        <v>27</v>
      </c>
      <c r="Z28" s="23">
        <v>1</v>
      </c>
      <c r="AA28" s="23">
        <v>0.71283480995828374</v>
      </c>
      <c r="AB28" s="23">
        <v>0.25532741475578408</v>
      </c>
      <c r="AC28" s="23">
        <v>3.1837775285932207E-2</v>
      </c>
      <c r="AE28" s="37" t="s">
        <v>557</v>
      </c>
      <c r="AF28" s="157">
        <v>3480</v>
      </c>
      <c r="AG28" s="36">
        <v>2374</v>
      </c>
      <c r="AH28" s="148">
        <f>'[2]Table 5'!$G$7/'[2]Table 5'!$G$6</f>
        <v>0.68211762678650756</v>
      </c>
      <c r="AI28" s="36">
        <v>2272</v>
      </c>
      <c r="AJ28" s="36">
        <v>102</v>
      </c>
      <c r="AK28" s="147">
        <v>4.2839000000000002E-2</v>
      </c>
      <c r="AM28" s="113">
        <f>'[1]Table 5'!$H$7</f>
        <v>123637.82800000001</v>
      </c>
      <c r="AN28" s="111">
        <f>'[1]Table 5'!$H$8</f>
        <v>84975.918000000005</v>
      </c>
      <c r="AO28" s="121">
        <f>AN28/AM28</f>
        <v>0.68729707869018852</v>
      </c>
      <c r="AP28" s="118">
        <f>'[1]Table 5'!$H$9</f>
        <v>80993.02</v>
      </c>
      <c r="AQ28" s="118">
        <f>'[1]Table 5'!$H$10</f>
        <v>3982.8980000000001</v>
      </c>
      <c r="AR28" s="145">
        <f>AQ28/AN28</f>
        <v>4.6870902883332191E-2</v>
      </c>
      <c r="AS28" s="41"/>
      <c r="AU28" s="252"/>
      <c r="AV28" s="46"/>
      <c r="AW28" s="46"/>
    </row>
    <row r="29" spans="1:49">
      <c r="E29" s="177"/>
      <c r="AE29" s="37" t="s">
        <v>495</v>
      </c>
      <c r="AF29" s="113">
        <f>3437445/1000</f>
        <v>3437.4450000000002</v>
      </c>
      <c r="AG29" s="113">
        <f>2443418/1000</f>
        <v>2443.4180000000001</v>
      </c>
      <c r="AH29" s="148">
        <f>AG29/AF29</f>
        <v>0.71082388227302551</v>
      </c>
      <c r="AI29" s="113">
        <f>2323667/1000</f>
        <v>2323.6669999999999</v>
      </c>
      <c r="AJ29" s="124">
        <f>119750.6/1000</f>
        <v>119.75060000000001</v>
      </c>
      <c r="AK29" s="148">
        <f>AJ29/AG29</f>
        <v>4.9009461336537587E-2</v>
      </c>
      <c r="AM29" s="113">
        <v>122527.5</v>
      </c>
      <c r="AN29" s="123">
        <v>84248.66</v>
      </c>
      <c r="AO29" s="121">
        <f>AN29/AM29</f>
        <v>0.68758980636999856</v>
      </c>
      <c r="AP29" s="123">
        <v>79886.080000000002</v>
      </c>
      <c r="AQ29" s="123">
        <v>4362.5810000000001</v>
      </c>
      <c r="AR29" s="145">
        <f>AQ29/AN29</f>
        <v>5.1782200452802456E-2</v>
      </c>
      <c r="AS29" s="41"/>
      <c r="AT29" s="37" t="s">
        <v>495</v>
      </c>
      <c r="AU29" s="252">
        <f>'[2]Table 6-H &amp; 8'!$L$31</f>
        <v>68849.235528743971</v>
      </c>
      <c r="AV29" s="176">
        <f>'[1]Table 6-H &amp; 8'!$L$33</f>
        <v>58210.289245605949</v>
      </c>
      <c r="AW29" s="22">
        <f t="shared" ref="AW29:AW35" si="7">AU29/AV29</f>
        <v>1.182767452644828</v>
      </c>
    </row>
    <row r="30" spans="1:49">
      <c r="A30" s="21" t="s">
        <v>612</v>
      </c>
      <c r="B30" s="11">
        <v>3199400</v>
      </c>
      <c r="C30" s="11">
        <v>2232400</v>
      </c>
      <c r="D30" s="11">
        <v>967000</v>
      </c>
      <c r="E30" s="136">
        <v>2.69</v>
      </c>
      <c r="G30" s="21" t="s">
        <v>611</v>
      </c>
      <c r="H30" s="11">
        <v>3203469.5</v>
      </c>
      <c r="I30" s="11">
        <v>2217600</v>
      </c>
      <c r="J30" s="11">
        <v>1629900</v>
      </c>
      <c r="K30" s="11">
        <v>173000</v>
      </c>
      <c r="L30" s="11">
        <v>414800</v>
      </c>
      <c r="M30" s="11">
        <v>0</v>
      </c>
      <c r="N30" s="11">
        <v>985800</v>
      </c>
      <c r="P30" s="21" t="s">
        <v>611</v>
      </c>
      <c r="Q30" s="11">
        <v>3403700</v>
      </c>
      <c r="R30" s="11">
        <v>1694700</v>
      </c>
      <c r="S30" s="11">
        <v>56400</v>
      </c>
      <c r="T30" s="11">
        <v>92500</v>
      </c>
      <c r="U30" s="11">
        <v>195100</v>
      </c>
      <c r="V30" s="11">
        <v>70600</v>
      </c>
      <c r="W30" s="11">
        <v>1294400</v>
      </c>
      <c r="Y30" s="21" t="s">
        <v>611</v>
      </c>
      <c r="Z30" s="11">
        <v>2050400</v>
      </c>
      <c r="AA30" s="11">
        <v>1495100</v>
      </c>
      <c r="AB30" s="11">
        <v>487200</v>
      </c>
      <c r="AC30" s="11">
        <v>68100</v>
      </c>
      <c r="AE30" s="37" t="s">
        <v>489</v>
      </c>
      <c r="AF30" s="113">
        <v>3464</v>
      </c>
      <c r="AG30" s="113">
        <v>2499</v>
      </c>
      <c r="AH30" s="148">
        <f>AG30/AF30</f>
        <v>0.7214203233256351</v>
      </c>
      <c r="AI30" s="113">
        <v>2317</v>
      </c>
      <c r="AJ30" s="36">
        <v>182</v>
      </c>
      <c r="AK30" s="148">
        <f>AJ30/AG30</f>
        <v>7.2829131652661069E-2</v>
      </c>
      <c r="AM30" s="113">
        <v>121424</v>
      </c>
      <c r="AN30" s="123">
        <v>83625</v>
      </c>
      <c r="AO30" s="121">
        <f>AN30/AM30</f>
        <v>0.68870239820793255</v>
      </c>
      <c r="AP30" s="123">
        <v>78746</v>
      </c>
      <c r="AQ30" s="123">
        <v>4879</v>
      </c>
      <c r="AR30" s="145">
        <f>AQ30/AN30</f>
        <v>5.8343796711509716E-2</v>
      </c>
      <c r="AS30" s="41"/>
      <c r="AT30" s="37" t="s">
        <v>489</v>
      </c>
      <c r="AU30" s="252">
        <f>'[2]Table 6-H &amp; 8'!$L$30</f>
        <v>67387.356730917323</v>
      </c>
      <c r="AV30" s="176">
        <f>'[1]Table 6-H &amp; 8'!$L$32</f>
        <v>57953.65136231319</v>
      </c>
      <c r="AW30" s="22">
        <f t="shared" si="7"/>
        <v>1.1627801725490381</v>
      </c>
    </row>
    <row r="31" spans="1:49">
      <c r="A31" s="21" t="s">
        <v>27</v>
      </c>
      <c r="B31" s="23">
        <v>1</v>
      </c>
      <c r="C31" s="23">
        <v>0.68306693306693311</v>
      </c>
      <c r="D31" s="23">
        <v>0.31693306693306694</v>
      </c>
      <c r="E31" s="136"/>
      <c r="G31" s="21" t="s">
        <v>27</v>
      </c>
      <c r="H31" s="23">
        <v>1</v>
      </c>
      <c r="I31" s="23">
        <v>0.69224945016645234</v>
      </c>
      <c r="J31" s="23">
        <v>0.50879210805659303</v>
      </c>
      <c r="K31" s="23">
        <v>5.4003947907105096E-2</v>
      </c>
      <c r="L31" s="23">
        <v>0.12948461035761383</v>
      </c>
      <c r="M31" s="23">
        <v>0</v>
      </c>
      <c r="N31" s="23">
        <v>0.30772885460592025</v>
      </c>
      <c r="P31" s="21" t="s">
        <v>27</v>
      </c>
      <c r="Q31" s="23">
        <v>1</v>
      </c>
      <c r="R31" s="23">
        <v>0.49791261283574961</v>
      </c>
      <c r="S31" s="23">
        <v>1.6556952576418212E-2</v>
      </c>
      <c r="T31" s="23">
        <v>2.7189860191822641E-2</v>
      </c>
      <c r="U31" s="23">
        <v>5.7312124174450911E-2</v>
      </c>
      <c r="V31" s="23">
        <v>2.0743424542914911E-2</v>
      </c>
      <c r="W31" s="23">
        <v>0.38028502567864381</v>
      </c>
      <c r="Y31" s="21" t="s">
        <v>27</v>
      </c>
      <c r="Z31" s="23">
        <v>1</v>
      </c>
      <c r="AA31" s="23">
        <v>0.72917479516191963</v>
      </c>
      <c r="AB31" s="23">
        <v>0.23761217323449083</v>
      </c>
      <c r="AC31" s="23">
        <v>3.3213031603589543E-2</v>
      </c>
      <c r="AE31" s="37" t="s">
        <v>607</v>
      </c>
      <c r="AF31" s="40">
        <v>3428.8564999999999</v>
      </c>
      <c r="AG31" s="40">
        <v>2469.9715999999999</v>
      </c>
      <c r="AH31" s="148">
        <v>0.72034848935789519</v>
      </c>
      <c r="AI31" s="40">
        <v>2273.0929999999998</v>
      </c>
      <c r="AJ31" s="40">
        <v>196.87860000000001</v>
      </c>
      <c r="AK31" s="146">
        <v>7.9708851713112816E-2</v>
      </c>
      <c r="AM31" s="40">
        <v>120066.264</v>
      </c>
      <c r="AN31" s="40">
        <v>82632.784</v>
      </c>
      <c r="AO31" s="41">
        <v>0.68822649466298047</v>
      </c>
      <c r="AP31" s="40">
        <v>77069.94</v>
      </c>
      <c r="AQ31" s="40">
        <v>5562.8440000000001</v>
      </c>
      <c r="AR31" s="146">
        <v>6.7320060280190969E-2</v>
      </c>
      <c r="AS31" s="41"/>
      <c r="AT31" s="37" t="s">
        <v>607</v>
      </c>
      <c r="AU31" s="252">
        <f>'[2]Table 6-H &amp; 8'!$L$29</f>
        <v>67317.601007229561</v>
      </c>
      <c r="AV31" s="44">
        <f>'[1]Table 6-H &amp; 8'!$L$31</f>
        <v>56904.797831998694</v>
      </c>
      <c r="AW31" s="22">
        <f t="shared" si="7"/>
        <v>1.1829863837838914</v>
      </c>
    </row>
    <row r="32" spans="1:49">
      <c r="E32" s="177"/>
      <c r="AE32" s="37" t="s">
        <v>608</v>
      </c>
      <c r="AF32" s="40">
        <v>3342.9787999999999</v>
      </c>
      <c r="AG32" s="40">
        <v>2436.9667999999997</v>
      </c>
      <c r="AH32" s="148">
        <v>0.7289806324826229</v>
      </c>
      <c r="AI32" s="40">
        <v>2221.1529999999998</v>
      </c>
      <c r="AJ32" s="40">
        <v>215.81379999999999</v>
      </c>
      <c r="AK32" s="146">
        <v>8.8558366901018107E-2</v>
      </c>
      <c r="AM32" s="40">
        <v>118798.326</v>
      </c>
      <c r="AN32" s="40">
        <v>81994.216</v>
      </c>
      <c r="AO32" s="41">
        <v>0.69019672886636463</v>
      </c>
      <c r="AP32" s="40">
        <v>75593.47</v>
      </c>
      <c r="AQ32" s="40">
        <v>6400.7460000000001</v>
      </c>
      <c r="AR32" s="146">
        <v>7.806338437335629E-2</v>
      </c>
      <c r="AS32" s="41"/>
      <c r="AT32" s="37" t="s">
        <v>608</v>
      </c>
      <c r="AU32" s="252">
        <f>'[2]Table 6-H &amp; 8'!$L$28</f>
        <v>65691.590641251416</v>
      </c>
      <c r="AV32" s="44">
        <f>'[1]Table 6-H &amp; 8'!$L$30</f>
        <v>55058.126005118233</v>
      </c>
      <c r="AW32" s="22">
        <f t="shared" si="7"/>
        <v>1.1931316121283295</v>
      </c>
    </row>
    <row r="33" spans="1:49">
      <c r="A33" s="21" t="s">
        <v>613</v>
      </c>
      <c r="B33" s="11">
        <v>3203200</v>
      </c>
      <c r="C33" s="11">
        <v>2188000</v>
      </c>
      <c r="D33" s="11">
        <v>1015200</v>
      </c>
      <c r="E33" s="136">
        <v>2.67</v>
      </c>
      <c r="G33" s="21" t="s">
        <v>612</v>
      </c>
      <c r="H33" s="11">
        <v>3199400</v>
      </c>
      <c r="I33" s="11">
        <v>2232400</v>
      </c>
      <c r="J33" s="11">
        <v>1653800</v>
      </c>
      <c r="K33" s="11">
        <v>176600</v>
      </c>
      <c r="L33" s="11">
        <v>402000</v>
      </c>
      <c r="M33" s="11">
        <v>0</v>
      </c>
      <c r="N33" s="11">
        <v>967000</v>
      </c>
      <c r="P33" s="21" t="s">
        <v>612</v>
      </c>
      <c r="Q33" s="11">
        <v>3331900</v>
      </c>
      <c r="R33" s="11">
        <v>1717100</v>
      </c>
      <c r="S33" s="11">
        <v>46200</v>
      </c>
      <c r="T33" s="11">
        <v>91700</v>
      </c>
      <c r="U33" s="11">
        <v>203300</v>
      </c>
      <c r="V33" s="11">
        <v>83600</v>
      </c>
      <c r="W33" s="11">
        <v>1190000</v>
      </c>
      <c r="Y33" s="21" t="s">
        <v>612</v>
      </c>
      <c r="Z33" s="11">
        <v>2047200</v>
      </c>
      <c r="AA33" s="11">
        <v>1524900</v>
      </c>
      <c r="AB33" s="11">
        <v>458000</v>
      </c>
      <c r="AC33" s="11">
        <v>64300</v>
      </c>
      <c r="AE33" s="37" t="s">
        <v>609</v>
      </c>
      <c r="AF33" s="40">
        <v>3261.2318999999998</v>
      </c>
      <c r="AG33" s="40">
        <v>2396.7357999999999</v>
      </c>
      <c r="AH33" s="148">
        <v>0.73491731759400492</v>
      </c>
      <c r="AI33" s="40">
        <v>2151.2469999999998</v>
      </c>
      <c r="AJ33" s="40">
        <v>245.4888</v>
      </c>
      <c r="AK33" s="146">
        <v>0.10242630831483387</v>
      </c>
      <c r="AM33" s="40">
        <v>117593</v>
      </c>
      <c r="AN33" s="40">
        <v>81718.880999999994</v>
      </c>
      <c r="AO33" s="41">
        <v>0.69493116205247007</v>
      </c>
      <c r="AP33" s="40">
        <v>74571</v>
      </c>
      <c r="AQ33" s="40">
        <v>7147.3810000000003</v>
      </c>
      <c r="AR33" s="146">
        <v>8.746303072848001E-2</v>
      </c>
      <c r="AS33" s="41"/>
      <c r="AT33" s="37" t="s">
        <v>609</v>
      </c>
      <c r="AU33" s="252">
        <f>'[2]Table 6-H &amp; 8'!$L$27</f>
        <v>67376.123921841208</v>
      </c>
      <c r="AV33" s="44">
        <f>'[1]Table 6-H &amp; 8'!$L$29</f>
        <v>54527.527315256055</v>
      </c>
      <c r="AW33" s="22">
        <f t="shared" si="7"/>
        <v>1.2356350496566584</v>
      </c>
    </row>
    <row r="34" spans="1:49">
      <c r="A34" s="21" t="s">
        <v>27</v>
      </c>
      <c r="B34" s="23">
        <v>1</v>
      </c>
      <c r="C34" s="23">
        <v>0.68306693306693311</v>
      </c>
      <c r="D34" s="23">
        <v>0.31693306693306694</v>
      </c>
      <c r="E34" s="136"/>
      <c r="G34" s="21" t="s">
        <v>27</v>
      </c>
      <c r="H34" s="23">
        <v>1</v>
      </c>
      <c r="I34" s="23">
        <v>0.69775582921797841</v>
      </c>
      <c r="J34" s="23">
        <v>0.51690942051634681</v>
      </c>
      <c r="K34" s="23">
        <v>5.5197849596799402E-2</v>
      </c>
      <c r="L34" s="23">
        <v>0.12564855910483216</v>
      </c>
      <c r="M34" s="23">
        <v>0</v>
      </c>
      <c r="N34" s="23">
        <v>0.30224417078202165</v>
      </c>
      <c r="P34" s="21" t="s">
        <v>27</v>
      </c>
      <c r="Q34" s="23">
        <v>1</v>
      </c>
      <c r="R34" s="23">
        <v>0.51535160118851109</v>
      </c>
      <c r="S34" s="23">
        <v>1.3865962363816441E-2</v>
      </c>
      <c r="T34" s="23">
        <v>2.7521834388787178E-2</v>
      </c>
      <c r="U34" s="23">
        <v>6.1016236981902221E-2</v>
      </c>
      <c r="V34" s="23">
        <v>2.5090789039286892E-2</v>
      </c>
      <c r="W34" s="23">
        <v>0.35715357603769621</v>
      </c>
      <c r="Y34" s="21" t="s">
        <v>27</v>
      </c>
      <c r="Z34" s="23">
        <v>1</v>
      </c>
      <c r="AA34" s="23">
        <v>0.74487104337631882</v>
      </c>
      <c r="AB34" s="23">
        <v>0.22372020320437672</v>
      </c>
      <c r="AC34" s="23">
        <v>3.1408753419304415E-2</v>
      </c>
      <c r="AE34" s="37" t="s">
        <v>610</v>
      </c>
      <c r="AF34" s="40">
        <v>3284.3</v>
      </c>
      <c r="AG34" s="40">
        <v>2436.2000000000003</v>
      </c>
      <c r="AH34" s="148">
        <v>0.74177145814937739</v>
      </c>
      <c r="AI34" s="40">
        <v>2165.4</v>
      </c>
      <c r="AJ34" s="40">
        <v>270.8</v>
      </c>
      <c r="AK34" s="146">
        <v>0.11115671948115917</v>
      </c>
      <c r="AM34" s="40">
        <v>116485</v>
      </c>
      <c r="AN34" s="40">
        <v>81450</v>
      </c>
      <c r="AO34" s="41">
        <v>0.69923609092907857</v>
      </c>
      <c r="AP34" s="40">
        <v>73420</v>
      </c>
      <c r="AQ34" s="40">
        <v>8030</v>
      </c>
      <c r="AR34" s="146">
        <v>9.8588710449707406E-2</v>
      </c>
      <c r="AS34" s="41"/>
      <c r="AT34" s="37" t="s">
        <v>610</v>
      </c>
      <c r="AU34" s="252">
        <f>'[2]Table 6-H &amp; 8'!$L$26</f>
        <v>68700.587731315551</v>
      </c>
      <c r="AV34" s="44">
        <f>'[1]Table 6-H &amp; 8'!$L$28</f>
        <v>54480.30081196838</v>
      </c>
      <c r="AW34" s="22">
        <f t="shared" si="7"/>
        <v>1.2610170411581725</v>
      </c>
    </row>
    <row r="35" spans="1:49">
      <c r="E35" s="177"/>
      <c r="AE35" s="37" t="s">
        <v>611</v>
      </c>
      <c r="AF35" s="40">
        <v>3335.5</v>
      </c>
      <c r="AG35" s="40">
        <v>2510.9</v>
      </c>
      <c r="AH35" s="148">
        <v>0.75278069254984259</v>
      </c>
      <c r="AI35" s="40">
        <v>2227.8000000000002</v>
      </c>
      <c r="AJ35" s="40">
        <v>283.10000000000002</v>
      </c>
      <c r="AK35" s="146">
        <v>0.11274841690230596</v>
      </c>
      <c r="AM35" s="40">
        <v>115403</v>
      </c>
      <c r="AN35" s="40">
        <v>81465</v>
      </c>
      <c r="AO35" s="41">
        <v>0.70591752380787332</v>
      </c>
      <c r="AP35" s="40">
        <v>72360</v>
      </c>
      <c r="AQ35" s="40">
        <v>9105</v>
      </c>
      <c r="AR35" s="146">
        <v>0.11176578898913644</v>
      </c>
      <c r="AS35" s="41"/>
      <c r="AT35" s="37" t="s">
        <v>611</v>
      </c>
      <c r="AU35" s="252">
        <f>'[2]Table 6-H &amp; 8'!$L$25</f>
        <v>68622.136496054969</v>
      </c>
      <c r="AV35" s="44">
        <f>'[1]Table 6-H &amp; 8'!$L$27</f>
        <v>55050.299910177913</v>
      </c>
      <c r="AW35" s="22">
        <f t="shared" si="7"/>
        <v>1.2465351979557124</v>
      </c>
    </row>
    <row r="36" spans="1:49">
      <c r="A36" s="21" t="s">
        <v>614</v>
      </c>
      <c r="B36" s="11">
        <v>3213600</v>
      </c>
      <c r="C36" s="11">
        <v>2246400</v>
      </c>
      <c r="D36" s="11">
        <v>967200</v>
      </c>
      <c r="E36" s="136">
        <v>2.68</v>
      </c>
      <c r="G36" s="21" t="s">
        <v>613</v>
      </c>
      <c r="H36" s="11">
        <v>3203200</v>
      </c>
      <c r="I36" s="11">
        <v>2188000</v>
      </c>
      <c r="J36" s="11">
        <v>1642000</v>
      </c>
      <c r="K36" s="11">
        <v>141100</v>
      </c>
      <c r="L36" s="11">
        <v>404900</v>
      </c>
      <c r="M36" s="11">
        <v>0</v>
      </c>
      <c r="N36" s="11">
        <v>1015200</v>
      </c>
      <c r="P36" s="21" t="s">
        <v>613</v>
      </c>
      <c r="Q36" s="11">
        <v>3283100</v>
      </c>
      <c r="R36" s="11">
        <v>1710500</v>
      </c>
      <c r="S36" s="11">
        <v>52900</v>
      </c>
      <c r="T36" s="11">
        <v>80700</v>
      </c>
      <c r="U36" s="11">
        <v>189500</v>
      </c>
      <c r="V36" s="11">
        <v>69100</v>
      </c>
      <c r="W36" s="11">
        <v>1180400</v>
      </c>
      <c r="Y36" s="21" t="s">
        <v>613</v>
      </c>
      <c r="Z36" s="11">
        <v>2060000</v>
      </c>
      <c r="AA36" s="11">
        <v>1518900</v>
      </c>
      <c r="AB36" s="11">
        <v>489600</v>
      </c>
      <c r="AC36" s="11">
        <v>51500</v>
      </c>
      <c r="AE36" s="37" t="s">
        <v>612</v>
      </c>
      <c r="AF36" s="40">
        <v>3262.9</v>
      </c>
      <c r="AG36" s="40">
        <v>2431.3000000000002</v>
      </c>
      <c r="AH36" s="148">
        <v>0.74513469612921024</v>
      </c>
      <c r="AI36" s="40">
        <v>2186.9</v>
      </c>
      <c r="AJ36" s="40">
        <v>244.4</v>
      </c>
      <c r="AK36" s="146">
        <v>0.1005223542960556</v>
      </c>
      <c r="AM36" s="40">
        <v>114289</v>
      </c>
      <c r="AN36" s="40">
        <v>81497</v>
      </c>
      <c r="AO36" s="41">
        <v>0.71307824900034122</v>
      </c>
      <c r="AP36" s="40">
        <v>72262</v>
      </c>
      <c r="AQ36" s="40">
        <v>9235</v>
      </c>
      <c r="AR36" s="146">
        <v>0.11331705461550733</v>
      </c>
      <c r="AS36" s="41"/>
      <c r="AT36" s="37" t="s">
        <v>612</v>
      </c>
      <c r="AU36" s="252">
        <f>'[2]Table 6-H &amp; 8'!$L$24</f>
        <v>71809.110350796778</v>
      </c>
      <c r="AV36" s="44">
        <f>'[1]Table 6-H &amp; 8'!$L$26</f>
        <v>56274.860097856712</v>
      </c>
      <c r="AW36" s="22">
        <f t="shared" ref="AW36:AW44" si="8">AU36/AV36</f>
        <v>1.2760424499666008</v>
      </c>
    </row>
    <row r="37" spans="1:49">
      <c r="A37" s="21" t="s">
        <v>27</v>
      </c>
      <c r="B37" s="23">
        <v>1</v>
      </c>
      <c r="C37" s="23">
        <v>0.69902912621359226</v>
      </c>
      <c r="D37" s="23">
        <v>0.30097087378640774</v>
      </c>
      <c r="E37" s="136"/>
      <c r="G37" s="21" t="s">
        <v>27</v>
      </c>
      <c r="H37" s="23">
        <v>1</v>
      </c>
      <c r="I37" s="23">
        <v>0.68306693306693311</v>
      </c>
      <c r="J37" s="23">
        <v>0.51261238761238759</v>
      </c>
      <c r="K37" s="23">
        <v>4.4049700299700296E-2</v>
      </c>
      <c r="L37" s="23">
        <v>0.12640484515484515</v>
      </c>
      <c r="M37" s="23">
        <v>0</v>
      </c>
      <c r="N37" s="23">
        <v>0.31693306693306694</v>
      </c>
      <c r="P37" s="21" t="s">
        <v>27</v>
      </c>
      <c r="Q37" s="23">
        <v>1</v>
      </c>
      <c r="R37" s="23">
        <v>0.52100149249185224</v>
      </c>
      <c r="S37" s="23">
        <v>1.6112820200420333E-2</v>
      </c>
      <c r="T37" s="23">
        <v>2.4580427035423836E-2</v>
      </c>
      <c r="U37" s="23">
        <v>5.7719837958027473E-2</v>
      </c>
      <c r="V37" s="23">
        <v>2.1047181017940363E-2</v>
      </c>
      <c r="W37" s="23">
        <v>0.35953824129633577</v>
      </c>
      <c r="Y37" s="21" t="s">
        <v>27</v>
      </c>
      <c r="Z37" s="23">
        <v>1</v>
      </c>
      <c r="AA37" s="23">
        <v>0.73733009708737862</v>
      </c>
      <c r="AB37" s="23">
        <v>0.23766990291262136</v>
      </c>
      <c r="AC37" s="23">
        <v>2.5000000000000001E-2</v>
      </c>
      <c r="AE37" s="37" t="s">
        <v>613</v>
      </c>
      <c r="AF37" s="40">
        <v>3204.4</v>
      </c>
      <c r="AG37" s="40">
        <v>2332.8000000000002</v>
      </c>
      <c r="AH37" s="148">
        <v>0.72799900137311202</v>
      </c>
      <c r="AI37" s="40">
        <v>2162</v>
      </c>
      <c r="AJ37" s="40">
        <v>170.8</v>
      </c>
      <c r="AK37" s="146">
        <v>7.3216735253772286E-2</v>
      </c>
      <c r="AM37" s="40">
        <v>113226.4</v>
      </c>
      <c r="AN37" s="40">
        <v>81466.8</v>
      </c>
      <c r="AO37" s="41">
        <v>0.7195035786706987</v>
      </c>
      <c r="AP37" s="40">
        <v>74636.600000000006</v>
      </c>
      <c r="AQ37" s="40">
        <v>6830.2</v>
      </c>
      <c r="AR37" s="146">
        <v>8.3840288313767081E-2</v>
      </c>
      <c r="AS37" s="41"/>
      <c r="AT37" s="37" t="s">
        <v>613</v>
      </c>
      <c r="AU37" s="252">
        <f>'[2]Table 6-H &amp; 8'!$L$23</f>
        <v>73431.879403117622</v>
      </c>
      <c r="AV37" s="44">
        <f>'[1]Table 6-H &amp; 8'!$L$25</f>
        <v>57175.420872624614</v>
      </c>
      <c r="AW37" s="22">
        <f t="shared" si="8"/>
        <v>1.2843259967724443</v>
      </c>
    </row>
    <row r="38" spans="1:49">
      <c r="E38" s="177"/>
      <c r="AE38" s="37" t="s">
        <v>614</v>
      </c>
      <c r="AF38" s="40">
        <v>3252</v>
      </c>
      <c r="AG38" s="40">
        <v>2420</v>
      </c>
      <c r="AH38" s="148">
        <v>0.74415744157441577</v>
      </c>
      <c r="AI38" s="40">
        <v>2285</v>
      </c>
      <c r="AJ38" s="40">
        <v>135</v>
      </c>
      <c r="AK38" s="146">
        <v>5.578512396694215E-2</v>
      </c>
      <c r="AM38" s="40">
        <v>112214</v>
      </c>
      <c r="AN38" s="40">
        <v>81505</v>
      </c>
      <c r="AO38" s="41">
        <v>0.72633539487051524</v>
      </c>
      <c r="AP38" s="40">
        <v>76962</v>
      </c>
      <c r="AQ38" s="40">
        <v>4543</v>
      </c>
      <c r="AR38" s="146">
        <v>5.5738911723207163E-2</v>
      </c>
      <c r="AS38" s="41"/>
      <c r="AT38" s="37" t="s">
        <v>614</v>
      </c>
      <c r="AU38" s="252">
        <f>'[2]Table 6-H &amp; 8'!$L$22</f>
        <v>72197.579542150459</v>
      </c>
      <c r="AV38" s="44">
        <f>'[1]Table 6-H &amp; 8'!$L$24</f>
        <v>58414.318743281809</v>
      </c>
      <c r="AW38" s="22">
        <f t="shared" si="8"/>
        <v>1.2359568868626727</v>
      </c>
    </row>
    <row r="39" spans="1:49">
      <c r="A39" s="21" t="s">
        <v>615</v>
      </c>
      <c r="B39" s="11">
        <v>3176500</v>
      </c>
      <c r="C39" s="11">
        <v>2296200</v>
      </c>
      <c r="D39" s="11">
        <v>880300</v>
      </c>
      <c r="E39" s="136">
        <v>2.68</v>
      </c>
      <c r="G39" s="21" t="s">
        <v>614</v>
      </c>
      <c r="H39" s="11">
        <v>3213600</v>
      </c>
      <c r="I39" s="11">
        <v>2246400</v>
      </c>
      <c r="J39" s="11">
        <v>1698600</v>
      </c>
      <c r="K39" s="11">
        <v>126800</v>
      </c>
      <c r="L39" s="11">
        <v>420400</v>
      </c>
      <c r="M39" s="11">
        <v>0</v>
      </c>
      <c r="N39" s="11">
        <v>967200</v>
      </c>
      <c r="P39" s="21" t="s">
        <v>614</v>
      </c>
      <c r="Q39" s="11">
        <v>3332200</v>
      </c>
      <c r="R39" s="11">
        <v>1771500</v>
      </c>
      <c r="S39" s="11">
        <v>54500</v>
      </c>
      <c r="T39" s="11">
        <v>66000</v>
      </c>
      <c r="U39" s="11">
        <v>197300</v>
      </c>
      <c r="V39" s="11">
        <v>60000</v>
      </c>
      <c r="W39" s="11">
        <v>1182800</v>
      </c>
      <c r="Y39" s="21" t="s">
        <v>614</v>
      </c>
      <c r="Z39" s="11">
        <v>2080000</v>
      </c>
      <c r="AA39" s="11">
        <v>1520600</v>
      </c>
      <c r="AB39" s="11">
        <v>512400</v>
      </c>
      <c r="AC39" s="11">
        <v>47000</v>
      </c>
      <c r="AE39" s="37" t="s">
        <v>615</v>
      </c>
      <c r="AF39" s="40">
        <v>3300.8</v>
      </c>
      <c r="AG39" s="40">
        <v>2531.8000000000002</v>
      </c>
      <c r="AH39" s="148">
        <v>0.76702617547261276</v>
      </c>
      <c r="AI39" s="40">
        <v>2378.5</v>
      </c>
      <c r="AJ39" s="40">
        <v>153.30000000000001</v>
      </c>
      <c r="AK39" s="146">
        <v>6.0549806461805855E-2</v>
      </c>
      <c r="AM39" s="40">
        <v>110900</v>
      </c>
      <c r="AN39" s="40">
        <v>80900</v>
      </c>
      <c r="AO39" s="41">
        <v>0.72948602344454461</v>
      </c>
      <c r="AP39" s="40">
        <v>76600</v>
      </c>
      <c r="AQ39" s="40">
        <v>4300</v>
      </c>
      <c r="AR39" s="146">
        <v>5.3152039555006178E-2</v>
      </c>
      <c r="AS39" s="41"/>
      <c r="AT39" s="37" t="s">
        <v>615</v>
      </c>
      <c r="AU39" s="252">
        <f>'[2]Table 6-H &amp; 8'!$L$21</f>
        <v>76261.71452623044</v>
      </c>
      <c r="AV39" s="44">
        <f>'[1]Table 6-H &amp; 8'!$L$23</f>
        <v>59075.012408137431</v>
      </c>
      <c r="AW39" s="22">
        <f t="shared" si="8"/>
        <v>1.2909301482554676</v>
      </c>
    </row>
    <row r="40" spans="1:49">
      <c r="A40" s="21" t="s">
        <v>27</v>
      </c>
      <c r="B40" s="23">
        <v>1</v>
      </c>
      <c r="C40" s="23">
        <v>0.72287352137075822</v>
      </c>
      <c r="D40" s="23">
        <v>0.27712647862924178</v>
      </c>
      <c r="E40" s="22"/>
      <c r="G40" s="21" t="s">
        <v>27</v>
      </c>
      <c r="H40" s="23">
        <v>1</v>
      </c>
      <c r="I40" s="23">
        <v>0.69902912621359226</v>
      </c>
      <c r="J40" s="23">
        <v>0.52856609410007471</v>
      </c>
      <c r="K40" s="23">
        <v>3.9457306447597706E-2</v>
      </c>
      <c r="L40" s="23">
        <v>0.13081901916853372</v>
      </c>
      <c r="M40" s="23">
        <v>0</v>
      </c>
      <c r="N40" s="23">
        <v>0.30097087378640774</v>
      </c>
      <c r="P40" s="21" t="s">
        <v>27</v>
      </c>
      <c r="Q40" s="23">
        <v>1</v>
      </c>
      <c r="R40" s="23">
        <v>0.5316307544565152</v>
      </c>
      <c r="S40" s="23">
        <v>1.6355560890702839E-2</v>
      </c>
      <c r="T40" s="23">
        <v>1.9806734289658484E-2</v>
      </c>
      <c r="U40" s="23">
        <v>5.9210131444691193E-2</v>
      </c>
      <c r="V40" s="23">
        <v>1.8006122081507713E-2</v>
      </c>
      <c r="W40" s="23">
        <v>0.35496068663345537</v>
      </c>
      <c r="Y40" s="21" t="s">
        <v>27</v>
      </c>
      <c r="Z40" s="23">
        <v>1</v>
      </c>
      <c r="AA40" s="23">
        <v>0.73105769230769235</v>
      </c>
      <c r="AB40" s="23">
        <v>0.24634615384615385</v>
      </c>
      <c r="AC40" s="23">
        <v>2.2596153846153846E-2</v>
      </c>
      <c r="AE40" s="37" t="s">
        <v>616</v>
      </c>
      <c r="AF40" s="40">
        <v>3280.9665299999997</v>
      </c>
      <c r="AG40" s="40">
        <v>2497.15688</v>
      </c>
      <c r="AH40" s="148">
        <v>0.76110403966845719</v>
      </c>
      <c r="AI40" s="40">
        <v>2365.895</v>
      </c>
      <c r="AJ40" s="40">
        <v>131.26187999999999</v>
      </c>
      <c r="AK40" s="146">
        <v>5.2564530907645651E-2</v>
      </c>
      <c r="AM40" s="40">
        <v>109431.68700000001</v>
      </c>
      <c r="AN40" s="40">
        <v>79560.362000000008</v>
      </c>
      <c r="AO40" s="41">
        <v>0.72703221691172504</v>
      </c>
      <c r="AP40" s="40">
        <v>75071.565000000002</v>
      </c>
      <c r="AQ40" s="40">
        <v>4488.7970000000005</v>
      </c>
      <c r="AR40" s="146">
        <v>5.642001729454172E-2</v>
      </c>
      <c r="AS40" s="41"/>
      <c r="AT40" s="37" t="s">
        <v>616</v>
      </c>
      <c r="AU40" s="252">
        <f>'[2]Table 6-H &amp; 8'!$L$20</f>
        <v>80689.361121264461</v>
      </c>
      <c r="AV40" s="44">
        <f>'[1]Table 6-H &amp; 8'!$L$22</f>
        <v>58417.162028537306</v>
      </c>
      <c r="AW40" s="22">
        <f t="shared" si="8"/>
        <v>1.3812612307637777</v>
      </c>
    </row>
    <row r="41" spans="1:49">
      <c r="AE41" s="37" t="s">
        <v>617</v>
      </c>
      <c r="AF41" s="40">
        <v>3216</v>
      </c>
      <c r="AG41" s="40">
        <v>2401</v>
      </c>
      <c r="AH41" s="148">
        <v>0.74656946061754037</v>
      </c>
      <c r="AI41" s="40">
        <v>2281</v>
      </c>
      <c r="AJ41" s="40">
        <v>120</v>
      </c>
      <c r="AK41" s="146">
        <v>5.0092700362473104E-2</v>
      </c>
      <c r="AM41" s="40">
        <v>107971</v>
      </c>
      <c r="AN41" s="40">
        <v>78357</v>
      </c>
      <c r="AO41" s="41">
        <v>0.72571814953915859</v>
      </c>
      <c r="AP41" s="40">
        <v>73451</v>
      </c>
      <c r="AQ41" s="40">
        <v>4905</v>
      </c>
      <c r="AR41" s="146">
        <v>6.2603347289716768E-2</v>
      </c>
      <c r="AT41" s="37" t="s">
        <v>617</v>
      </c>
      <c r="AU41" s="252">
        <f>'[2]Table 6-H &amp; 8'!$L$19</f>
        <v>75809.752227153804</v>
      </c>
      <c r="AV41" s="44">
        <f>'[1]Table 6-H &amp; 8'!$L$21</f>
        <v>57892.771476220878</v>
      </c>
      <c r="AW41" s="22">
        <f t="shared" si="8"/>
        <v>1.3094856282410356</v>
      </c>
    </row>
    <row r="42" spans="1:49">
      <c r="A42" s="21" t="s">
        <v>616</v>
      </c>
      <c r="B42" s="11">
        <v>3188200</v>
      </c>
      <c r="C42" s="11">
        <v>2268100</v>
      </c>
      <c r="D42" s="11">
        <v>920000</v>
      </c>
      <c r="E42" s="22">
        <v>2.6694887441186124</v>
      </c>
      <c r="G42" s="21" t="s">
        <v>615</v>
      </c>
      <c r="H42" s="11">
        <v>3176500</v>
      </c>
      <c r="I42" s="11">
        <v>2296200</v>
      </c>
      <c r="J42" s="11">
        <v>1745100</v>
      </c>
      <c r="K42" s="11">
        <v>138800</v>
      </c>
      <c r="L42" s="11">
        <v>411800</v>
      </c>
      <c r="M42" s="11">
        <v>600</v>
      </c>
      <c r="N42" s="11">
        <v>880300</v>
      </c>
      <c r="P42" s="21" t="s">
        <v>615</v>
      </c>
      <c r="Q42" s="11">
        <v>3380500</v>
      </c>
      <c r="R42" s="11">
        <v>1807400</v>
      </c>
      <c r="S42" s="11">
        <v>64100</v>
      </c>
      <c r="T42" s="11">
        <v>68000</v>
      </c>
      <c r="U42" s="11">
        <v>200800</v>
      </c>
      <c r="V42" s="11">
        <v>60900</v>
      </c>
      <c r="W42" s="11">
        <v>1179300</v>
      </c>
      <c r="Y42" s="21" t="s">
        <v>615</v>
      </c>
      <c r="Z42" s="11">
        <v>2099400</v>
      </c>
      <c r="AA42" s="11">
        <v>1567100</v>
      </c>
      <c r="AB42" s="11">
        <v>491800</v>
      </c>
      <c r="AC42" s="11">
        <v>40500</v>
      </c>
      <c r="AE42" s="37" t="s">
        <v>618</v>
      </c>
      <c r="AF42" s="40">
        <v>3195</v>
      </c>
      <c r="AG42" s="40">
        <v>2353</v>
      </c>
      <c r="AH42" s="148">
        <v>0.7365523255578299</v>
      </c>
      <c r="AI42" s="40">
        <v>2198</v>
      </c>
      <c r="AJ42" s="40">
        <v>155</v>
      </c>
      <c r="AK42" s="146">
        <v>6.5835663787399704E-2</v>
      </c>
      <c r="AM42" s="40">
        <v>106607</v>
      </c>
      <c r="AN42" s="40">
        <v>77618</v>
      </c>
      <c r="AO42" s="41">
        <v>0.7280755692643559</v>
      </c>
      <c r="AP42" s="40">
        <v>72375</v>
      </c>
      <c r="AQ42" s="40">
        <v>5243</v>
      </c>
      <c r="AR42" s="146">
        <v>6.7542758333259567E-2</v>
      </c>
      <c r="AT42" s="37" t="s">
        <v>618</v>
      </c>
      <c r="AU42" s="252">
        <f>'[2]Table 6-H &amp; 8'!$L$18</f>
        <v>73614.900776894152</v>
      </c>
      <c r="AV42" s="44">
        <f>'[1]Table 6-H &amp; 8'!$L$20</f>
        <v>57677.432539063266</v>
      </c>
      <c r="AW42" s="22">
        <f t="shared" si="8"/>
        <v>1.2763206948755372</v>
      </c>
    </row>
    <row r="43" spans="1:49">
      <c r="A43" s="21" t="s">
        <v>27</v>
      </c>
      <c r="B43" s="23">
        <v>1</v>
      </c>
      <c r="C43" s="23">
        <v>0.71140455429395899</v>
      </c>
      <c r="D43" s="23">
        <v>0.28856408004516654</v>
      </c>
      <c r="E43" s="20"/>
      <c r="G43" s="21" t="s">
        <v>27</v>
      </c>
      <c r="H43" s="23">
        <v>1</v>
      </c>
      <c r="I43" s="23">
        <v>0.72287108452699511</v>
      </c>
      <c r="J43" s="23">
        <v>0.5493782464977176</v>
      </c>
      <c r="K43" s="23">
        <v>4.369589170470644E-2</v>
      </c>
      <c r="L43" s="23">
        <v>0.12963954037462616</v>
      </c>
      <c r="M43" s="23">
        <v>1.888871399338895E-4</v>
      </c>
      <c r="N43" s="23">
        <v>0.27712891547300489</v>
      </c>
      <c r="P43" s="21" t="s">
        <v>27</v>
      </c>
      <c r="Q43" s="23">
        <v>1</v>
      </c>
      <c r="R43" s="23">
        <v>0.53464670030327666</v>
      </c>
      <c r="S43" s="23">
        <v>1.8964892963591273E-2</v>
      </c>
      <c r="T43" s="23">
        <v>2.0102679842503191E-2</v>
      </c>
      <c r="U43" s="23">
        <v>5.9408378747491719E-2</v>
      </c>
      <c r="V43" s="23">
        <v>1.8027841716675846E-2</v>
      </c>
      <c r="W43" s="23">
        <v>0.34884950642646134</v>
      </c>
      <c r="Y43" s="21" t="s">
        <v>27</v>
      </c>
      <c r="Z43" s="23">
        <v>1</v>
      </c>
      <c r="AA43" s="23">
        <v>0.74645136705725446</v>
      </c>
      <c r="AB43" s="23">
        <v>0.23425740687815566</v>
      </c>
      <c r="AC43" s="23">
        <v>1.9291226064589884E-2</v>
      </c>
      <c r="AE43" s="37" t="s">
        <v>619</v>
      </c>
      <c r="AF43" s="40">
        <v>3219</v>
      </c>
      <c r="AG43" s="40">
        <v>2326</v>
      </c>
      <c r="AH43" s="148">
        <v>0.72263159201026006</v>
      </c>
      <c r="AI43" s="40">
        <v>2167</v>
      </c>
      <c r="AJ43" s="40">
        <v>159</v>
      </c>
      <c r="AK43" s="146">
        <v>6.8357695614789341E-2</v>
      </c>
      <c r="AM43" s="40">
        <v>105067.28899999999</v>
      </c>
      <c r="AN43" s="40">
        <v>77028.498999999996</v>
      </c>
      <c r="AO43" s="41">
        <v>0.73313492461007534</v>
      </c>
      <c r="AP43" s="40">
        <v>71757.945000000007</v>
      </c>
      <c r="AQ43" s="40">
        <v>5270.5540000000001</v>
      </c>
      <c r="AR43" s="146">
        <v>6.8423428580634812E-2</v>
      </c>
      <c r="AS43" s="121"/>
      <c r="AT43" s="37" t="s">
        <v>619</v>
      </c>
      <c r="AU43" s="252">
        <f>'[2]Table 6-H &amp; 8'!$L$17</f>
        <v>75301.072501514107</v>
      </c>
      <c r="AV43" s="44">
        <f>'[1]Table 6-H &amp; 8'!$L$19</f>
        <v>57762.68980522413</v>
      </c>
      <c r="AW43" s="22">
        <f t="shared" si="8"/>
        <v>1.3036282201439966</v>
      </c>
    </row>
    <row r="44" spans="1:49">
      <c r="A44" s="20"/>
      <c r="E44" s="20"/>
      <c r="AE44" s="37" t="s">
        <v>620</v>
      </c>
      <c r="AF44" s="40">
        <v>3099</v>
      </c>
      <c r="AG44" s="40">
        <v>2247</v>
      </c>
      <c r="AH44" s="148">
        <v>0.72511825076912417</v>
      </c>
      <c r="AI44" s="40">
        <v>2128</v>
      </c>
      <c r="AJ44" s="40">
        <v>119</v>
      </c>
      <c r="AK44" s="146">
        <v>5.313623712060031E-2</v>
      </c>
      <c r="AM44" s="40">
        <v>102837.4345</v>
      </c>
      <c r="AN44" s="40">
        <v>75898.809500000003</v>
      </c>
      <c r="AO44" s="41">
        <v>0.73804650873510469</v>
      </c>
      <c r="AP44" s="40">
        <v>71457.815000000002</v>
      </c>
      <c r="AQ44" s="40">
        <v>4440.9944999999998</v>
      </c>
      <c r="AR44" s="146">
        <v>5.851204425018023E-2</v>
      </c>
      <c r="AS44" s="41"/>
      <c r="AT44" s="37" t="s">
        <v>620</v>
      </c>
      <c r="AU44" s="254">
        <f>'[2]Table 6-H &amp; 8'!$L$16</f>
        <v>74174.499742013082</v>
      </c>
      <c r="AV44" s="179">
        <f>'[1]Table 6-H &amp; 8'!$L$18</f>
        <v>58148.899123357376</v>
      </c>
      <c r="AW44" s="90">
        <f t="shared" si="8"/>
        <v>1.2755959418020781</v>
      </c>
    </row>
    <row r="45" spans="1:49">
      <c r="A45" s="21" t="s">
        <v>617</v>
      </c>
      <c r="B45" s="11">
        <v>3213200</v>
      </c>
      <c r="C45" s="11">
        <v>2243500</v>
      </c>
      <c r="D45" s="11">
        <v>969700</v>
      </c>
      <c r="E45" s="22">
        <v>2.6246594458787333</v>
      </c>
      <c r="G45" s="21" t="s">
        <v>616</v>
      </c>
      <c r="H45" s="11">
        <v>3188200</v>
      </c>
      <c r="I45" s="11">
        <v>2268100</v>
      </c>
      <c r="J45" s="11">
        <v>1739200</v>
      </c>
      <c r="K45" s="11">
        <v>147700</v>
      </c>
      <c r="L45" s="11">
        <v>381200</v>
      </c>
      <c r="M45" s="11">
        <v>0</v>
      </c>
      <c r="N45" s="11">
        <v>920000</v>
      </c>
      <c r="P45" s="21" t="s">
        <v>616</v>
      </c>
      <c r="Q45" s="11">
        <v>3358800</v>
      </c>
      <c r="R45" s="11">
        <v>1780300</v>
      </c>
      <c r="S45" s="11">
        <v>67800</v>
      </c>
      <c r="T45" s="11">
        <v>94100</v>
      </c>
      <c r="U45" s="11">
        <v>173100</v>
      </c>
      <c r="V45" s="11">
        <v>59900</v>
      </c>
      <c r="W45" s="11">
        <v>1183600</v>
      </c>
      <c r="Y45" s="21" t="s">
        <v>616</v>
      </c>
      <c r="Z45" s="11">
        <v>2152100</v>
      </c>
      <c r="AA45" s="11">
        <v>1590600</v>
      </c>
      <c r="AB45" s="11">
        <v>507600</v>
      </c>
      <c r="AC45" s="11">
        <v>53900</v>
      </c>
      <c r="AK45" s="178"/>
      <c r="AR45" s="178"/>
      <c r="AS45" s="41"/>
      <c r="AV45" s="176"/>
    </row>
    <row r="46" spans="1:49">
      <c r="A46" s="21" t="s">
        <v>27</v>
      </c>
      <c r="B46" s="23">
        <v>1</v>
      </c>
      <c r="C46" s="23">
        <v>0.69820758892030821</v>
      </c>
      <c r="D46" s="23">
        <v>0.30179242664070677</v>
      </c>
      <c r="G46" s="21" t="s">
        <v>27</v>
      </c>
      <c r="H46" s="23">
        <v>1</v>
      </c>
      <c r="I46" s="23">
        <v>0.71140455429395899</v>
      </c>
      <c r="J46" s="23">
        <v>0.54551157392886274</v>
      </c>
      <c r="K46" s="23">
        <v>4.6327081111599021E-2</v>
      </c>
      <c r="L46" s="23">
        <v>0.11956589925349727</v>
      </c>
      <c r="M46" s="23">
        <v>0</v>
      </c>
      <c r="N46" s="23">
        <v>0.28856408004516654</v>
      </c>
      <c r="P46" s="21" t="s">
        <v>27</v>
      </c>
      <c r="Q46" s="23">
        <v>1</v>
      </c>
      <c r="R46" s="23">
        <v>0.53004049065142311</v>
      </c>
      <c r="S46" s="23">
        <v>2.0185780635941408E-2</v>
      </c>
      <c r="T46" s="23">
        <v>2.8015958080266763E-2</v>
      </c>
      <c r="U46" s="23">
        <v>5.153626295105395E-2</v>
      </c>
      <c r="V46" s="23">
        <v>1.7833750148862688E-2</v>
      </c>
      <c r="W46" s="23">
        <v>0.35238775753245205</v>
      </c>
      <c r="Y46" s="21" t="s">
        <v>27</v>
      </c>
      <c r="Z46" s="23">
        <v>1</v>
      </c>
      <c r="AA46" s="23">
        <v>0.73909204962594677</v>
      </c>
      <c r="AB46" s="23">
        <v>0.23586264578783514</v>
      </c>
      <c r="AC46" s="23">
        <v>2.5045304586218113E-2</v>
      </c>
      <c r="AE46" s="100" t="s">
        <v>484</v>
      </c>
      <c r="AF46" s="157" t="s">
        <v>515</v>
      </c>
      <c r="AG46" s="36"/>
      <c r="AH46" s="148"/>
      <c r="AI46" s="36"/>
      <c r="AJ46" s="36"/>
      <c r="AK46" s="147"/>
      <c r="AM46" s="157" t="s">
        <v>516</v>
      </c>
      <c r="AR46" s="178"/>
      <c r="AS46" s="41"/>
      <c r="AT46" s="47" t="s">
        <v>86</v>
      </c>
      <c r="AU46" s="255"/>
      <c r="AV46" s="48"/>
      <c r="AW46" s="48"/>
    </row>
    <row r="47" spans="1:49">
      <c r="G47" s="20"/>
      <c r="P47" s="20"/>
      <c r="Y47" s="20"/>
      <c r="AE47" s="37" t="s">
        <v>557</v>
      </c>
      <c r="AF47" s="157">
        <v>37122</v>
      </c>
      <c r="AG47" s="36">
        <v>2096</v>
      </c>
      <c r="AH47" s="148">
        <v>0.564558</v>
      </c>
      <c r="AI47" s="36">
        <v>2011</v>
      </c>
      <c r="AJ47" s="36">
        <v>85</v>
      </c>
      <c r="AK47" s="147">
        <v>4.0593999999999998E-2</v>
      </c>
      <c r="AM47" s="113">
        <f>'[1]Table 5'!$I$7</f>
        <v>132117.321</v>
      </c>
      <c r="AN47" s="111">
        <f>'[1]Table 5'!$I$8</f>
        <v>75783.150999999998</v>
      </c>
      <c r="AO47" s="121">
        <f>AN47/AM47</f>
        <v>0.57360496281937168</v>
      </c>
      <c r="AP47" s="118">
        <f>'[1]Table 5'!$I$9</f>
        <v>72692.37</v>
      </c>
      <c r="AQ47" s="118">
        <f>'[1]Table 5'!$I$10</f>
        <v>3090.7809999999999</v>
      </c>
      <c r="AR47" s="145">
        <f>AQ47/AN47</f>
        <v>4.0784540616422775E-2</v>
      </c>
      <c r="AS47" s="41"/>
      <c r="AT47" s="47" t="s">
        <v>87</v>
      </c>
      <c r="AU47" s="255"/>
      <c r="AV47" s="48"/>
      <c r="AW47" s="48"/>
    </row>
    <row r="48" spans="1:49">
      <c r="A48" s="21" t="s">
        <v>618</v>
      </c>
      <c r="B48" s="11">
        <v>3218400</v>
      </c>
      <c r="C48" s="11">
        <v>2259000</v>
      </c>
      <c r="D48" s="11">
        <v>959400</v>
      </c>
      <c r="E48" s="22">
        <v>2.6091016442417079</v>
      </c>
      <c r="G48" s="21" t="s">
        <v>617</v>
      </c>
      <c r="H48" s="11">
        <v>3213200</v>
      </c>
      <c r="I48" s="11">
        <v>2243500</v>
      </c>
      <c r="J48" s="11">
        <v>1726900</v>
      </c>
      <c r="K48" s="11">
        <v>146700</v>
      </c>
      <c r="L48" s="11">
        <v>369900</v>
      </c>
      <c r="M48" s="11">
        <v>0</v>
      </c>
      <c r="N48" s="11">
        <v>969700</v>
      </c>
      <c r="P48" s="21" t="s">
        <v>617</v>
      </c>
      <c r="Q48" s="11">
        <v>3285300</v>
      </c>
      <c r="R48" s="11">
        <v>1762700</v>
      </c>
      <c r="S48" s="11">
        <v>50400</v>
      </c>
      <c r="T48" s="11">
        <v>102100</v>
      </c>
      <c r="U48" s="11">
        <v>200500</v>
      </c>
      <c r="V48" s="11">
        <v>59800</v>
      </c>
      <c r="W48" s="11">
        <v>1109800</v>
      </c>
      <c r="Y48" s="21" t="s">
        <v>617</v>
      </c>
      <c r="Z48" s="11">
        <v>2158300</v>
      </c>
      <c r="AA48" s="11">
        <v>1582300</v>
      </c>
      <c r="AB48" s="11">
        <v>514300</v>
      </c>
      <c r="AC48" s="11">
        <v>61700</v>
      </c>
      <c r="AE48" s="37" t="s">
        <v>495</v>
      </c>
      <c r="AF48" s="113">
        <f>3697792/1000</f>
        <v>3697.7919999999999</v>
      </c>
      <c r="AG48" s="113">
        <f>2112576/1000</f>
        <v>2112.576</v>
      </c>
      <c r="AH48" s="148">
        <f>AG48/AF48</f>
        <v>0.57130741804839213</v>
      </c>
      <c r="AI48" s="113">
        <f>2002222/1000</f>
        <v>2002.222</v>
      </c>
      <c r="AJ48" s="124">
        <f>110354.3/1000</f>
        <v>110.35430000000001</v>
      </c>
      <c r="AK48" s="148">
        <f>AJ48/AG48</f>
        <v>5.2236842603532375E-2</v>
      </c>
      <c r="AM48" s="113">
        <v>131062.3</v>
      </c>
      <c r="AN48" s="123">
        <v>75135.149999999994</v>
      </c>
      <c r="AO48" s="121">
        <f>AN48/AM48</f>
        <v>0.5732781280352931</v>
      </c>
      <c r="AP48" s="123">
        <v>71673.039999999994</v>
      </c>
      <c r="AQ48" s="123">
        <v>3462.1089999999999</v>
      </c>
      <c r="AR48" s="145">
        <f>AQ48/AN48</f>
        <v>4.6078420020456472E-2</v>
      </c>
      <c r="AS48" s="41"/>
      <c r="AT48" s="47" t="s">
        <v>88</v>
      </c>
      <c r="AU48" s="255"/>
      <c r="AV48" s="48"/>
      <c r="AW48" s="48"/>
    </row>
    <row r="49" spans="1:49">
      <c r="A49" s="21" t="s">
        <v>27</v>
      </c>
      <c r="B49" s="23">
        <v>1</v>
      </c>
      <c r="C49" s="23">
        <v>0.70189331567239199</v>
      </c>
      <c r="D49" s="23">
        <v>0.29810665325628266</v>
      </c>
      <c r="G49" s="21" t="s">
        <v>27</v>
      </c>
      <c r="H49" s="23">
        <v>1</v>
      </c>
      <c r="I49" s="23">
        <v>0.69820758892030821</v>
      </c>
      <c r="J49" s="23">
        <v>0.53744042465387631</v>
      </c>
      <c r="K49" s="23">
        <v>4.5652236833669549E-2</v>
      </c>
      <c r="L49" s="23">
        <v>0.11511480294464202</v>
      </c>
      <c r="M49" s="23">
        <v>0</v>
      </c>
      <c r="N49" s="23">
        <v>0.30179242664070677</v>
      </c>
      <c r="P49" s="21" t="s">
        <v>27</v>
      </c>
      <c r="Q49" s="23">
        <v>1</v>
      </c>
      <c r="R49" s="23">
        <v>0.53654677370880033</v>
      </c>
      <c r="S49" s="23">
        <v>1.5328708101985207E-2</v>
      </c>
      <c r="T49" s="23">
        <v>3.1080454301651208E-2</v>
      </c>
      <c r="U49" s="23">
        <v>6.1031975019291453E-2</v>
      </c>
      <c r="V49" s="23">
        <v>1.8192210357357165E-2</v>
      </c>
      <c r="W49" s="23">
        <v>0.33781987851091461</v>
      </c>
      <c r="Y49" s="21" t="s">
        <v>27</v>
      </c>
      <c r="Z49" s="23">
        <v>1</v>
      </c>
      <c r="AA49" s="23">
        <v>0.73311922507730787</v>
      </c>
      <c r="AB49" s="23">
        <v>0.23827648877286917</v>
      </c>
      <c r="AC49" s="23">
        <v>2.8604307000010192E-2</v>
      </c>
      <c r="AE49" s="37" t="s">
        <v>489</v>
      </c>
      <c r="AF49" s="113">
        <v>3694</v>
      </c>
      <c r="AG49" s="113">
        <v>2117</v>
      </c>
      <c r="AH49" s="148">
        <f>AG49/AF49</f>
        <v>0.57309149972929074</v>
      </c>
      <c r="AI49" s="113">
        <v>2003</v>
      </c>
      <c r="AJ49" s="36">
        <v>114</v>
      </c>
      <c r="AK49" s="148">
        <f>AJ49/AG49</f>
        <v>5.3849787435049597E-2</v>
      </c>
      <c r="AM49" s="113">
        <v>129999</v>
      </c>
      <c r="AN49" s="123">
        <v>74056</v>
      </c>
      <c r="AO49" s="121">
        <f>AN49/AM49</f>
        <v>0.56966592050708087</v>
      </c>
      <c r="AP49" s="123">
        <v>70346</v>
      </c>
      <c r="AQ49" s="123">
        <v>3710</v>
      </c>
      <c r="AR49" s="145">
        <f>AQ49/AN49</f>
        <v>5.0097223722588312E-2</v>
      </c>
      <c r="AS49" s="41"/>
      <c r="AT49" s="47" t="s">
        <v>89</v>
      </c>
      <c r="AU49" s="255"/>
      <c r="AV49" s="48"/>
      <c r="AW49" s="48"/>
    </row>
    <row r="50" spans="1:49">
      <c r="B50" s="11"/>
      <c r="C50" s="11"/>
      <c r="D50" s="11"/>
      <c r="AE50" s="37" t="s">
        <v>607</v>
      </c>
      <c r="AF50" s="40">
        <v>3674.8254999999999</v>
      </c>
      <c r="AG50" s="40">
        <v>2066.2065000000002</v>
      </c>
      <c r="AH50" s="148">
        <v>0.56225975900080161</v>
      </c>
      <c r="AI50" s="40">
        <v>1943.24</v>
      </c>
      <c r="AJ50" s="40">
        <v>122.9665</v>
      </c>
      <c r="AK50" s="146">
        <v>5.9513170634203298E-2</v>
      </c>
      <c r="AM50" s="40">
        <v>128602.68100000001</v>
      </c>
      <c r="AN50" s="40">
        <v>73332.221000000005</v>
      </c>
      <c r="AO50" s="41">
        <v>0.57022311222267597</v>
      </c>
      <c r="AP50" s="40">
        <v>69078.86</v>
      </c>
      <c r="AQ50" s="40">
        <v>4253.3609999999999</v>
      </c>
      <c r="AR50" s="146">
        <v>5.8001257046339828E-2</v>
      </c>
      <c r="AS50" s="41"/>
      <c r="AT50" s="47" t="s">
        <v>603</v>
      </c>
      <c r="AU50" s="255"/>
      <c r="AV50" s="48"/>
      <c r="AW50" s="48"/>
    </row>
    <row r="51" spans="1:49">
      <c r="A51" s="21" t="s">
        <v>619</v>
      </c>
      <c r="B51" s="11">
        <v>3245400</v>
      </c>
      <c r="C51" s="11">
        <v>2291900</v>
      </c>
      <c r="D51" s="11">
        <v>953500</v>
      </c>
      <c r="E51" s="22">
        <v>2.6134092260202282</v>
      </c>
      <c r="G51" s="21" t="s">
        <v>618</v>
      </c>
      <c r="H51" s="11">
        <v>3218400</v>
      </c>
      <c r="I51" s="11">
        <v>2259000</v>
      </c>
      <c r="J51" s="11">
        <v>1727200</v>
      </c>
      <c r="K51" s="11">
        <v>128500</v>
      </c>
      <c r="L51" s="11">
        <v>403300</v>
      </c>
      <c r="M51" s="11">
        <v>0</v>
      </c>
      <c r="N51" s="11">
        <v>959400</v>
      </c>
      <c r="P51" s="21" t="s">
        <v>618</v>
      </c>
      <c r="Q51" s="11">
        <v>3267600</v>
      </c>
      <c r="R51" s="11">
        <v>1772000</v>
      </c>
      <c r="S51" s="11">
        <v>57900</v>
      </c>
      <c r="T51" s="11">
        <v>94300</v>
      </c>
      <c r="U51" s="11">
        <v>205000</v>
      </c>
      <c r="V51" s="11">
        <v>56700</v>
      </c>
      <c r="W51" s="11">
        <v>1081700</v>
      </c>
      <c r="Y51" s="21" t="s">
        <v>618</v>
      </c>
      <c r="Z51" s="11">
        <v>2126000</v>
      </c>
      <c r="AA51" s="11">
        <v>1575400</v>
      </c>
      <c r="AB51" s="11">
        <v>493500</v>
      </c>
      <c r="AC51" s="11">
        <v>57100</v>
      </c>
      <c r="AE51" s="37" t="s">
        <v>608</v>
      </c>
      <c r="AF51" s="40">
        <v>3655.6904999999997</v>
      </c>
      <c r="AG51" s="40">
        <v>2110.4034999999999</v>
      </c>
      <c r="AH51" s="148">
        <v>0.57729271665640192</v>
      </c>
      <c r="AI51" s="40">
        <v>1946.94</v>
      </c>
      <c r="AJ51" s="40">
        <v>163.46350000000001</v>
      </c>
      <c r="AK51" s="146">
        <v>7.7456040989317923E-2</v>
      </c>
      <c r="AM51" s="40">
        <v>127327.30899999999</v>
      </c>
      <c r="AN51" s="40">
        <v>73001.608999999997</v>
      </c>
      <c r="AO51" s="41">
        <v>0.57333819094535332</v>
      </c>
      <c r="AP51" s="40">
        <v>67968.53</v>
      </c>
      <c r="AQ51" s="40">
        <v>5033.0789999999997</v>
      </c>
      <c r="AR51" s="146">
        <v>6.8944768052989075E-2</v>
      </c>
      <c r="AS51" s="41"/>
      <c r="AT51" s="18" t="s">
        <v>68</v>
      </c>
      <c r="AU51" s="255"/>
      <c r="AV51" s="48"/>
      <c r="AW51" s="48"/>
    </row>
    <row r="52" spans="1:49">
      <c r="A52" s="21" t="s">
        <v>27</v>
      </c>
      <c r="B52" s="23">
        <v>1</v>
      </c>
      <c r="C52" s="23">
        <v>0.70619062695226897</v>
      </c>
      <c r="D52" s="23">
        <v>0.29380946548561859</v>
      </c>
      <c r="G52" s="21" t="s">
        <v>27</v>
      </c>
      <c r="H52" s="23">
        <v>1</v>
      </c>
      <c r="I52" s="23">
        <v>0.70190156599552578</v>
      </c>
      <c r="J52" s="23">
        <v>0.53665507550875802</v>
      </c>
      <c r="K52" s="23">
        <v>3.9940619590190969E-2</v>
      </c>
      <c r="L52" s="23">
        <v>0.12529766718043103</v>
      </c>
      <c r="M52" s="23">
        <v>0</v>
      </c>
      <c r="N52" s="23">
        <v>0.29809843400447428</v>
      </c>
      <c r="P52" s="21" t="s">
        <v>27</v>
      </c>
      <c r="Q52" s="23">
        <v>1</v>
      </c>
      <c r="R52" s="23">
        <v>0.5423008817448105</v>
      </c>
      <c r="S52" s="23">
        <v>1.7729207358184083E-2</v>
      </c>
      <c r="T52" s="23">
        <v>2.8847061566909103E-2</v>
      </c>
      <c r="U52" s="23">
        <v>6.2724028569241988E-2</v>
      </c>
      <c r="V52" s="23">
        <v>1.7363540113332576E-2</v>
      </c>
      <c r="W52" s="23">
        <v>0.33103528064752175</v>
      </c>
      <c r="Y52" s="21" t="s">
        <v>27</v>
      </c>
      <c r="Z52" s="23">
        <v>1</v>
      </c>
      <c r="AA52" s="23">
        <v>0.74101822899236447</v>
      </c>
      <c r="AB52" s="23">
        <v>0.23213913441734693</v>
      </c>
      <c r="AC52" s="23">
        <v>2.6842523700247034E-2</v>
      </c>
      <c r="AE52" s="37" t="s">
        <v>609</v>
      </c>
      <c r="AF52" s="40">
        <v>3632.8211000000001</v>
      </c>
      <c r="AG52" s="40">
        <v>2147.9070999999999</v>
      </c>
      <c r="AH52" s="148">
        <v>0.59125044720754338</v>
      </c>
      <c r="AI52" s="40">
        <v>1973.4290000000001</v>
      </c>
      <c r="AJ52" s="40">
        <v>174.47810000000001</v>
      </c>
      <c r="AK52" s="146">
        <v>8.1231678967865983E-2</v>
      </c>
      <c r="AM52" s="40">
        <v>126205.06499999999</v>
      </c>
      <c r="AN52" s="40">
        <v>72662.14499999999</v>
      </c>
      <c r="AO52" s="41">
        <v>0.57574666278251196</v>
      </c>
      <c r="AP52" s="40">
        <v>67137.73</v>
      </c>
      <c r="AQ52" s="40">
        <v>5524.415</v>
      </c>
      <c r="AR52" s="146">
        <v>7.6028790507079044E-2</v>
      </c>
      <c r="AS52" s="41"/>
      <c r="AT52" s="18" t="s">
        <v>559</v>
      </c>
      <c r="AU52" s="255"/>
      <c r="AV52" s="48"/>
      <c r="AW52" s="48"/>
    </row>
    <row r="53" spans="1:49">
      <c r="AE53" s="37" t="s">
        <v>610</v>
      </c>
      <c r="AF53" s="40">
        <v>3573.4</v>
      </c>
      <c r="AG53" s="40">
        <v>2100.5</v>
      </c>
      <c r="AH53" s="148">
        <v>0.58781552582974195</v>
      </c>
      <c r="AI53" s="40">
        <v>1917.8</v>
      </c>
      <c r="AJ53" s="40">
        <v>182.7</v>
      </c>
      <c r="AK53" s="146">
        <v>8.69792906450845E-2</v>
      </c>
      <c r="AM53" s="40">
        <v>124316</v>
      </c>
      <c r="AN53" s="40">
        <v>72090</v>
      </c>
      <c r="AO53" s="41">
        <v>0.57989386721901393</v>
      </c>
      <c r="AP53" s="40">
        <v>66269</v>
      </c>
      <c r="AQ53" s="40">
        <v>5820</v>
      </c>
      <c r="AR53" s="146">
        <v>8.0736840743657251E-2</v>
      </c>
      <c r="AS53" s="41"/>
    </row>
    <row r="54" spans="1:49">
      <c r="A54" s="21" t="s">
        <v>620</v>
      </c>
      <c r="B54" s="11">
        <v>3165100</v>
      </c>
      <c r="C54" s="11">
        <v>2216500</v>
      </c>
      <c r="D54" s="11">
        <v>948500</v>
      </c>
      <c r="E54" s="22">
        <v>2.6280853571524663</v>
      </c>
      <c r="G54" s="21" t="s">
        <v>619</v>
      </c>
      <c r="H54" s="11">
        <v>3245400</v>
      </c>
      <c r="I54" s="11">
        <v>2291900</v>
      </c>
      <c r="J54" s="11">
        <v>1777300</v>
      </c>
      <c r="K54" s="11">
        <v>118100</v>
      </c>
      <c r="L54" s="11">
        <v>396600</v>
      </c>
      <c r="M54" s="11">
        <v>0</v>
      </c>
      <c r="N54" s="11">
        <v>953500</v>
      </c>
      <c r="P54" s="21" t="s">
        <v>619</v>
      </c>
      <c r="Q54" s="11">
        <v>3288100</v>
      </c>
      <c r="R54" s="11">
        <v>1820200</v>
      </c>
      <c r="S54" s="11">
        <v>78300</v>
      </c>
      <c r="T54" s="11">
        <v>87100</v>
      </c>
      <c r="U54" s="11">
        <v>198000</v>
      </c>
      <c r="V54" s="11">
        <v>63600</v>
      </c>
      <c r="W54" s="11">
        <v>1040800</v>
      </c>
      <c r="Y54" s="21" t="s">
        <v>619</v>
      </c>
      <c r="Z54" s="11">
        <v>1988500</v>
      </c>
      <c r="AA54" s="11">
        <v>1501100</v>
      </c>
      <c r="AB54" s="11">
        <v>428500</v>
      </c>
      <c r="AC54" s="11">
        <v>58900</v>
      </c>
      <c r="AE54" s="37" t="s">
        <v>611</v>
      </c>
      <c r="AF54" s="40">
        <v>3530.2</v>
      </c>
      <c r="AG54" s="40">
        <v>2092.3000000000002</v>
      </c>
      <c r="AH54" s="148">
        <v>0.59268596680074792</v>
      </c>
      <c r="AI54" s="40">
        <v>1888</v>
      </c>
      <c r="AJ54" s="40">
        <v>204.3</v>
      </c>
      <c r="AK54" s="146">
        <v>9.7643741337284332E-2</v>
      </c>
      <c r="AM54" s="40">
        <v>122675</v>
      </c>
      <c r="AN54" s="40">
        <v>71727</v>
      </c>
      <c r="AO54" s="41">
        <v>0.58469125738740579</v>
      </c>
      <c r="AP54" s="40">
        <v>65722</v>
      </c>
      <c r="AQ54" s="40">
        <v>6005</v>
      </c>
      <c r="AR54" s="146">
        <v>8.3720216933651212E-2</v>
      </c>
      <c r="AS54" s="41"/>
    </row>
    <row r="55" spans="1:49">
      <c r="A55" s="53" t="s">
        <v>27</v>
      </c>
      <c r="B55" s="52">
        <v>1</v>
      </c>
      <c r="C55" s="52">
        <v>0.70031225732127822</v>
      </c>
      <c r="D55" s="52">
        <v>0.29968774267872161</v>
      </c>
      <c r="E55" s="90"/>
      <c r="G55" s="21" t="s">
        <v>27</v>
      </c>
      <c r="H55" s="23">
        <v>1</v>
      </c>
      <c r="I55" s="23">
        <f>J55+K55+L55+M55</f>
        <v>0.70619059613963975</v>
      </c>
      <c r="J55" s="23">
        <v>0.54762007103851651</v>
      </c>
      <c r="K55" s="23">
        <v>3.6374693895787069E-2</v>
      </c>
      <c r="L55" s="23">
        <v>0.12219583120533613</v>
      </c>
      <c r="M55" s="23">
        <v>0</v>
      </c>
      <c r="N55" s="23">
        <v>0.29380946548561859</v>
      </c>
      <c r="P55" s="21" t="s">
        <v>27</v>
      </c>
      <c r="Q55" s="23">
        <v>1</v>
      </c>
      <c r="R55" s="23">
        <v>0.55359055964588788</v>
      </c>
      <c r="S55" s="23">
        <v>2.3818734459133264E-2</v>
      </c>
      <c r="T55" s="23">
        <v>2.647975320665483E-2</v>
      </c>
      <c r="U55" s="23">
        <v>6.0229686725475247E-2</v>
      </c>
      <c r="V55" s="23">
        <v>1.9336996264166382E-2</v>
      </c>
      <c r="W55" s="23">
        <v>0.31654426969868238</v>
      </c>
      <c r="Y55" s="21" t="s">
        <v>27</v>
      </c>
      <c r="Z55" s="23">
        <v>1</v>
      </c>
      <c r="AA55" s="23">
        <v>0.75489595345360128</v>
      </c>
      <c r="AB55" s="23">
        <v>0.21550570596652951</v>
      </c>
      <c r="AC55" s="23">
        <v>2.9598340579869209E-2</v>
      </c>
      <c r="AE55" s="37" t="s">
        <v>612</v>
      </c>
      <c r="AF55" s="40">
        <v>3525.2</v>
      </c>
      <c r="AG55" s="40">
        <v>2080.8000000000002</v>
      </c>
      <c r="AH55" s="148">
        <v>0.59026438216271426</v>
      </c>
      <c r="AI55" s="40">
        <v>1898.5</v>
      </c>
      <c r="AJ55" s="40">
        <v>182.3</v>
      </c>
      <c r="AK55" s="146">
        <v>8.7610534409842372E-2</v>
      </c>
      <c r="AM55" s="40">
        <v>121833</v>
      </c>
      <c r="AN55" s="40">
        <v>71826</v>
      </c>
      <c r="AO55" s="41">
        <v>0.58954470463667474</v>
      </c>
      <c r="AP55" s="40">
        <v>66094</v>
      </c>
      <c r="AQ55" s="40">
        <v>5732</v>
      </c>
      <c r="AR55" s="146">
        <v>7.9803970706986332E-2</v>
      </c>
      <c r="AS55" s="41"/>
    </row>
    <row r="56" spans="1:49">
      <c r="A56" s="21"/>
      <c r="B56" s="23"/>
      <c r="C56" s="23"/>
      <c r="D56" s="23"/>
      <c r="E56" s="22"/>
      <c r="AE56" s="37" t="s">
        <v>613</v>
      </c>
      <c r="AF56" s="40">
        <v>3519.5</v>
      </c>
      <c r="AG56" s="40">
        <v>2107.1</v>
      </c>
      <c r="AH56" s="148">
        <v>0.59869299616422789</v>
      </c>
      <c r="AI56" s="40">
        <v>1982.6</v>
      </c>
      <c r="AJ56" s="40">
        <v>124.5</v>
      </c>
      <c r="AK56" s="146">
        <v>5.9085947510796835E-2</v>
      </c>
      <c r="AM56" s="40">
        <v>120813.7</v>
      </c>
      <c r="AN56" s="40">
        <v>71643.100000000006</v>
      </c>
      <c r="AO56" s="41">
        <v>0.59300476684349535</v>
      </c>
      <c r="AP56" s="40">
        <v>67238.100000000006</v>
      </c>
      <c r="AQ56" s="40">
        <v>4405</v>
      </c>
      <c r="AR56" s="146">
        <v>6.1485334945026109E-2</v>
      </c>
      <c r="AS56" s="41"/>
    </row>
    <row r="57" spans="1:49">
      <c r="A57" s="24" t="s">
        <v>28</v>
      </c>
      <c r="G57" s="21" t="s">
        <v>620</v>
      </c>
      <c r="H57" s="11">
        <v>3165100</v>
      </c>
      <c r="I57" s="11">
        <v>2216500</v>
      </c>
      <c r="J57" s="11">
        <v>1732600</v>
      </c>
      <c r="K57" s="11">
        <v>124000</v>
      </c>
      <c r="L57" s="11">
        <v>358900</v>
      </c>
      <c r="M57" s="11">
        <v>0</v>
      </c>
      <c r="N57" s="11">
        <v>948500</v>
      </c>
      <c r="P57" s="21" t="s">
        <v>620</v>
      </c>
      <c r="Q57" s="11">
        <v>3172600</v>
      </c>
      <c r="R57" s="11">
        <v>1768900</v>
      </c>
      <c r="S57" s="11">
        <v>71300</v>
      </c>
      <c r="T57" s="11">
        <v>87000</v>
      </c>
      <c r="U57" s="11">
        <v>200800</v>
      </c>
      <c r="V57" s="11">
        <v>61500</v>
      </c>
      <c r="W57" s="11">
        <v>983000</v>
      </c>
      <c r="Y57" s="21" t="s">
        <v>620</v>
      </c>
      <c r="Z57" s="11">
        <v>2012400</v>
      </c>
      <c r="AA57" s="11">
        <v>1499500</v>
      </c>
      <c r="AB57" s="11">
        <v>456700</v>
      </c>
      <c r="AC57" s="11">
        <v>56100</v>
      </c>
      <c r="AE57" s="37" t="s">
        <v>614</v>
      </c>
      <c r="AF57" s="40">
        <v>3526</v>
      </c>
      <c r="AG57" s="40">
        <v>2101</v>
      </c>
      <c r="AH57" s="148">
        <v>0.59585933068633012</v>
      </c>
      <c r="AI57" s="40">
        <v>2003</v>
      </c>
      <c r="AJ57" s="40">
        <v>98</v>
      </c>
      <c r="AK57" s="146">
        <v>4.6644455021418375E-2</v>
      </c>
      <c r="AM57" s="40">
        <v>119800</v>
      </c>
      <c r="AN57" s="40">
        <v>71194</v>
      </c>
      <c r="AO57" s="41">
        <v>0.59427378964941568</v>
      </c>
      <c r="AP57" s="40">
        <v>67989</v>
      </c>
      <c r="AQ57" s="40">
        <v>3205</v>
      </c>
      <c r="AR57" s="146">
        <v>4.5017838581902968E-2</v>
      </c>
      <c r="AS57" s="41"/>
    </row>
    <row r="58" spans="1:49">
      <c r="A58" s="24" t="s">
        <v>29</v>
      </c>
      <c r="G58" s="213" t="s">
        <v>27</v>
      </c>
      <c r="H58" s="23">
        <v>1</v>
      </c>
      <c r="I58" s="23">
        <v>0.70029382957884423</v>
      </c>
      <c r="J58" s="23">
        <v>0.54740766484471259</v>
      </c>
      <c r="K58" s="23">
        <v>3.9177277179236046E-2</v>
      </c>
      <c r="L58" s="23">
        <v>0.11339294177119207</v>
      </c>
      <c r="M58" s="23">
        <v>0</v>
      </c>
      <c r="N58" s="23">
        <v>0.2996745758427854</v>
      </c>
      <c r="P58" s="213" t="s">
        <v>27</v>
      </c>
      <c r="Q58" s="23">
        <v>1</v>
      </c>
      <c r="R58" s="23">
        <v>0.55755531740528275</v>
      </c>
      <c r="S58" s="23">
        <v>2.2473680892643257E-2</v>
      </c>
      <c r="T58" s="23">
        <v>2.7422303473491772E-2</v>
      </c>
      <c r="U58" s="23">
        <v>6.3291937212381008E-2</v>
      </c>
      <c r="V58" s="23">
        <v>1.9384731765744186E-2</v>
      </c>
      <c r="W58" s="23">
        <v>0.30984050936140706</v>
      </c>
      <c r="Y58" s="213" t="s">
        <v>27</v>
      </c>
      <c r="Z58" s="23">
        <v>1</v>
      </c>
      <c r="AA58" s="23">
        <v>0.7451624841557124</v>
      </c>
      <c r="AB58" s="23">
        <v>0.22695679980361347</v>
      </c>
      <c r="AC58" s="23">
        <v>2.7880716040674179E-2</v>
      </c>
      <c r="AE58" s="37" t="s">
        <v>615</v>
      </c>
      <c r="AF58" s="40">
        <v>3517.5</v>
      </c>
      <c r="AG58" s="40">
        <v>2063.8000000000002</v>
      </c>
      <c r="AH58" s="148">
        <v>0.58672352523098792</v>
      </c>
      <c r="AI58" s="40">
        <v>1964.9</v>
      </c>
      <c r="AJ58" s="40">
        <v>98.900000000000091</v>
      </c>
      <c r="AK58" s="146">
        <v>4.7921310204477208E-2</v>
      </c>
      <c r="AM58" s="40">
        <v>118600</v>
      </c>
      <c r="AN58" s="40">
        <v>70100</v>
      </c>
      <c r="AO58" s="41">
        <v>0.59106239460370991</v>
      </c>
      <c r="AP58" s="40">
        <v>67000</v>
      </c>
      <c r="AQ58" s="40">
        <v>3100</v>
      </c>
      <c r="AR58" s="146">
        <v>4.4222539229671898E-2</v>
      </c>
    </row>
    <row r="59" spans="1:49">
      <c r="A59" s="24" t="s">
        <v>30</v>
      </c>
      <c r="G59" s="31"/>
      <c r="H59" s="2"/>
      <c r="I59" s="2"/>
      <c r="J59" s="2"/>
      <c r="M59" s="2"/>
      <c r="N59" s="2"/>
      <c r="AE59" s="37" t="s">
        <v>616</v>
      </c>
      <c r="AF59" s="40">
        <v>3501.2856900000002</v>
      </c>
      <c r="AG59" s="40">
        <v>2038.45119</v>
      </c>
      <c r="AH59" s="148">
        <v>0.58220076008707533</v>
      </c>
      <c r="AI59" s="40">
        <v>1934.8869999999999</v>
      </c>
      <c r="AJ59" s="40">
        <v>103.56419</v>
      </c>
      <c r="AK59" s="146">
        <v>5.0805332258164103E-2</v>
      </c>
      <c r="AM59" s="40">
        <v>117173.90050000002</v>
      </c>
      <c r="AN59" s="40">
        <v>68998.920500000007</v>
      </c>
      <c r="AO59" s="41">
        <v>0.5888591248185</v>
      </c>
      <c r="AP59" s="40">
        <v>65640.25</v>
      </c>
      <c r="AQ59" s="40">
        <v>3358.6705000000002</v>
      </c>
      <c r="AR59" s="146">
        <v>4.8677145608386728E-2</v>
      </c>
    </row>
    <row r="60" spans="1:49">
      <c r="A60" s="24" t="s">
        <v>31</v>
      </c>
      <c r="G60" s="175" t="s">
        <v>47</v>
      </c>
      <c r="P60" s="30" t="s">
        <v>57</v>
      </c>
      <c r="Y60" s="98" t="s">
        <v>47</v>
      </c>
      <c r="AE60" s="37" t="s">
        <v>617</v>
      </c>
      <c r="AF60" s="40">
        <v>3489</v>
      </c>
      <c r="AG60" s="40">
        <v>2038</v>
      </c>
      <c r="AH60" s="148">
        <v>0.5841857182970982</v>
      </c>
      <c r="AI60" s="40">
        <v>1927</v>
      </c>
      <c r="AJ60" s="40">
        <v>111</v>
      </c>
      <c r="AK60" s="146">
        <v>5.4496058003097418E-2</v>
      </c>
      <c r="AM60" s="40">
        <v>115901</v>
      </c>
      <c r="AN60" s="40">
        <v>68399</v>
      </c>
      <c r="AO60" s="41">
        <v>0.59015067589541359</v>
      </c>
      <c r="AP60" s="40">
        <v>64763</v>
      </c>
      <c r="AQ60" s="40">
        <v>3637</v>
      </c>
      <c r="AR60" s="146">
        <v>5.316856581770818E-2</v>
      </c>
      <c r="AS60" s="121"/>
    </row>
    <row r="61" spans="1:49">
      <c r="A61" s="24" t="s">
        <v>32</v>
      </c>
      <c r="G61" s="175"/>
      <c r="P61" s="21" t="s">
        <v>557</v>
      </c>
      <c r="Q61" s="118">
        <v>3750310.27</v>
      </c>
      <c r="R61" s="113">
        <v>1849393</v>
      </c>
      <c r="S61" s="113">
        <v>52724.19</v>
      </c>
      <c r="T61" s="113">
        <v>312872.5</v>
      </c>
      <c r="U61" s="113">
        <v>355066.9</v>
      </c>
      <c r="V61" s="113">
        <v>69091.679999999993</v>
      </c>
      <c r="W61" s="113">
        <v>1111162</v>
      </c>
      <c r="Y61" s="21" t="s">
        <v>557</v>
      </c>
      <c r="Z61" s="118">
        <f>SUM(AA61:AC61)</f>
        <v>73773364</v>
      </c>
      <c r="AA61" s="113">
        <f>'[1]Table 4'!$B$8*1000</f>
        <v>50901130</v>
      </c>
      <c r="AB61" s="113">
        <f>'[1]Table 4'!$B$9*1000</f>
        <v>19811150</v>
      </c>
      <c r="AC61" s="113">
        <f>'[1]Table 4'!$B$10*1000</f>
        <v>3061084</v>
      </c>
      <c r="AE61" s="37" t="s">
        <v>618</v>
      </c>
      <c r="AF61" s="40">
        <v>3482</v>
      </c>
      <c r="AG61" s="40">
        <v>2081</v>
      </c>
      <c r="AH61" s="148">
        <v>0.59766227411693351</v>
      </c>
      <c r="AI61" s="40">
        <v>1974</v>
      </c>
      <c r="AJ61" s="40">
        <v>108</v>
      </c>
      <c r="AK61" s="146">
        <v>5.1678436454138624E-2</v>
      </c>
      <c r="AM61" s="40">
        <v>114790</v>
      </c>
      <c r="AN61" s="40">
        <v>68221</v>
      </c>
      <c r="AO61" s="41">
        <v>0.5943123319868594</v>
      </c>
      <c r="AP61" s="40">
        <v>64339</v>
      </c>
      <c r="AQ61" s="40">
        <v>3882</v>
      </c>
      <c r="AR61" s="146">
        <v>5.6907439882466625E-2</v>
      </c>
      <c r="AS61" s="41"/>
    </row>
    <row r="62" spans="1:49">
      <c r="A62" s="24"/>
      <c r="G62" s="21" t="s">
        <v>557</v>
      </c>
      <c r="H62" s="11">
        <f>'[1]All US Tables'!$C$13*1000</f>
        <v>127099200</v>
      </c>
      <c r="I62" s="11">
        <f>SUM(J62:M62)</f>
        <v>82957534.439999998</v>
      </c>
      <c r="J62" s="113">
        <f>'[1]Table 2'!$B$8*1000</f>
        <v>61022460</v>
      </c>
      <c r="K62" s="113">
        <f>'[1]Table 2'!$B$9*1000</f>
        <v>6410488</v>
      </c>
      <c r="L62" s="113">
        <f>'[1]Table 2'!$B$10*1000</f>
        <v>15480650</v>
      </c>
      <c r="M62" s="113">
        <f>'[1]Table 2'!$B$11*1000</f>
        <v>43936.439999999995</v>
      </c>
      <c r="N62" s="113">
        <f>'[1]Table 2'!$B$12*1000</f>
        <v>43947390</v>
      </c>
      <c r="P62" s="21" t="s">
        <v>27</v>
      </c>
      <c r="Q62" s="115">
        <f>SUM(R62:W62)</f>
        <v>1</v>
      </c>
      <c r="R62" s="112">
        <f>R61/$Q$61</f>
        <v>0.49313066569289477</v>
      </c>
      <c r="S62" s="112">
        <f t="shared" ref="S62:W62" si="9">S61/$Q$61</f>
        <v>1.4058620808459136E-2</v>
      </c>
      <c r="T62" s="112">
        <f t="shared" si="9"/>
        <v>8.3425764130176883E-2</v>
      </c>
      <c r="U62" s="112">
        <f t="shared" si="9"/>
        <v>9.4676673244957946E-2</v>
      </c>
      <c r="V62" s="112">
        <f t="shared" si="9"/>
        <v>1.8422923711855978E-2</v>
      </c>
      <c r="W62" s="112">
        <f t="shared" si="9"/>
        <v>0.29628535241165527</v>
      </c>
      <c r="Y62" s="21" t="s">
        <v>27</v>
      </c>
      <c r="Z62" s="115">
        <f>SUM(AA62:AC62)</f>
        <v>0.99999999999999989</v>
      </c>
      <c r="AA62" s="115">
        <f>AA61/$Z$61</f>
        <v>0.68996623225694298</v>
      </c>
      <c r="AB62" s="115">
        <f t="shared" ref="AB62:AC62" si="10">AB61/$Z$61</f>
        <v>0.26854068902158235</v>
      </c>
      <c r="AC62" s="115">
        <f t="shared" si="10"/>
        <v>4.1493078721474598E-2</v>
      </c>
      <c r="AE62" s="37" t="s">
        <v>619</v>
      </c>
      <c r="AF62" s="40">
        <v>3513</v>
      </c>
      <c r="AG62" s="40">
        <v>2088</v>
      </c>
      <c r="AH62" s="148">
        <v>0.5945094504582551</v>
      </c>
      <c r="AI62" s="40">
        <v>1970</v>
      </c>
      <c r="AJ62" s="40">
        <v>118</v>
      </c>
      <c r="AK62" s="146">
        <v>5.6500909526345761E-2</v>
      </c>
      <c r="AM62" s="40">
        <v>113468.83900000001</v>
      </c>
      <c r="AN62" s="40">
        <v>67829.888999999996</v>
      </c>
      <c r="AO62" s="41">
        <v>0.59778428683843321</v>
      </c>
      <c r="AP62" s="40">
        <v>63957.48</v>
      </c>
      <c r="AQ62" s="40">
        <v>3872.4090000000001</v>
      </c>
      <c r="AR62" s="146">
        <v>5.7090009390992819E-2</v>
      </c>
      <c r="AS62" s="41"/>
    </row>
    <row r="63" spans="1:49">
      <c r="A63" s="25" t="s">
        <v>33</v>
      </c>
      <c r="G63" s="21" t="s">
        <v>27</v>
      </c>
      <c r="H63" s="115">
        <f>SUM(J63:N63)</f>
        <v>0.99847146512330509</v>
      </c>
      <c r="I63" s="115">
        <f>I62/$H$62</f>
        <v>0.65269910778352658</v>
      </c>
      <c r="J63" s="115">
        <f t="shared" ref="J63:N63" si="11">J62/$H$62</f>
        <v>0.48011679066430002</v>
      </c>
      <c r="K63" s="115">
        <f t="shared" si="11"/>
        <v>5.0436887092916396E-2</v>
      </c>
      <c r="L63" s="115">
        <f t="shared" si="11"/>
        <v>0.12179974382214837</v>
      </c>
      <c r="M63" s="115">
        <f t="shared" si="11"/>
        <v>3.4568620416178855E-4</v>
      </c>
      <c r="N63" s="115">
        <f t="shared" si="11"/>
        <v>0.34577235733977868</v>
      </c>
      <c r="P63" s="20"/>
      <c r="Y63" s="20"/>
      <c r="Z63" s="2"/>
      <c r="AA63" s="2"/>
      <c r="AB63" s="2"/>
      <c r="AC63" s="2"/>
      <c r="AE63" s="37" t="s">
        <v>620</v>
      </c>
      <c r="AF63" s="40">
        <v>3444</v>
      </c>
      <c r="AG63" s="40">
        <v>2016</v>
      </c>
      <c r="AH63" s="148">
        <v>0.58533085034303889</v>
      </c>
      <c r="AI63" s="40">
        <v>1917</v>
      </c>
      <c r="AJ63" s="40">
        <v>99</v>
      </c>
      <c r="AK63" s="146">
        <v>4.9240512590091302E-2</v>
      </c>
      <c r="AM63" s="40">
        <v>111146.5765</v>
      </c>
      <c r="AN63" s="40">
        <v>67003.321499999991</v>
      </c>
      <c r="AO63" s="41">
        <v>0.60283747471070326</v>
      </c>
      <c r="AP63" s="40">
        <v>63720.11</v>
      </c>
      <c r="AQ63" s="40">
        <v>3283.2115000000003</v>
      </c>
      <c r="AR63" s="146">
        <v>4.9000727523634789E-2</v>
      </c>
      <c r="AS63" s="41"/>
    </row>
    <row r="64" spans="1:49">
      <c r="A64" s="25" t="s">
        <v>558</v>
      </c>
      <c r="G64" s="20"/>
      <c r="H64" s="303"/>
      <c r="P64" s="21" t="s">
        <v>495</v>
      </c>
      <c r="Q64" s="118">
        <f>SUM(R64:W64)</f>
        <v>3751663</v>
      </c>
      <c r="R64" s="113">
        <v>1828896</v>
      </c>
      <c r="S64" s="113">
        <v>50583</v>
      </c>
      <c r="T64" s="113">
        <v>351145</v>
      </c>
      <c r="U64" s="113">
        <v>327383</v>
      </c>
      <c r="V64" s="113">
        <v>88557</v>
      </c>
      <c r="W64" s="113">
        <v>1105099</v>
      </c>
      <c r="Y64" s="21" t="s">
        <v>495</v>
      </c>
      <c r="Z64" s="118">
        <f>SUM(AA64:AC64)</f>
        <v>73770388</v>
      </c>
      <c r="AA64" s="113">
        <f>50756.16*1000</f>
        <v>50756160</v>
      </c>
      <c r="AB64" s="113">
        <f>20102.99*1000</f>
        <v>20102990</v>
      </c>
      <c r="AC64" s="113">
        <f>2911.238*1000</f>
        <v>2911238</v>
      </c>
      <c r="AE64" s="2"/>
      <c r="AF64" s="2"/>
      <c r="AH64" s="116"/>
      <c r="AI64" s="2"/>
      <c r="AJ64" s="2"/>
      <c r="AK64" s="149"/>
      <c r="AR64" s="178"/>
      <c r="AS64" s="41"/>
    </row>
    <row r="65" spans="1:45">
      <c r="A65" s="24"/>
      <c r="G65" s="21" t="s">
        <v>495</v>
      </c>
      <c r="H65" s="11">
        <v>126293400</v>
      </c>
      <c r="I65" s="11">
        <f>SUM(J65:M65)</f>
        <v>82505594</v>
      </c>
      <c r="J65" s="113">
        <v>60527570</v>
      </c>
      <c r="K65" s="113">
        <v>6351244</v>
      </c>
      <c r="L65" s="113">
        <v>15574580</v>
      </c>
      <c r="M65" s="113">
        <v>52200</v>
      </c>
      <c r="N65" s="113">
        <v>43515640</v>
      </c>
      <c r="P65" s="21" t="s">
        <v>27</v>
      </c>
      <c r="Q65" s="115">
        <f>SUM(R65:W65)</f>
        <v>0.99999999999999978</v>
      </c>
      <c r="R65" s="112">
        <f t="shared" ref="R65:W65" si="12">R64/$Q$64</f>
        <v>0.48748941469423024</v>
      </c>
      <c r="S65" s="112">
        <f t="shared" si="12"/>
        <v>1.3482820818394402E-2</v>
      </c>
      <c r="T65" s="112">
        <f t="shared" si="12"/>
        <v>9.359715944635752E-2</v>
      </c>
      <c r="U65" s="112">
        <f t="shared" si="12"/>
        <v>8.7263434908732479E-2</v>
      </c>
      <c r="V65" s="112">
        <f t="shared" si="12"/>
        <v>2.3604732088143312E-2</v>
      </c>
      <c r="W65" s="112">
        <f t="shared" si="12"/>
        <v>0.29456243804414201</v>
      </c>
      <c r="Y65" s="21" t="s">
        <v>27</v>
      </c>
      <c r="Z65" s="115">
        <f>SUM(AA65:AC65)</f>
        <v>1</v>
      </c>
      <c r="AA65" s="115">
        <f>AA64/$Z$64</f>
        <v>0.68802891479979744</v>
      </c>
      <c r="AB65" s="115">
        <f t="shared" ref="AB65:AC65" si="13">AB64/$Z$64</f>
        <v>0.27250758122622321</v>
      </c>
      <c r="AC65" s="115">
        <f t="shared" si="13"/>
        <v>3.9463503973979366E-2</v>
      </c>
      <c r="AE65" s="100" t="s">
        <v>484</v>
      </c>
      <c r="AF65" s="157" t="s">
        <v>517</v>
      </c>
      <c r="AG65" s="36"/>
      <c r="AH65" s="148"/>
      <c r="AI65" s="36"/>
      <c r="AJ65" s="36"/>
      <c r="AK65" s="147"/>
      <c r="AM65" s="157" t="s">
        <v>518</v>
      </c>
      <c r="AR65" s="178"/>
      <c r="AS65" s="41"/>
    </row>
    <row r="66" spans="1:45">
      <c r="A66" s="25" t="s">
        <v>34</v>
      </c>
      <c r="G66" s="21" t="s">
        <v>27</v>
      </c>
      <c r="H66" s="115">
        <f>SUM(J66:N66)</f>
        <v>0.99784497052102483</v>
      </c>
      <c r="I66" s="115">
        <f t="shared" ref="I66:N66" si="14">I65/$H$65</f>
        <v>0.65328508061387214</v>
      </c>
      <c r="J66" s="115">
        <f t="shared" si="14"/>
        <v>0.47926154494217432</v>
      </c>
      <c r="K66" s="115">
        <f t="shared" si="14"/>
        <v>5.0289595497468594E-2</v>
      </c>
      <c r="L66" s="115">
        <f t="shared" si="14"/>
        <v>0.12332061691268111</v>
      </c>
      <c r="M66" s="115">
        <f t="shared" si="14"/>
        <v>4.133232615481094E-4</v>
      </c>
      <c r="N66" s="115">
        <f t="shared" si="14"/>
        <v>0.34455988990715269</v>
      </c>
      <c r="P66" s="20"/>
      <c r="Y66" s="20"/>
      <c r="Z66" s="2"/>
      <c r="AA66" s="2"/>
      <c r="AB66" s="2"/>
      <c r="AC66" s="2"/>
      <c r="AE66" s="37" t="s">
        <v>557</v>
      </c>
      <c r="AF66" s="157">
        <v>468</v>
      </c>
      <c r="AG66" s="36">
        <v>101</v>
      </c>
      <c r="AH66" s="148">
        <v>0.21587600000000001</v>
      </c>
      <c r="AI66" s="36">
        <v>93</v>
      </c>
      <c r="AJ66" s="36">
        <v>84</v>
      </c>
      <c r="AK66" s="147">
        <v>8.2840999999999998E-2</v>
      </c>
      <c r="AM66" s="113">
        <f>'[1]Table 5'!$G$31</f>
        <v>16761.958899999998</v>
      </c>
      <c r="AN66" s="111">
        <f>'[1]Table 5'!$G$32</f>
        <v>5678.4989000000005</v>
      </c>
      <c r="AO66" s="121">
        <f>AN66/AM66</f>
        <v>0.33877298792326721</v>
      </c>
      <c r="AP66" s="118">
        <f>'[1]Table 5'!$G$33</f>
        <v>4916.7060000000001</v>
      </c>
      <c r="AQ66" s="118">
        <f>'[1]Table 5'!$G$34</f>
        <v>761.79290000000003</v>
      </c>
      <c r="AR66" s="145">
        <f>AQ66/AN66</f>
        <v>0.13415392226280082</v>
      </c>
      <c r="AS66" s="41"/>
    </row>
    <row r="67" spans="1:45">
      <c r="A67" s="25" t="s">
        <v>559</v>
      </c>
      <c r="G67" s="20"/>
      <c r="H67" s="303"/>
      <c r="P67" s="21" t="s">
        <v>489</v>
      </c>
      <c r="Q67" s="118">
        <f>SUM(R67:W67)</f>
        <v>3753556.89</v>
      </c>
      <c r="R67" s="113">
        <v>1792515</v>
      </c>
      <c r="S67" s="113">
        <v>46780</v>
      </c>
      <c r="T67" s="113">
        <v>342210.4</v>
      </c>
      <c r="U67" s="113">
        <v>309595.2</v>
      </c>
      <c r="V67" s="113">
        <v>87861.29</v>
      </c>
      <c r="W67" s="113">
        <v>1174595</v>
      </c>
      <c r="Y67" s="21" t="s">
        <v>489</v>
      </c>
      <c r="Z67" s="118">
        <f>SUM(AA67:AC67)</f>
        <v>73693225</v>
      </c>
      <c r="AA67" s="113">
        <f>50824.79*1000</f>
        <v>50824790</v>
      </c>
      <c r="AB67" s="113">
        <f>19997.87*1000</f>
        <v>19997870</v>
      </c>
      <c r="AC67" s="113">
        <f>2870.565*1000</f>
        <v>2870565</v>
      </c>
      <c r="AE67" s="37" t="s">
        <v>495</v>
      </c>
      <c r="AF67" s="124">
        <f>452382.7/1000</f>
        <v>452.3827</v>
      </c>
      <c r="AG67" s="124">
        <f>108156.4/1000</f>
        <v>108.15639999999999</v>
      </c>
      <c r="AH67" s="148">
        <f>AG67/AF67</f>
        <v>0.23908164481090896</v>
      </c>
      <c r="AI67" s="124">
        <f>92391.02/1000</f>
        <v>92.391019999999997</v>
      </c>
      <c r="AJ67" s="124">
        <f>15765.38/1000</f>
        <v>15.765379999999999</v>
      </c>
      <c r="AK67" s="148">
        <f>AJ67/AG67</f>
        <v>0.14576465192998286</v>
      </c>
      <c r="AM67" s="113">
        <v>16715.689999999999</v>
      </c>
      <c r="AN67" s="123">
        <v>5607.625</v>
      </c>
      <c r="AO67" s="121">
        <f>AN67/AM67</f>
        <v>0.33547074634669588</v>
      </c>
      <c r="AP67" s="123">
        <v>4769.0020000000004</v>
      </c>
      <c r="AQ67" s="123">
        <v>838.62260000000003</v>
      </c>
      <c r="AR67" s="145">
        <f>AQ67/AN67</f>
        <v>0.14955040681215309</v>
      </c>
      <c r="AS67" s="41"/>
    </row>
    <row r="68" spans="1:45">
      <c r="G68" s="21" t="s">
        <v>489</v>
      </c>
      <c r="H68" s="11">
        <v>125397431</v>
      </c>
      <c r="I68" s="11">
        <f>SUM(J68:M68)</f>
        <v>81949701.150000006</v>
      </c>
      <c r="J68" s="113">
        <f>60130.87*1000</f>
        <v>60130870</v>
      </c>
      <c r="K68" s="113">
        <f>6212.08*1000</f>
        <v>6212080</v>
      </c>
      <c r="L68" s="113">
        <f>15560.67*1000</f>
        <v>15560670</v>
      </c>
      <c r="M68" s="113">
        <f>46.08115*1000</f>
        <v>46081.15</v>
      </c>
      <c r="N68" s="113">
        <f>43253.08*1000</f>
        <v>43253080</v>
      </c>
      <c r="P68" s="21" t="s">
        <v>27</v>
      </c>
      <c r="Q68" s="115">
        <f>SUM(R68:W68)</f>
        <v>1</v>
      </c>
      <c r="R68" s="112">
        <f t="shared" ref="R68:W68" si="15">R67/$Q$67</f>
        <v>0.47755104092747613</v>
      </c>
      <c r="S68" s="112">
        <f t="shared" si="15"/>
        <v>1.2462845607756326E-2</v>
      </c>
      <c r="T68" s="112">
        <f t="shared" si="15"/>
        <v>9.1169631906125176E-2</v>
      </c>
      <c r="U68" s="112">
        <f t="shared" si="15"/>
        <v>8.2480486928226626E-2</v>
      </c>
      <c r="V68" s="112">
        <f t="shared" si="15"/>
        <v>2.3407475249429346E-2</v>
      </c>
      <c r="W68" s="112">
        <f t="shared" si="15"/>
        <v>0.31292851938098637</v>
      </c>
      <c r="Y68" s="21" t="s">
        <v>27</v>
      </c>
      <c r="Z68" s="115">
        <f>SUM(AA68:AC68)</f>
        <v>0.99999999999999989</v>
      </c>
      <c r="AA68" s="115">
        <f>AA67/$Z$67</f>
        <v>0.68968063210695418</v>
      </c>
      <c r="AB68" s="115">
        <f t="shared" ref="AB68:AC68" si="16">AB67/$Z$67</f>
        <v>0.27136646550615745</v>
      </c>
      <c r="AC68" s="115">
        <f t="shared" si="16"/>
        <v>3.8952902386888345E-2</v>
      </c>
      <c r="AE68" s="37" t="s">
        <v>489</v>
      </c>
      <c r="AF68" s="36">
        <v>459</v>
      </c>
      <c r="AG68" s="36">
        <v>120</v>
      </c>
      <c r="AH68" s="148">
        <f>AG68/AF68</f>
        <v>0.26143790849673204</v>
      </c>
      <c r="AI68" s="36">
        <v>96</v>
      </c>
      <c r="AJ68" s="36">
        <v>24</v>
      </c>
      <c r="AK68" s="148">
        <f>AJ68/AG68</f>
        <v>0.2</v>
      </c>
      <c r="AM68" s="113">
        <v>16653</v>
      </c>
      <c r="AN68" s="123">
        <v>5448</v>
      </c>
      <c r="AO68" s="121">
        <f>AN68/AM68</f>
        <v>0.32714826157449106</v>
      </c>
      <c r="AP68" s="123">
        <v>4523</v>
      </c>
      <c r="AQ68" s="123">
        <v>925</v>
      </c>
      <c r="AR68" s="145">
        <f>AQ68/AN68</f>
        <v>0.16978707782672539</v>
      </c>
      <c r="AS68" s="41"/>
    </row>
    <row r="69" spans="1:45">
      <c r="G69" s="21" t="s">
        <v>27</v>
      </c>
      <c r="H69" s="115">
        <f>SUM(J69:N69)</f>
        <v>0.99844773654095031</v>
      </c>
      <c r="I69" s="115">
        <f t="shared" ref="I69:N69" si="17">I68/$H$68</f>
        <v>0.65351977705189201</v>
      </c>
      <c r="J69" s="115">
        <f t="shared" si="17"/>
        <v>0.47952234364354723</v>
      </c>
      <c r="K69" s="115">
        <f t="shared" si="17"/>
        <v>4.9539132902969921E-2</v>
      </c>
      <c r="L69" s="115">
        <f t="shared" si="17"/>
        <v>0.12409081969151346</v>
      </c>
      <c r="M69" s="116">
        <f t="shared" si="17"/>
        <v>3.6748081386133022E-4</v>
      </c>
      <c r="N69" s="115">
        <f t="shared" si="17"/>
        <v>0.34492795948905841</v>
      </c>
      <c r="P69" s="20"/>
      <c r="Y69" s="20"/>
      <c r="AE69" s="37" t="s">
        <v>607</v>
      </c>
      <c r="AF69" s="40">
        <v>497.49369000000002</v>
      </c>
      <c r="AG69" s="40">
        <v>121.23239</v>
      </c>
      <c r="AH69" s="148">
        <v>0.24368628675471238</v>
      </c>
      <c r="AI69" s="40">
        <v>105.1985</v>
      </c>
      <c r="AJ69" s="40">
        <v>16.03389</v>
      </c>
      <c r="AK69" s="146">
        <v>0.13225747673538399</v>
      </c>
      <c r="AM69" s="40">
        <v>16641.2</v>
      </c>
      <c r="AN69" s="40">
        <v>5422.12</v>
      </c>
      <c r="AO69" s="41">
        <v>0.32582506069273848</v>
      </c>
      <c r="AP69" s="40">
        <v>4404.1729999999998</v>
      </c>
      <c r="AQ69" s="40">
        <v>1017.947</v>
      </c>
      <c r="AR69" s="146">
        <v>0.18773966640354695</v>
      </c>
      <c r="AS69" s="41"/>
    </row>
    <row r="70" spans="1:45">
      <c r="G70" s="20"/>
      <c r="H70" s="303"/>
      <c r="P70" s="21" t="s">
        <v>607</v>
      </c>
      <c r="Q70" s="11">
        <v>3727300</v>
      </c>
      <c r="R70" s="11">
        <v>1760500</v>
      </c>
      <c r="S70" s="11">
        <v>47200</v>
      </c>
      <c r="T70" s="11">
        <v>346900</v>
      </c>
      <c r="U70" s="11">
        <v>320100</v>
      </c>
      <c r="V70" s="11">
        <v>79200</v>
      </c>
      <c r="W70" s="11">
        <v>1173400</v>
      </c>
      <c r="Y70" s="21" t="s">
        <v>607</v>
      </c>
      <c r="Z70" s="11">
        <v>73717700</v>
      </c>
      <c r="AA70" s="11">
        <v>51096400</v>
      </c>
      <c r="AB70" s="11">
        <v>19796700</v>
      </c>
      <c r="AC70" s="11">
        <v>2824600</v>
      </c>
      <c r="AE70" s="37" t="s">
        <v>608</v>
      </c>
      <c r="AF70" s="40">
        <v>519.22357</v>
      </c>
      <c r="AG70" s="40">
        <v>132.52716999999998</v>
      </c>
      <c r="AH70" s="148">
        <v>0.25524105155703924</v>
      </c>
      <c r="AI70" s="40">
        <v>105.8817</v>
      </c>
      <c r="AJ70" s="40">
        <v>26.64547</v>
      </c>
      <c r="AK70" s="146">
        <v>0.2010566587968339</v>
      </c>
      <c r="AM70" s="40">
        <v>16752.824000000001</v>
      </c>
      <c r="AN70" s="40">
        <v>5432.0840000000007</v>
      </c>
      <c r="AO70" s="41">
        <v>0.32424885499901396</v>
      </c>
      <c r="AP70" s="40">
        <v>4242.5330000000004</v>
      </c>
      <c r="AQ70" s="40">
        <v>1189.5509999999999</v>
      </c>
      <c r="AR70" s="146">
        <v>0.21898612024409045</v>
      </c>
      <c r="AS70" s="41"/>
    </row>
    <row r="71" spans="1:45">
      <c r="G71" s="21" t="s">
        <v>607</v>
      </c>
      <c r="H71" s="11">
        <v>123890100</v>
      </c>
      <c r="I71" s="11">
        <v>81453600</v>
      </c>
      <c r="J71" s="11">
        <v>59839500</v>
      </c>
      <c r="K71" s="11">
        <v>6223400</v>
      </c>
      <c r="L71" s="11">
        <v>15353500</v>
      </c>
      <c r="M71" s="11">
        <v>37100</v>
      </c>
      <c r="N71" s="11">
        <v>42315700</v>
      </c>
      <c r="P71" s="21" t="s">
        <v>27</v>
      </c>
      <c r="Q71" s="23">
        <v>1</v>
      </c>
      <c r="R71" s="23">
        <v>0.47231925245204448</v>
      </c>
      <c r="S71" s="23">
        <v>1.267425640721195E-2</v>
      </c>
      <c r="T71" s="23">
        <v>9.3070304688854785E-2</v>
      </c>
      <c r="U71" s="23">
        <v>8.5873832631065877E-2</v>
      </c>
      <c r="V71" s="23">
        <v>2.1254932449757367E-2</v>
      </c>
      <c r="W71" s="23">
        <v>0.31480742137106554</v>
      </c>
      <c r="Y71" s="21" t="s">
        <v>27</v>
      </c>
      <c r="Z71" s="23">
        <v>1</v>
      </c>
      <c r="AA71" s="23">
        <v>0.6931365826230218</v>
      </c>
      <c r="AB71" s="23">
        <v>0.26854735602667751</v>
      </c>
      <c r="AC71" s="23">
        <v>3.8316102046117857E-2</v>
      </c>
      <c r="AE71" s="37" t="s">
        <v>609</v>
      </c>
      <c r="AF71" s="40">
        <v>495.58496000000002</v>
      </c>
      <c r="AG71" s="40">
        <v>149.83455999999998</v>
      </c>
      <c r="AH71" s="148">
        <v>0.30233879575360795</v>
      </c>
      <c r="AI71" s="40">
        <v>106.47739999999999</v>
      </c>
      <c r="AJ71" s="40">
        <v>43.35716</v>
      </c>
      <c r="AK71" s="146">
        <v>0.28936688571715369</v>
      </c>
      <c r="AM71" s="40">
        <v>16955.957999999999</v>
      </c>
      <c r="AN71" s="40">
        <v>5445.558</v>
      </c>
      <c r="AO71" s="41">
        <v>0.321158969608205</v>
      </c>
      <c r="AP71" s="40">
        <v>4137.8069999999998</v>
      </c>
      <c r="AQ71" s="40">
        <v>1307.751</v>
      </c>
      <c r="AR71" s="146">
        <v>0.24015004522952468</v>
      </c>
      <c r="AS71" s="41"/>
    </row>
    <row r="72" spans="1:45">
      <c r="G72" s="21" t="s">
        <v>27</v>
      </c>
      <c r="H72" s="23">
        <v>1</v>
      </c>
      <c r="I72" s="23">
        <v>0.65746625436576445</v>
      </c>
      <c r="J72" s="23">
        <v>0.48300493744052186</v>
      </c>
      <c r="K72" s="23">
        <v>5.0233206688831467E-2</v>
      </c>
      <c r="L72" s="23">
        <v>0.12392830419864057</v>
      </c>
      <c r="M72" s="23">
        <v>2.9973452277462043E-4</v>
      </c>
      <c r="N72" s="23">
        <v>0.34155796145131856</v>
      </c>
      <c r="AE72" s="37" t="s">
        <v>610</v>
      </c>
      <c r="AF72" s="40">
        <v>495.8</v>
      </c>
      <c r="AG72" s="40">
        <v>148.9</v>
      </c>
      <c r="AH72" s="148">
        <v>0.30032271077047196</v>
      </c>
      <c r="AI72" s="40">
        <v>109.4</v>
      </c>
      <c r="AJ72" s="40">
        <v>39.5</v>
      </c>
      <c r="AK72" s="146">
        <v>0.26527871054398927</v>
      </c>
      <c r="AM72" s="40">
        <v>16949</v>
      </c>
      <c r="AN72" s="40">
        <v>5411</v>
      </c>
      <c r="AO72" s="41">
        <v>0.31924080015628292</v>
      </c>
      <c r="AP72" s="40">
        <v>4093</v>
      </c>
      <c r="AQ72" s="40">
        <v>1318</v>
      </c>
      <c r="AR72" s="146">
        <v>0.24360275667105116</v>
      </c>
      <c r="AS72" s="41"/>
    </row>
    <row r="73" spans="1:45">
      <c r="P73" s="21" t="s">
        <v>608</v>
      </c>
      <c r="Q73" s="11">
        <v>3699400</v>
      </c>
      <c r="R73" s="11">
        <v>1738300</v>
      </c>
      <c r="S73" s="11">
        <v>56400</v>
      </c>
      <c r="T73" s="11">
        <v>365400</v>
      </c>
      <c r="U73" s="11">
        <v>335600</v>
      </c>
      <c r="V73" s="11">
        <v>91300</v>
      </c>
      <c r="W73" s="11">
        <v>1112400</v>
      </c>
      <c r="Y73" s="21" t="s">
        <v>608</v>
      </c>
      <c r="Z73" s="11">
        <v>73885800</v>
      </c>
      <c r="AA73" s="11">
        <v>50945400</v>
      </c>
      <c r="AB73" s="11">
        <v>20199300</v>
      </c>
      <c r="AC73" s="11">
        <v>2741100</v>
      </c>
      <c r="AE73" s="37" t="s">
        <v>611</v>
      </c>
      <c r="AF73" s="40">
        <v>524.1</v>
      </c>
      <c r="AG73" s="40">
        <v>151.80000000000001</v>
      </c>
      <c r="AH73" s="148">
        <v>0.28963938179736692</v>
      </c>
      <c r="AI73" s="40">
        <v>108.8</v>
      </c>
      <c r="AJ73" s="40">
        <v>43</v>
      </c>
      <c r="AK73" s="146">
        <v>0.28326745718050061</v>
      </c>
      <c r="AM73" s="40">
        <v>16911</v>
      </c>
      <c r="AN73" s="40">
        <v>5535</v>
      </c>
      <c r="AO73" s="41">
        <v>0.32730175625332625</v>
      </c>
      <c r="AP73" s="40">
        <v>4155</v>
      </c>
      <c r="AQ73" s="40">
        <v>1380</v>
      </c>
      <c r="AR73" s="146">
        <v>0.24932249322493225</v>
      </c>
      <c r="AS73" s="41"/>
    </row>
    <row r="74" spans="1:45">
      <c r="G74" s="21" t="s">
        <v>608</v>
      </c>
      <c r="H74" s="11">
        <v>122801100</v>
      </c>
      <c r="I74" s="11">
        <v>81046700</v>
      </c>
      <c r="J74" s="11">
        <v>59436200</v>
      </c>
      <c r="K74" s="11">
        <v>6256800</v>
      </c>
      <c r="L74" s="11">
        <v>15316800</v>
      </c>
      <c r="M74" s="11">
        <v>36900</v>
      </c>
      <c r="N74" s="11">
        <v>41658800</v>
      </c>
      <c r="P74" s="21" t="s">
        <v>27</v>
      </c>
      <c r="Q74" s="23">
        <v>1</v>
      </c>
      <c r="R74" s="23">
        <v>0.46989508152861276</v>
      </c>
      <c r="S74" s="23">
        <v>1.5238192149611708E-2</v>
      </c>
      <c r="T74" s="23">
        <v>9.8774877478989706E-2</v>
      </c>
      <c r="U74" s="23">
        <v>9.0710349491010187E-2</v>
      </c>
      <c r="V74" s="23">
        <v>2.4678533115775784E-2</v>
      </c>
      <c r="W74" s="23">
        <v>0.30070296623599985</v>
      </c>
      <c r="Y74" s="21" t="s">
        <v>27</v>
      </c>
      <c r="Z74" s="23">
        <v>1</v>
      </c>
      <c r="AA74" s="23">
        <v>0.68951539009785634</v>
      </c>
      <c r="AB74" s="23">
        <v>0.27338588107975248</v>
      </c>
      <c r="AC74" s="23">
        <v>3.7098782959977976E-2</v>
      </c>
      <c r="AE74" s="37" t="s">
        <v>612</v>
      </c>
      <c r="AF74" s="40">
        <v>519.9</v>
      </c>
      <c r="AG74" s="40">
        <v>142.5</v>
      </c>
      <c r="AH74" s="148">
        <v>0.27409117137911138</v>
      </c>
      <c r="AI74" s="40">
        <v>108.1</v>
      </c>
      <c r="AJ74" s="40">
        <v>34.4</v>
      </c>
      <c r="AK74" s="146">
        <v>0.24140350877192981</v>
      </c>
      <c r="AM74" s="40">
        <v>17036</v>
      </c>
      <c r="AN74" s="40">
        <v>5954</v>
      </c>
      <c r="AO74" s="41">
        <v>0.34949518666353602</v>
      </c>
      <c r="AP74" s="40">
        <v>4521</v>
      </c>
      <c r="AQ74" s="40">
        <v>1433</v>
      </c>
      <c r="AR74" s="146">
        <v>0.24067853543836076</v>
      </c>
      <c r="AS74" s="41"/>
    </row>
    <row r="75" spans="1:45">
      <c r="G75" s="21" t="s">
        <v>27</v>
      </c>
      <c r="H75" s="23">
        <v>1</v>
      </c>
      <c r="I75" s="23">
        <v>0.65998350177644993</v>
      </c>
      <c r="J75" s="23">
        <v>0.48400380778348079</v>
      </c>
      <c r="K75" s="23">
        <v>5.0950683666514389E-2</v>
      </c>
      <c r="L75" s="23">
        <v>0.1247285244187552</v>
      </c>
      <c r="M75" s="23">
        <v>3.0048590769952386E-4</v>
      </c>
      <c r="N75" s="23">
        <v>0.33923800356837197</v>
      </c>
      <c r="AE75" s="37" t="s">
        <v>613</v>
      </c>
      <c r="AF75" s="40">
        <v>489.6</v>
      </c>
      <c r="AG75" s="40">
        <v>135.5</v>
      </c>
      <c r="AH75" s="148">
        <v>0.27675653594771238</v>
      </c>
      <c r="AI75" s="40">
        <v>118.3</v>
      </c>
      <c r="AJ75" s="40">
        <v>17.2</v>
      </c>
      <c r="AK75" s="146">
        <v>0.12693726937269373</v>
      </c>
      <c r="AM75" s="40">
        <v>17062</v>
      </c>
      <c r="AN75" s="40">
        <v>6388</v>
      </c>
      <c r="AO75" s="41">
        <v>0.37439924979486577</v>
      </c>
      <c r="AP75" s="40">
        <v>5129</v>
      </c>
      <c r="AQ75" s="40">
        <v>1259</v>
      </c>
      <c r="AR75" s="146">
        <v>0.19708829054477145</v>
      </c>
    </row>
    <row r="76" spans="1:45">
      <c r="P76" s="21" t="s">
        <v>609</v>
      </c>
      <c r="Q76" s="11">
        <v>3686200</v>
      </c>
      <c r="R76" s="11">
        <v>1663600</v>
      </c>
      <c r="S76" s="11">
        <v>81900</v>
      </c>
      <c r="T76" s="11">
        <v>364100</v>
      </c>
      <c r="U76" s="11">
        <v>330600</v>
      </c>
      <c r="V76" s="11">
        <v>87700</v>
      </c>
      <c r="W76" s="11">
        <v>1158200</v>
      </c>
      <c r="Y76" s="21" t="s">
        <v>609</v>
      </c>
      <c r="Z76" s="11">
        <v>73912400</v>
      </c>
      <c r="AA76" s="11">
        <v>50478000</v>
      </c>
      <c r="AB76" s="11">
        <v>20751000</v>
      </c>
      <c r="AC76" s="11">
        <v>2683500</v>
      </c>
      <c r="AE76" s="37" t="s">
        <v>614</v>
      </c>
      <c r="AF76" s="40">
        <v>485</v>
      </c>
      <c r="AG76" s="40">
        <v>143</v>
      </c>
      <c r="AH76" s="148">
        <v>0.29484536082474228</v>
      </c>
      <c r="AI76" s="40">
        <v>124</v>
      </c>
      <c r="AJ76" s="40">
        <v>19</v>
      </c>
      <c r="AK76" s="146">
        <v>0.13286713286713286</v>
      </c>
      <c r="AM76" s="40">
        <v>16986</v>
      </c>
      <c r="AN76" s="40">
        <v>6685</v>
      </c>
      <c r="AO76" s="41">
        <v>0.3935594018603556</v>
      </c>
      <c r="AP76" s="40">
        <v>5626</v>
      </c>
      <c r="AQ76" s="40">
        <v>1059</v>
      </c>
      <c r="AR76" s="146">
        <v>0.15841436050860136</v>
      </c>
    </row>
    <row r="77" spans="1:45">
      <c r="G77" s="21" t="s">
        <v>609</v>
      </c>
      <c r="H77" s="11">
        <v>121857600</v>
      </c>
      <c r="I77" s="11">
        <v>80703900</v>
      </c>
      <c r="J77" s="11">
        <v>59076400</v>
      </c>
      <c r="K77" s="11">
        <v>6043200</v>
      </c>
      <c r="L77" s="11">
        <v>15550500</v>
      </c>
      <c r="M77" s="11">
        <v>33800</v>
      </c>
      <c r="N77" s="11">
        <v>41067800</v>
      </c>
      <c r="P77" s="21" t="s">
        <v>27</v>
      </c>
      <c r="Q77" s="23">
        <v>1</v>
      </c>
      <c r="R77" s="23">
        <v>0.45131646302650469</v>
      </c>
      <c r="S77" s="23">
        <v>2.2225760879025572E-2</v>
      </c>
      <c r="T77" s="23">
        <v>9.8785304041548977E-2</v>
      </c>
      <c r="U77" s="23">
        <v>8.9688012953563725E-2</v>
      </c>
      <c r="V77" s="23">
        <v>2.3792951671862201E-2</v>
      </c>
      <c r="W77" s="23">
        <v>0.31419150742749485</v>
      </c>
      <c r="Y77" s="21" t="s">
        <v>27</v>
      </c>
      <c r="Z77" s="23">
        <v>1</v>
      </c>
      <c r="AA77" s="23">
        <v>0.68294281720370753</v>
      </c>
      <c r="AB77" s="23">
        <v>0.28075084518925364</v>
      </c>
      <c r="AC77" s="23">
        <v>3.6306445843216649E-2</v>
      </c>
      <c r="AE77" s="37" t="s">
        <v>615</v>
      </c>
      <c r="AF77" s="40">
        <v>486.6</v>
      </c>
      <c r="AG77" s="40">
        <v>159.9</v>
      </c>
      <c r="AH77" s="148">
        <v>0.3286066584463625</v>
      </c>
      <c r="AI77" s="40">
        <v>140.5</v>
      </c>
      <c r="AJ77" s="40">
        <v>19.399999999999999</v>
      </c>
      <c r="AK77" s="146">
        <v>0.12132582864290187</v>
      </c>
      <c r="AM77" s="40">
        <v>16800</v>
      </c>
      <c r="AN77" s="40">
        <v>6800</v>
      </c>
      <c r="AO77" s="41">
        <v>0.40476190476190477</v>
      </c>
      <c r="AP77" s="40">
        <v>5700</v>
      </c>
      <c r="AQ77" s="40">
        <v>1100</v>
      </c>
      <c r="AR77" s="146">
        <v>0.16176470588235295</v>
      </c>
      <c r="AS77" s="121"/>
    </row>
    <row r="78" spans="1:45">
      <c r="G78" s="21" t="s">
        <v>27</v>
      </c>
      <c r="H78" s="23">
        <v>1</v>
      </c>
      <c r="I78" s="23">
        <v>0.66298523850789781</v>
      </c>
      <c r="J78" s="23">
        <v>0.48479840403881252</v>
      </c>
      <c r="K78" s="23">
        <v>4.9592245374929421E-2</v>
      </c>
      <c r="L78" s="23">
        <v>0.12761198316723782</v>
      </c>
      <c r="M78" s="23">
        <v>2.7752598114520554E-4</v>
      </c>
      <c r="N78" s="23">
        <v>0.33701476149210224</v>
      </c>
      <c r="AE78" s="37" t="s">
        <v>616</v>
      </c>
      <c r="AF78" s="40">
        <v>497.013375</v>
      </c>
      <c r="AG78" s="40">
        <v>175.594675</v>
      </c>
      <c r="AH78" s="148">
        <v>0.35329969741759965</v>
      </c>
      <c r="AI78" s="40">
        <v>155.61154999999999</v>
      </c>
      <c r="AJ78" s="40">
        <v>19.983125000000001</v>
      </c>
      <c r="AK78" s="146">
        <v>0.11380256832959201</v>
      </c>
      <c r="AM78" s="40">
        <v>16452.999</v>
      </c>
      <c r="AN78" s="40">
        <v>6902.3315000000002</v>
      </c>
      <c r="AO78" s="41">
        <v>0.41951813769635554</v>
      </c>
      <c r="AP78" s="40">
        <v>5718.2915000000003</v>
      </c>
      <c r="AQ78" s="40">
        <v>1184.04</v>
      </c>
      <c r="AR78" s="146">
        <v>0.1715420361945815</v>
      </c>
      <c r="AS78" s="41"/>
    </row>
    <row r="79" spans="1:45">
      <c r="P79" s="21" t="s">
        <v>610</v>
      </c>
      <c r="Q79" s="11">
        <v>3645300</v>
      </c>
      <c r="R79" s="11">
        <v>1637300</v>
      </c>
      <c r="S79" s="11">
        <v>71200</v>
      </c>
      <c r="T79" s="11">
        <v>349800</v>
      </c>
      <c r="U79" s="11">
        <v>306500</v>
      </c>
      <c r="V79" s="11">
        <v>78300</v>
      </c>
      <c r="W79" s="11">
        <v>1202200</v>
      </c>
      <c r="Y79" s="21" t="s">
        <v>610</v>
      </c>
      <c r="Z79" s="11">
        <v>74255000</v>
      </c>
      <c r="AA79" s="11">
        <v>50873700</v>
      </c>
      <c r="AB79" s="11">
        <v>20608400</v>
      </c>
      <c r="AC79" s="11">
        <v>2772800</v>
      </c>
      <c r="AE79" s="37" t="s">
        <v>617</v>
      </c>
      <c r="AF79" s="40">
        <v>493</v>
      </c>
      <c r="AG79" s="40">
        <v>159</v>
      </c>
      <c r="AH79" s="148">
        <v>0.32327774779643925</v>
      </c>
      <c r="AI79" s="40">
        <v>142</v>
      </c>
      <c r="AJ79" s="40">
        <v>18</v>
      </c>
      <c r="AK79" s="146">
        <v>0.11010067216156209</v>
      </c>
      <c r="AM79" s="40">
        <v>16259</v>
      </c>
      <c r="AN79" s="40">
        <v>6815</v>
      </c>
      <c r="AO79" s="41">
        <v>0.41917763252278362</v>
      </c>
      <c r="AP79" s="40">
        <v>5643</v>
      </c>
      <c r="AQ79" s="40">
        <v>1172</v>
      </c>
      <c r="AR79" s="146">
        <v>0.17198161349005328</v>
      </c>
      <c r="AS79" s="41"/>
    </row>
    <row r="80" spans="1:45">
      <c r="G80" s="21" t="s">
        <v>610</v>
      </c>
      <c r="H80" s="11">
        <v>119957300</v>
      </c>
      <c r="I80" s="11">
        <v>79559600</v>
      </c>
      <c r="J80" s="11">
        <v>58492400</v>
      </c>
      <c r="K80" s="11">
        <v>5710400</v>
      </c>
      <c r="L80" s="11">
        <v>15330500</v>
      </c>
      <c r="M80" s="11">
        <v>26300</v>
      </c>
      <c r="N80" s="11">
        <v>40323500</v>
      </c>
      <c r="P80" s="21" t="s">
        <v>27</v>
      </c>
      <c r="Q80" s="23">
        <v>1</v>
      </c>
      <c r="R80" s="23">
        <v>0.44914304200310101</v>
      </c>
      <c r="S80" s="23">
        <v>1.954036228920876E-2</v>
      </c>
      <c r="T80" s="23">
        <v>9.5968622234037917E-2</v>
      </c>
      <c r="U80" s="23">
        <v>8.4075131540256073E-2</v>
      </c>
      <c r="V80" s="23">
        <v>2.1474410547369826E-2</v>
      </c>
      <c r="W80" s="23">
        <v>0.32979843138602644</v>
      </c>
      <c r="Y80" s="21" t="s">
        <v>27</v>
      </c>
      <c r="Z80" s="23">
        <v>1</v>
      </c>
      <c r="AA80" s="23">
        <v>0.68512199823944431</v>
      </c>
      <c r="AB80" s="23">
        <v>0.2775360947244403</v>
      </c>
      <c r="AC80" s="23">
        <v>3.7341873368333015E-2</v>
      </c>
      <c r="AE80" s="37" t="s">
        <v>618</v>
      </c>
      <c r="AF80" s="40">
        <v>462</v>
      </c>
      <c r="AG80" s="40">
        <v>154</v>
      </c>
      <c r="AH80" s="148">
        <v>0.33432661569524108</v>
      </c>
      <c r="AI80" s="40">
        <v>138</v>
      </c>
      <c r="AJ80" s="40">
        <v>16</v>
      </c>
      <c r="AK80" s="146">
        <v>0.10341238658683118</v>
      </c>
      <c r="AM80" s="40">
        <v>16112</v>
      </c>
      <c r="AN80" s="40">
        <v>6809</v>
      </c>
      <c r="AO80" s="41">
        <v>0.42257417553746851</v>
      </c>
      <c r="AP80" s="40">
        <v>5588</v>
      </c>
      <c r="AQ80" s="40">
        <v>1221</v>
      </c>
      <c r="AR80" s="146">
        <v>0.17928565354346665</v>
      </c>
      <c r="AS80" s="41"/>
    </row>
    <row r="81" spans="7:45">
      <c r="G81" s="21" t="s">
        <v>27</v>
      </c>
      <c r="H81" s="23">
        <v>1</v>
      </c>
      <c r="I81" s="23">
        <v>0.66385120532523045</v>
      </c>
      <c r="J81" s="23">
        <v>0.48761066963439059</v>
      </c>
      <c r="K81" s="23">
        <v>4.7603333687626218E-2</v>
      </c>
      <c r="L81" s="23">
        <v>0.1277997369896359</v>
      </c>
      <c r="M81" s="23">
        <v>2.1939936935866738E-4</v>
      </c>
      <c r="N81" s="23">
        <v>0.33614879467476955</v>
      </c>
      <c r="AE81" s="37" t="s">
        <v>619</v>
      </c>
      <c r="AF81" s="40">
        <v>417</v>
      </c>
      <c r="AG81" s="40">
        <v>161</v>
      </c>
      <c r="AH81" s="148">
        <v>0.38544945852404872</v>
      </c>
      <c r="AI81" s="40">
        <v>138</v>
      </c>
      <c r="AJ81" s="40">
        <v>22</v>
      </c>
      <c r="AK81" s="146">
        <v>0.13822605936135049</v>
      </c>
      <c r="AM81" s="40">
        <v>16026.943499999999</v>
      </c>
      <c r="AN81" s="40">
        <v>7115.8765000000003</v>
      </c>
      <c r="AO81" s="41">
        <v>0.44399460820461495</v>
      </c>
      <c r="AP81" s="40">
        <v>5826.1414999999997</v>
      </c>
      <c r="AQ81" s="40">
        <v>1289.7349999999999</v>
      </c>
      <c r="AR81" s="146">
        <v>0.1812475244616738</v>
      </c>
      <c r="AS81" s="41"/>
    </row>
    <row r="82" spans="7:45">
      <c r="P82" s="21" t="s">
        <v>611</v>
      </c>
      <c r="Q82" s="11">
        <v>3608700</v>
      </c>
      <c r="R82" s="11">
        <v>1694700</v>
      </c>
      <c r="S82" s="11">
        <v>44900</v>
      </c>
      <c r="T82" s="11">
        <v>362800</v>
      </c>
      <c r="U82" s="11">
        <v>310500</v>
      </c>
      <c r="V82" s="11">
        <v>78000</v>
      </c>
      <c r="W82" s="11">
        <v>1117800</v>
      </c>
      <c r="Y82" s="21" t="s">
        <v>611</v>
      </c>
      <c r="Z82" s="11">
        <v>74701000</v>
      </c>
      <c r="AA82" s="11">
        <v>51646000</v>
      </c>
      <c r="AB82" s="11">
        <v>20081000</v>
      </c>
      <c r="AC82" s="11">
        <v>2975000</v>
      </c>
      <c r="AE82" s="37" t="s">
        <v>620</v>
      </c>
      <c r="AF82" s="40">
        <v>408.41959000000003</v>
      </c>
      <c r="AG82" s="40">
        <v>170.89909</v>
      </c>
      <c r="AH82" s="148">
        <v>0.41843999206796129</v>
      </c>
      <c r="AI82" s="40">
        <v>149.19434999999999</v>
      </c>
      <c r="AJ82" s="40">
        <v>21.704740000000001</v>
      </c>
      <c r="AK82" s="146">
        <v>0.12700325086575942</v>
      </c>
      <c r="AM82" s="40">
        <v>16062.275</v>
      </c>
      <c r="AN82" s="40">
        <v>7569.4684999999999</v>
      </c>
      <c r="AO82" s="41">
        <v>0.4712575584716362</v>
      </c>
      <c r="AP82" s="40">
        <v>6384.0185000000001</v>
      </c>
      <c r="AQ82" s="40">
        <v>1185.45</v>
      </c>
      <c r="AR82" s="146">
        <v>0.15660941055504754</v>
      </c>
      <c r="AS82" s="41"/>
    </row>
    <row r="83" spans="7:45">
      <c r="G83" s="21" t="s">
        <v>611</v>
      </c>
      <c r="H83" s="11">
        <v>118143000</v>
      </c>
      <c r="I83" s="11">
        <v>78756000</v>
      </c>
      <c r="J83" s="11">
        <v>58223000</v>
      </c>
      <c r="K83" s="11">
        <v>5550000</v>
      </c>
      <c r="L83" s="11">
        <v>14918000</v>
      </c>
      <c r="M83" s="11">
        <v>32000</v>
      </c>
      <c r="N83" s="11">
        <v>39387000</v>
      </c>
      <c r="P83" s="21" t="s">
        <v>27</v>
      </c>
      <c r="Q83" s="23">
        <v>1</v>
      </c>
      <c r="R83" s="23">
        <v>0.46962623043786567</v>
      </c>
      <c r="S83" s="23">
        <v>1.2441792174818464E-2</v>
      </c>
      <c r="T83" s="23">
        <v>0.10054114100434913</v>
      </c>
      <c r="U83" s="23">
        <v>8.6031601441533351E-2</v>
      </c>
      <c r="V83" s="23">
        <v>2.1605793281248308E-2</v>
      </c>
      <c r="W83" s="23">
        <v>0.30975344166018498</v>
      </c>
      <c r="Y83" s="21" t="s">
        <v>27</v>
      </c>
      <c r="Z83" s="23">
        <v>1</v>
      </c>
      <c r="AA83" s="23">
        <v>0.6913695934458709</v>
      </c>
      <c r="AB83" s="23">
        <v>0.26881835584530328</v>
      </c>
      <c r="AC83" s="23">
        <v>3.9825437410476436E-2</v>
      </c>
      <c r="AE83" s="2"/>
      <c r="AF83" s="2"/>
      <c r="AH83" s="116"/>
      <c r="AI83" s="2"/>
      <c r="AJ83" s="2"/>
      <c r="AK83" s="149"/>
      <c r="AR83" s="178"/>
      <c r="AS83" s="41"/>
    </row>
    <row r="84" spans="7:45">
      <c r="G84" s="21" t="s">
        <v>27</v>
      </c>
      <c r="H84" s="23">
        <v>1</v>
      </c>
      <c r="I84" s="23">
        <v>0.6666158807546787</v>
      </c>
      <c r="J84" s="23">
        <v>0.49281802561302829</v>
      </c>
      <c r="K84" s="23">
        <v>4.6976968588913433E-2</v>
      </c>
      <c r="L84" s="23">
        <v>0.12627070583953345</v>
      </c>
      <c r="M84" s="23">
        <v>2.7085819726941078E-4</v>
      </c>
      <c r="N84" s="23">
        <v>0.33338411924532135</v>
      </c>
      <c r="AE84" s="100" t="s">
        <v>484</v>
      </c>
      <c r="AF84" s="157" t="s">
        <v>519</v>
      </c>
      <c r="AG84" s="36"/>
      <c r="AH84" s="148"/>
      <c r="AI84" s="36"/>
      <c r="AJ84" s="36"/>
      <c r="AK84" s="147"/>
      <c r="AM84" s="157" t="s">
        <v>520</v>
      </c>
      <c r="AR84" s="178"/>
      <c r="AS84" s="41"/>
    </row>
    <row r="85" spans="7:45">
      <c r="P85" s="21" t="s">
        <v>612</v>
      </c>
      <c r="Q85" s="11">
        <v>3598700</v>
      </c>
      <c r="R85" s="11">
        <v>1717100</v>
      </c>
      <c r="S85" s="11">
        <v>45100</v>
      </c>
      <c r="T85" s="11">
        <v>382000</v>
      </c>
      <c r="U85" s="11">
        <v>320800</v>
      </c>
      <c r="V85" s="11">
        <v>71200</v>
      </c>
      <c r="W85" s="11">
        <v>1062500</v>
      </c>
      <c r="Y85" s="21" t="s">
        <v>612</v>
      </c>
      <c r="Z85" s="11">
        <v>74496000</v>
      </c>
      <c r="AA85" s="11">
        <v>51839000</v>
      </c>
      <c r="AB85" s="11">
        <v>19647000</v>
      </c>
      <c r="AC85" s="11">
        <v>3010000</v>
      </c>
      <c r="AE85" s="37" t="s">
        <v>557</v>
      </c>
      <c r="AF85" s="157">
        <f>5401</f>
        <v>5401</v>
      </c>
      <c r="AG85" s="36">
        <v>3339</v>
      </c>
      <c r="AH85" s="148">
        <v>0.61814999999999998</v>
      </c>
      <c r="AI85" s="36">
        <v>3201</v>
      </c>
      <c r="AJ85" s="36">
        <v>137</v>
      </c>
      <c r="AK85" s="147">
        <v>4.1110000000000001E-2</v>
      </c>
      <c r="AM85" s="113">
        <f>'[1]Table 5'!$G$16</f>
        <v>199299.65899999999</v>
      </c>
      <c r="AN85" s="118">
        <f>'[1]Table 5'!$G$17</f>
        <v>125354.739</v>
      </c>
      <c r="AO85" s="121">
        <f>AN85/AM85</f>
        <v>0.62897618404856381</v>
      </c>
      <c r="AP85" s="118">
        <f>'[1]Table 5'!$G$18</f>
        <v>120503.1</v>
      </c>
      <c r="AQ85" s="118">
        <f>'[1]Table 5'!$G$19</f>
        <v>4851.6390000000001</v>
      </c>
      <c r="AR85" s="145">
        <f>AQ85/AN85</f>
        <v>3.8703275509990892E-2</v>
      </c>
      <c r="AS85" s="145"/>
    </row>
    <row r="86" spans="7:45">
      <c r="G86" s="21" t="s">
        <v>612</v>
      </c>
      <c r="H86" s="11">
        <v>117359000</v>
      </c>
      <c r="I86" s="11">
        <v>78842000</v>
      </c>
      <c r="J86" s="11">
        <v>58764000</v>
      </c>
      <c r="K86" s="11">
        <v>5400000</v>
      </c>
      <c r="L86" s="11">
        <v>14652000</v>
      </c>
      <c r="M86" s="11">
        <v>26000</v>
      </c>
      <c r="N86" s="11">
        <v>38518000</v>
      </c>
      <c r="P86" s="21" t="s">
        <v>27</v>
      </c>
      <c r="Q86" s="23">
        <v>1</v>
      </c>
      <c r="R86" s="23">
        <v>0.47714452441159305</v>
      </c>
      <c r="S86" s="23">
        <v>1.253230333175869E-2</v>
      </c>
      <c r="T86" s="23">
        <v>0.10614944285436408</v>
      </c>
      <c r="U86" s="23">
        <v>8.9143301747853398E-2</v>
      </c>
      <c r="V86" s="23">
        <v>1.9784922333064718E-2</v>
      </c>
      <c r="W86" s="23">
        <v>0.29524550532136606</v>
      </c>
      <c r="Y86" s="21" t="s">
        <v>27</v>
      </c>
      <c r="Z86" s="23">
        <v>1</v>
      </c>
      <c r="AA86" s="23">
        <v>0.69586286512027495</v>
      </c>
      <c r="AB86" s="23">
        <v>0.26373228092783507</v>
      </c>
      <c r="AC86" s="23">
        <v>4.0404853951890037E-2</v>
      </c>
      <c r="AE86" s="37" t="s">
        <v>495</v>
      </c>
      <c r="AF86" s="113">
        <f>5299349/1000</f>
        <v>5299.3490000000002</v>
      </c>
      <c r="AG86" s="113">
        <f>3390463/1000</f>
        <v>3390.4630000000002</v>
      </c>
      <c r="AH86" s="148">
        <f>AG86/AF86</f>
        <v>0.6397885853526537</v>
      </c>
      <c r="AI86" s="113">
        <f>3212818/1000</f>
        <v>3212.8180000000002</v>
      </c>
      <c r="AJ86" s="124">
        <f>177645.4/1000</f>
        <v>177.6454</v>
      </c>
      <c r="AK86" s="148">
        <f>AJ86/AG86</f>
        <v>5.239561676384611E-2</v>
      </c>
      <c r="AM86" s="113">
        <v>198239.7</v>
      </c>
      <c r="AN86" s="123">
        <v>124858.7</v>
      </c>
      <c r="AO86" s="121">
        <f>AN86/AM86</f>
        <v>0.62983701044745322</v>
      </c>
      <c r="AP86" s="123">
        <v>119531.1</v>
      </c>
      <c r="AQ86" s="123">
        <v>5327.634</v>
      </c>
      <c r="AR86" s="145">
        <f>AQ86/AN86</f>
        <v>4.2669305382804723E-2</v>
      </c>
      <c r="AS86" s="41"/>
    </row>
    <row r="87" spans="7:45">
      <c r="G87" s="21" t="s">
        <v>27</v>
      </c>
      <c r="H87" s="23">
        <v>1</v>
      </c>
      <c r="I87" s="23">
        <v>0.67180190696921416</v>
      </c>
      <c r="J87" s="23">
        <v>0.50072001295171231</v>
      </c>
      <c r="K87" s="23">
        <v>4.6012662002914137E-2</v>
      </c>
      <c r="L87" s="23">
        <v>0.12484768956790702</v>
      </c>
      <c r="M87" s="23">
        <v>2.2154244668069769E-4</v>
      </c>
      <c r="N87" s="23">
        <v>0.32820661389411976</v>
      </c>
      <c r="AE87" s="37" t="s">
        <v>489</v>
      </c>
      <c r="AF87" s="113">
        <v>5334</v>
      </c>
      <c r="AG87" s="113">
        <v>3468</v>
      </c>
      <c r="AH87" s="148">
        <f>AG87/AF87</f>
        <v>0.65016872890888644</v>
      </c>
      <c r="AI87" s="113">
        <v>3254</v>
      </c>
      <c r="AJ87" s="36">
        <v>214</v>
      </c>
      <c r="AK87" s="148">
        <f>AJ87/AG87</f>
        <v>6.1707035755478659E-2</v>
      </c>
      <c r="AM87" s="113">
        <v>197158</v>
      </c>
      <c r="AN87" s="123">
        <v>124091</v>
      </c>
      <c r="AO87" s="121">
        <f>AN87/AM87</f>
        <v>0.62939875632741249</v>
      </c>
      <c r="AP87" s="123">
        <v>118224</v>
      </c>
      <c r="AQ87" s="123">
        <v>5867</v>
      </c>
      <c r="AR87" s="145">
        <f>AQ87/AN87</f>
        <v>4.7279818842623555E-2</v>
      </c>
      <c r="AS87" s="41"/>
    </row>
    <row r="88" spans="7:45">
      <c r="P88" s="21" t="s">
        <v>613</v>
      </c>
      <c r="Q88" s="11">
        <v>3579600</v>
      </c>
      <c r="R88" s="11">
        <v>1710500</v>
      </c>
      <c r="S88" s="11">
        <v>47900</v>
      </c>
      <c r="T88" s="11">
        <v>368400</v>
      </c>
      <c r="U88" s="11">
        <v>310400</v>
      </c>
      <c r="V88" s="11">
        <v>82600</v>
      </c>
      <c r="W88" s="11">
        <v>1059800</v>
      </c>
      <c r="Y88" s="21" t="s">
        <v>613</v>
      </c>
      <c r="Z88" s="11">
        <v>74183000</v>
      </c>
      <c r="AA88" s="11">
        <v>51820000</v>
      </c>
      <c r="AB88" s="11">
        <v>19462000</v>
      </c>
      <c r="AC88" s="11">
        <v>2900000</v>
      </c>
      <c r="AE88" s="37" t="s">
        <v>607</v>
      </c>
      <c r="AF88" s="40">
        <v>5334.5032000000001</v>
      </c>
      <c r="AG88" s="40">
        <v>3420.9542000000001</v>
      </c>
      <c r="AH88" s="148">
        <v>0.64128824592325673</v>
      </c>
      <c r="AI88" s="40">
        <v>3201.48</v>
      </c>
      <c r="AJ88" s="40">
        <v>219.47420000000002</v>
      </c>
      <c r="AK88" s="146">
        <v>6.4155842834727222E-2</v>
      </c>
      <c r="AM88" s="40">
        <v>195781.07400000002</v>
      </c>
      <c r="AN88" s="40">
        <v>123320.90400000001</v>
      </c>
      <c r="AO88" s="41">
        <v>0.6298918556346258</v>
      </c>
      <c r="AP88" s="40">
        <v>116565.6</v>
      </c>
      <c r="AQ88" s="40">
        <v>6755.3040000000001</v>
      </c>
      <c r="AR88" s="146">
        <v>5.4778255598904785E-2</v>
      </c>
      <c r="AS88" s="41"/>
    </row>
    <row r="89" spans="7:45">
      <c r="G89" s="21" t="s">
        <v>613</v>
      </c>
      <c r="H89" s="11">
        <v>116982000</v>
      </c>
      <c r="I89" s="11">
        <v>78361000</v>
      </c>
      <c r="J89" s="11">
        <v>58744000</v>
      </c>
      <c r="K89" s="11">
        <v>5165000</v>
      </c>
      <c r="L89" s="11">
        <v>14433000</v>
      </c>
      <c r="M89" s="11">
        <v>20000</v>
      </c>
      <c r="N89" s="11">
        <v>38621000</v>
      </c>
      <c r="P89" s="21" t="s">
        <v>27</v>
      </c>
      <c r="Q89" s="23">
        <v>1</v>
      </c>
      <c r="R89" s="23">
        <v>0.4778466867806459</v>
      </c>
      <c r="S89" s="23">
        <v>1.3381383394792714E-2</v>
      </c>
      <c r="T89" s="23">
        <v>0.10291652698625545</v>
      </c>
      <c r="U89" s="23">
        <v>8.6713599284836296E-2</v>
      </c>
      <c r="V89" s="23">
        <v>2.307520393340038E-2</v>
      </c>
      <c r="W89" s="23">
        <v>0.29606659962006926</v>
      </c>
      <c r="Y89" s="21" t="s">
        <v>27</v>
      </c>
      <c r="Z89" s="23">
        <v>1</v>
      </c>
      <c r="AA89" s="23">
        <v>0.69854279282315357</v>
      </c>
      <c r="AB89" s="23">
        <v>0.26235121254195704</v>
      </c>
      <c r="AC89" s="23">
        <v>3.9092514457490263E-2</v>
      </c>
      <c r="AE89" s="37" t="s">
        <v>608</v>
      </c>
      <c r="AF89" s="40">
        <v>5276.6259</v>
      </c>
      <c r="AG89" s="40">
        <v>3410.5949000000001</v>
      </c>
      <c r="AH89" s="148">
        <v>0.64635904925532051</v>
      </c>
      <c r="AI89" s="40">
        <v>3143.9369999999999</v>
      </c>
      <c r="AJ89" s="40">
        <v>266.65790000000004</v>
      </c>
      <c r="AK89" s="146">
        <v>7.8185157668534608E-2</v>
      </c>
      <c r="AM89" s="40">
        <v>194584.77600000001</v>
      </c>
      <c r="AN89" s="40">
        <v>123100.45600000001</v>
      </c>
      <c r="AO89" s="41">
        <v>0.63263148603156905</v>
      </c>
      <c r="AP89" s="40">
        <v>115114</v>
      </c>
      <c r="AQ89" s="40">
        <v>7986.4560000000001</v>
      </c>
      <c r="AR89" s="146">
        <v>6.4877550088035418E-2</v>
      </c>
      <c r="AS89" s="41"/>
    </row>
    <row r="90" spans="7:45">
      <c r="G90" s="21" t="s">
        <v>27</v>
      </c>
      <c r="H90" s="23">
        <v>1</v>
      </c>
      <c r="I90" s="23">
        <v>0.66985519139696703</v>
      </c>
      <c r="J90" s="23">
        <v>0.5021627258894531</v>
      </c>
      <c r="K90" s="23">
        <v>4.4152091774802962E-2</v>
      </c>
      <c r="L90" s="23">
        <v>0.12337795558291019</v>
      </c>
      <c r="M90" s="23">
        <v>1.7096647347455163E-4</v>
      </c>
      <c r="N90" s="23">
        <v>0.33014480860303297</v>
      </c>
      <c r="AE90" s="37" t="s">
        <v>609</v>
      </c>
      <c r="AF90" s="40">
        <v>5259.0106999999998</v>
      </c>
      <c r="AG90" s="40">
        <v>3462.9337</v>
      </c>
      <c r="AH90" s="148">
        <v>0.65847626056360753</v>
      </c>
      <c r="AI90" s="40">
        <v>3162.5309999999999</v>
      </c>
      <c r="AJ90" s="40">
        <v>300.40270000000004</v>
      </c>
      <c r="AK90" s="146">
        <v>8.6748036787421032E-2</v>
      </c>
      <c r="AM90" s="40">
        <v>193469.83100000001</v>
      </c>
      <c r="AN90" s="40">
        <v>123101.251</v>
      </c>
      <c r="AO90" s="41">
        <v>0.63628137970513865</v>
      </c>
      <c r="AP90" s="40">
        <v>114090.1</v>
      </c>
      <c r="AQ90" s="40">
        <v>9011.1509999999998</v>
      </c>
      <c r="AR90" s="146">
        <v>7.3201132618871595E-2</v>
      </c>
      <c r="AS90" s="41"/>
    </row>
    <row r="91" spans="7:45">
      <c r="P91" s="21" t="s">
        <v>614</v>
      </c>
      <c r="Q91" s="11">
        <v>3579900</v>
      </c>
      <c r="R91" s="11">
        <v>1771500</v>
      </c>
      <c r="S91" s="11">
        <v>45200</v>
      </c>
      <c r="T91" s="11">
        <v>359400</v>
      </c>
      <c r="U91" s="11">
        <v>300700</v>
      </c>
      <c r="V91" s="11">
        <v>96000</v>
      </c>
      <c r="W91" s="11">
        <v>1007200</v>
      </c>
      <c r="Y91" s="21" t="s">
        <v>614</v>
      </c>
      <c r="Z91" s="11">
        <v>73956000</v>
      </c>
      <c r="AA91" s="11">
        <v>51985000</v>
      </c>
      <c r="AB91" s="11">
        <v>19281000</v>
      </c>
      <c r="AC91" s="11">
        <v>2690000</v>
      </c>
      <c r="AE91" s="37" t="s">
        <v>610</v>
      </c>
      <c r="AF91" s="40">
        <v>5294.1</v>
      </c>
      <c r="AG91" s="40">
        <v>3517.1</v>
      </c>
      <c r="AH91" s="148">
        <v>0.664343325588863</v>
      </c>
      <c r="AI91" s="40">
        <v>3193.5</v>
      </c>
      <c r="AJ91" s="40">
        <v>323.60000000000002</v>
      </c>
      <c r="AK91" s="146">
        <v>9.2007619914133809E-2</v>
      </c>
      <c r="AM91" s="40">
        <v>192845</v>
      </c>
      <c r="AN91" s="40">
        <v>123762</v>
      </c>
      <c r="AO91" s="41">
        <v>0.64176646996990638</v>
      </c>
      <c r="AP91" s="40">
        <v>113716</v>
      </c>
      <c r="AQ91" s="40">
        <v>10045</v>
      </c>
      <c r="AR91" s="146">
        <v>8.1167797053572521E-2</v>
      </c>
      <c r="AS91" s="41"/>
    </row>
    <row r="92" spans="7:45">
      <c r="G92" s="21" t="s">
        <v>614</v>
      </c>
      <c r="H92" s="11">
        <v>116457000</v>
      </c>
      <c r="I92" s="11">
        <v>78208000</v>
      </c>
      <c r="J92" s="11">
        <v>58657000</v>
      </c>
      <c r="K92" s="11">
        <v>5064000</v>
      </c>
      <c r="L92" s="11">
        <v>14399000</v>
      </c>
      <c r="M92" s="11">
        <v>28000</v>
      </c>
      <c r="N92" s="11">
        <v>38249000</v>
      </c>
      <c r="P92" s="21" t="s">
        <v>27</v>
      </c>
      <c r="Q92" s="23">
        <v>1</v>
      </c>
      <c r="R92" s="23">
        <v>0.49484622475488144</v>
      </c>
      <c r="S92" s="23">
        <v>1.262605100701137E-2</v>
      </c>
      <c r="T92" s="23">
        <v>0.10039386575043996</v>
      </c>
      <c r="U92" s="23">
        <v>8.3996759686024755E-2</v>
      </c>
      <c r="V92" s="23">
        <v>2.6816391519316182E-2</v>
      </c>
      <c r="W92" s="23">
        <v>0.28134864102349227</v>
      </c>
      <c r="Y92" s="21" t="s">
        <v>27</v>
      </c>
      <c r="Z92" s="23">
        <v>1</v>
      </c>
      <c r="AA92" s="23">
        <v>0.7029179512142355</v>
      </c>
      <c r="AB92" s="23">
        <v>0.26070907025799123</v>
      </c>
      <c r="AC92" s="23">
        <v>3.637297852777327E-2</v>
      </c>
      <c r="AE92" s="37" t="s">
        <v>611</v>
      </c>
      <c r="AF92" s="40">
        <v>5316.7</v>
      </c>
      <c r="AG92" s="40">
        <v>3580.1</v>
      </c>
      <c r="AH92" s="148">
        <v>0.67336881900426959</v>
      </c>
      <c r="AI92" s="40">
        <v>3233.7</v>
      </c>
      <c r="AJ92" s="40">
        <v>346.4</v>
      </c>
      <c r="AK92" s="146">
        <v>9.6757073824753501E-2</v>
      </c>
      <c r="AM92" s="40">
        <v>192259</v>
      </c>
      <c r="AN92" s="40">
        <v>124525</v>
      </c>
      <c r="AO92" s="41">
        <v>0.64769399611981748</v>
      </c>
      <c r="AP92" s="40">
        <v>113359</v>
      </c>
      <c r="AQ92" s="40">
        <v>11166</v>
      </c>
      <c r="AR92" s="146">
        <v>8.9668741216623174E-2</v>
      </c>
    </row>
    <row r="93" spans="7:45">
      <c r="G93" s="21" t="s">
        <v>27</v>
      </c>
      <c r="H93" s="23">
        <v>1</v>
      </c>
      <c r="I93" s="23">
        <v>0.67156117708682173</v>
      </c>
      <c r="J93" s="23">
        <v>0.50367946967550259</v>
      </c>
      <c r="K93" s="23">
        <v>4.3483860995904067E-2</v>
      </c>
      <c r="L93" s="23">
        <v>0.12364220270142627</v>
      </c>
      <c r="M93" s="23">
        <v>2.4043209081463544E-4</v>
      </c>
      <c r="N93" s="23">
        <v>0.32843882291317827</v>
      </c>
      <c r="AE93" s="37" t="s">
        <v>612</v>
      </c>
      <c r="AF93" s="40">
        <v>5195.3</v>
      </c>
      <c r="AG93" s="40">
        <v>3492.7</v>
      </c>
      <c r="AH93" s="148">
        <v>0.67228071526187139</v>
      </c>
      <c r="AI93" s="40">
        <v>3176.9</v>
      </c>
      <c r="AJ93" s="40">
        <v>315.8</v>
      </c>
      <c r="AK93" s="146">
        <v>9.0417155782059722E-2</v>
      </c>
      <c r="AM93" s="40">
        <v>191115</v>
      </c>
      <c r="AN93" s="40">
        <v>124836</v>
      </c>
      <c r="AO93" s="41">
        <v>0.65319833608037048</v>
      </c>
      <c r="AP93" s="40">
        <v>113610</v>
      </c>
      <c r="AQ93" s="40">
        <v>11226</v>
      </c>
      <c r="AR93" s="146">
        <v>8.9925982889551087E-2</v>
      </c>
    </row>
    <row r="94" spans="7:45">
      <c r="P94" s="21" t="s">
        <v>615</v>
      </c>
      <c r="Q94" s="11">
        <v>3579000</v>
      </c>
      <c r="R94" s="11">
        <v>1807400</v>
      </c>
      <c r="S94" s="11">
        <v>48200</v>
      </c>
      <c r="T94" s="11">
        <v>364500</v>
      </c>
      <c r="U94" s="11">
        <v>288500</v>
      </c>
      <c r="V94" s="11">
        <v>94900</v>
      </c>
      <c r="W94" s="11">
        <v>975500</v>
      </c>
      <c r="Y94" s="21" t="s">
        <v>615</v>
      </c>
      <c r="Z94" s="11">
        <v>73300000</v>
      </c>
      <c r="AA94" s="11">
        <v>50900000</v>
      </c>
      <c r="AB94" s="11">
        <v>19800000</v>
      </c>
      <c r="AC94" s="11">
        <v>2500000</v>
      </c>
      <c r="AE94" s="37" t="s">
        <v>613</v>
      </c>
      <c r="AF94" s="40">
        <v>5121.3999999999996</v>
      </c>
      <c r="AG94" s="40">
        <v>3424.5</v>
      </c>
      <c r="AH94" s="148">
        <v>0.66866481821376977</v>
      </c>
      <c r="AI94" s="40">
        <v>3205.5</v>
      </c>
      <c r="AJ94" s="40">
        <v>219</v>
      </c>
      <c r="AK94" s="146">
        <v>6.3950941743320194E-2</v>
      </c>
      <c r="AM94" s="40">
        <v>189774</v>
      </c>
      <c r="AN94" s="40">
        <v>124785</v>
      </c>
      <c r="AO94" s="41">
        <v>0.65754529071421797</v>
      </c>
      <c r="AP94" s="40">
        <v>116401</v>
      </c>
      <c r="AQ94" s="40">
        <v>8384</v>
      </c>
      <c r="AR94" s="146">
        <v>6.7187562607685214E-2</v>
      </c>
      <c r="AS94" s="121"/>
    </row>
    <row r="95" spans="7:45">
      <c r="G95" s="21" t="s">
        <v>615</v>
      </c>
      <c r="H95" s="11">
        <v>115300000</v>
      </c>
      <c r="I95" s="11">
        <v>78000000</v>
      </c>
      <c r="J95" s="11">
        <v>58600000</v>
      </c>
      <c r="K95" s="11">
        <v>5100000</v>
      </c>
      <c r="L95" s="11">
        <v>14200000</v>
      </c>
      <c r="M95" s="11">
        <v>0</v>
      </c>
      <c r="N95" s="11">
        <v>37300000</v>
      </c>
      <c r="P95" s="21" t="s">
        <v>27</v>
      </c>
      <c r="Q95" s="23">
        <v>1</v>
      </c>
      <c r="R95" s="23">
        <v>0.50499786162542815</v>
      </c>
      <c r="S95" s="23">
        <v>1.34778669301276E-2</v>
      </c>
      <c r="T95" s="23">
        <v>0.1018520414731242</v>
      </c>
      <c r="U95" s="23">
        <v>8.0603221139475739E-2</v>
      </c>
      <c r="V95" s="23">
        <v>2.650479556295704E-2</v>
      </c>
      <c r="W95" s="23">
        <v>0.27256421326888736</v>
      </c>
      <c r="Y95" s="21" t="s">
        <v>27</v>
      </c>
      <c r="Z95" s="23">
        <v>1</v>
      </c>
      <c r="AA95" s="23">
        <v>0.69440654843110505</v>
      </c>
      <c r="AB95" s="23">
        <v>0.27012278308321963</v>
      </c>
      <c r="AC95" s="23">
        <v>3.4106412005457026E-2</v>
      </c>
      <c r="AE95" s="37" t="s">
        <v>614</v>
      </c>
      <c r="AF95" s="40">
        <v>5199</v>
      </c>
      <c r="AG95" s="40">
        <v>3479</v>
      </c>
      <c r="AH95" s="148">
        <v>0.66916714752837081</v>
      </c>
      <c r="AI95" s="40">
        <v>3310</v>
      </c>
      <c r="AJ95" s="40">
        <v>169</v>
      </c>
      <c r="AK95" s="146">
        <v>4.8577177349813164E-2</v>
      </c>
      <c r="AM95" s="40">
        <v>188383</v>
      </c>
      <c r="AN95" s="40">
        <v>124562</v>
      </c>
      <c r="AO95" s="41">
        <v>0.66121677646072097</v>
      </c>
      <c r="AP95" s="40">
        <v>118947</v>
      </c>
      <c r="AQ95" s="40">
        <v>5615</v>
      </c>
      <c r="AR95" s="146">
        <v>4.5077953147829995E-2</v>
      </c>
      <c r="AS95" s="41"/>
    </row>
    <row r="96" spans="7:45">
      <c r="G96" s="21" t="s">
        <v>27</v>
      </c>
      <c r="H96" s="23">
        <v>1</v>
      </c>
      <c r="I96" s="23">
        <v>0.67649609713790115</v>
      </c>
      <c r="J96" s="23">
        <v>0.50823937554206422</v>
      </c>
      <c r="K96" s="23">
        <v>4.4232437120555072E-2</v>
      </c>
      <c r="L96" s="23">
        <v>0.12315698178664354</v>
      </c>
      <c r="M96" s="23">
        <v>0</v>
      </c>
      <c r="N96" s="23">
        <v>0.32350390286209885</v>
      </c>
      <c r="AE96" s="37" t="s">
        <v>615</v>
      </c>
      <c r="AF96" s="40">
        <v>5332</v>
      </c>
      <c r="AG96" s="40">
        <v>3573.1</v>
      </c>
      <c r="AH96" s="148">
        <v>0.67012378094523628</v>
      </c>
      <c r="AI96" s="40">
        <v>3401.8</v>
      </c>
      <c r="AJ96" s="40">
        <v>171.3</v>
      </c>
      <c r="AK96" s="146">
        <v>4.7941563348352867E-2</v>
      </c>
      <c r="AM96" s="40">
        <v>186700</v>
      </c>
      <c r="AN96" s="40">
        <v>123400</v>
      </c>
      <c r="AO96" s="41">
        <v>0.66095340117836099</v>
      </c>
      <c r="AP96" s="40">
        <v>118200</v>
      </c>
      <c r="AQ96" s="40">
        <v>5200</v>
      </c>
      <c r="AR96" s="146">
        <v>4.2139384116693678E-2</v>
      </c>
      <c r="AS96" s="41"/>
    </row>
    <row r="97" spans="7:45">
      <c r="P97" s="21" t="s">
        <v>616</v>
      </c>
      <c r="Q97" s="11">
        <v>3562100</v>
      </c>
      <c r="R97" s="11">
        <v>1780300</v>
      </c>
      <c r="S97" s="11">
        <v>59400</v>
      </c>
      <c r="T97" s="11">
        <v>354400</v>
      </c>
      <c r="U97" s="11">
        <v>294100</v>
      </c>
      <c r="V97" s="11">
        <v>101900</v>
      </c>
      <c r="W97" s="11">
        <v>972000</v>
      </c>
      <c r="Y97" s="21" t="s">
        <v>616</v>
      </c>
      <c r="Z97" s="11">
        <v>72700000</v>
      </c>
      <c r="AA97" s="11">
        <v>49600000</v>
      </c>
      <c r="AB97" s="11">
        <v>20600000</v>
      </c>
      <c r="AC97" s="11">
        <v>2500000</v>
      </c>
      <c r="AE97" s="37" t="s">
        <v>616</v>
      </c>
      <c r="AF97" s="40">
        <v>5390.0887499999999</v>
      </c>
      <c r="AG97" s="40">
        <v>3587.44875</v>
      </c>
      <c r="AH97" s="148">
        <v>0.6655639482745066</v>
      </c>
      <c r="AI97" s="40">
        <v>3427.3795</v>
      </c>
      <c r="AJ97" s="40">
        <v>160.06925000000001</v>
      </c>
      <c r="AK97" s="146">
        <v>4.4619243689544001E-2</v>
      </c>
      <c r="AM97" s="40">
        <v>184682.95550000001</v>
      </c>
      <c r="AN97" s="40">
        <v>121616.5705</v>
      </c>
      <c r="AO97" s="41">
        <v>0.65851540100569805</v>
      </c>
      <c r="AP97" s="40">
        <v>116078.6</v>
      </c>
      <c r="AQ97" s="40">
        <v>5537.9704999999994</v>
      </c>
      <c r="AR97" s="146">
        <v>4.5536315300060193E-2</v>
      </c>
      <c r="AS97" s="41"/>
    </row>
    <row r="98" spans="7:45">
      <c r="G98" s="21" t="s">
        <v>616</v>
      </c>
      <c r="H98" s="11">
        <v>113800000</v>
      </c>
      <c r="I98" s="11">
        <f>J98+K98+L98+M32016</f>
        <v>77100000</v>
      </c>
      <c r="J98" s="11">
        <v>58100000</v>
      </c>
      <c r="K98" s="11">
        <v>5000000</v>
      </c>
      <c r="L98" s="11">
        <v>14000000</v>
      </c>
      <c r="M98" s="11">
        <v>0</v>
      </c>
      <c r="N98" s="11">
        <v>36600000</v>
      </c>
      <c r="P98" s="21" t="s">
        <v>27</v>
      </c>
      <c r="Q98" s="23">
        <v>1</v>
      </c>
      <c r="R98" s="23">
        <v>0.49978945004351366</v>
      </c>
      <c r="S98" s="23">
        <v>1.6675556553718312E-2</v>
      </c>
      <c r="T98" s="23">
        <v>9.9491872771679632E-2</v>
      </c>
      <c r="U98" s="23">
        <v>8.2563656270177699E-2</v>
      </c>
      <c r="V98" s="23">
        <v>2.8606720754611042E-2</v>
      </c>
      <c r="W98" s="23">
        <v>0.27287274360629965</v>
      </c>
      <c r="Y98" s="21" t="s">
        <v>27</v>
      </c>
      <c r="Z98" s="23">
        <v>1</v>
      </c>
      <c r="AA98" s="23">
        <v>0.68225584594222832</v>
      </c>
      <c r="AB98" s="23">
        <v>0.28335625859697389</v>
      </c>
      <c r="AC98" s="23">
        <v>3.4387895460797797E-2</v>
      </c>
      <c r="AE98" s="37" t="s">
        <v>617</v>
      </c>
      <c r="AF98" s="40">
        <v>5330</v>
      </c>
      <c r="AG98" s="40">
        <v>3540</v>
      </c>
      <c r="AH98" s="148">
        <v>0.66416737491012268</v>
      </c>
      <c r="AI98" s="40">
        <v>3368</v>
      </c>
      <c r="AJ98" s="40">
        <v>173</v>
      </c>
      <c r="AK98" s="146">
        <v>4.8759134619309287E-2</v>
      </c>
      <c r="AM98" s="40">
        <v>182851</v>
      </c>
      <c r="AN98" s="40">
        <v>120445</v>
      </c>
      <c r="AO98" s="41">
        <v>0.65870703030981181</v>
      </c>
      <c r="AP98" s="40">
        <v>114280</v>
      </c>
      <c r="AQ98" s="40">
        <v>6165</v>
      </c>
      <c r="AR98" s="146">
        <v>5.1185048848215293E-2</v>
      </c>
      <c r="AS98" s="41"/>
    </row>
    <row r="99" spans="7:45">
      <c r="G99" s="21" t="s">
        <v>27</v>
      </c>
      <c r="H99" s="23">
        <v>1</v>
      </c>
      <c r="I99" s="23">
        <f>I98/H98</f>
        <v>0.67750439367311077</v>
      </c>
      <c r="J99" s="23">
        <v>0.51054481546572938</v>
      </c>
      <c r="K99" s="23">
        <v>4.3936731107205626E-2</v>
      </c>
      <c r="L99" s="23">
        <v>0.12302284710017575</v>
      </c>
      <c r="M99" s="23">
        <v>0</v>
      </c>
      <c r="N99" s="23">
        <v>0.32161687170474518</v>
      </c>
      <c r="P99" s="20"/>
      <c r="Y99" s="20"/>
      <c r="AE99" s="37" t="s">
        <v>618</v>
      </c>
      <c r="AF99" s="40">
        <v>5312</v>
      </c>
      <c r="AG99" s="40">
        <v>3523</v>
      </c>
      <c r="AH99" s="148">
        <v>0.66311202748952003</v>
      </c>
      <c r="AI99" s="40">
        <v>3339</v>
      </c>
      <c r="AJ99" s="40">
        <v>183</v>
      </c>
      <c r="AK99" s="146">
        <v>5.2076043998363776E-2</v>
      </c>
      <c r="AM99" s="40">
        <v>181306</v>
      </c>
      <c r="AN99" s="40">
        <v>120067</v>
      </c>
      <c r="AO99" s="41">
        <v>0.66223179633021501</v>
      </c>
      <c r="AP99" s="40">
        <v>113405</v>
      </c>
      <c r="AQ99" s="40">
        <v>6662</v>
      </c>
      <c r="AR99" s="146">
        <v>5.5486937435786983E-2</v>
      </c>
      <c r="AS99" s="41"/>
    </row>
    <row r="100" spans="7:45">
      <c r="G100" s="20"/>
      <c r="P100" s="21" t="s">
        <v>617</v>
      </c>
      <c r="Q100" s="11">
        <v>3540400</v>
      </c>
      <c r="R100" s="11">
        <v>1762700</v>
      </c>
      <c r="S100" s="11">
        <v>67100</v>
      </c>
      <c r="T100" s="11">
        <v>334300</v>
      </c>
      <c r="U100" s="11">
        <v>314400</v>
      </c>
      <c r="V100" s="11">
        <v>85800</v>
      </c>
      <c r="W100" s="11">
        <v>976100</v>
      </c>
      <c r="Y100" s="21" t="s">
        <v>617</v>
      </c>
      <c r="Z100" s="11">
        <v>72617700</v>
      </c>
      <c r="AA100" s="11">
        <v>49579100</v>
      </c>
      <c r="AB100" s="11">
        <v>20587200</v>
      </c>
      <c r="AC100" s="11">
        <v>2451400</v>
      </c>
      <c r="AE100" s="37" t="s">
        <v>619</v>
      </c>
      <c r="AF100" s="40">
        <v>5368</v>
      </c>
      <c r="AG100" s="40">
        <v>3472</v>
      </c>
      <c r="AH100" s="148">
        <v>0.64679582712369599</v>
      </c>
      <c r="AI100" s="40">
        <v>3284</v>
      </c>
      <c r="AJ100" s="40">
        <v>188</v>
      </c>
      <c r="AK100" s="146">
        <v>5.4234766788730182E-2</v>
      </c>
      <c r="AM100" s="40">
        <v>179970.47499999998</v>
      </c>
      <c r="AN100" s="40">
        <v>119815.545</v>
      </c>
      <c r="AO100" s="41">
        <v>0.6657511183431617</v>
      </c>
      <c r="AP100" s="40">
        <v>113118</v>
      </c>
      <c r="AQ100" s="40">
        <v>6697.5450000000001</v>
      </c>
      <c r="AR100" s="146">
        <v>5.5898798440552934E-2</v>
      </c>
      <c r="AS100" s="41"/>
    </row>
    <row r="101" spans="7:45">
      <c r="G101" s="21" t="s">
        <v>617</v>
      </c>
      <c r="H101" s="11">
        <v>112573000</v>
      </c>
      <c r="I101" s="11">
        <v>76614000</v>
      </c>
      <c r="J101" s="11">
        <v>57914000</v>
      </c>
      <c r="K101" s="11">
        <v>4789000</v>
      </c>
      <c r="L101" s="11">
        <v>13885000</v>
      </c>
      <c r="M101" s="11">
        <v>26000</v>
      </c>
      <c r="N101" s="11">
        <v>35959000</v>
      </c>
      <c r="P101" s="21" t="s">
        <v>27</v>
      </c>
      <c r="Q101" s="23">
        <v>1</v>
      </c>
      <c r="R101" s="23">
        <v>0.49788001161330109</v>
      </c>
      <c r="S101" s="23">
        <v>1.894801852453731E-2</v>
      </c>
      <c r="T101" s="23">
        <v>9.4435879055198388E-2</v>
      </c>
      <c r="U101" s="23">
        <v>8.8802031897509279E-2</v>
      </c>
      <c r="V101" s="23">
        <v>2.4240756987071822E-2</v>
      </c>
      <c r="W101" s="23">
        <v>0.27569330192238217</v>
      </c>
      <c r="Y101" s="21" t="s">
        <v>27</v>
      </c>
      <c r="Z101" s="23">
        <v>1</v>
      </c>
      <c r="AA101" s="23">
        <v>0.68274141628241702</v>
      </c>
      <c r="AB101" s="23">
        <v>0.28350105180939306</v>
      </c>
      <c r="AC101" s="23">
        <v>3.3757518137446346E-2</v>
      </c>
      <c r="AE101" s="37" t="s">
        <v>620</v>
      </c>
      <c r="AF101" s="40">
        <v>5195.4660000000003</v>
      </c>
      <c r="AG101" s="40">
        <v>3330.3589999999999</v>
      </c>
      <c r="AH101" s="148">
        <v>0.6410125674963516</v>
      </c>
      <c r="AI101" s="40">
        <v>3181.1779999999999</v>
      </c>
      <c r="AJ101" s="40">
        <v>149.18100000000001</v>
      </c>
      <c r="AK101" s="146">
        <v>4.4794269927055909E-2</v>
      </c>
      <c r="AM101" s="40">
        <v>177285.611</v>
      </c>
      <c r="AN101" s="40">
        <v>118738.621</v>
      </c>
      <c r="AO101" s="41">
        <v>0.66975892927937619</v>
      </c>
      <c r="AP101" s="40">
        <v>113072.6</v>
      </c>
      <c r="AQ101" s="40">
        <v>5666.0209999999997</v>
      </c>
      <c r="AR101" s="146">
        <v>4.7718433583627352E-2</v>
      </c>
      <c r="AS101" s="41"/>
    </row>
    <row r="102" spans="7:45">
      <c r="G102" s="21" t="s">
        <v>27</v>
      </c>
      <c r="H102" s="23">
        <v>1</v>
      </c>
      <c r="I102" s="23">
        <v>0.68056916599080941</v>
      </c>
      <c r="J102" s="23">
        <v>0.51445789447034851</v>
      </c>
      <c r="K102" s="23">
        <v>4.2540984480306569E-2</v>
      </c>
      <c r="L102" s="23">
        <v>0.12333910143719948</v>
      </c>
      <c r="M102" s="23">
        <v>2.3118560295488E-4</v>
      </c>
      <c r="N102" s="23">
        <v>0.31943101860035827</v>
      </c>
      <c r="AE102" s="2"/>
      <c r="AF102" s="2"/>
      <c r="AH102" s="116"/>
      <c r="AI102" s="2"/>
      <c r="AJ102" s="2"/>
      <c r="AK102" s="149"/>
      <c r="AR102" s="178"/>
      <c r="AS102" s="41"/>
    </row>
    <row r="103" spans="7:45">
      <c r="P103" s="21" t="s">
        <v>618</v>
      </c>
      <c r="Q103" s="11">
        <v>3536900</v>
      </c>
      <c r="R103" s="11">
        <v>1772000</v>
      </c>
      <c r="S103" s="11">
        <v>60800</v>
      </c>
      <c r="T103" s="11">
        <v>327400</v>
      </c>
      <c r="U103" s="11">
        <v>326700</v>
      </c>
      <c r="V103" s="11">
        <v>66800</v>
      </c>
      <c r="W103" s="11">
        <v>983200</v>
      </c>
      <c r="Y103" s="21" t="s">
        <v>618</v>
      </c>
      <c r="Z103" s="11">
        <v>72347000</v>
      </c>
      <c r="AA103" s="11">
        <v>49747000</v>
      </c>
      <c r="AB103" s="11">
        <v>20305000</v>
      </c>
      <c r="AC103" s="11">
        <v>2296000</v>
      </c>
      <c r="AE103" s="100" t="s">
        <v>484</v>
      </c>
      <c r="AF103" s="157" t="s">
        <v>521</v>
      </c>
      <c r="AG103" s="36"/>
      <c r="AH103" s="148"/>
      <c r="AI103" s="36"/>
      <c r="AJ103" s="36"/>
      <c r="AK103" s="147"/>
      <c r="AM103" s="157" t="s">
        <v>522</v>
      </c>
      <c r="AR103" s="178"/>
      <c r="AS103" s="41"/>
    </row>
    <row r="104" spans="7:45">
      <c r="G104" s="21" t="s">
        <v>618</v>
      </c>
      <c r="H104" s="11">
        <v>111639000</v>
      </c>
      <c r="I104" s="11">
        <v>75907000</v>
      </c>
      <c r="J104" s="11">
        <v>57519000</v>
      </c>
      <c r="K104" s="11">
        <v>4671000</v>
      </c>
      <c r="L104" s="11">
        <v>13689000</v>
      </c>
      <c r="M104" s="11">
        <v>27000</v>
      </c>
      <c r="N104" s="11">
        <v>35732000</v>
      </c>
      <c r="P104" s="21" t="s">
        <v>27</v>
      </c>
      <c r="Q104" s="23">
        <v>1</v>
      </c>
      <c r="R104" s="23">
        <v>0.50101475636012338</v>
      </c>
      <c r="S104" s="23">
        <v>1.7188091888137951E-2</v>
      </c>
      <c r="T104" s="23">
        <v>9.2568977495595797E-2</v>
      </c>
      <c r="U104" s="23">
        <v>9.2356599484200913E-2</v>
      </c>
      <c r="V104" s="23">
        <v>1.8879431183517554E-2</v>
      </c>
      <c r="W104" s="23">
        <v>0.27799214358842428</v>
      </c>
      <c r="Y104" s="21" t="s">
        <v>27</v>
      </c>
      <c r="Z104" s="23">
        <v>1</v>
      </c>
      <c r="AA104" s="23">
        <v>0.6876162706719734</v>
      </c>
      <c r="AB104" s="23">
        <v>0.28065450911470841</v>
      </c>
      <c r="AC104" s="23">
        <v>3.1729227124421278E-2</v>
      </c>
      <c r="AE104" s="37" t="s">
        <v>557</v>
      </c>
      <c r="AF104" s="157">
        <v>1028</v>
      </c>
      <c r="AG104" s="36">
        <v>639</v>
      </c>
      <c r="AH104" s="148">
        <v>0.62079899999999999</v>
      </c>
      <c r="AI104" s="36">
        <v>600</v>
      </c>
      <c r="AJ104" s="36">
        <v>39</v>
      </c>
      <c r="AK104" s="147">
        <v>6.0608000000000002E-2</v>
      </c>
      <c r="AM104" s="113">
        <f>'[1]Table 5'!$G$22</f>
        <v>32381.21</v>
      </c>
      <c r="AN104" s="111">
        <f>'[1]Table 5'!$G$23</f>
        <v>20090.949999999997</v>
      </c>
      <c r="AO104" s="121">
        <f>AN104/AM104</f>
        <v>0.62045087258938125</v>
      </c>
      <c r="AP104" s="118">
        <f>'[1]Table 5'!$G$24</f>
        <v>18596.759999999998</v>
      </c>
      <c r="AQ104" s="118">
        <f>'[1]Table 5'!$G$25</f>
        <v>1494.19</v>
      </c>
      <c r="AR104" s="145">
        <f>AQ104/AN104</f>
        <v>7.4371296529034236E-2</v>
      </c>
      <c r="AS104" s="41"/>
    </row>
    <row r="105" spans="7:45">
      <c r="G105" s="21" t="s">
        <v>27</v>
      </c>
      <c r="H105" s="23">
        <v>1</v>
      </c>
      <c r="I105" s="23">
        <v>0.67992978010333327</v>
      </c>
      <c r="J105" s="23">
        <v>0.51522745676234427</v>
      </c>
      <c r="K105" s="23">
        <v>4.1839714328710087E-2</v>
      </c>
      <c r="L105" s="23">
        <v>0.12261821158951906</v>
      </c>
      <c r="M105" s="23">
        <v>2.4439742275982903E-4</v>
      </c>
      <c r="N105" s="23">
        <v>0.32007026231023622</v>
      </c>
      <c r="AE105" s="37" t="s">
        <v>495</v>
      </c>
      <c r="AF105" s="124">
        <f>996740.6/1000</f>
        <v>996.74059999999997</v>
      </c>
      <c r="AG105" s="124">
        <f>598899/1000</f>
        <v>598.899</v>
      </c>
      <c r="AH105" s="148">
        <f>AG105/AF105</f>
        <v>0.60085743472273534</v>
      </c>
      <c r="AI105" s="124">
        <f>562061.9/1000</f>
        <v>562.06190000000004</v>
      </c>
      <c r="AJ105" s="124">
        <f>36837.07/1000</f>
        <v>36.837069999999997</v>
      </c>
      <c r="AK105" s="148">
        <f>AJ105/AG105</f>
        <v>6.1507983816970806E-2</v>
      </c>
      <c r="AM105" s="113">
        <v>31938.1</v>
      </c>
      <c r="AN105" s="123">
        <v>19640.580000000002</v>
      </c>
      <c r="AO105" s="121">
        <f>AN105/AM105</f>
        <v>0.61495768376954174</v>
      </c>
      <c r="AP105" s="123">
        <v>17916.09</v>
      </c>
      <c r="AQ105" s="123">
        <v>1724.4939999999999</v>
      </c>
      <c r="AR105" s="145">
        <f>AQ105/AN105</f>
        <v>8.7802600534200095E-2</v>
      </c>
      <c r="AS105" s="41"/>
    </row>
    <row r="106" spans="7:45">
      <c r="P106" s="21" t="s">
        <v>619</v>
      </c>
      <c r="Q106" s="11">
        <v>3571600</v>
      </c>
      <c r="R106" s="11">
        <v>1820200</v>
      </c>
      <c r="S106" s="11">
        <v>60500</v>
      </c>
      <c r="T106" s="11">
        <v>327500</v>
      </c>
      <c r="U106" s="11">
        <v>321100</v>
      </c>
      <c r="V106" s="11">
        <v>83300</v>
      </c>
      <c r="W106" s="11">
        <v>959000</v>
      </c>
      <c r="Y106" s="21" t="s">
        <v>619</v>
      </c>
      <c r="Z106" s="11">
        <v>71873000</v>
      </c>
      <c r="AA106" s="11">
        <v>49791000</v>
      </c>
      <c r="AB106" s="11">
        <v>19938000</v>
      </c>
      <c r="AC106" s="11">
        <v>2143000</v>
      </c>
      <c r="AE106" s="37" t="s">
        <v>489</v>
      </c>
      <c r="AF106" s="36">
        <v>998</v>
      </c>
      <c r="AG106" s="36">
        <v>597</v>
      </c>
      <c r="AH106" s="148">
        <f>AG106/AF106</f>
        <v>0.59819639278557113</v>
      </c>
      <c r="AI106" s="36">
        <v>539</v>
      </c>
      <c r="AJ106" s="36">
        <v>58</v>
      </c>
      <c r="AK106" s="148">
        <f>AJ106/AG106</f>
        <v>9.7152428810720268E-2</v>
      </c>
      <c r="AM106" s="113">
        <v>31504</v>
      </c>
      <c r="AN106" s="123">
        <v>19196</v>
      </c>
      <c r="AO106" s="121">
        <f>AN106/AM106</f>
        <v>0.60931945149822242</v>
      </c>
      <c r="AP106" s="123">
        <v>17272</v>
      </c>
      <c r="AQ106" s="123">
        <v>1924</v>
      </c>
      <c r="AR106" s="145">
        <f>AQ106/AN106</f>
        <v>0.10022921441967077</v>
      </c>
      <c r="AS106" s="41"/>
    </row>
    <row r="107" spans="7:45">
      <c r="G107" s="21" t="s">
        <v>619</v>
      </c>
      <c r="H107" s="11">
        <v>110287000</v>
      </c>
      <c r="I107" s="11">
        <v>74962000</v>
      </c>
      <c r="J107" s="11">
        <v>57033000</v>
      </c>
      <c r="K107" s="11">
        <v>4529000</v>
      </c>
      <c r="L107" s="11">
        <v>13366000</v>
      </c>
      <c r="M107" s="11">
        <v>34000</v>
      </c>
      <c r="N107" s="11">
        <v>35325000</v>
      </c>
      <c r="P107" s="21" t="s">
        <v>27</v>
      </c>
      <c r="Q107" s="23">
        <v>1</v>
      </c>
      <c r="R107" s="23">
        <v>0.50964329527526941</v>
      </c>
      <c r="S107" s="23">
        <v>1.6948444482502833E-2</v>
      </c>
      <c r="T107" s="23">
        <v>9.1696096524273463E-2</v>
      </c>
      <c r="U107" s="23">
        <v>8.9893159128556194E-2</v>
      </c>
      <c r="V107" s="23">
        <v>2.3317434542790404E-2</v>
      </c>
      <c r="W107" s="23">
        <v>0.26850157004660763</v>
      </c>
      <c r="Y107" s="21" t="s">
        <v>27</v>
      </c>
      <c r="Z107" s="23">
        <v>1</v>
      </c>
      <c r="AA107" s="23">
        <v>0.69277268103568101</v>
      </c>
      <c r="AB107" s="23">
        <v>0.27740682103123704</v>
      </c>
      <c r="AC107" s="23">
        <v>2.9820567500515843E-2</v>
      </c>
      <c r="AE107" s="37" t="s">
        <v>607</v>
      </c>
      <c r="AF107" s="40">
        <v>993.46196000000009</v>
      </c>
      <c r="AG107" s="40">
        <v>591.36056000000008</v>
      </c>
      <c r="AH107" s="148">
        <v>0.5952523436327648</v>
      </c>
      <c r="AI107" s="40">
        <v>517.99270000000001</v>
      </c>
      <c r="AJ107" s="40">
        <v>73.367860000000007</v>
      </c>
      <c r="AK107" s="146">
        <v>0.12406620421219838</v>
      </c>
      <c r="AM107" s="40">
        <v>30988.141000000003</v>
      </c>
      <c r="AN107" s="40">
        <v>18878.221000000001</v>
      </c>
      <c r="AO107" s="41">
        <v>0.60920792247589162</v>
      </c>
      <c r="AP107" s="40">
        <v>16693.330000000002</v>
      </c>
      <c r="AQ107" s="40">
        <v>2184.8910000000001</v>
      </c>
      <c r="AR107" s="146">
        <v>0.11573606432512894</v>
      </c>
      <c r="AS107" s="41"/>
    </row>
    <row r="108" spans="7:45">
      <c r="G108" s="21" t="s">
        <v>27</v>
      </c>
      <c r="H108" s="23">
        <v>1</v>
      </c>
      <c r="I108" s="23">
        <v>0.67969933335332067</v>
      </c>
      <c r="J108" s="23">
        <v>0.51713388784065772</v>
      </c>
      <c r="K108" s="23">
        <v>4.1063000000000002E-2</v>
      </c>
      <c r="L108" s="23">
        <v>0.12119000000000001</v>
      </c>
      <c r="M108" s="23">
        <v>3.1169205340232572E-4</v>
      </c>
      <c r="N108" s="23">
        <v>0.32030087936364265</v>
      </c>
      <c r="AE108" s="37" t="s">
        <v>608</v>
      </c>
      <c r="AF108" s="40">
        <v>981.30172999999991</v>
      </c>
      <c r="AG108" s="40">
        <v>610.33862999999997</v>
      </c>
      <c r="AH108" s="148">
        <v>0.62196836237107223</v>
      </c>
      <c r="AI108" s="40">
        <v>530.88720000000001</v>
      </c>
      <c r="AJ108" s="40">
        <v>79.451429999999988</v>
      </c>
      <c r="AK108" s="146">
        <v>0.13017598115983581</v>
      </c>
      <c r="AM108" s="40">
        <v>30485.976000000002</v>
      </c>
      <c r="AN108" s="40">
        <v>18607.786</v>
      </c>
      <c r="AO108" s="41">
        <v>0.61037199530695685</v>
      </c>
      <c r="AP108" s="40">
        <v>16147.34</v>
      </c>
      <c r="AQ108" s="40">
        <v>2460.4459999999999</v>
      </c>
      <c r="AR108" s="146">
        <v>0.13222669263285808</v>
      </c>
      <c r="AS108" s="41"/>
    </row>
    <row r="109" spans="7:45">
      <c r="P109" s="21" t="s">
        <v>620</v>
      </c>
      <c r="Q109" s="11">
        <v>3501200</v>
      </c>
      <c r="R109" s="11">
        <v>1768900</v>
      </c>
      <c r="S109" s="11">
        <v>57700</v>
      </c>
      <c r="T109" s="11">
        <v>341200</v>
      </c>
      <c r="U109" s="11">
        <v>307700</v>
      </c>
      <c r="V109" s="11">
        <v>96000</v>
      </c>
      <c r="W109" s="11">
        <v>929700</v>
      </c>
      <c r="Y109" s="21" t="s">
        <v>620</v>
      </c>
      <c r="Z109" s="11">
        <v>71472000</v>
      </c>
      <c r="AA109" s="11">
        <v>49926000</v>
      </c>
      <c r="AB109" s="11">
        <v>19395000</v>
      </c>
      <c r="AC109" s="11">
        <v>2150000</v>
      </c>
      <c r="AE109" s="37" t="s">
        <v>609</v>
      </c>
      <c r="AF109" s="40">
        <v>969.47911999999997</v>
      </c>
      <c r="AG109" s="40">
        <v>617.22752000000003</v>
      </c>
      <c r="AH109" s="148">
        <v>0.63665891019911813</v>
      </c>
      <c r="AI109" s="40">
        <v>536.62950000000001</v>
      </c>
      <c r="AJ109" s="40">
        <v>80.598020000000005</v>
      </c>
      <c r="AK109" s="146">
        <v>0.13058072977692245</v>
      </c>
      <c r="AM109" s="40">
        <v>30021.245999999999</v>
      </c>
      <c r="AN109" s="40">
        <v>18354.146000000001</v>
      </c>
      <c r="AO109" s="41">
        <v>0.61137189309197892</v>
      </c>
      <c r="AP109" s="40">
        <v>15783.12</v>
      </c>
      <c r="AQ109" s="40">
        <v>2571.0259999999998</v>
      </c>
      <c r="AR109" s="146">
        <v>0.14007875931683228</v>
      </c>
    </row>
    <row r="110" spans="7:45">
      <c r="G110" s="21" t="s">
        <v>620</v>
      </c>
      <c r="H110" s="11">
        <v>107857000</v>
      </c>
      <c r="I110" s="11">
        <v>73352000</v>
      </c>
      <c r="J110" s="11">
        <v>56173000</v>
      </c>
      <c r="K110" s="11">
        <v>4330000</v>
      </c>
      <c r="L110" s="11">
        <v>12820000</v>
      </c>
      <c r="M110" s="11">
        <v>29000</v>
      </c>
      <c r="N110" s="11">
        <v>34505000</v>
      </c>
      <c r="P110" s="213" t="s">
        <v>27</v>
      </c>
      <c r="Q110" s="23">
        <v>1</v>
      </c>
      <c r="R110" s="23">
        <v>0.50522677938992344</v>
      </c>
      <c r="S110" s="23">
        <v>1.6480063978064664E-2</v>
      </c>
      <c r="T110" s="23">
        <v>9.7452302067862442E-2</v>
      </c>
      <c r="U110" s="23">
        <v>8.7884154004341367E-2</v>
      </c>
      <c r="V110" s="23">
        <v>2.7419170570090256E-2</v>
      </c>
      <c r="W110" s="23">
        <v>0.2655375299897178</v>
      </c>
      <c r="Y110" s="53" t="s">
        <v>27</v>
      </c>
      <c r="Z110" s="52">
        <v>1</v>
      </c>
      <c r="AA110" s="52">
        <v>0.69854196967356352</v>
      </c>
      <c r="AB110" s="52">
        <v>0.27137110083632526</v>
      </c>
      <c r="AC110" s="52">
        <v>3.0086964468925823E-2</v>
      </c>
      <c r="AE110" s="37" t="s">
        <v>610</v>
      </c>
      <c r="AF110" s="40">
        <v>937.5</v>
      </c>
      <c r="AG110" s="40">
        <v>584.1</v>
      </c>
      <c r="AH110" s="148">
        <v>0.62304000000000004</v>
      </c>
      <c r="AI110" s="40">
        <v>491</v>
      </c>
      <c r="AJ110" s="40">
        <v>93.1</v>
      </c>
      <c r="AK110" s="146">
        <v>0.1593905153227187</v>
      </c>
      <c r="AM110" s="40">
        <v>29397</v>
      </c>
      <c r="AN110" s="40">
        <v>17918</v>
      </c>
      <c r="AO110" s="41">
        <v>0.60952481627816335</v>
      </c>
      <c r="AP110" s="40">
        <v>15205</v>
      </c>
      <c r="AQ110" s="40">
        <v>2713</v>
      </c>
      <c r="AR110" s="146">
        <v>0.15143466705212622</v>
      </c>
    </row>
    <row r="111" spans="7:45">
      <c r="G111" s="53" t="s">
        <v>27</v>
      </c>
      <c r="H111" s="52">
        <v>1</v>
      </c>
      <c r="I111" s="52">
        <v>0.68008437869162774</v>
      </c>
      <c r="J111" s="52">
        <v>0.52080545685033452</v>
      </c>
      <c r="K111" s="52">
        <v>4.0145853399977803E-2</v>
      </c>
      <c r="L111" s="52">
        <v>0.11886118763396036</v>
      </c>
      <c r="M111" s="52">
        <v>2.7188080735496154E-4</v>
      </c>
      <c r="N111" s="52">
        <v>0.31991583881835867</v>
      </c>
      <c r="AE111" s="37" t="s">
        <v>611</v>
      </c>
      <c r="AF111" s="40">
        <v>916.6</v>
      </c>
      <c r="AG111" s="40">
        <v>586</v>
      </c>
      <c r="AH111" s="148">
        <v>0.63931922321623391</v>
      </c>
      <c r="AI111" s="40">
        <v>473.4</v>
      </c>
      <c r="AJ111" s="40">
        <v>112.6</v>
      </c>
      <c r="AK111" s="146">
        <v>0.19215017064846415</v>
      </c>
      <c r="AM111" s="40">
        <v>28797</v>
      </c>
      <c r="AN111" s="40">
        <v>17675</v>
      </c>
      <c r="AO111" s="41">
        <v>0.61377921311247696</v>
      </c>
      <c r="AP111" s="40">
        <v>14792</v>
      </c>
      <c r="AQ111" s="40">
        <v>2883</v>
      </c>
      <c r="AR111" s="146">
        <v>0.16311173974540311</v>
      </c>
      <c r="AS111" s="121"/>
    </row>
    <row r="112" spans="7:45">
      <c r="P112" s="33" t="s">
        <v>523</v>
      </c>
      <c r="W112" s="32"/>
      <c r="Y112" s="25" t="s">
        <v>67</v>
      </c>
      <c r="AE112" s="37" t="s">
        <v>612</v>
      </c>
      <c r="AF112" s="40">
        <v>905.4</v>
      </c>
      <c r="AG112" s="40">
        <v>569.29999999999995</v>
      </c>
      <c r="AH112" s="148">
        <v>0.62878285840512482</v>
      </c>
      <c r="AI112" s="40">
        <v>484.7</v>
      </c>
      <c r="AJ112" s="40">
        <v>84.6</v>
      </c>
      <c r="AK112" s="146">
        <v>0.14860354821710872</v>
      </c>
      <c r="AM112" s="40">
        <v>28354</v>
      </c>
      <c r="AN112" s="40">
        <v>17626</v>
      </c>
      <c r="AO112" s="41">
        <v>0.62164068561754959</v>
      </c>
      <c r="AP112" s="40">
        <v>14910</v>
      </c>
      <c r="AQ112" s="40">
        <v>2716</v>
      </c>
      <c r="AR112" s="146">
        <v>0.15409054805401112</v>
      </c>
      <c r="AS112" s="41"/>
    </row>
    <row r="113" spans="7:45">
      <c r="G113" s="25" t="s">
        <v>598</v>
      </c>
      <c r="P113" s="21" t="s">
        <v>557</v>
      </c>
      <c r="Q113" s="11">
        <f>'[1]Table 3'!$F$6</f>
        <v>126549.592</v>
      </c>
      <c r="R113" s="119">
        <f>'[1]Table 3'!$C$7</f>
        <v>63548.24</v>
      </c>
      <c r="S113" s="119">
        <f>'[1]Table 3'!$C$9</f>
        <v>2076.7689999999998</v>
      </c>
      <c r="T113" s="119">
        <f>'[1]Table 3'!$C$11</f>
        <v>3348.0540000000001</v>
      </c>
      <c r="U113" s="119">
        <f>'[1]Table 3'!$C$13</f>
        <v>10987.36</v>
      </c>
      <c r="V113" s="119">
        <f>'[1]Table 3'!$C$15</f>
        <v>2217.009</v>
      </c>
      <c r="W113" s="119">
        <f>'[1]Table 3'!$C$17</f>
        <v>44372.160000000003</v>
      </c>
      <c r="Y113" s="25" t="s">
        <v>599</v>
      </c>
      <c r="AE113" s="37" t="s">
        <v>613</v>
      </c>
      <c r="AF113" s="40">
        <v>885.9</v>
      </c>
      <c r="AG113" s="40">
        <v>533.6</v>
      </c>
      <c r="AH113" s="148">
        <v>0.60232531888475005</v>
      </c>
      <c r="AI113" s="40">
        <v>483.8</v>
      </c>
      <c r="AJ113" s="40">
        <v>49.8</v>
      </c>
      <c r="AK113" s="146">
        <v>9.3328335832083942E-2</v>
      </c>
      <c r="AM113" s="40">
        <v>27913</v>
      </c>
      <c r="AN113" s="40">
        <v>17531</v>
      </c>
      <c r="AO113" s="41">
        <v>0.62805861068319424</v>
      </c>
      <c r="AP113" s="40">
        <v>15457</v>
      </c>
      <c r="AQ113" s="40">
        <v>2074</v>
      </c>
      <c r="AR113" s="146">
        <v>0.11830471735782329</v>
      </c>
      <c r="AS113" s="41"/>
    </row>
    <row r="114" spans="7:45">
      <c r="G114" s="27" t="s">
        <v>573</v>
      </c>
      <c r="P114" s="21" t="s">
        <v>27</v>
      </c>
      <c r="Q114" s="115">
        <f>SUM(R114:W114)</f>
        <v>1</v>
      </c>
      <c r="R114" s="112">
        <f>R113/$Q$113</f>
        <v>0.50216076555979727</v>
      </c>
      <c r="S114" s="112">
        <f t="shared" ref="S114:W114" si="18">S113/$Q$113</f>
        <v>1.6410712726754581E-2</v>
      </c>
      <c r="T114" s="112">
        <f t="shared" si="18"/>
        <v>2.6456458271315486E-2</v>
      </c>
      <c r="U114" s="112">
        <f t="shared" si="18"/>
        <v>8.6822563600205044E-2</v>
      </c>
      <c r="V114" s="112">
        <f t="shared" si="18"/>
        <v>1.7518894885097693E-2</v>
      </c>
      <c r="W114" s="112">
        <f t="shared" si="18"/>
        <v>0.35063060495682991</v>
      </c>
      <c r="Y114" s="25" t="s">
        <v>68</v>
      </c>
      <c r="AE114" s="37" t="s">
        <v>614</v>
      </c>
      <c r="AF114" s="40">
        <v>896</v>
      </c>
      <c r="AG114" s="40">
        <v>560</v>
      </c>
      <c r="AH114" s="148">
        <v>0.625</v>
      </c>
      <c r="AI114" s="40">
        <v>516</v>
      </c>
      <c r="AJ114" s="40">
        <v>44</v>
      </c>
      <c r="AK114" s="146">
        <v>7.857142857142857E-2</v>
      </c>
      <c r="AM114" s="40">
        <v>27527</v>
      </c>
      <c r="AN114" s="40">
        <v>17438</v>
      </c>
      <c r="AO114" s="41">
        <v>0.63348712173502375</v>
      </c>
      <c r="AP114" s="40">
        <v>15880</v>
      </c>
      <c r="AQ114" s="40">
        <v>1558</v>
      </c>
      <c r="AR114" s="146">
        <v>8.9345108383988986E-2</v>
      </c>
      <c r="AS114" s="41"/>
    </row>
    <row r="115" spans="7:45">
      <c r="P115" s="20"/>
      <c r="W115" s="32"/>
      <c r="Y115" s="25" t="s">
        <v>559</v>
      </c>
      <c r="AE115" s="37" t="s">
        <v>615</v>
      </c>
      <c r="AF115" s="40">
        <v>906.5</v>
      </c>
      <c r="AG115" s="40">
        <v>598.70000000000005</v>
      </c>
      <c r="AH115" s="148">
        <v>0.66045228902371766</v>
      </c>
      <c r="AI115" s="40">
        <v>533.20000000000005</v>
      </c>
      <c r="AJ115" s="40">
        <v>65.5</v>
      </c>
      <c r="AK115" s="146">
        <v>0.10940370803407384</v>
      </c>
      <c r="AM115" s="40">
        <v>27100</v>
      </c>
      <c r="AN115" s="40">
        <v>17200</v>
      </c>
      <c r="AO115" s="41">
        <v>0.63468634686346859</v>
      </c>
      <c r="AP115" s="40">
        <v>15600</v>
      </c>
      <c r="AQ115" s="40">
        <v>1600</v>
      </c>
      <c r="AR115" s="146">
        <v>9.3023255813953487E-2</v>
      </c>
      <c r="AS115" s="41"/>
    </row>
    <row r="116" spans="7:45">
      <c r="P116" s="21" t="s">
        <v>495</v>
      </c>
      <c r="Q116" s="11">
        <f>SUM(R116:W116)</f>
        <v>125450.94</v>
      </c>
      <c r="R116" s="119">
        <v>62989</v>
      </c>
      <c r="S116" s="119">
        <v>1974.49</v>
      </c>
      <c r="T116" s="119">
        <v>3379.12</v>
      </c>
      <c r="U116" s="119">
        <v>10812.71</v>
      </c>
      <c r="V116" s="119">
        <v>2231.86</v>
      </c>
      <c r="W116" s="119">
        <v>44063.76</v>
      </c>
      <c r="AE116" s="37" t="s">
        <v>616</v>
      </c>
      <c r="AF116" s="40">
        <v>909.58201499999984</v>
      </c>
      <c r="AG116" s="40">
        <v>594.8992149999998</v>
      </c>
      <c r="AH116" s="148">
        <v>0.654035815560843</v>
      </c>
      <c r="AI116" s="40">
        <v>529.79989999999987</v>
      </c>
      <c r="AJ116" s="40">
        <v>65.09931499999999</v>
      </c>
      <c r="AK116" s="146">
        <v>0.10942914927194855</v>
      </c>
      <c r="AM116" s="40">
        <v>26621.398000000001</v>
      </c>
      <c r="AN116" s="40">
        <v>16880.901000000002</v>
      </c>
      <c r="AO116" s="41">
        <v>0.63411023718589088</v>
      </c>
      <c r="AP116" s="40">
        <v>15115.54</v>
      </c>
      <c r="AQ116" s="40">
        <v>1765.3609999999999</v>
      </c>
      <c r="AR116" s="146">
        <v>0.10457741562491242</v>
      </c>
      <c r="AS116" s="41"/>
    </row>
    <row r="117" spans="7:45">
      <c r="P117" s="21" t="s">
        <v>27</v>
      </c>
      <c r="Q117" s="115">
        <f>SUM(R117:W117)</f>
        <v>1</v>
      </c>
      <c r="R117" s="112">
        <f>R116/$Q$116</f>
        <v>0.50210066182046942</v>
      </c>
      <c r="S117" s="112">
        <f t="shared" ref="S117:W117" si="19">S116/$Q$116</f>
        <v>1.5739140735015617E-2</v>
      </c>
      <c r="T117" s="112">
        <f t="shared" si="19"/>
        <v>2.6935788603895672E-2</v>
      </c>
      <c r="U117" s="112">
        <f t="shared" si="19"/>
        <v>8.6190745163009536E-2</v>
      </c>
      <c r="V117" s="112">
        <f t="shared" si="19"/>
        <v>1.7790699695036164E-2</v>
      </c>
      <c r="W117" s="112">
        <f t="shared" si="19"/>
        <v>0.3512429639825736</v>
      </c>
      <c r="AE117" s="37" t="s">
        <v>617</v>
      </c>
      <c r="AF117" s="40">
        <v>895</v>
      </c>
      <c r="AG117" s="40">
        <v>567</v>
      </c>
      <c r="AH117" s="148">
        <v>0.63309633697163847</v>
      </c>
      <c r="AI117" s="40">
        <v>521</v>
      </c>
      <c r="AJ117" s="40">
        <v>46</v>
      </c>
      <c r="AK117" s="146">
        <v>8.045206286412146E-2</v>
      </c>
      <c r="AM117" s="40">
        <v>26154</v>
      </c>
      <c r="AN117" s="40">
        <v>16530</v>
      </c>
      <c r="AO117" s="41">
        <v>0.63202744877251915</v>
      </c>
      <c r="AP117" s="40">
        <v>14757</v>
      </c>
      <c r="AQ117" s="40">
        <v>1773</v>
      </c>
      <c r="AR117" s="146">
        <v>0.1072697950560843</v>
      </c>
      <c r="AS117" s="41"/>
    </row>
    <row r="118" spans="7:45">
      <c r="P118" s="20"/>
      <c r="W118" s="32"/>
      <c r="AE118" s="37" t="s">
        <v>618</v>
      </c>
      <c r="AF118" s="40">
        <v>888</v>
      </c>
      <c r="AG118" s="40">
        <v>579</v>
      </c>
      <c r="AH118" s="148">
        <v>0.65222091943934168</v>
      </c>
      <c r="AI118" s="40">
        <v>519</v>
      </c>
      <c r="AJ118" s="40">
        <v>60</v>
      </c>
      <c r="AK118" s="146">
        <v>0.10389398191997674</v>
      </c>
      <c r="AM118" s="40">
        <v>25739</v>
      </c>
      <c r="AN118" s="40">
        <v>16323</v>
      </c>
      <c r="AO118" s="41">
        <v>0.63418241047078283</v>
      </c>
      <c r="AP118" s="40">
        <v>14534</v>
      </c>
      <c r="AQ118" s="40">
        <v>1790</v>
      </c>
      <c r="AR118" s="146">
        <v>0.1096369763207391</v>
      </c>
      <c r="AS118" s="41"/>
    </row>
    <row r="119" spans="7:45">
      <c r="P119" s="21" t="s">
        <v>489</v>
      </c>
      <c r="Q119" s="11">
        <f>SUM(R119:W119)</f>
        <v>124394.64899999999</v>
      </c>
      <c r="R119" s="119">
        <v>62434.69</v>
      </c>
      <c r="S119" s="119">
        <v>1858.652</v>
      </c>
      <c r="T119" s="119">
        <v>3373.4340000000002</v>
      </c>
      <c r="U119" s="119">
        <v>10837.9</v>
      </c>
      <c r="V119" s="119">
        <v>2234.5630000000001</v>
      </c>
      <c r="W119" s="119">
        <v>43655.41</v>
      </c>
      <c r="AE119" s="37" t="s">
        <v>619</v>
      </c>
      <c r="AF119" s="40">
        <v>889</v>
      </c>
      <c r="AG119" s="40">
        <v>601</v>
      </c>
      <c r="AH119" s="148">
        <v>0.67643892456209209</v>
      </c>
      <c r="AI119" s="40">
        <v>533</v>
      </c>
      <c r="AJ119" s="40">
        <v>68</v>
      </c>
      <c r="AK119" s="146">
        <v>0.11362971368342799</v>
      </c>
      <c r="AM119" s="40">
        <v>25495.881999999998</v>
      </c>
      <c r="AN119" s="40">
        <v>16398</v>
      </c>
      <c r="AO119" s="41">
        <v>0.64316268799800691</v>
      </c>
      <c r="AP119" s="40">
        <v>14587.9</v>
      </c>
      <c r="AQ119" s="40">
        <v>1810.0844999999999</v>
      </c>
      <c r="AR119" s="146">
        <v>0.11038446761800219</v>
      </c>
      <c r="AS119" s="41"/>
    </row>
    <row r="120" spans="7:45">
      <c r="P120" s="21" t="s">
        <v>27</v>
      </c>
      <c r="Q120" s="115">
        <f>SUM(R120:W120)</f>
        <v>1</v>
      </c>
      <c r="R120" s="112">
        <f>R119/$Q$119</f>
        <v>0.50190816487612744</v>
      </c>
      <c r="S120" s="112">
        <f t="shared" ref="S120:W120" si="20">S119/$Q$119</f>
        <v>1.4941575179813404E-2</v>
      </c>
      <c r="T120" s="112">
        <f t="shared" si="20"/>
        <v>2.7118803156878559E-2</v>
      </c>
      <c r="U120" s="112">
        <f t="shared" si="20"/>
        <v>8.7125130277910912E-2</v>
      </c>
      <c r="V120" s="112">
        <f t="shared" si="20"/>
        <v>1.7963497770711989E-2</v>
      </c>
      <c r="W120" s="112">
        <f t="shared" si="20"/>
        <v>0.35094282873855775</v>
      </c>
      <c r="AE120" s="37" t="s">
        <v>620</v>
      </c>
      <c r="AF120" s="40">
        <v>907.04688499999997</v>
      </c>
      <c r="AG120" s="40">
        <v>620.76838499999997</v>
      </c>
      <c r="AH120" s="148">
        <v>0.68438401064571208</v>
      </c>
      <c r="AI120" s="40">
        <v>566.54705000000001</v>
      </c>
      <c r="AJ120" s="40">
        <v>54.221335000000003</v>
      </c>
      <c r="AK120" s="146">
        <v>8.7345516154145E-2</v>
      </c>
      <c r="AM120" s="40">
        <v>25440.752500000002</v>
      </c>
      <c r="AN120" s="40">
        <v>16674.309000000001</v>
      </c>
      <c r="AO120" s="41">
        <v>0.65541728767653396</v>
      </c>
      <c r="AP120" s="40">
        <v>15048.67</v>
      </c>
      <c r="AQ120" s="40">
        <v>1625.6389999999999</v>
      </c>
      <c r="AR120" s="146">
        <v>9.749363526848398E-2</v>
      </c>
      <c r="AS120" s="41"/>
    </row>
    <row r="121" spans="7:45">
      <c r="P121" s="20"/>
      <c r="W121" s="32"/>
      <c r="AE121" s="37"/>
      <c r="AF121" s="40"/>
      <c r="AG121" s="110"/>
      <c r="AH121" s="148"/>
      <c r="AI121" s="36"/>
      <c r="AJ121" s="40"/>
      <c r="AK121" s="146"/>
      <c r="AR121" s="178"/>
      <c r="AS121" s="41"/>
    </row>
    <row r="122" spans="7:45">
      <c r="P122" s="21" t="s">
        <v>607</v>
      </c>
      <c r="Q122" s="11">
        <v>123056.016</v>
      </c>
      <c r="R122" s="11">
        <v>62095.16</v>
      </c>
      <c r="S122" s="11">
        <v>1869.806</v>
      </c>
      <c r="T122" s="11">
        <v>3171.7620000000002</v>
      </c>
      <c r="U122" s="11">
        <v>10807.7</v>
      </c>
      <c r="V122" s="11">
        <v>2285.9180000000001</v>
      </c>
      <c r="W122" s="11">
        <v>42825.67</v>
      </c>
      <c r="AE122" s="100" t="s">
        <v>484</v>
      </c>
      <c r="AF122" s="157" t="s">
        <v>524</v>
      </c>
      <c r="AG122" s="2"/>
      <c r="AH122" s="116"/>
      <c r="AI122" s="2"/>
      <c r="AJ122" s="2"/>
      <c r="AK122" s="149"/>
      <c r="AM122" s="157" t="s">
        <v>525</v>
      </c>
      <c r="AR122" s="178"/>
      <c r="AS122" s="41"/>
    </row>
    <row r="123" spans="7:45">
      <c r="P123" s="21" t="s">
        <v>27</v>
      </c>
      <c r="Q123" s="23">
        <v>1</v>
      </c>
      <c r="R123" s="23">
        <v>0.50460889291263911</v>
      </c>
      <c r="S123" s="23">
        <v>1.5194754883011977E-2</v>
      </c>
      <c r="T123" s="23">
        <v>2.5774944639845972E-2</v>
      </c>
      <c r="U123" s="23">
        <v>8.7827481754325615E-2</v>
      </c>
      <c r="V123" s="23">
        <v>1.8576239295769174E-2</v>
      </c>
      <c r="W123" s="23">
        <v>0.34801768651440818</v>
      </c>
      <c r="AE123" s="37" t="s">
        <v>557</v>
      </c>
      <c r="AF123" s="157">
        <v>710</v>
      </c>
      <c r="AG123" s="2">
        <v>468</v>
      </c>
      <c r="AH123" s="116">
        <v>0.65873899999999996</v>
      </c>
      <c r="AI123" s="2">
        <v>459</v>
      </c>
      <c r="AJ123" s="2">
        <v>9</v>
      </c>
      <c r="AK123" s="149">
        <v>1.8638999999999999E-2</v>
      </c>
      <c r="AM123" s="113">
        <f>'[1]Table 5'!$L$25</f>
        <v>19369.905299999999</v>
      </c>
      <c r="AN123" s="118">
        <f>'[1]Table 5'!$L$26</f>
        <v>12192.979299999999</v>
      </c>
      <c r="AO123" s="121">
        <f>AN123/AM123</f>
        <v>0.62948058398612816</v>
      </c>
      <c r="AP123" s="118">
        <f>'[1]Table 5'!$L$27</f>
        <v>11672.32</v>
      </c>
      <c r="AQ123" s="118">
        <f>'[1]Table 5'!$L$28</f>
        <v>520.65930000000003</v>
      </c>
      <c r="AR123" s="145">
        <f>AQ123/AN123</f>
        <v>4.2701565153973491E-2</v>
      </c>
      <c r="AS123" s="41"/>
    </row>
    <row r="124" spans="7:45">
      <c r="AE124" s="37" t="s">
        <v>495</v>
      </c>
      <c r="AF124" s="124">
        <f>784553.6/1000</f>
        <v>784.55359999999996</v>
      </c>
      <c r="AG124" s="125">
        <f>537471.4/1000</f>
        <v>537.47140000000002</v>
      </c>
      <c r="AH124" s="148">
        <f>AG124/AF124</f>
        <v>0.6850665142572796</v>
      </c>
      <c r="AI124" s="125">
        <f>526364.7/1000</f>
        <v>526.36469999999997</v>
      </c>
      <c r="AJ124" s="125">
        <f>11106.66/1000</f>
        <v>11.10666</v>
      </c>
      <c r="AK124" s="148">
        <f>AJ124/AG124</f>
        <v>2.0664653040143158E-2</v>
      </c>
      <c r="AM124" s="113">
        <v>18976.02</v>
      </c>
      <c r="AN124" s="123">
        <v>11990.99</v>
      </c>
      <c r="AO124" s="121">
        <f>AN124/AM124</f>
        <v>0.63190226401532035</v>
      </c>
      <c r="AP124" s="123">
        <v>11441.12</v>
      </c>
      <c r="AQ124" s="123">
        <v>549.87310000000002</v>
      </c>
      <c r="AR124" s="145">
        <f>AQ124/AN124</f>
        <v>4.5857189439737669E-2</v>
      </c>
      <c r="AS124" s="41"/>
    </row>
    <row r="125" spans="7:45">
      <c r="P125" s="21" t="s">
        <v>608</v>
      </c>
      <c r="Q125" s="11">
        <v>121762.391</v>
      </c>
      <c r="R125" s="11">
        <v>61635.37</v>
      </c>
      <c r="S125" s="11">
        <v>1760.5060000000001</v>
      </c>
      <c r="T125" s="11">
        <v>3097.931</v>
      </c>
      <c r="U125" s="11">
        <v>10808.4</v>
      </c>
      <c r="V125" s="11">
        <v>2372.694</v>
      </c>
      <c r="W125" s="11">
        <v>42087.49</v>
      </c>
      <c r="AE125" s="37" t="s">
        <v>489</v>
      </c>
      <c r="AF125" s="124">
        <v>755.16390000000001</v>
      </c>
      <c r="AG125" s="125">
        <v>513.41060000000004</v>
      </c>
      <c r="AH125" s="148">
        <f>AG125/AF125</f>
        <v>0.67986645018386083</v>
      </c>
      <c r="AI125" s="125">
        <v>495.99290000000002</v>
      </c>
      <c r="AJ125" s="125">
        <v>17.417649999999998</v>
      </c>
      <c r="AK125" s="148">
        <f>AJ125/AG125</f>
        <v>3.3925380582325332E-2</v>
      </c>
      <c r="AM125" s="113">
        <v>18507</v>
      </c>
      <c r="AN125" s="123">
        <v>11681</v>
      </c>
      <c r="AO125" s="121">
        <f>AN125/AM125</f>
        <v>0.63116658561625327</v>
      </c>
      <c r="AP125" s="123">
        <v>11125</v>
      </c>
      <c r="AQ125" s="123">
        <v>556</v>
      </c>
      <c r="AR125" s="145">
        <f>AQ125/AN125</f>
        <v>4.7598664497902579E-2</v>
      </c>
      <c r="AS125" s="41"/>
    </row>
    <row r="126" spans="7:45">
      <c r="P126" s="21" t="s">
        <v>27</v>
      </c>
      <c r="Q126" s="23">
        <v>1</v>
      </c>
      <c r="R126" s="23">
        <v>0.50619382137461477</v>
      </c>
      <c r="S126" s="23">
        <v>1.4458536708596663E-2</v>
      </c>
      <c r="T126" s="23">
        <v>2.5442429099474567E-2</v>
      </c>
      <c r="U126" s="23">
        <v>8.876632522763124E-2</v>
      </c>
      <c r="V126" s="23">
        <v>1.9486263209138197E-2</v>
      </c>
      <c r="W126" s="23">
        <v>0.34565262438054456</v>
      </c>
      <c r="AE126" s="37" t="s">
        <v>607</v>
      </c>
      <c r="AF126" s="40">
        <v>775.71668999999997</v>
      </c>
      <c r="AG126" s="40">
        <v>523.86315000000002</v>
      </c>
      <c r="AH126" s="148">
        <v>0.67532793448082196</v>
      </c>
      <c r="AI126" s="40">
        <v>496.86016999999998</v>
      </c>
      <c r="AJ126" s="40">
        <v>27.002980000000004</v>
      </c>
      <c r="AK126" s="146">
        <v>5.154586651112987E-2</v>
      </c>
      <c r="AM126" s="40">
        <v>21899.698200000003</v>
      </c>
      <c r="AN126" s="40">
        <v>13765.840200000001</v>
      </c>
      <c r="AO126" s="41">
        <v>0.62858584051171984</v>
      </c>
      <c r="AP126" s="40">
        <v>12889.83</v>
      </c>
      <c r="AQ126" s="40">
        <v>876.01019999999994</v>
      </c>
      <c r="AR126" s="146">
        <v>6.3636522527698663E-2</v>
      </c>
    </row>
    <row r="127" spans="7:45">
      <c r="AE127" s="37" t="s">
        <v>608</v>
      </c>
      <c r="AF127" s="40">
        <v>740.74172500000009</v>
      </c>
      <c r="AG127" s="40">
        <v>526.43729500000006</v>
      </c>
      <c r="AH127" s="148">
        <v>0.71068940392145452</v>
      </c>
      <c r="AI127" s="40">
        <v>493.26938000000007</v>
      </c>
      <c r="AJ127" s="40">
        <v>33.167915000000001</v>
      </c>
      <c r="AK127" s="146">
        <v>6.3004493251185775E-2</v>
      </c>
      <c r="AM127" s="40">
        <v>21054.869299999998</v>
      </c>
      <c r="AN127" s="40">
        <v>13287.5643</v>
      </c>
      <c r="AO127" s="41">
        <v>0.63109222435306211</v>
      </c>
      <c r="AP127" s="40">
        <v>12300.641</v>
      </c>
      <c r="AQ127" s="40">
        <v>986.92330000000004</v>
      </c>
      <c r="AR127" s="146">
        <v>7.4274206898852044E-2</v>
      </c>
    </row>
    <row r="128" spans="7:45">
      <c r="P128" s="21" t="s">
        <v>609</v>
      </c>
      <c r="Q128" s="11">
        <v>120528.26500000001</v>
      </c>
      <c r="R128" s="11">
        <v>61188.37</v>
      </c>
      <c r="S128" s="11">
        <v>1698.9269999999999</v>
      </c>
      <c r="T128" s="11">
        <v>2995.1489999999999</v>
      </c>
      <c r="U128" s="11">
        <v>10829.78</v>
      </c>
      <c r="V128" s="11">
        <v>2455.1390000000001</v>
      </c>
      <c r="W128" s="11">
        <v>41360.9</v>
      </c>
      <c r="AE128" s="37" t="s">
        <v>609</v>
      </c>
      <c r="AF128" s="40">
        <v>665.56290999999999</v>
      </c>
      <c r="AG128" s="40">
        <v>464.48143000000005</v>
      </c>
      <c r="AH128" s="148">
        <v>0.69787757553977892</v>
      </c>
      <c r="AI128" s="40">
        <v>425.51519000000002</v>
      </c>
      <c r="AJ128" s="40">
        <v>38.966239999999999</v>
      </c>
      <c r="AK128" s="146">
        <v>8.3891922223887389E-2</v>
      </c>
      <c r="AM128" s="40">
        <v>20306.749599999999</v>
      </c>
      <c r="AN128" s="40">
        <v>12925.6196</v>
      </c>
      <c r="AO128" s="41">
        <v>0.63651839189468318</v>
      </c>
      <c r="AP128" s="40">
        <v>11836</v>
      </c>
      <c r="AQ128" s="40">
        <v>1089.6196</v>
      </c>
      <c r="AR128" s="146">
        <v>8.4299216108758138E-2</v>
      </c>
      <c r="AS128" s="121"/>
    </row>
    <row r="129" spans="16:45">
      <c r="P129" s="21" t="s">
        <v>27</v>
      </c>
      <c r="Q129" s="23">
        <v>1</v>
      </c>
      <c r="R129" s="23">
        <v>0.50766822205563145</v>
      </c>
      <c r="S129" s="23">
        <v>1.4095672911246169E-2</v>
      </c>
      <c r="T129" s="23">
        <v>2.4850179333453438E-2</v>
      </c>
      <c r="U129" s="23">
        <v>8.9852616728532508E-2</v>
      </c>
      <c r="V129" s="23">
        <v>2.0369819477613817E-2</v>
      </c>
      <c r="W129" s="23">
        <v>0.34316348949352249</v>
      </c>
      <c r="AE129" s="37" t="s">
        <v>610</v>
      </c>
      <c r="AF129" s="40">
        <v>626.20000000000005</v>
      </c>
      <c r="AG129" s="40">
        <v>435.5</v>
      </c>
      <c r="AH129" s="148">
        <v>0.69546470776109859</v>
      </c>
      <c r="AI129" s="40">
        <v>398.7</v>
      </c>
      <c r="AJ129" s="40">
        <v>36.799999999999997</v>
      </c>
      <c r="AK129" s="146">
        <v>8.4500574052812846E-2</v>
      </c>
      <c r="AM129" s="40">
        <v>18559</v>
      </c>
      <c r="AN129" s="40">
        <v>11861</v>
      </c>
      <c r="AO129" s="41">
        <v>0.63909470597091078</v>
      </c>
      <c r="AP129" s="40">
        <v>10769</v>
      </c>
      <c r="AQ129" s="40">
        <v>1092</v>
      </c>
      <c r="AR129" s="146">
        <v>9.2029894960863015E-2</v>
      </c>
      <c r="AS129" s="41"/>
    </row>
    <row r="130" spans="16:45">
      <c r="Q130" s="34"/>
      <c r="R130" s="34"/>
      <c r="S130" s="34"/>
      <c r="T130" s="34"/>
      <c r="U130" s="34"/>
      <c r="V130" s="34"/>
      <c r="W130" s="34"/>
      <c r="AE130" s="37" t="s">
        <v>611</v>
      </c>
      <c r="AF130" s="40">
        <v>632.4</v>
      </c>
      <c r="AG130" s="40">
        <v>437.2</v>
      </c>
      <c r="AH130" s="148">
        <v>0.69133459835547117</v>
      </c>
      <c r="AI130" s="40">
        <v>408.8</v>
      </c>
      <c r="AJ130" s="40">
        <v>28.4</v>
      </c>
      <c r="AK130" s="146">
        <v>6.495882891125343E-2</v>
      </c>
      <c r="AM130" s="40">
        <v>17022</v>
      </c>
      <c r="AN130" s="40">
        <v>10993</v>
      </c>
      <c r="AO130" s="41">
        <v>0.64581130301962164</v>
      </c>
      <c r="AP130" s="40">
        <v>9931</v>
      </c>
      <c r="AQ130" s="40">
        <v>1062</v>
      </c>
      <c r="AR130" s="146">
        <v>9.6606931683798775E-2</v>
      </c>
      <c r="AS130" s="41"/>
    </row>
    <row r="131" spans="16:45">
      <c r="P131" s="21" t="s">
        <v>610</v>
      </c>
      <c r="Q131" s="11">
        <v>119400</v>
      </c>
      <c r="R131" s="11">
        <v>60600</v>
      </c>
      <c r="S131" s="11">
        <v>1800</v>
      </c>
      <c r="T131" s="11">
        <v>2900</v>
      </c>
      <c r="U131" s="11">
        <v>10700</v>
      </c>
      <c r="V131" s="11">
        <v>2400</v>
      </c>
      <c r="W131" s="11">
        <v>41000</v>
      </c>
      <c r="AE131" s="37" t="s">
        <v>612</v>
      </c>
      <c r="AF131" s="40">
        <v>687.4</v>
      </c>
      <c r="AG131" s="40">
        <v>450</v>
      </c>
      <c r="AH131" s="148">
        <v>0.65464067500727385</v>
      </c>
      <c r="AI131" s="40">
        <v>423.8</v>
      </c>
      <c r="AJ131" s="40">
        <v>26.2</v>
      </c>
      <c r="AK131" s="146">
        <v>5.8222222222222224E-2</v>
      </c>
      <c r="AM131" s="40">
        <v>16653</v>
      </c>
      <c r="AN131" s="40">
        <v>10861</v>
      </c>
      <c r="AO131" s="41">
        <v>0.65219479973578331</v>
      </c>
      <c r="AP131" s="40">
        <v>9836</v>
      </c>
      <c r="AQ131" s="40">
        <v>1025</v>
      </c>
      <c r="AR131" s="146">
        <v>9.4374367001196946E-2</v>
      </c>
      <c r="AS131" s="41"/>
    </row>
    <row r="132" spans="16:45">
      <c r="P132" s="21" t="s">
        <v>27</v>
      </c>
      <c r="Q132" s="23">
        <v>1</v>
      </c>
      <c r="R132" s="23">
        <v>0.50761613915174975</v>
      </c>
      <c r="S132" s="23">
        <v>1.4972363093257819E-2</v>
      </c>
      <c r="T132" s="23">
        <v>2.4267175048401108E-2</v>
      </c>
      <c r="U132" s="23">
        <v>8.948947853204503E-2</v>
      </c>
      <c r="V132" s="23">
        <v>2.0457058920795884E-2</v>
      </c>
      <c r="W132" s="23">
        <v>0.34319778525375039</v>
      </c>
      <c r="AE132" s="37" t="s">
        <v>613</v>
      </c>
      <c r="AF132" s="40">
        <v>716.5</v>
      </c>
      <c r="AG132" s="40">
        <v>481.6</v>
      </c>
      <c r="AH132" s="148">
        <v>0.67215631542219123</v>
      </c>
      <c r="AI132" s="40">
        <v>455.1</v>
      </c>
      <c r="AJ132" s="40">
        <v>26.5</v>
      </c>
      <c r="AK132" s="146">
        <v>5.5024916943521594E-2</v>
      </c>
      <c r="AM132" s="40">
        <v>16353</v>
      </c>
      <c r="AN132" s="40">
        <v>10794</v>
      </c>
      <c r="AO132" s="41">
        <v>0.66006237387635291</v>
      </c>
      <c r="AP132" s="40">
        <v>10017</v>
      </c>
      <c r="AQ132" s="40">
        <v>777</v>
      </c>
      <c r="AR132" s="146">
        <v>7.1984435797665364E-2</v>
      </c>
      <c r="AS132" s="41"/>
    </row>
    <row r="133" spans="16:45">
      <c r="AE133" s="37" t="s">
        <v>614</v>
      </c>
      <c r="AF133" s="40">
        <v>683</v>
      </c>
      <c r="AG133" s="40">
        <v>483</v>
      </c>
      <c r="AH133" s="148">
        <v>0.70717423133235724</v>
      </c>
      <c r="AI133" s="40">
        <v>463</v>
      </c>
      <c r="AJ133" s="40">
        <v>20</v>
      </c>
      <c r="AK133" s="146">
        <v>4.1407867494824016E-2</v>
      </c>
      <c r="AM133" s="40">
        <v>16103</v>
      </c>
      <c r="AN133" s="40">
        <v>10698</v>
      </c>
      <c r="AO133" s="41">
        <v>0.66434825808855491</v>
      </c>
      <c r="AP133" s="40">
        <v>10124</v>
      </c>
      <c r="AQ133" s="40">
        <v>574</v>
      </c>
      <c r="AR133" s="146">
        <v>5.3654888764255004E-2</v>
      </c>
      <c r="AS133" s="41"/>
    </row>
    <row r="134" spans="16:45">
      <c r="P134" s="21" t="s">
        <v>611</v>
      </c>
      <c r="Q134" s="11">
        <v>118300</v>
      </c>
      <c r="R134" s="11">
        <v>60300</v>
      </c>
      <c r="S134" s="11">
        <v>1800</v>
      </c>
      <c r="T134" s="11">
        <v>3000</v>
      </c>
      <c r="U134" s="11">
        <v>10300</v>
      </c>
      <c r="V134" s="11">
        <v>2400</v>
      </c>
      <c r="W134" s="11">
        <v>40600</v>
      </c>
      <c r="AE134" s="37" t="s">
        <v>615</v>
      </c>
      <c r="AF134" s="40">
        <v>579.79999999999995</v>
      </c>
      <c r="AG134" s="40">
        <v>423.8</v>
      </c>
      <c r="AH134" s="148">
        <v>0.73094170403587455</v>
      </c>
      <c r="AI134" s="40">
        <v>408.5</v>
      </c>
      <c r="AJ134" s="40">
        <v>15.3</v>
      </c>
      <c r="AK134" s="146">
        <v>3.6101934874941066E-2</v>
      </c>
      <c r="AM134" s="40">
        <v>15700</v>
      </c>
      <c r="AN134" s="40">
        <v>10300</v>
      </c>
      <c r="AO134" s="41">
        <v>0.6560509554140127</v>
      </c>
      <c r="AP134" s="40">
        <v>9800</v>
      </c>
      <c r="AQ134" s="40">
        <v>500</v>
      </c>
      <c r="AR134" s="146">
        <v>4.8543689320388349E-2</v>
      </c>
      <c r="AS134" s="41"/>
    </row>
    <row r="135" spans="16:45">
      <c r="P135" s="21" t="s">
        <v>27</v>
      </c>
      <c r="Q135" s="23">
        <v>1</v>
      </c>
      <c r="R135" s="23">
        <v>0.50972104818258668</v>
      </c>
      <c r="S135" s="23">
        <v>1.5215553677092139E-2</v>
      </c>
      <c r="T135" s="23">
        <v>2.5359256128486898E-2</v>
      </c>
      <c r="U135" s="23">
        <v>8.7066779374471687E-2</v>
      </c>
      <c r="V135" s="23">
        <v>2.0287404902789519E-2</v>
      </c>
      <c r="W135" s="23">
        <v>0.34319526627218933</v>
      </c>
      <c r="AE135" s="37" t="s">
        <v>616</v>
      </c>
      <c r="AF135" s="40">
        <v>482.58069</v>
      </c>
      <c r="AG135" s="40">
        <v>353.25925000000001</v>
      </c>
      <c r="AH135" s="148">
        <v>0.73202110511301233</v>
      </c>
      <c r="AI135" s="40">
        <v>343.60179499999998</v>
      </c>
      <c r="AJ135" s="40">
        <v>9.6574550000000006</v>
      </c>
      <c r="AK135" s="146">
        <v>2.7338151796449776E-2</v>
      </c>
      <c r="AM135" s="40">
        <v>15301.2119</v>
      </c>
      <c r="AN135" s="40">
        <v>10061.7934</v>
      </c>
      <c r="AO135" s="41">
        <v>0.65758146908611859</v>
      </c>
      <c r="AP135" s="40">
        <v>9517.6575000000012</v>
      </c>
      <c r="AQ135" s="40">
        <v>544.13589999999999</v>
      </c>
      <c r="AR135" s="146">
        <v>5.4079414908280658E-2</v>
      </c>
      <c r="AS135" s="41"/>
    </row>
    <row r="136" spans="16:45">
      <c r="AE136" s="37" t="s">
        <v>617</v>
      </c>
      <c r="AF136" s="40">
        <v>478.87869999999998</v>
      </c>
      <c r="AG136" s="40">
        <v>331.83561999999995</v>
      </c>
      <c r="AH136" s="148">
        <v>0.69294295194169209</v>
      </c>
      <c r="AI136" s="40">
        <v>318.72520999999995</v>
      </c>
      <c r="AJ136" s="40">
        <v>13.11041</v>
      </c>
      <c r="AK136" s="146">
        <v>3.9508748337505187E-2</v>
      </c>
      <c r="AM136" s="40">
        <v>14868</v>
      </c>
      <c r="AN136" s="40">
        <v>9781</v>
      </c>
      <c r="AO136" s="41">
        <v>0.65785265561133666</v>
      </c>
      <c r="AP136" s="40">
        <v>9177</v>
      </c>
      <c r="AQ136" s="40">
        <v>604</v>
      </c>
      <c r="AR136" s="146">
        <v>6.1744928517831449E-2</v>
      </c>
      <c r="AS136" s="41"/>
    </row>
    <row r="137" spans="16:45">
      <c r="P137" s="21" t="s">
        <v>612</v>
      </c>
      <c r="Q137" s="11">
        <v>117224</v>
      </c>
      <c r="R137" s="11">
        <v>60633</v>
      </c>
      <c r="S137" s="11">
        <v>1778</v>
      </c>
      <c r="T137" s="11">
        <v>2894</v>
      </c>
      <c r="U137" s="11">
        <v>9976</v>
      </c>
      <c r="V137" s="11">
        <v>2293</v>
      </c>
      <c r="W137" s="11">
        <v>39650</v>
      </c>
      <c r="AE137" s="37" t="s">
        <v>618</v>
      </c>
      <c r="AF137" s="40">
        <v>485.99560500000001</v>
      </c>
      <c r="AG137" s="40">
        <v>332.57690500000001</v>
      </c>
      <c r="AH137" s="148">
        <v>0.68432080779825155</v>
      </c>
      <c r="AI137" s="40">
        <v>313.72389500000003</v>
      </c>
      <c r="AJ137" s="40">
        <v>18.853010000000001</v>
      </c>
      <c r="AK137" s="146">
        <v>5.6687670480305902E-2</v>
      </c>
      <c r="AM137" s="40">
        <v>14654.062</v>
      </c>
      <c r="AN137" s="40">
        <v>9471.9804999999997</v>
      </c>
      <c r="AO137" s="41">
        <v>0.64637235054689957</v>
      </c>
      <c r="AP137" s="40">
        <v>8791.0465000000004</v>
      </c>
      <c r="AQ137" s="40">
        <v>680.93399999999997</v>
      </c>
      <c r="AR137" s="146">
        <v>7.1889294957902417E-2</v>
      </c>
      <c r="AS137" s="41"/>
    </row>
    <row r="138" spans="16:45">
      <c r="P138" s="21" t="s">
        <v>27</v>
      </c>
      <c r="Q138" s="23">
        <v>1</v>
      </c>
      <c r="R138" s="23">
        <v>0.51724049682658846</v>
      </c>
      <c r="S138" s="23">
        <v>1.5167542482768033E-2</v>
      </c>
      <c r="T138" s="23">
        <v>2.4687777246980142E-2</v>
      </c>
      <c r="U138" s="23">
        <v>8.5102026888691729E-2</v>
      </c>
      <c r="V138" s="23">
        <v>1.9560840783457312E-2</v>
      </c>
      <c r="W138" s="23">
        <v>0.33824131577151434</v>
      </c>
      <c r="AE138" s="37" t="s">
        <v>619</v>
      </c>
      <c r="AF138" s="40">
        <v>484.76421999999997</v>
      </c>
      <c r="AG138" s="40">
        <v>341.05010999999996</v>
      </c>
      <c r="AH138" s="148">
        <v>0.70353812416271144</v>
      </c>
      <c r="AI138" s="40">
        <v>320.77832999999998</v>
      </c>
      <c r="AJ138" s="40">
        <v>20.27178</v>
      </c>
      <c r="AK138" s="146">
        <v>5.9439300576680655E-2</v>
      </c>
      <c r="AM138" s="40">
        <v>13346.114150000001</v>
      </c>
      <c r="AN138" s="40">
        <v>8666.8461500000012</v>
      </c>
      <c r="AO138" s="41">
        <v>0.64939098022026143</v>
      </c>
      <c r="AP138" s="40">
        <v>8023.8230000000003</v>
      </c>
      <c r="AQ138" s="40">
        <v>643.02314999999999</v>
      </c>
      <c r="AR138" s="146">
        <v>7.4193442328499157E-2</v>
      </c>
      <c r="AS138" s="41"/>
    </row>
    <row r="139" spans="16:45">
      <c r="AE139" s="37" t="s">
        <v>620</v>
      </c>
      <c r="AF139" s="40">
        <v>452.23878999999999</v>
      </c>
      <c r="AG139" s="40">
        <v>313.03803999999997</v>
      </c>
      <c r="AH139" s="148">
        <v>0.69219635051650474</v>
      </c>
      <c r="AI139" s="40">
        <v>297.74824999999998</v>
      </c>
      <c r="AJ139" s="40">
        <v>15.289789999999998</v>
      </c>
      <c r="AK139" s="146">
        <v>4.8843233237724076E-2</v>
      </c>
      <c r="AM139" s="40">
        <v>11499.0519</v>
      </c>
      <c r="AN139" s="40">
        <v>7507.2274000000007</v>
      </c>
      <c r="AO139" s="41">
        <v>0.65285620634515096</v>
      </c>
      <c r="AP139" s="40">
        <v>7066.5465000000004</v>
      </c>
      <c r="AQ139" s="40">
        <v>440.68090000000001</v>
      </c>
      <c r="AR139" s="146">
        <v>5.8700886028842013E-2</v>
      </c>
      <c r="AS139" s="41"/>
    </row>
    <row r="140" spans="16:45">
      <c r="P140" s="21" t="s">
        <v>613</v>
      </c>
      <c r="Q140" s="11">
        <v>116199</v>
      </c>
      <c r="R140" s="11">
        <v>60509</v>
      </c>
      <c r="S140" s="11">
        <v>1856</v>
      </c>
      <c r="T140" s="11">
        <v>2865</v>
      </c>
      <c r="U140" s="11">
        <v>9879</v>
      </c>
      <c r="V140" s="11">
        <v>2189</v>
      </c>
      <c r="W140" s="11">
        <v>38902</v>
      </c>
      <c r="AE140" s="37"/>
      <c r="AK140" s="178"/>
      <c r="AR140" s="178"/>
      <c r="AS140" s="41"/>
    </row>
    <row r="141" spans="16:45">
      <c r="P141" s="21" t="s">
        <v>27</v>
      </c>
      <c r="Q141" s="23">
        <v>1</v>
      </c>
      <c r="R141" s="23">
        <v>0.52073597879499822</v>
      </c>
      <c r="S141" s="23">
        <v>1.5972598731486501E-2</v>
      </c>
      <c r="T141" s="23">
        <v>2.4655978106524153E-2</v>
      </c>
      <c r="U141" s="23">
        <v>8.5017943355794795E-2</v>
      </c>
      <c r="V141" s="23">
        <v>1.8838372103030146E-2</v>
      </c>
      <c r="W141" s="23">
        <v>0.33478773483420682</v>
      </c>
      <c r="AE141" s="100" t="s">
        <v>484</v>
      </c>
      <c r="AF141" s="157" t="s">
        <v>526</v>
      </c>
      <c r="AK141" s="178"/>
      <c r="AM141" s="157" t="s">
        <v>527</v>
      </c>
      <c r="AR141" s="178"/>
      <c r="AS141" s="41"/>
    </row>
    <row r="142" spans="16:45">
      <c r="AE142" s="37" t="s">
        <v>557</v>
      </c>
      <c r="AF142" s="157">
        <v>1249</v>
      </c>
      <c r="AG142" s="246">
        <v>816</v>
      </c>
      <c r="AH142" s="245">
        <v>0.65334400000000004</v>
      </c>
      <c r="AI142" s="246">
        <v>763</v>
      </c>
      <c r="AJ142" s="246">
        <v>53</v>
      </c>
      <c r="AK142" s="178">
        <v>6.4868999999999996E-2</v>
      </c>
      <c r="AM142" s="113">
        <f>'[1]Table 5'!$G$43</f>
        <v>41748.673999999999</v>
      </c>
      <c r="AN142" s="111">
        <f>'[1]Table 5'!$G$44</f>
        <v>27464.724000000002</v>
      </c>
      <c r="AO142" s="121">
        <f>AN142/AM142</f>
        <v>0.65785859450290574</v>
      </c>
      <c r="AP142" s="118">
        <f>'[1]Table 5'!$G$45</f>
        <v>26041.08</v>
      </c>
      <c r="AQ142" s="118">
        <f>'[1]Table 5'!$G$46</f>
        <v>1423.644</v>
      </c>
      <c r="AR142" s="145">
        <f>AQ142/AN142</f>
        <v>5.1835365248891631E-2</v>
      </c>
      <c r="AS142" s="41"/>
    </row>
    <row r="143" spans="16:45">
      <c r="P143" s="21" t="s">
        <v>614</v>
      </c>
      <c r="Q143" s="11">
        <v>115127</v>
      </c>
      <c r="R143" s="11">
        <v>60424</v>
      </c>
      <c r="S143" s="11">
        <v>1956</v>
      </c>
      <c r="T143" s="11">
        <v>2808</v>
      </c>
      <c r="U143" s="11">
        <v>9717</v>
      </c>
      <c r="V143" s="11">
        <v>2080</v>
      </c>
      <c r="W143" s="11">
        <v>38142</v>
      </c>
      <c r="AE143" s="37" t="s">
        <v>495</v>
      </c>
      <c r="AF143" s="113">
        <f>1203565/1000</f>
        <v>1203.5650000000001</v>
      </c>
      <c r="AG143" s="123">
        <f>803237.3/1000</f>
        <v>803.2373</v>
      </c>
      <c r="AH143" s="148">
        <f>AG143/AF143</f>
        <v>0.66738173675705093</v>
      </c>
      <c r="AI143" s="123">
        <f>752919.7/1000</f>
        <v>752.91969999999992</v>
      </c>
      <c r="AJ143" s="123">
        <f>50317.64/1000</f>
        <v>50.317639999999997</v>
      </c>
      <c r="AK143" s="148">
        <f>AJ143/AG143</f>
        <v>6.2643555024150394E-2</v>
      </c>
      <c r="AM143" s="113">
        <v>40731.360000000001</v>
      </c>
      <c r="AN143" s="123">
        <v>26736.82</v>
      </c>
      <c r="AO143" s="121">
        <f>AN143/AM143</f>
        <v>0.65641854335332772</v>
      </c>
      <c r="AP143" s="123">
        <v>25227.63</v>
      </c>
      <c r="AQ143" s="123">
        <v>1509.19</v>
      </c>
      <c r="AR143" s="145">
        <f>AQ143/AN143</f>
        <v>5.6446129345225055E-2</v>
      </c>
    </row>
    <row r="144" spans="16:45">
      <c r="P144" s="21" t="s">
        <v>27</v>
      </c>
      <c r="Q144" s="23">
        <v>1</v>
      </c>
      <c r="R144" s="23">
        <v>0.52484647389404748</v>
      </c>
      <c r="S144" s="23">
        <v>1.6989932856758188E-2</v>
      </c>
      <c r="T144" s="23">
        <v>2.4390455757554701E-2</v>
      </c>
      <c r="U144" s="23">
        <v>8.4402442519999649E-2</v>
      </c>
      <c r="V144" s="23">
        <v>1.8067004264855333E-2</v>
      </c>
      <c r="W144" s="23">
        <v>0.33130369070678467</v>
      </c>
      <c r="AE144" s="37" t="s">
        <v>489</v>
      </c>
      <c r="AF144" s="113">
        <v>1213.4000000000001</v>
      </c>
      <c r="AG144" s="123">
        <v>830.44439999999997</v>
      </c>
      <c r="AH144" s="148">
        <f>AG144/AF144</f>
        <v>0.68439459370364253</v>
      </c>
      <c r="AI144" s="123">
        <v>769.31979999999999</v>
      </c>
      <c r="AJ144" s="123">
        <v>61.124600000000001</v>
      </c>
      <c r="AK144" s="148">
        <f>AJ144/AG144</f>
        <v>7.3604686839961839E-2</v>
      </c>
      <c r="AM144" s="113">
        <v>39852</v>
      </c>
      <c r="AN144" s="123">
        <v>26069</v>
      </c>
      <c r="AO144" s="121">
        <f>AN144/AM144</f>
        <v>0.65414533774967376</v>
      </c>
      <c r="AP144" s="123">
        <v>24355</v>
      </c>
      <c r="AQ144" s="123">
        <v>1714</v>
      </c>
      <c r="AR144" s="145">
        <f>AQ144/AN144</f>
        <v>6.5748590279642485E-2</v>
      </c>
    </row>
    <row r="145" spans="16:44">
      <c r="AE145" s="37" t="s">
        <v>607</v>
      </c>
      <c r="AF145" s="40">
        <v>1215.88831</v>
      </c>
      <c r="AG145" s="40">
        <v>827.22991000000002</v>
      </c>
      <c r="AH145" s="148">
        <v>0.68035024532804333</v>
      </c>
      <c r="AI145" s="40">
        <v>753.84619999999995</v>
      </c>
      <c r="AJ145" s="40">
        <v>73.383710000000008</v>
      </c>
      <c r="AK145" s="146">
        <v>8.871017490167879E-2</v>
      </c>
      <c r="AM145" s="40">
        <v>38723.565999999999</v>
      </c>
      <c r="AN145" s="40">
        <v>25353.716</v>
      </c>
      <c r="AO145" s="41">
        <v>0.6547360849979571</v>
      </c>
      <c r="AP145" s="40">
        <v>23424.65</v>
      </c>
      <c r="AQ145" s="40">
        <v>1929.066</v>
      </c>
      <c r="AR145" s="146">
        <v>7.6086124811053341E-2</v>
      </c>
    </row>
    <row r="146" spans="16:44">
      <c r="P146" s="21" t="s">
        <v>615</v>
      </c>
      <c r="Q146" s="11">
        <v>113900</v>
      </c>
      <c r="R146" s="11">
        <v>60100</v>
      </c>
      <c r="S146" s="11">
        <v>2000</v>
      </c>
      <c r="T146" s="11">
        <v>2700</v>
      </c>
      <c r="U146" s="11">
        <v>9700</v>
      </c>
      <c r="V146" s="11">
        <v>2000</v>
      </c>
      <c r="W146" s="11">
        <v>37300</v>
      </c>
      <c r="AE146" s="37" t="s">
        <v>608</v>
      </c>
      <c r="AF146" s="40">
        <v>1239.0315399999999</v>
      </c>
      <c r="AG146" s="40">
        <v>866.66474000000005</v>
      </c>
      <c r="AH146" s="148">
        <v>0.69946947436059626</v>
      </c>
      <c r="AI146" s="40">
        <v>788.97540000000004</v>
      </c>
      <c r="AJ146" s="40">
        <v>77.689340000000001</v>
      </c>
      <c r="AK146" s="146">
        <v>8.9641745434341766E-2</v>
      </c>
      <c r="AM146" s="40">
        <v>37682.380000000005</v>
      </c>
      <c r="AN146" s="40">
        <v>24640.84</v>
      </c>
      <c r="AO146" s="41">
        <v>0.65390880300023502</v>
      </c>
      <c r="AP146" s="40">
        <v>22480.09</v>
      </c>
      <c r="AQ146" s="40">
        <v>2160.75</v>
      </c>
      <c r="AR146" s="146">
        <v>8.7689786549484519E-2</v>
      </c>
    </row>
    <row r="147" spans="16:44">
      <c r="P147" s="21" t="s">
        <v>27</v>
      </c>
      <c r="Q147" s="23">
        <v>1</v>
      </c>
      <c r="R147" s="23">
        <v>0.52765583845478492</v>
      </c>
      <c r="S147" s="23">
        <v>1.755926251097454E-2</v>
      </c>
      <c r="T147" s="23">
        <v>2.3705004389815629E-2</v>
      </c>
      <c r="U147" s="23">
        <v>8.5162423178226518E-2</v>
      </c>
      <c r="V147" s="23">
        <v>1.755926251097454E-2</v>
      </c>
      <c r="W147" s="23">
        <v>0.32748024582967517</v>
      </c>
      <c r="AE147" s="37" t="s">
        <v>609</v>
      </c>
      <c r="AF147" s="40">
        <v>1246.9140199999999</v>
      </c>
      <c r="AG147" s="40">
        <v>895.46702000000005</v>
      </c>
      <c r="AH147" s="148">
        <v>0.71814656474870664</v>
      </c>
      <c r="AI147" s="40">
        <v>811.01730000000009</v>
      </c>
      <c r="AJ147" s="40">
        <v>84.449719999999999</v>
      </c>
      <c r="AK147" s="146">
        <v>9.4308018178045239E-2</v>
      </c>
      <c r="AM147" s="40">
        <v>36850.377</v>
      </c>
      <c r="AN147" s="40">
        <v>24177.906999999999</v>
      </c>
      <c r="AO147" s="41">
        <v>0.65611016679693668</v>
      </c>
      <c r="AP147" s="40">
        <v>21721.87</v>
      </c>
      <c r="AQ147" s="40">
        <v>2456.0369999999998</v>
      </c>
      <c r="AR147" s="146">
        <v>0.10158186976234129</v>
      </c>
    </row>
    <row r="148" spans="16:44">
      <c r="AE148" s="37" t="s">
        <v>610</v>
      </c>
      <c r="AF148" s="40">
        <v>1246.9000000000001</v>
      </c>
      <c r="AG148" s="40">
        <v>902.4</v>
      </c>
      <c r="AH148" s="148">
        <v>0.72371481273558413</v>
      </c>
      <c r="AI148" s="40">
        <v>796.6</v>
      </c>
      <c r="AJ148" s="40">
        <v>105.8</v>
      </c>
      <c r="AK148" s="146">
        <v>0.11724290780141844</v>
      </c>
      <c r="AM148" s="40">
        <v>35308</v>
      </c>
      <c r="AN148" s="40">
        <v>23290</v>
      </c>
      <c r="AO148" s="41">
        <v>0.6596180574019177</v>
      </c>
      <c r="AP148" s="40">
        <v>20581</v>
      </c>
      <c r="AQ148" s="40">
        <v>2709</v>
      </c>
      <c r="AR148" s="146">
        <v>0.1163122514790095</v>
      </c>
    </row>
    <row r="149" spans="16:44">
      <c r="P149" s="21" t="s">
        <v>616</v>
      </c>
      <c r="Q149" s="11">
        <v>112400</v>
      </c>
      <c r="R149" s="11">
        <v>59500</v>
      </c>
      <c r="S149" s="11">
        <v>2000</v>
      </c>
      <c r="T149" s="11">
        <v>2700</v>
      </c>
      <c r="U149" s="11">
        <v>9500</v>
      </c>
      <c r="V149" s="11">
        <v>2000</v>
      </c>
      <c r="W149" s="11">
        <v>36700</v>
      </c>
      <c r="AE149" s="37" t="s">
        <v>611</v>
      </c>
      <c r="AF149" s="40">
        <v>1236</v>
      </c>
      <c r="AG149" s="40">
        <v>905.1</v>
      </c>
      <c r="AH149" s="148">
        <v>0.73228155339805823</v>
      </c>
      <c r="AI149" s="40">
        <v>780.4</v>
      </c>
      <c r="AJ149" s="40">
        <v>124.7</v>
      </c>
      <c r="AK149" s="146">
        <v>0.13777483151033035</v>
      </c>
      <c r="AM149" s="40">
        <v>33784</v>
      </c>
      <c r="AN149" s="40">
        <v>22446</v>
      </c>
      <c r="AO149" s="41">
        <v>0.66439734785697369</v>
      </c>
      <c r="AP149" s="40">
        <v>19562</v>
      </c>
      <c r="AQ149" s="40">
        <v>2884</v>
      </c>
      <c r="AR149" s="146">
        <v>0.12848614452463691</v>
      </c>
    </row>
    <row r="150" spans="16:44">
      <c r="P150" s="21" t="s">
        <v>27</v>
      </c>
      <c r="Q150" s="23">
        <v>1</v>
      </c>
      <c r="R150" s="23">
        <v>0.52935943060498225</v>
      </c>
      <c r="S150" s="23">
        <v>1.7793594306049824E-2</v>
      </c>
      <c r="T150" s="23">
        <v>2.4021352313167259E-2</v>
      </c>
      <c r="U150" s="23">
        <v>8.451957295373666E-2</v>
      </c>
      <c r="V150" s="23">
        <v>1.7793594306049824E-2</v>
      </c>
      <c r="W150" s="23">
        <v>0.32651245551601421</v>
      </c>
      <c r="AE150" s="37" t="s">
        <v>612</v>
      </c>
      <c r="AF150" s="40">
        <v>1161.2</v>
      </c>
      <c r="AG150" s="40">
        <v>830.1</v>
      </c>
      <c r="AH150" s="148">
        <v>0.71486393386152258</v>
      </c>
      <c r="AI150" s="40">
        <v>725.2</v>
      </c>
      <c r="AJ150" s="40">
        <v>104.9</v>
      </c>
      <c r="AK150" s="146">
        <v>0.12637031682929767</v>
      </c>
      <c r="AM150" s="40">
        <v>32999</v>
      </c>
      <c r="AN150" s="40">
        <v>22169</v>
      </c>
      <c r="AO150" s="41">
        <v>0.67180823661323075</v>
      </c>
      <c r="AP150" s="40">
        <v>19354</v>
      </c>
      <c r="AQ150" s="40">
        <v>2815</v>
      </c>
      <c r="AR150" s="146">
        <v>0.12697911498037801</v>
      </c>
    </row>
    <row r="151" spans="16:44">
      <c r="P151" s="20"/>
      <c r="AE151" s="37" t="s">
        <v>613</v>
      </c>
      <c r="AF151" s="40">
        <v>1098.5</v>
      </c>
      <c r="AG151" s="40">
        <v>781.4</v>
      </c>
      <c r="AH151" s="148">
        <v>0.71133363677742378</v>
      </c>
      <c r="AI151" s="40">
        <v>716.3</v>
      </c>
      <c r="AJ151" s="40">
        <v>65.099999999999994</v>
      </c>
      <c r="AK151" s="146">
        <v>8.3312004095213721E-2</v>
      </c>
      <c r="AM151" s="40">
        <v>32203</v>
      </c>
      <c r="AN151" s="40">
        <v>21863</v>
      </c>
      <c r="AO151" s="41">
        <v>0.67891190261776857</v>
      </c>
      <c r="AP151" s="40">
        <v>19701</v>
      </c>
      <c r="AQ151" s="40">
        <v>2162</v>
      </c>
      <c r="AR151" s="146">
        <v>9.8888533138178664E-2</v>
      </c>
    </row>
    <row r="152" spans="16:44">
      <c r="P152" s="21" t="s">
        <v>617</v>
      </c>
      <c r="Q152" s="11">
        <v>110971.34599999999</v>
      </c>
      <c r="R152" s="11">
        <v>59295.754999999997</v>
      </c>
      <c r="S152" s="11">
        <v>1801.8015</v>
      </c>
      <c r="T152" s="11">
        <v>2692.1320000000001</v>
      </c>
      <c r="U152" s="11">
        <v>9117.0210000000006</v>
      </c>
      <c r="V152" s="11">
        <v>1878.1215</v>
      </c>
      <c r="W152" s="11">
        <v>36186.514999999999</v>
      </c>
      <c r="AE152" s="37" t="s">
        <v>614</v>
      </c>
      <c r="AF152" s="40">
        <v>1041</v>
      </c>
      <c r="AG152" s="40">
        <v>762</v>
      </c>
      <c r="AH152" s="148">
        <v>0.73198847262247835</v>
      </c>
      <c r="AI152" s="40">
        <v>705</v>
      </c>
      <c r="AJ152" s="40">
        <v>57</v>
      </c>
      <c r="AK152" s="146">
        <v>7.4803149606299218E-2</v>
      </c>
      <c r="AM152" s="40">
        <v>31437</v>
      </c>
      <c r="AN152" s="40">
        <v>21557</v>
      </c>
      <c r="AO152" s="41">
        <v>0.68572064764449536</v>
      </c>
      <c r="AP152" s="40">
        <v>20136</v>
      </c>
      <c r="AQ152" s="40">
        <v>1421</v>
      </c>
      <c r="AR152" s="146">
        <v>6.5918263209166397E-2</v>
      </c>
    </row>
    <row r="153" spans="16:44">
      <c r="P153" s="21" t="s">
        <v>27</v>
      </c>
      <c r="Q153" s="23">
        <v>1</v>
      </c>
      <c r="R153" s="23">
        <v>0.53433392616504805</v>
      </c>
      <c r="S153" s="23">
        <v>1.6236637338795549E-2</v>
      </c>
      <c r="T153" s="23">
        <v>2.4259703941952728E-2</v>
      </c>
      <c r="U153" s="23">
        <v>8.2156532552105851E-2</v>
      </c>
      <c r="V153" s="23">
        <v>1.692438244373462E-2</v>
      </c>
      <c r="W153" s="23">
        <v>0.32608881755836322</v>
      </c>
      <c r="AE153" s="37" t="s">
        <v>615</v>
      </c>
      <c r="AF153" s="40">
        <v>1047.5</v>
      </c>
      <c r="AG153" s="40">
        <v>778.6</v>
      </c>
      <c r="AH153" s="148">
        <v>0.74329355608591885</v>
      </c>
      <c r="AI153" s="40">
        <v>709.7</v>
      </c>
      <c r="AJ153" s="40">
        <v>68.900000000000006</v>
      </c>
      <c r="AK153" s="146">
        <v>8.8492165425121949E-2</v>
      </c>
      <c r="AM153" s="40">
        <v>30400</v>
      </c>
      <c r="AN153" s="40">
        <v>20800</v>
      </c>
      <c r="AO153" s="41">
        <v>0.68421052631578949</v>
      </c>
      <c r="AP153" s="40">
        <v>19600</v>
      </c>
      <c r="AQ153" s="40">
        <v>1200</v>
      </c>
      <c r="AR153" s="146">
        <v>5.7692307692307696E-2</v>
      </c>
    </row>
    <row r="154" spans="16:44">
      <c r="AE154" s="37" t="s">
        <v>616</v>
      </c>
      <c r="AF154" s="40">
        <v>1023.6217899999999</v>
      </c>
      <c r="AG154" s="40">
        <v>748.97318999999993</v>
      </c>
      <c r="AH154" s="148">
        <v>0.73168937718686111</v>
      </c>
      <c r="AI154" s="40">
        <v>695.346</v>
      </c>
      <c r="AJ154" s="40">
        <v>53.627189999999999</v>
      </c>
      <c r="AK154" s="146">
        <v>7.1600947425100758E-2</v>
      </c>
      <c r="AM154" s="40">
        <v>29303.494999999999</v>
      </c>
      <c r="AN154" s="40">
        <v>19870.841499999999</v>
      </c>
      <c r="AO154" s="41">
        <v>0.67810483015763134</v>
      </c>
      <c r="AP154" s="40">
        <v>18657.695</v>
      </c>
      <c r="AQ154" s="40">
        <v>1213.1464999999998</v>
      </c>
      <c r="AR154" s="146">
        <v>6.1051591599681369E-2</v>
      </c>
    </row>
    <row r="155" spans="16:44">
      <c r="P155" s="21" t="s">
        <v>618</v>
      </c>
      <c r="Q155" s="11">
        <v>109535</v>
      </c>
      <c r="R155" s="11">
        <v>58832</v>
      </c>
      <c r="S155" s="11">
        <v>1667</v>
      </c>
      <c r="T155" s="11">
        <v>2676</v>
      </c>
      <c r="U155" s="11">
        <v>8990</v>
      </c>
      <c r="V155" s="11">
        <v>1865</v>
      </c>
      <c r="W155" s="11">
        <v>35506</v>
      </c>
      <c r="AE155" s="37" t="s">
        <v>617</v>
      </c>
      <c r="AF155" s="40">
        <v>897.72834999999998</v>
      </c>
      <c r="AG155" s="40">
        <v>639.03219999999999</v>
      </c>
      <c r="AH155" s="148">
        <v>0.71183248250988174</v>
      </c>
      <c r="AI155" s="40">
        <v>600.40899999999999</v>
      </c>
      <c r="AJ155" s="40">
        <v>38.623199999999997</v>
      </c>
      <c r="AK155" s="146">
        <v>6.0440146834541353E-2</v>
      </c>
      <c r="AM155" s="40">
        <v>28298.692500000001</v>
      </c>
      <c r="AN155" s="40">
        <v>19171.085999999999</v>
      </c>
      <c r="AO155" s="41">
        <v>0.67745483293971964</v>
      </c>
      <c r="AP155" s="40">
        <v>17822.36</v>
      </c>
      <c r="AQ155" s="40">
        <v>1348.7260000000001</v>
      </c>
      <c r="AR155" s="146">
        <v>7.0352091686407339E-2</v>
      </c>
    </row>
    <row r="156" spans="16:44">
      <c r="P156" s="21" t="s">
        <v>27</v>
      </c>
      <c r="Q156" s="23">
        <v>1</v>
      </c>
      <c r="R156" s="23">
        <v>0.53710411993343987</v>
      </c>
      <c r="S156" s="23">
        <v>1.5219378295518992E-2</v>
      </c>
      <c r="T156" s="23">
        <v>2.4431564698752017E-2</v>
      </c>
      <c r="U156" s="23">
        <v>8.2071303979487378E-2</v>
      </c>
      <c r="V156" s="23">
        <v>1.7023440728768244E-2</v>
      </c>
      <c r="W156" s="23">
        <v>0.32415019236403353</v>
      </c>
      <c r="AE156" s="37" t="s">
        <v>618</v>
      </c>
      <c r="AF156" s="40">
        <v>847.21639999999991</v>
      </c>
      <c r="AG156" s="40">
        <v>582.40359999999998</v>
      </c>
      <c r="AH156" s="148">
        <v>0.68743192412233767</v>
      </c>
      <c r="AI156" s="40">
        <v>538.41274999999996</v>
      </c>
      <c r="AJ156" s="40">
        <v>43.990850000000002</v>
      </c>
      <c r="AK156" s="146">
        <v>7.5533272802571966E-2</v>
      </c>
      <c r="AM156" s="40">
        <v>28157.005499999999</v>
      </c>
      <c r="AN156" s="40">
        <v>18737.018</v>
      </c>
      <c r="AO156" s="41">
        <v>0.66544782256763779</v>
      </c>
      <c r="AP156" s="40">
        <v>17214.479500000001</v>
      </c>
      <c r="AQ156" s="40">
        <v>1522.5385000000001</v>
      </c>
      <c r="AR156" s="146">
        <v>8.1258314423351685E-2</v>
      </c>
    </row>
    <row r="157" spans="16:44">
      <c r="AE157" s="37" t="s">
        <v>619</v>
      </c>
      <c r="AF157" s="40">
        <v>791.92816999999991</v>
      </c>
      <c r="AG157" s="40">
        <v>534.13022000000001</v>
      </c>
      <c r="AH157" s="148">
        <v>0.67446801393616296</v>
      </c>
      <c r="AI157" s="40">
        <v>486.91394999999994</v>
      </c>
      <c r="AJ157" s="40">
        <v>47.216269999999994</v>
      </c>
      <c r="AK157" s="146">
        <v>8.8398424638845549E-2</v>
      </c>
      <c r="AM157" s="40">
        <v>27056.4935</v>
      </c>
      <c r="AN157" s="40">
        <v>18102.739000000001</v>
      </c>
      <c r="AO157" s="41">
        <v>0.66907188102552906</v>
      </c>
      <c r="AP157" s="40">
        <v>16586.552</v>
      </c>
      <c r="AQ157" s="40">
        <v>1516.1869999999999</v>
      </c>
      <c r="AR157" s="146">
        <v>8.3754563328786863E-2</v>
      </c>
    </row>
    <row r="158" spans="16:44">
      <c r="P158" s="21" t="s">
        <v>619</v>
      </c>
      <c r="Q158" s="11">
        <v>107861.91099999999</v>
      </c>
      <c r="R158" s="11">
        <v>58260.12</v>
      </c>
      <c r="S158" s="11">
        <v>1611.5705</v>
      </c>
      <c r="T158" s="11">
        <v>2667.7579999999998</v>
      </c>
      <c r="U158" s="11">
        <v>8843.7465000000011</v>
      </c>
      <c r="V158" s="11">
        <v>1863.386</v>
      </c>
      <c r="W158" s="11">
        <v>34615.33</v>
      </c>
      <c r="AE158" s="37" t="s">
        <v>620</v>
      </c>
      <c r="AF158" s="40">
        <v>707.66343999999992</v>
      </c>
      <c r="AG158" s="40">
        <v>474.44908999999996</v>
      </c>
      <c r="AH158" s="148">
        <v>0.67044454069861237</v>
      </c>
      <c r="AI158" s="40">
        <v>438.10775000000001</v>
      </c>
      <c r="AJ158" s="40">
        <v>36.341339999999995</v>
      </c>
      <c r="AK158" s="146">
        <v>7.6596922127092709E-2</v>
      </c>
      <c r="AM158" s="40">
        <v>24862.806499999999</v>
      </c>
      <c r="AN158" s="40">
        <v>16687.378000000001</v>
      </c>
      <c r="AO158" s="41">
        <v>0.67117837240136191</v>
      </c>
      <c r="AP158" s="40">
        <v>15423.111500000001</v>
      </c>
      <c r="AQ158" s="40">
        <v>1264.2665</v>
      </c>
      <c r="AR158" s="146">
        <v>7.5761842273843139E-2</v>
      </c>
    </row>
    <row r="159" spans="16:44">
      <c r="P159" s="21" t="s">
        <v>27</v>
      </c>
      <c r="Q159" s="23">
        <v>1</v>
      </c>
      <c r="R159" s="23">
        <v>0.5401361746687392</v>
      </c>
      <c r="S159" s="23">
        <v>1.4941052731765526E-2</v>
      </c>
      <c r="T159" s="23">
        <v>2.4733086733462379E-2</v>
      </c>
      <c r="U159" s="23">
        <v>8.1991375991845736E-2</v>
      </c>
      <c r="V159" s="23">
        <v>1.7275662768481824E-2</v>
      </c>
      <c r="W159" s="23">
        <v>0.32092264710570539</v>
      </c>
      <c r="AE159" s="37"/>
    </row>
    <row r="160" spans="16:44">
      <c r="AE160" s="36" t="s">
        <v>600</v>
      </c>
    </row>
    <row r="161" spans="16:31">
      <c r="P161" s="21" t="s">
        <v>620</v>
      </c>
      <c r="Q161" s="11">
        <v>105591</v>
      </c>
      <c r="R161" s="11">
        <v>57358</v>
      </c>
      <c r="S161" s="11">
        <v>1563</v>
      </c>
      <c r="T161" s="11">
        <v>2642</v>
      </c>
      <c r="U161" s="11">
        <v>8664</v>
      </c>
      <c r="V161" s="11">
        <v>1717</v>
      </c>
      <c r="W161" s="11">
        <v>33647</v>
      </c>
      <c r="AE161" s="180" t="s">
        <v>601</v>
      </c>
    </row>
    <row r="162" spans="16:31">
      <c r="P162" s="213" t="s">
        <v>27</v>
      </c>
      <c r="Q162" s="23">
        <v>1</v>
      </c>
      <c r="R162" s="23">
        <v>0.54321117785498885</v>
      </c>
      <c r="S162" s="23">
        <v>1.4803598103568178E-2</v>
      </c>
      <c r="T162" s="23">
        <v>2.5024581178832578E-2</v>
      </c>
      <c r="U162" s="23">
        <v>8.2047508435992553E-2</v>
      </c>
      <c r="V162" s="23">
        <v>1.6261646923473899E-2</v>
      </c>
      <c r="W162" s="23">
        <v>0.31865148750314387</v>
      </c>
    </row>
    <row r="164" spans="16:31">
      <c r="P164" s="33" t="s">
        <v>528</v>
      </c>
      <c r="Q164" s="34"/>
      <c r="R164" s="34"/>
      <c r="S164" s="34"/>
      <c r="T164" s="34"/>
      <c r="U164" s="34"/>
      <c r="V164" s="34"/>
      <c r="W164" s="34"/>
    </row>
    <row r="165" spans="16:31">
      <c r="P165" s="21" t="s">
        <v>557</v>
      </c>
      <c r="Q165" s="113">
        <f>'[1]Table 3'!$G$6</f>
        <v>134238.09899999999</v>
      </c>
      <c r="R165" s="113">
        <f>'[1]Table 3'!$C$8</f>
        <v>63548.24</v>
      </c>
      <c r="S165" s="113">
        <f>'[1]Table 3'!$C$10</f>
        <v>1867.942</v>
      </c>
      <c r="T165" s="113">
        <f>'[1]Table 3'!$C$12</f>
        <v>11703.25</v>
      </c>
      <c r="U165" s="113">
        <f>'[1]Table 3'!$C$14</f>
        <v>14730.24</v>
      </c>
      <c r="V165" s="113">
        <f>'[1]Table 3'!$C$16</f>
        <v>2910.0369999999998</v>
      </c>
      <c r="W165" s="113">
        <f>'[1]Table 3'!$C$18</f>
        <v>39478.39</v>
      </c>
    </row>
    <row r="166" spans="16:31">
      <c r="P166" s="21" t="s">
        <v>27</v>
      </c>
      <c r="Q166" s="80">
        <f>SUM(R166:W166)</f>
        <v>1</v>
      </c>
      <c r="R166" s="120">
        <f>R165/$Q$165</f>
        <v>0.47339943334567042</v>
      </c>
      <c r="S166" s="120">
        <f t="shared" ref="S166:W166" si="21">S165/$Q$165</f>
        <v>1.3915140440121997E-2</v>
      </c>
      <c r="T166" s="120">
        <f t="shared" si="21"/>
        <v>8.7182775137481655E-2</v>
      </c>
      <c r="U166" s="120">
        <f t="shared" si="21"/>
        <v>0.10973218564425589</v>
      </c>
      <c r="V166" s="120">
        <f t="shared" si="21"/>
        <v>2.1678174986670514E-2</v>
      </c>
      <c r="W166" s="120">
        <f t="shared" si="21"/>
        <v>0.2940922904457996</v>
      </c>
      <c r="AE166" s="37"/>
    </row>
    <row r="167" spans="16:31">
      <c r="P167" s="20"/>
      <c r="Q167" s="34"/>
      <c r="R167" s="34"/>
      <c r="S167" s="34"/>
      <c r="T167" s="34"/>
      <c r="U167" s="34"/>
      <c r="V167" s="34"/>
      <c r="W167" s="34"/>
      <c r="AE167" s="37"/>
    </row>
    <row r="168" spans="16:31">
      <c r="P168" s="21" t="s">
        <v>495</v>
      </c>
      <c r="Q168" s="113">
        <f>SUM(R168:W168)</f>
        <v>133202</v>
      </c>
      <c r="R168" s="113">
        <v>62989.4</v>
      </c>
      <c r="S168" s="113">
        <v>1812.8</v>
      </c>
      <c r="T168" s="113">
        <v>11560.8</v>
      </c>
      <c r="U168" s="113">
        <v>14734.49</v>
      </c>
      <c r="V168" s="113">
        <v>2982.7</v>
      </c>
      <c r="W168" s="113">
        <v>39121.81</v>
      </c>
      <c r="AE168" s="37"/>
    </row>
    <row r="169" spans="16:31">
      <c r="P169" s="21" t="s">
        <v>27</v>
      </c>
      <c r="Q169" s="80">
        <f>SUM(R169:W169)</f>
        <v>1</v>
      </c>
      <c r="R169" s="120">
        <f t="shared" ref="R169:W169" si="22">R168/$Q$168</f>
        <v>0.47288629299860363</v>
      </c>
      <c r="S169" s="120">
        <f t="shared" si="22"/>
        <v>1.3609405264185222E-2</v>
      </c>
      <c r="T169" s="120">
        <f t="shared" si="22"/>
        <v>8.679148961727301E-2</v>
      </c>
      <c r="U169" s="120">
        <f t="shared" si="22"/>
        <v>0.11061763336886833</v>
      </c>
      <c r="V169" s="120">
        <f t="shared" si="22"/>
        <v>2.2392306421825495E-2</v>
      </c>
      <c r="W169" s="120">
        <f t="shared" si="22"/>
        <v>0.2937028723292443</v>
      </c>
      <c r="AE169" s="37"/>
    </row>
    <row r="170" spans="16:31">
      <c r="P170" s="20"/>
      <c r="Q170" s="34"/>
      <c r="R170" s="34"/>
      <c r="S170" s="34"/>
      <c r="T170" s="34"/>
      <c r="U170" s="34"/>
      <c r="V170" s="34"/>
      <c r="W170" s="34"/>
      <c r="AE170" s="37"/>
    </row>
    <row r="171" spans="16:31">
      <c r="P171" s="21" t="s">
        <v>489</v>
      </c>
      <c r="Q171" s="113">
        <f>SUM(R171:W171)</f>
        <v>132151.02499999999</v>
      </c>
      <c r="R171" s="113">
        <v>62434.69</v>
      </c>
      <c r="S171" s="113">
        <v>1799.326</v>
      </c>
      <c r="T171" s="113">
        <v>11383.73</v>
      </c>
      <c r="U171" s="113">
        <v>14865.24</v>
      </c>
      <c r="V171" s="113">
        <v>3108.5790000000002</v>
      </c>
      <c r="W171" s="113">
        <v>38559.46</v>
      </c>
      <c r="AE171" s="37"/>
    </row>
    <row r="172" spans="16:31">
      <c r="P172" s="21" t="s">
        <v>27</v>
      </c>
      <c r="Q172" s="80">
        <f>SUM(R172:W172)</f>
        <v>1</v>
      </c>
      <c r="R172" s="120">
        <f>R171/$Q$171</f>
        <v>0.47244953264645512</v>
      </c>
      <c r="S172" s="120">
        <f t="shared" ref="S172:W172" si="23">S171/$Q$171</f>
        <v>1.361567948489238E-2</v>
      </c>
      <c r="T172" s="120">
        <f t="shared" si="23"/>
        <v>8.6141821450117395E-2</v>
      </c>
      <c r="U172" s="120">
        <f t="shared" si="23"/>
        <v>0.11248675521056307</v>
      </c>
      <c r="V172" s="120">
        <f t="shared" si="23"/>
        <v>2.352292765039091E-2</v>
      </c>
      <c r="W172" s="120">
        <f t="shared" si="23"/>
        <v>0.29178328355758121</v>
      </c>
      <c r="AE172" s="37"/>
    </row>
    <row r="173" spans="16:31">
      <c r="P173" s="20"/>
      <c r="Q173" s="34"/>
      <c r="R173" s="34"/>
      <c r="S173" s="34"/>
      <c r="T173" s="34"/>
      <c r="U173" s="34"/>
      <c r="V173" s="34"/>
      <c r="W173" s="34"/>
      <c r="AE173" s="37"/>
    </row>
    <row r="174" spans="16:31">
      <c r="P174" s="21" t="s">
        <v>607</v>
      </c>
      <c r="Q174" s="11">
        <v>130710.04300000001</v>
      </c>
      <c r="R174" s="11">
        <v>62095.16</v>
      </c>
      <c r="S174" s="11">
        <v>1784.239</v>
      </c>
      <c r="T174" s="11">
        <v>11236.06</v>
      </c>
      <c r="U174" s="11">
        <v>14762.39</v>
      </c>
      <c r="V174" s="11">
        <v>3166.9540000000002</v>
      </c>
      <c r="W174" s="11">
        <v>37665.24</v>
      </c>
      <c r="AE174" s="37"/>
    </row>
    <row r="175" spans="16:31">
      <c r="P175" s="21" t="s">
        <v>27</v>
      </c>
      <c r="Q175" s="23">
        <v>1</v>
      </c>
      <c r="R175" s="23">
        <v>0.47506035936351121</v>
      </c>
      <c r="S175" s="23">
        <v>1.3650358909299724E-2</v>
      </c>
      <c r="T175" s="23">
        <v>8.5961719100650882E-2</v>
      </c>
      <c r="U175" s="23">
        <v>0.11293998273721016</v>
      </c>
      <c r="V175" s="23">
        <v>2.4228849806131578E-2</v>
      </c>
      <c r="W175" s="23">
        <v>0.28815873008319642</v>
      </c>
      <c r="AE175" s="37"/>
    </row>
    <row r="176" spans="16:31">
      <c r="AE176" s="37"/>
    </row>
    <row r="177" spans="16:23">
      <c r="P177" s="21" t="s">
        <v>608</v>
      </c>
      <c r="Q177" s="11">
        <v>129421.21699999999</v>
      </c>
      <c r="R177" s="11">
        <v>61635.37</v>
      </c>
      <c r="S177" s="11">
        <v>1776.7739999999999</v>
      </c>
      <c r="T177" s="11">
        <v>11184.21</v>
      </c>
      <c r="U177" s="11">
        <v>14543.89</v>
      </c>
      <c r="V177" s="11">
        <v>3178.3029999999999</v>
      </c>
      <c r="W177" s="11">
        <v>37102.67</v>
      </c>
    </row>
    <row r="178" spans="16:23">
      <c r="P178" s="21" t="s">
        <v>27</v>
      </c>
      <c r="Q178" s="23">
        <v>1</v>
      </c>
      <c r="R178" s="23">
        <v>0.47623852895773655</v>
      </c>
      <c r="S178" s="23">
        <v>1.3728614528481833E-2</v>
      </c>
      <c r="T178" s="23">
        <v>8.6417128962710962E-2</v>
      </c>
      <c r="U178" s="23">
        <v>0.11237639652237237</v>
      </c>
      <c r="V178" s="23">
        <v>2.4557820376546143E-2</v>
      </c>
      <c r="W178" s="23">
        <v>0.28668151065215219</v>
      </c>
    </row>
    <row r="180" spans="16:23">
      <c r="P180" s="21" t="s">
        <v>609</v>
      </c>
      <c r="Q180" s="11">
        <v>128331.40300000001</v>
      </c>
      <c r="R180" s="11">
        <v>61188.37</v>
      </c>
      <c r="S180" s="11">
        <v>1817.6189999999999</v>
      </c>
      <c r="T180" s="11">
        <v>11217.17</v>
      </c>
      <c r="U180" s="11">
        <v>14332.94</v>
      </c>
      <c r="V180" s="11">
        <v>3181.5239999999999</v>
      </c>
      <c r="W180" s="11">
        <v>36593.78</v>
      </c>
    </row>
    <row r="181" spans="16:23">
      <c r="P181" s="21" t="s">
        <v>27</v>
      </c>
      <c r="Q181" s="23">
        <v>1</v>
      </c>
      <c r="R181" s="23">
        <v>0.47679966531652429</v>
      </c>
      <c r="S181" s="23">
        <v>1.4163477975846644E-2</v>
      </c>
      <c r="T181" s="23">
        <v>8.7407834230566306E-2</v>
      </c>
      <c r="U181" s="23">
        <v>0.11168692669868185</v>
      </c>
      <c r="V181" s="23">
        <v>2.4791469006226013E-2</v>
      </c>
      <c r="W181" s="23">
        <v>0.28515062677215486</v>
      </c>
    </row>
    <row r="183" spans="16:23">
      <c r="P183" s="21" t="s">
        <v>610</v>
      </c>
      <c r="Q183" s="11">
        <v>126400</v>
      </c>
      <c r="R183" s="11">
        <v>60600</v>
      </c>
      <c r="S183" s="11">
        <v>1800</v>
      </c>
      <c r="T183" s="11">
        <v>11300</v>
      </c>
      <c r="U183" s="11">
        <v>14000</v>
      </c>
      <c r="V183" s="11">
        <v>3100</v>
      </c>
      <c r="W183" s="11">
        <v>35600</v>
      </c>
    </row>
    <row r="184" spans="16:23">
      <c r="P184" s="21" t="s">
        <v>27</v>
      </c>
      <c r="Q184" s="23">
        <v>1</v>
      </c>
      <c r="R184" s="23">
        <v>0.47947128766756902</v>
      </c>
      <c r="S184" s="23">
        <v>1.4088614049443811E-2</v>
      </c>
      <c r="T184" s="23">
        <v>8.9029949460360303E-2</v>
      </c>
      <c r="U184" s="23">
        <v>0.11071454299690052</v>
      </c>
      <c r="V184" s="23">
        <v>2.487613987767175E-2</v>
      </c>
      <c r="W184" s="23">
        <v>0.28181946594805463</v>
      </c>
    </row>
    <row r="186" spans="16:23">
      <c r="P186" s="21" t="s">
        <v>611</v>
      </c>
      <c r="Q186" s="11">
        <v>124800</v>
      </c>
      <c r="R186" s="11">
        <v>60300</v>
      </c>
      <c r="S186" s="11">
        <v>1700</v>
      </c>
      <c r="T186" s="11">
        <v>11300</v>
      </c>
      <c r="U186" s="11">
        <v>13800</v>
      </c>
      <c r="V186" s="11">
        <v>3100</v>
      </c>
      <c r="W186" s="11">
        <v>34500</v>
      </c>
    </row>
    <row r="187" spans="16:23">
      <c r="P187" s="21" t="s">
        <v>27</v>
      </c>
      <c r="Q187" s="23">
        <v>1</v>
      </c>
      <c r="R187" s="23">
        <v>0.48317307692307693</v>
      </c>
      <c r="S187" s="23">
        <v>1.3621794871794872E-2</v>
      </c>
      <c r="T187" s="23">
        <v>9.0544871794871792E-2</v>
      </c>
      <c r="U187" s="23">
        <v>0.11057692307692307</v>
      </c>
      <c r="V187" s="23">
        <v>2.4839743589743588E-2</v>
      </c>
      <c r="W187" s="23">
        <v>0.27644230769230771</v>
      </c>
    </row>
    <row r="189" spans="16:23">
      <c r="P189" s="21" t="s">
        <v>612</v>
      </c>
      <c r="Q189" s="11">
        <v>123932</v>
      </c>
      <c r="R189" s="11">
        <v>60633</v>
      </c>
      <c r="S189" s="11">
        <v>1604</v>
      </c>
      <c r="T189" s="11">
        <v>11414</v>
      </c>
      <c r="U189" s="11">
        <v>13542</v>
      </c>
      <c r="V189" s="11">
        <v>3183</v>
      </c>
      <c r="W189" s="11">
        <v>33556</v>
      </c>
    </row>
    <row r="190" spans="16:23">
      <c r="P190" s="21" t="s">
        <v>27</v>
      </c>
      <c r="Q190" s="23">
        <v>1</v>
      </c>
      <c r="R190" s="23">
        <v>0.48924410160410547</v>
      </c>
      <c r="S190" s="23">
        <v>1.2942581415615015E-2</v>
      </c>
      <c r="T190" s="23">
        <v>9.2098892941290381E-2</v>
      </c>
      <c r="U190" s="23">
        <v>0.10926959945776717</v>
      </c>
      <c r="V190" s="23">
        <v>2.5683439305425555E-2</v>
      </c>
      <c r="W190" s="23">
        <v>0.27076138527579641</v>
      </c>
    </row>
    <row r="192" spans="16:23">
      <c r="P192" s="21" t="s">
        <v>613</v>
      </c>
      <c r="Q192" s="11">
        <v>122947</v>
      </c>
      <c r="R192" s="11">
        <v>60509</v>
      </c>
      <c r="S192" s="11">
        <v>1526</v>
      </c>
      <c r="T192" s="11">
        <v>11423</v>
      </c>
      <c r="U192" s="11">
        <v>13441</v>
      </c>
      <c r="V192" s="11">
        <v>3109</v>
      </c>
      <c r="W192" s="11">
        <v>32939</v>
      </c>
    </row>
    <row r="193" spans="16:23">
      <c r="P193" s="21" t="s">
        <v>27</v>
      </c>
      <c r="Q193" s="23">
        <v>1</v>
      </c>
      <c r="R193" s="23">
        <v>0.4921551562868553</v>
      </c>
      <c r="S193" s="23">
        <v>1.2411852261543592E-2</v>
      </c>
      <c r="T193" s="23">
        <v>9.2909953069208684E-2</v>
      </c>
      <c r="U193" s="23">
        <v>0.10932352965098782</v>
      </c>
      <c r="V193" s="23">
        <v>2.5287318926041302E-2</v>
      </c>
      <c r="W193" s="23">
        <v>0.2679121898053633</v>
      </c>
    </row>
    <row r="195" spans="16:23">
      <c r="P195" s="21" t="s">
        <v>614</v>
      </c>
      <c r="Q195" s="11">
        <v>121957</v>
      </c>
      <c r="R195" s="11">
        <v>60424</v>
      </c>
      <c r="S195" s="11">
        <v>1486</v>
      </c>
      <c r="T195" s="11">
        <v>11310</v>
      </c>
      <c r="U195" s="11">
        <v>13397</v>
      </c>
      <c r="V195" s="11">
        <v>3036</v>
      </c>
      <c r="W195" s="11">
        <v>32303</v>
      </c>
    </row>
    <row r="196" spans="16:23">
      <c r="P196" s="21" t="s">
        <v>27</v>
      </c>
      <c r="Q196" s="23">
        <v>1</v>
      </c>
      <c r="R196" s="23">
        <v>0.49545331551284472</v>
      </c>
      <c r="S196" s="23">
        <v>1.2184622448895923E-2</v>
      </c>
      <c r="T196" s="23">
        <v>9.273760423755914E-2</v>
      </c>
      <c r="U196" s="23">
        <v>0.10985019310084702</v>
      </c>
      <c r="V196" s="23">
        <v>2.489402002345089E-2</v>
      </c>
      <c r="W196" s="23">
        <v>0.2648720450650639</v>
      </c>
    </row>
    <row r="198" spans="16:23">
      <c r="P198" s="21" t="s">
        <v>615</v>
      </c>
      <c r="Q198" s="11">
        <v>120700</v>
      </c>
      <c r="R198" s="11">
        <v>60100</v>
      </c>
      <c r="S198" s="11">
        <v>1600</v>
      </c>
      <c r="T198" s="11">
        <v>11300</v>
      </c>
      <c r="U198" s="11">
        <v>13200</v>
      </c>
      <c r="V198" s="11">
        <v>3000</v>
      </c>
      <c r="W198" s="11">
        <v>31600</v>
      </c>
    </row>
    <row r="199" spans="16:23">
      <c r="P199" s="21" t="s">
        <v>27</v>
      </c>
      <c r="Q199" s="23">
        <v>1</v>
      </c>
      <c r="R199" s="23">
        <v>0.4979287489643745</v>
      </c>
      <c r="S199" s="23">
        <v>1.3256006628003313E-2</v>
      </c>
      <c r="T199" s="23">
        <v>9.3620546810273403E-2</v>
      </c>
      <c r="U199" s="23">
        <v>0.10936205468102735</v>
      </c>
      <c r="V199" s="23">
        <v>2.4855012427506214E-2</v>
      </c>
      <c r="W199" s="23">
        <v>0.26180613090306543</v>
      </c>
    </row>
    <row r="201" spans="16:23">
      <c r="P201" s="21" t="s">
        <v>616</v>
      </c>
      <c r="Q201" s="11">
        <v>119400</v>
      </c>
      <c r="R201" s="11">
        <v>59500</v>
      </c>
      <c r="S201" s="11">
        <v>1700</v>
      </c>
      <c r="T201" s="11">
        <v>11200</v>
      </c>
      <c r="U201" s="11">
        <v>13100</v>
      </c>
      <c r="V201" s="11">
        <v>2900</v>
      </c>
      <c r="W201" s="11">
        <v>31000</v>
      </c>
    </row>
    <row r="202" spans="16:23">
      <c r="P202" s="21" t="s">
        <v>27</v>
      </c>
      <c r="Q202" s="23">
        <v>1</v>
      </c>
      <c r="R202" s="23">
        <v>0.49832495812395311</v>
      </c>
      <c r="S202" s="23">
        <v>1.423785594639866E-2</v>
      </c>
      <c r="T202" s="23">
        <v>9.380234505862646E-2</v>
      </c>
      <c r="U202" s="23">
        <v>0.10971524288107203</v>
      </c>
      <c r="V202" s="23">
        <v>2.4288107202680067E-2</v>
      </c>
      <c r="W202" s="23">
        <v>0.25963149078726966</v>
      </c>
    </row>
    <row r="203" spans="16:23">
      <c r="P203" s="20"/>
    </row>
    <row r="204" spans="16:23">
      <c r="P204" s="21" t="s">
        <v>617</v>
      </c>
      <c r="Q204" s="11">
        <v>118033.05</v>
      </c>
      <c r="R204" s="11">
        <v>59295.754999999997</v>
      </c>
      <c r="S204" s="11">
        <v>1593.5475000000001</v>
      </c>
      <c r="T204" s="11">
        <v>11145.244999999999</v>
      </c>
      <c r="U204" s="11">
        <v>12913.07</v>
      </c>
      <c r="V204" s="11">
        <v>2809.8874999999998</v>
      </c>
      <c r="W204" s="11">
        <v>30275.544999999998</v>
      </c>
    </row>
    <row r="205" spans="16:23">
      <c r="P205" s="21" t="s">
        <v>27</v>
      </c>
      <c r="Q205" s="23">
        <v>1</v>
      </c>
      <c r="R205" s="23">
        <v>0.50236569333758641</v>
      </c>
      <c r="S205" s="23">
        <v>1.350085844600305E-2</v>
      </c>
      <c r="T205" s="23">
        <v>9.4424781872534849E-2</v>
      </c>
      <c r="U205" s="23">
        <v>0.10940215473547452</v>
      </c>
      <c r="V205" s="23">
        <v>2.3805938252040425E-2</v>
      </c>
      <c r="W205" s="23">
        <v>0.25650057335636078</v>
      </c>
    </row>
    <row r="207" spans="16:23">
      <c r="P207" s="21" t="s">
        <v>618</v>
      </c>
      <c r="Q207" s="11">
        <v>116882</v>
      </c>
      <c r="R207" s="11">
        <v>58832</v>
      </c>
      <c r="S207" s="11">
        <v>1523</v>
      </c>
      <c r="T207" s="11">
        <v>11232</v>
      </c>
      <c r="U207" s="11">
        <v>12760</v>
      </c>
      <c r="V207" s="11">
        <v>2776</v>
      </c>
      <c r="W207" s="11">
        <v>29758</v>
      </c>
    </row>
    <row r="208" spans="16:23">
      <c r="P208" s="21" t="s">
        <v>27</v>
      </c>
      <c r="Q208" s="23">
        <v>1</v>
      </c>
      <c r="R208" s="23">
        <v>0.50334568021404702</v>
      </c>
      <c r="S208" s="23">
        <v>1.3034269983936652E-2</v>
      </c>
      <c r="T208" s="23">
        <v>9.6099332578512581E-2</v>
      </c>
      <c r="U208" s="23">
        <v>0.10916614403670148</v>
      </c>
      <c r="V208" s="23">
        <v>2.3752465667974652E-2</v>
      </c>
      <c r="W208" s="23">
        <v>0.25460210751882761</v>
      </c>
    </row>
    <row r="210" spans="16:23">
      <c r="P210" s="21" t="s">
        <v>619</v>
      </c>
      <c r="Q210" s="11">
        <v>115558.4705</v>
      </c>
      <c r="R210" s="11">
        <v>58260.104999999996</v>
      </c>
      <c r="S210" s="11">
        <v>1435.8845000000001</v>
      </c>
      <c r="T210" s="11">
        <v>11359.02</v>
      </c>
      <c r="U210" s="11">
        <v>12473.3</v>
      </c>
      <c r="V210" s="11">
        <v>2815.2060000000001</v>
      </c>
      <c r="W210" s="11">
        <v>29214.955000000002</v>
      </c>
    </row>
    <row r="211" spans="16:23">
      <c r="P211" s="21" t="s">
        <v>27</v>
      </c>
      <c r="Q211" s="23">
        <v>1</v>
      </c>
      <c r="R211" s="23">
        <v>0.50416126786655591</v>
      </c>
      <c r="S211" s="23">
        <v>1.2425610115703289E-2</v>
      </c>
      <c r="T211" s="23">
        <v>9.8296731956139902E-2</v>
      </c>
      <c r="U211" s="23">
        <v>0.10793929641012338</v>
      </c>
      <c r="V211" s="23">
        <v>2.436174507865263E-2</v>
      </c>
      <c r="W211" s="23">
        <v>0.25281534857282489</v>
      </c>
    </row>
    <row r="213" spans="16:23">
      <c r="P213" s="21" t="s">
        <v>620</v>
      </c>
      <c r="Q213" s="11">
        <v>113208</v>
      </c>
      <c r="R213" s="11">
        <v>57358</v>
      </c>
      <c r="S213" s="11">
        <v>1331</v>
      </c>
      <c r="T213" s="11">
        <v>11299</v>
      </c>
      <c r="U213" s="11">
        <v>12009</v>
      </c>
      <c r="V213" s="11">
        <v>2700</v>
      </c>
      <c r="W213" s="11">
        <v>28510</v>
      </c>
    </row>
    <row r="214" spans="16:23">
      <c r="P214" s="53" t="s">
        <v>27</v>
      </c>
      <c r="Q214" s="52">
        <v>1</v>
      </c>
      <c r="R214" s="52">
        <v>0.50666436953747884</v>
      </c>
      <c r="S214" s="52">
        <v>1.1754534544897614E-2</v>
      </c>
      <c r="T214" s="52">
        <v>9.9808873439701851E-2</v>
      </c>
      <c r="U214" s="52">
        <v>0.10608042832107833</v>
      </c>
      <c r="V214" s="52">
        <v>2.3850957561331782E-2</v>
      </c>
      <c r="W214" s="52">
        <v>0.25184083659551165</v>
      </c>
    </row>
    <row r="216" spans="16:23">
      <c r="P216" s="25" t="s">
        <v>598</v>
      </c>
    </row>
    <row r="217" spans="16:23">
      <c r="P217" s="27" t="s">
        <v>573</v>
      </c>
    </row>
  </sheetData>
  <phoneticPr fontId="2" type="noConversion"/>
  <printOptions horizontalCentered="1"/>
  <pageMargins left="0.7" right="0.4" top="0.7" bottom="0.3" header="0.5" footer="0.5"/>
  <pageSetup fitToHeight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17"/>
  <sheetViews>
    <sheetView topLeftCell="AK1" zoomScaleNormal="100" workbookViewId="0">
      <selection activeCell="AK12" sqref="AK12"/>
    </sheetView>
  </sheetViews>
  <sheetFormatPr defaultColWidth="8.75" defaultRowHeight="15.75"/>
  <cols>
    <col min="1" max="1" width="23.375" style="104" customWidth="1"/>
    <col min="2" max="4" width="8.75" style="104" customWidth="1"/>
    <col min="5" max="5" width="9" style="104" customWidth="1"/>
    <col min="6" max="6" width="9.125" style="104" customWidth="1"/>
    <col min="7" max="8" width="8.875" style="104" customWidth="1"/>
    <col min="9" max="9" width="9" style="104" customWidth="1"/>
    <col min="10" max="11" width="8.875" style="104" customWidth="1"/>
    <col min="12" max="12" width="8.75" style="104" customWidth="1"/>
    <col min="13" max="13" width="9" style="104" customWidth="1"/>
    <col min="14" max="14" width="8.875" style="104" customWidth="1"/>
    <col min="15" max="15" width="9.125" style="104" customWidth="1"/>
    <col min="16" max="16" width="9" style="104" customWidth="1"/>
    <col min="17" max="17" width="8.75" style="104" customWidth="1"/>
    <col min="18" max="18" width="1.625" style="104" customWidth="1"/>
    <col min="19" max="19" width="21.25" style="104" customWidth="1"/>
    <col min="20" max="20" width="9.25" style="104" customWidth="1"/>
    <col min="21" max="21" width="9" style="104" customWidth="1"/>
    <col min="22" max="22" width="9.25" style="104" customWidth="1"/>
    <col min="23" max="23" width="9" style="104" customWidth="1"/>
    <col min="24" max="25" width="9.125" style="104" customWidth="1"/>
    <col min="26" max="26" width="7.75" style="104" customWidth="1"/>
    <col min="27" max="27" width="8" style="104" customWidth="1"/>
    <col min="28" max="29" width="7.75" style="104" customWidth="1"/>
    <col min="30" max="30" width="8" style="104" customWidth="1"/>
    <col min="31" max="34" width="8.125" style="104" customWidth="1"/>
    <col min="35" max="35" width="8.625" style="104" customWidth="1"/>
    <col min="36" max="36" width="1.625" style="104" customWidth="1"/>
    <col min="37" max="37" width="17.5" style="104" customWidth="1"/>
    <col min="38" max="38" width="0.75" style="104" customWidth="1"/>
    <col min="39" max="40" width="7.25" style="104" customWidth="1"/>
    <col min="41" max="41" width="6.375" style="104" customWidth="1"/>
    <col min="42" max="42" width="5.75" style="104" customWidth="1"/>
    <col min="43" max="43" width="6.375" style="104" customWidth="1"/>
    <col min="44" max="44" width="5.75" style="104" customWidth="1"/>
    <col min="45" max="45" width="6.375" style="104" customWidth="1"/>
    <col min="46" max="46" width="5.75" style="104" customWidth="1"/>
    <col min="47" max="47" width="6.375" style="104" customWidth="1"/>
    <col min="48" max="48" width="5.75" style="104" customWidth="1"/>
    <col min="49" max="49" width="6.375" style="104" customWidth="1"/>
    <col min="50" max="50" width="5.75" style="104" customWidth="1"/>
    <col min="51" max="51" width="6.375" style="104" customWidth="1"/>
    <col min="52" max="52" width="5.75" style="104" customWidth="1"/>
    <col min="53" max="53" width="6.375" style="104" customWidth="1"/>
    <col min="54" max="54" width="5.75" style="104" customWidth="1"/>
    <col min="55" max="55" width="6.375" style="104" customWidth="1"/>
    <col min="56" max="70" width="5.75" style="104" customWidth="1"/>
    <col min="71" max="71" width="5.75" style="257" customWidth="1"/>
    <col min="72" max="72" width="5.75" style="112" customWidth="1"/>
    <col min="73" max="73" width="1.625" style="104" customWidth="1"/>
    <col min="74" max="74" width="16.375" style="104" customWidth="1"/>
    <col min="75" max="75" width="10.25" style="111" customWidth="1"/>
    <col min="76" max="76" width="8.5" style="104" customWidth="1"/>
    <col min="77" max="77" width="2.375" style="104" customWidth="1"/>
    <col min="78" max="78" width="10.25" style="104" customWidth="1"/>
    <col min="79" max="79" width="8.5" style="104" customWidth="1"/>
    <col min="80" max="16384" width="8.75" style="104"/>
  </cols>
  <sheetData>
    <row r="1" spans="1:79">
      <c r="A1" s="158" t="s">
        <v>91</v>
      </c>
      <c r="B1" s="2"/>
      <c r="C1" s="2"/>
      <c r="D1" s="2"/>
      <c r="E1" s="2"/>
      <c r="F1" s="2"/>
      <c r="G1" s="2"/>
      <c r="S1" s="158" t="s">
        <v>111</v>
      </c>
      <c r="T1" s="2"/>
      <c r="U1" s="2"/>
      <c r="V1" s="2"/>
      <c r="W1" s="2"/>
      <c r="X1" s="2"/>
      <c r="Y1" s="2"/>
      <c r="AK1" s="153" t="s">
        <v>494</v>
      </c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BV1" s="153" t="s">
        <v>569</v>
      </c>
      <c r="BW1" s="113"/>
      <c r="BX1" s="24"/>
      <c r="BY1" s="24"/>
      <c r="BZ1" s="24"/>
      <c r="CA1" s="24"/>
    </row>
    <row r="2" spans="1:79">
      <c r="A2" s="158" t="s">
        <v>566</v>
      </c>
      <c r="B2" s="2"/>
      <c r="C2" s="2"/>
      <c r="D2" s="2"/>
      <c r="E2" s="2"/>
      <c r="F2" s="2"/>
      <c r="G2" s="2"/>
      <c r="S2" s="158" t="s">
        <v>566</v>
      </c>
      <c r="T2" s="2"/>
      <c r="U2" s="2"/>
      <c r="V2" s="2"/>
      <c r="W2" s="2"/>
      <c r="X2" s="2"/>
      <c r="Y2" s="2"/>
      <c r="AK2" s="158" t="s">
        <v>622</v>
      </c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133"/>
      <c r="BV2" s="153" t="s">
        <v>568</v>
      </c>
      <c r="BW2" s="113"/>
      <c r="BX2" s="24"/>
      <c r="BY2" s="24"/>
      <c r="BZ2" s="24"/>
      <c r="CA2" s="24"/>
    </row>
    <row r="3" spans="1:79">
      <c r="A3" s="25"/>
      <c r="B3" s="2"/>
      <c r="C3" s="2"/>
      <c r="D3" s="2"/>
      <c r="E3" s="2"/>
      <c r="F3" s="181"/>
      <c r="G3" s="2"/>
      <c r="S3" s="25"/>
      <c r="T3" s="2"/>
      <c r="U3" s="2"/>
      <c r="V3" s="2"/>
      <c r="W3" s="2"/>
      <c r="X3" s="181"/>
      <c r="Y3" s="2"/>
      <c r="AK3" s="2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BV3" s="25"/>
      <c r="BW3" s="113"/>
      <c r="BX3" s="24"/>
      <c r="BY3" s="144"/>
      <c r="BZ3" s="24"/>
      <c r="CA3" s="24"/>
    </row>
    <row r="4" spans="1:79">
      <c r="A4" s="25"/>
      <c r="B4" s="2"/>
      <c r="C4" s="2"/>
      <c r="D4" s="2"/>
      <c r="E4" s="2"/>
      <c r="F4" s="2"/>
      <c r="G4" s="2"/>
      <c r="S4" s="25"/>
      <c r="T4" s="2"/>
      <c r="U4" s="2"/>
      <c r="V4" s="2"/>
      <c r="W4" s="2"/>
      <c r="X4" s="2"/>
      <c r="Y4" s="2"/>
      <c r="AK4" s="163" t="s">
        <v>19</v>
      </c>
      <c r="AL4" s="29"/>
      <c r="AM4" s="312" t="s">
        <v>119</v>
      </c>
      <c r="AN4" s="312"/>
      <c r="AO4" s="131" t="s">
        <v>135</v>
      </c>
      <c r="AP4" s="131"/>
      <c r="AQ4" s="131" t="s">
        <v>136</v>
      </c>
      <c r="AR4" s="131"/>
      <c r="AS4" s="131" t="s">
        <v>110</v>
      </c>
      <c r="AT4" s="131"/>
      <c r="AU4" s="131" t="s">
        <v>171</v>
      </c>
      <c r="AV4" s="131"/>
      <c r="AW4" s="131" t="s">
        <v>381</v>
      </c>
      <c r="AX4" s="131"/>
      <c r="AY4" s="131" t="s">
        <v>396</v>
      </c>
      <c r="AZ4" s="131"/>
      <c r="BA4" s="131" t="s">
        <v>505</v>
      </c>
      <c r="BB4" s="131"/>
      <c r="BC4" s="131" t="s">
        <v>429</v>
      </c>
      <c r="BD4" s="131"/>
      <c r="BE4" s="131" t="s">
        <v>430</v>
      </c>
      <c r="BF4" s="131"/>
      <c r="BG4" s="131" t="s">
        <v>432</v>
      </c>
      <c r="BH4" s="131"/>
      <c r="BI4" s="131" t="s">
        <v>436</v>
      </c>
      <c r="BJ4" s="131"/>
      <c r="BK4" s="131" t="s">
        <v>439</v>
      </c>
      <c r="BL4" s="131"/>
      <c r="BM4" s="131" t="s">
        <v>485</v>
      </c>
      <c r="BN4" s="131"/>
      <c r="BO4" s="131" t="s">
        <v>491</v>
      </c>
      <c r="BP4" s="131"/>
      <c r="BQ4" s="258" t="s">
        <v>496</v>
      </c>
      <c r="BR4" s="262"/>
      <c r="BS4" s="258" t="s">
        <v>567</v>
      </c>
      <c r="BT4" s="262"/>
      <c r="BV4" s="85" t="s">
        <v>19</v>
      </c>
      <c r="BW4" s="267" t="s">
        <v>82</v>
      </c>
      <c r="BX4" s="6"/>
      <c r="BY4" s="91"/>
      <c r="BZ4" s="6" t="s">
        <v>83</v>
      </c>
      <c r="CA4" s="6"/>
    </row>
    <row r="5" spans="1:79">
      <c r="A5" s="182" t="s">
        <v>92</v>
      </c>
      <c r="B5" s="130" t="s">
        <v>94</v>
      </c>
      <c r="C5" s="130" t="s">
        <v>108</v>
      </c>
      <c r="D5" s="130" t="s">
        <v>109</v>
      </c>
      <c r="E5" s="130" t="s">
        <v>110</v>
      </c>
      <c r="F5" s="130" t="s">
        <v>378</v>
      </c>
      <c r="G5" s="130" t="s">
        <v>392</v>
      </c>
      <c r="H5" s="130" t="s">
        <v>397</v>
      </c>
      <c r="I5" s="130" t="s">
        <v>422</v>
      </c>
      <c r="J5" s="130" t="s">
        <v>429</v>
      </c>
      <c r="K5" s="130" t="s">
        <v>430</v>
      </c>
      <c r="L5" s="130" t="s">
        <v>432</v>
      </c>
      <c r="M5" s="130" t="s">
        <v>436</v>
      </c>
      <c r="N5" s="130" t="s">
        <v>439</v>
      </c>
      <c r="O5" s="130" t="s">
        <v>485</v>
      </c>
      <c r="P5" s="130" t="s">
        <v>491</v>
      </c>
      <c r="Q5" s="130" t="s">
        <v>496</v>
      </c>
      <c r="S5" s="182" t="s">
        <v>92</v>
      </c>
      <c r="T5" s="130" t="s">
        <v>94</v>
      </c>
      <c r="U5" s="130" t="s">
        <v>108</v>
      </c>
      <c r="V5" s="130" t="s">
        <v>109</v>
      </c>
      <c r="W5" s="130" t="s">
        <v>110</v>
      </c>
      <c r="X5" s="130" t="s">
        <v>378</v>
      </c>
      <c r="Y5" s="130" t="s">
        <v>394</v>
      </c>
      <c r="Z5" s="130" t="s">
        <v>397</v>
      </c>
      <c r="AA5" s="130" t="s">
        <v>418</v>
      </c>
      <c r="AB5" s="130" t="s">
        <v>429</v>
      </c>
      <c r="AC5" s="130" t="s">
        <v>430</v>
      </c>
      <c r="AD5" s="130" t="s">
        <v>432</v>
      </c>
      <c r="AE5" s="130" t="s">
        <v>436</v>
      </c>
      <c r="AF5" s="130" t="s">
        <v>439</v>
      </c>
      <c r="AG5" s="130" t="s">
        <v>485</v>
      </c>
      <c r="AH5" s="130" t="s">
        <v>491</v>
      </c>
      <c r="AI5" s="130" t="s">
        <v>496</v>
      </c>
      <c r="AK5" s="87" t="s">
        <v>24</v>
      </c>
      <c r="AL5" s="183"/>
      <c r="AM5" s="313" t="s">
        <v>11</v>
      </c>
      <c r="AN5" s="313" t="s">
        <v>120</v>
      </c>
      <c r="AO5" s="150" t="s">
        <v>11</v>
      </c>
      <c r="AP5" s="150" t="s">
        <v>120</v>
      </c>
      <c r="AQ5" s="150" t="s">
        <v>11</v>
      </c>
      <c r="AR5" s="150" t="s">
        <v>120</v>
      </c>
      <c r="AS5" s="150" t="s">
        <v>11</v>
      </c>
      <c r="AT5" s="150" t="s">
        <v>120</v>
      </c>
      <c r="AU5" s="150" t="s">
        <v>11</v>
      </c>
      <c r="AV5" s="150" t="s">
        <v>120</v>
      </c>
      <c r="AW5" s="150" t="s">
        <v>11</v>
      </c>
      <c r="AX5" s="150" t="s">
        <v>120</v>
      </c>
      <c r="AY5" s="150" t="s">
        <v>11</v>
      </c>
      <c r="AZ5" s="150" t="s">
        <v>120</v>
      </c>
      <c r="BA5" s="150" t="s">
        <v>11</v>
      </c>
      <c r="BB5" s="150" t="s">
        <v>120</v>
      </c>
      <c r="BC5" s="150" t="s">
        <v>11</v>
      </c>
      <c r="BD5" s="150" t="s">
        <v>120</v>
      </c>
      <c r="BE5" s="150" t="s">
        <v>11</v>
      </c>
      <c r="BF5" s="150" t="s">
        <v>120</v>
      </c>
      <c r="BG5" s="150" t="s">
        <v>11</v>
      </c>
      <c r="BH5" s="150" t="s">
        <v>120</v>
      </c>
      <c r="BI5" s="150" t="s">
        <v>11</v>
      </c>
      <c r="BJ5" s="150" t="s">
        <v>120</v>
      </c>
      <c r="BK5" s="150" t="s">
        <v>11</v>
      </c>
      <c r="BL5" s="150" t="s">
        <v>120</v>
      </c>
      <c r="BM5" s="150" t="s">
        <v>11</v>
      </c>
      <c r="BN5" s="150" t="s">
        <v>120</v>
      </c>
      <c r="BO5" s="150" t="s">
        <v>11</v>
      </c>
      <c r="BP5" s="150" t="s">
        <v>120</v>
      </c>
      <c r="BQ5" s="150" t="s">
        <v>11</v>
      </c>
      <c r="BR5" s="150" t="s">
        <v>120</v>
      </c>
      <c r="BS5" s="259" t="s">
        <v>11</v>
      </c>
      <c r="BT5" s="263" t="s">
        <v>120</v>
      </c>
      <c r="BV5" s="53" t="s">
        <v>24</v>
      </c>
      <c r="BW5" s="268" t="s">
        <v>11</v>
      </c>
      <c r="BX5" s="9" t="s">
        <v>120</v>
      </c>
      <c r="BY5" s="54"/>
      <c r="BZ5" s="9" t="s">
        <v>11</v>
      </c>
      <c r="CA5" s="9" t="s">
        <v>120</v>
      </c>
    </row>
    <row r="6" spans="1:79">
      <c r="A6" s="43"/>
      <c r="B6" s="25"/>
      <c r="S6" s="43"/>
      <c r="T6" s="25"/>
      <c r="AK6" s="31"/>
      <c r="AL6" s="24"/>
      <c r="AM6" s="314"/>
      <c r="AN6" s="314"/>
      <c r="AO6" s="24"/>
      <c r="BV6" s="2"/>
      <c r="BW6" s="118"/>
      <c r="BX6" s="2"/>
      <c r="BY6" s="2"/>
      <c r="BZ6" s="2"/>
      <c r="CA6" s="2"/>
    </row>
    <row r="7" spans="1:79">
      <c r="A7" s="158" t="s">
        <v>82</v>
      </c>
      <c r="B7" s="25"/>
      <c r="S7" s="184" t="s">
        <v>82</v>
      </c>
      <c r="T7" s="25"/>
      <c r="AK7" s="185" t="s">
        <v>121</v>
      </c>
      <c r="AL7" s="24"/>
      <c r="AM7" s="287"/>
      <c r="AN7" s="287"/>
      <c r="BV7" s="186" t="s">
        <v>95</v>
      </c>
      <c r="BW7" s="113"/>
      <c r="BX7" s="24"/>
      <c r="BY7" s="24"/>
      <c r="BZ7" s="24"/>
      <c r="CA7" s="24"/>
    </row>
    <row r="8" spans="1:79">
      <c r="A8" s="25"/>
      <c r="S8" s="25"/>
      <c r="AK8" s="187" t="s">
        <v>95</v>
      </c>
      <c r="AL8" s="23"/>
      <c r="AM8" s="315">
        <v>131.22020000000001</v>
      </c>
      <c r="AN8" s="189">
        <v>5.9200519007569466E-2</v>
      </c>
      <c r="AO8" s="119">
        <v>141</v>
      </c>
      <c r="AP8" s="23">
        <v>6.1734315435272337E-2</v>
      </c>
      <c r="AQ8" s="119">
        <v>145</v>
      </c>
      <c r="AR8" s="23">
        <v>6.4008137320717876E-2</v>
      </c>
      <c r="AS8" s="119">
        <v>144.80199999999999</v>
      </c>
      <c r="AT8" s="23">
        <v>6.4544088549293027E-2</v>
      </c>
      <c r="AU8" s="119">
        <v>131</v>
      </c>
      <c r="AV8" s="23">
        <v>5.7820528816815556E-2</v>
      </c>
      <c r="AW8" s="119">
        <v>140.41665</v>
      </c>
      <c r="AX8" s="23">
        <v>6.1150613299061927E-2</v>
      </c>
      <c r="AY8" s="119">
        <v>148.61699999999999</v>
      </c>
      <c r="AZ8" s="23">
        <v>6.6157020185790935E-2</v>
      </c>
      <c r="BA8" s="119">
        <v>143.43810000000002</v>
      </c>
      <c r="BB8" s="23">
        <v>6.5556082078983849E-2</v>
      </c>
      <c r="BC8" s="119">
        <v>158.50995</v>
      </c>
      <c r="BD8" s="23">
        <v>7.1004132711939699E-2</v>
      </c>
      <c r="BE8" s="119">
        <v>171</v>
      </c>
      <c r="BF8" s="23">
        <v>7.7108125691258758E-2</v>
      </c>
      <c r="BG8" s="119">
        <v>187.2</v>
      </c>
      <c r="BH8" s="23">
        <v>8.6034922400509029E-2</v>
      </c>
      <c r="BI8" s="119">
        <v>186.6</v>
      </c>
      <c r="BJ8" s="23">
        <v>8.4050065081002212E-2</v>
      </c>
      <c r="BK8" s="119">
        <v>174.53299999999999</v>
      </c>
      <c r="BL8" s="23">
        <v>7.8702098310772572E-2</v>
      </c>
      <c r="BM8" s="119">
        <v>187.88489999999999</v>
      </c>
      <c r="BN8" s="23">
        <v>8.4093352465847482E-2</v>
      </c>
      <c r="BO8" s="119">
        <v>193</v>
      </c>
      <c r="BP8" s="23">
        <v>8.4000000000000005E-2</v>
      </c>
      <c r="BQ8" s="119">
        <f>169366.5/1000</f>
        <v>169.3665</v>
      </c>
      <c r="BR8" s="23">
        <v>7.3200000000000001E-2</v>
      </c>
      <c r="BS8" s="125">
        <f>'[2]Table 9-10-14-16'!$E$10/1000</f>
        <v>149.0966</v>
      </c>
      <c r="BT8" s="115">
        <f>'[2]Table 9-10-14-16'!$F$10/100</f>
        <v>6.54E-2</v>
      </c>
      <c r="BV8" s="21" t="s">
        <v>567</v>
      </c>
      <c r="BW8" s="113">
        <f>'T1-T6'!C6/1000</f>
        <v>2280.6879100000001</v>
      </c>
      <c r="BX8" s="26" t="s">
        <v>138</v>
      </c>
      <c r="BY8" s="24"/>
      <c r="BZ8" s="113">
        <f>'T1-T6'!I62/1000</f>
        <v>82957.534440000003</v>
      </c>
      <c r="CA8" s="26" t="s">
        <v>138</v>
      </c>
    </row>
    <row r="9" spans="1:79">
      <c r="A9" s="188" t="s">
        <v>95</v>
      </c>
      <c r="B9" s="49">
        <f>'T1-T6'!AU25</f>
        <v>91778.148563966854</v>
      </c>
      <c r="C9" s="49">
        <f>'T1-T6'!AU24</f>
        <v>93447.090623525903</v>
      </c>
      <c r="D9" s="49">
        <f>'T1-T6'!AU23</f>
        <v>93564.434733482543</v>
      </c>
      <c r="E9" s="49">
        <f>'T1-T6'!AU22</f>
        <v>95878.826159990887</v>
      </c>
      <c r="F9" s="49">
        <f>'T1-T6'!AU21</f>
        <v>98473.546434899094</v>
      </c>
      <c r="G9" s="49">
        <f>'T1-T6'!AU20</f>
        <v>95945.212375720876</v>
      </c>
      <c r="H9" s="49">
        <f>'T1-T6'!AU19</f>
        <v>94360.920391729887</v>
      </c>
      <c r="I9" s="49">
        <f>'T1-T6'!AU18</f>
        <v>91689.497800978046</v>
      </c>
      <c r="J9" s="49">
        <f>'T1-T6'!AU17</f>
        <v>87412.140988697065</v>
      </c>
      <c r="K9" s="49">
        <f>'T1-T6'!AU16</f>
        <v>86269.896598271676</v>
      </c>
      <c r="L9" s="49">
        <f>'T1-T6'!AU15</f>
        <v>86034.244150838334</v>
      </c>
      <c r="M9" s="49">
        <f>'T1-T6'!AU14</f>
        <v>85425.380316543451</v>
      </c>
      <c r="N9" s="49">
        <f>'T1-T6'!AU13</f>
        <v>84655.690302300733</v>
      </c>
      <c r="O9" s="49">
        <f>'T1-T6'!AU12</f>
        <v>88471.11491837044</v>
      </c>
      <c r="P9" s="49">
        <f>'T1-T6'!AU11</f>
        <v>91562.757908514614</v>
      </c>
      <c r="Q9" s="49">
        <f>'T1-T6'!AU10</f>
        <v>89367.914351206273</v>
      </c>
      <c r="S9" s="188" t="s">
        <v>112</v>
      </c>
      <c r="T9" s="247">
        <v>74174.499742013082</v>
      </c>
      <c r="U9" s="247">
        <v>75301.072501514107</v>
      </c>
      <c r="V9" s="247">
        <v>73614.900776894152</v>
      </c>
      <c r="W9" s="247">
        <v>75809.752227153804</v>
      </c>
      <c r="X9" s="247">
        <v>80689.361121264461</v>
      </c>
      <c r="Y9" s="247">
        <v>76261.71452623044</v>
      </c>
      <c r="Z9" s="247">
        <v>72197.579542150459</v>
      </c>
      <c r="AA9" s="247">
        <v>73431.879403117622</v>
      </c>
      <c r="AB9" s="247">
        <v>71809.110350796778</v>
      </c>
      <c r="AC9" s="247">
        <v>68622.136496054969</v>
      </c>
      <c r="AD9" s="247">
        <v>68700.587731315551</v>
      </c>
      <c r="AE9" s="247">
        <v>67376.123921841208</v>
      </c>
      <c r="AF9" s="247">
        <v>65691.590641251416</v>
      </c>
      <c r="AG9" s="247">
        <v>67317.601007229561</v>
      </c>
      <c r="AH9" s="247">
        <v>67387.356730917323</v>
      </c>
      <c r="AI9" s="247">
        <v>68849.235528743971</v>
      </c>
      <c r="AK9" s="20"/>
      <c r="AL9" s="24"/>
      <c r="AM9" s="314"/>
      <c r="AN9" s="314"/>
      <c r="AO9" s="24"/>
      <c r="BV9" s="21" t="s">
        <v>496</v>
      </c>
      <c r="BW9" s="113">
        <f>'T1-T6'!C9/1000</f>
        <v>2314.1473799999999</v>
      </c>
      <c r="BX9" s="26" t="s">
        <v>138</v>
      </c>
      <c r="BY9" s="24"/>
      <c r="BZ9" s="113">
        <f>'T1-T6'!I65/1000</f>
        <v>82505.593999999997</v>
      </c>
      <c r="CA9" s="26" t="s">
        <v>138</v>
      </c>
    </row>
    <row r="10" spans="1:79">
      <c r="A10" s="25"/>
      <c r="B10" s="25"/>
      <c r="S10" s="25"/>
      <c r="T10" s="247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K10" s="187" t="s">
        <v>122</v>
      </c>
      <c r="AL10" s="24"/>
      <c r="AM10" s="314"/>
      <c r="AN10" s="314"/>
      <c r="AO10" s="24"/>
      <c r="BV10" s="21" t="s">
        <v>491</v>
      </c>
      <c r="BW10" s="113">
        <f>'T1-T6'!C12/1000</f>
        <v>2304.0479999999998</v>
      </c>
      <c r="BX10" s="26" t="s">
        <v>138</v>
      </c>
      <c r="BY10" s="24"/>
      <c r="BZ10" s="113">
        <f>'T1-T6'!I68/1000</f>
        <v>81949.701150000008</v>
      </c>
      <c r="CA10" s="26" t="s">
        <v>138</v>
      </c>
    </row>
    <row r="11" spans="1:79">
      <c r="A11" s="188" t="s">
        <v>96</v>
      </c>
      <c r="S11" s="188" t="s">
        <v>96</v>
      </c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K11" s="18" t="s">
        <v>123</v>
      </c>
      <c r="AL11" s="23"/>
      <c r="AM11" s="315">
        <v>48.433835000000002</v>
      </c>
      <c r="AN11" s="189">
        <v>2.7953643588975872E-2</v>
      </c>
      <c r="AO11" s="119">
        <v>59.020755000000001</v>
      </c>
      <c r="AP11" s="23">
        <v>3.3208869653773412E-2</v>
      </c>
      <c r="AQ11" s="119">
        <v>63</v>
      </c>
      <c r="AR11" s="23">
        <v>3.6361534766903104E-2</v>
      </c>
      <c r="AS11" s="119">
        <v>63.906149999999997</v>
      </c>
      <c r="AT11" s="23">
        <v>3.7006684524447268E-2</v>
      </c>
      <c r="AU11" s="119">
        <v>58</v>
      </c>
      <c r="AV11" s="23">
        <v>3.3100392736526089E-2</v>
      </c>
      <c r="AW11" s="119">
        <v>53.856000000000002</v>
      </c>
      <c r="AX11" s="23">
        <v>3.0862308968155918E-2</v>
      </c>
      <c r="AY11" s="119">
        <v>48.645000000000003</v>
      </c>
      <c r="AZ11" s="23">
        <v>2.8638574351723164E-2</v>
      </c>
      <c r="BA11" s="119">
        <v>57.667180000000002</v>
      </c>
      <c r="BB11" s="23">
        <v>3.5142984918826982E-2</v>
      </c>
      <c r="BC11" s="119">
        <v>53.279724999999999</v>
      </c>
      <c r="BD11" s="23">
        <v>3.2216197267759719E-2</v>
      </c>
      <c r="BE11" s="119">
        <v>47.844265</v>
      </c>
      <c r="BF11" s="23">
        <v>2.935471582210665E-2</v>
      </c>
      <c r="BG11" s="119">
        <v>54.167904999999998</v>
      </c>
      <c r="BH11" s="23">
        <v>3.4344648627166671E-2</v>
      </c>
      <c r="BI11" s="119">
        <v>63.41413</v>
      </c>
      <c r="BJ11" s="23">
        <v>3.9467895636353036E-2</v>
      </c>
      <c r="BK11" s="119">
        <v>70.526470000000003</v>
      </c>
      <c r="BL11" s="23">
        <v>4.219792234984248E-2</v>
      </c>
      <c r="BM11" s="119">
        <v>76.921880000000002</v>
      </c>
      <c r="BN11" s="23">
        <v>4.5538737208764342E-2</v>
      </c>
      <c r="BO11" s="119">
        <v>77</v>
      </c>
      <c r="BP11" s="23">
        <v>4.3999999999999997E-2</v>
      </c>
      <c r="BQ11" s="119">
        <f>77538.27/1000</f>
        <v>77.538269999999997</v>
      </c>
      <c r="BR11" s="23">
        <v>4.3992999999999997E-2</v>
      </c>
      <c r="BS11" s="125">
        <f>'[2]Table 9-10-14-16'!$C$26/1000</f>
        <v>67.697070000000011</v>
      </c>
      <c r="BT11" s="115">
        <f>'[2]Table 9-10-14-16'!$H$26</f>
        <v>3.8283412835174266E-2</v>
      </c>
      <c r="BV11" s="21" t="s">
        <v>485</v>
      </c>
      <c r="BW11" s="113">
        <f>'T1-T6'!C15/1000</f>
        <v>2234.1999999999998</v>
      </c>
      <c r="BX11" s="26" t="s">
        <v>138</v>
      </c>
      <c r="BY11" s="24"/>
      <c r="BZ11" s="113">
        <f>'T1-T6'!I71/1000</f>
        <v>81453.600000000006</v>
      </c>
      <c r="CA11" s="26" t="s">
        <v>138</v>
      </c>
    </row>
    <row r="12" spans="1:79">
      <c r="A12" s="24" t="s">
        <v>97</v>
      </c>
      <c r="B12" s="247">
        <v>96180.02890641363</v>
      </c>
      <c r="C12" s="247">
        <v>97536.054782660241</v>
      </c>
      <c r="D12" s="247">
        <v>98603.706668081752</v>
      </c>
      <c r="E12" s="247">
        <v>101416.90418179381</v>
      </c>
      <c r="F12" s="247">
        <v>102789.17370528253</v>
      </c>
      <c r="G12" s="247">
        <v>101116.05435930261</v>
      </c>
      <c r="H12" s="247">
        <v>100392.85163437887</v>
      </c>
      <c r="I12" s="247">
        <v>98102.606913087555</v>
      </c>
      <c r="J12" s="247">
        <v>94787.656761877734</v>
      </c>
      <c r="K12" s="247">
        <v>91390.44953083474</v>
      </c>
      <c r="L12" s="247">
        <v>90441.211192791248</v>
      </c>
      <c r="M12" s="247">
        <v>88766.2711424726</v>
      </c>
      <c r="N12" s="247">
        <v>86565.720107790708</v>
      </c>
      <c r="O12" s="247">
        <v>90692.659249606877</v>
      </c>
      <c r="P12" s="247">
        <v>93101.650658719329</v>
      </c>
      <c r="Q12" s="247">
        <v>90878.081793218356</v>
      </c>
      <c r="S12" s="24" t="s">
        <v>97</v>
      </c>
      <c r="T12" s="247">
        <v>78297.857896564732</v>
      </c>
      <c r="U12" s="247">
        <v>78855.062686343314</v>
      </c>
      <c r="V12" s="247">
        <v>77299.963454847661</v>
      </c>
      <c r="W12" s="247">
        <v>81134.700163074973</v>
      </c>
      <c r="X12" s="247">
        <v>86222.114806823811</v>
      </c>
      <c r="Y12" s="247">
        <v>82155.806014845555</v>
      </c>
      <c r="Z12" s="247">
        <v>78418.727039877005</v>
      </c>
      <c r="AA12" s="247">
        <v>78540.507491487922</v>
      </c>
      <c r="AB12" s="247">
        <v>76463.239810463012</v>
      </c>
      <c r="AC12" s="247">
        <v>73111.715842565158</v>
      </c>
      <c r="AD12" s="247">
        <v>73221.620925554467</v>
      </c>
      <c r="AE12" s="247">
        <v>70183.983546169868</v>
      </c>
      <c r="AF12" s="247">
        <v>68893.896400714846</v>
      </c>
      <c r="AG12" s="247">
        <v>69885.865688782331</v>
      </c>
      <c r="AH12" s="247">
        <v>68840.844527407258</v>
      </c>
      <c r="AI12" s="247">
        <v>71136.63371962271</v>
      </c>
      <c r="AK12" s="18" t="s">
        <v>124</v>
      </c>
      <c r="AL12" s="24"/>
      <c r="AM12" s="314"/>
      <c r="AN12" s="314"/>
      <c r="AO12" s="24"/>
      <c r="BV12" s="21" t="s">
        <v>439</v>
      </c>
      <c r="BW12" s="113">
        <f>'T1-T6'!C18/1000</f>
        <v>2217.6</v>
      </c>
      <c r="BX12" s="26" t="s">
        <v>138</v>
      </c>
      <c r="BZ12" s="113">
        <f>'T1-T6'!I74/1000</f>
        <v>81046.7</v>
      </c>
      <c r="CA12" s="26" t="s">
        <v>138</v>
      </c>
    </row>
    <row r="13" spans="1:79">
      <c r="A13" s="24" t="s">
        <v>98</v>
      </c>
      <c r="B13" s="247">
        <v>58481.534611043913</v>
      </c>
      <c r="C13" s="247">
        <v>57275.153465960975</v>
      </c>
      <c r="D13" s="247">
        <v>57276.3339048817</v>
      </c>
      <c r="E13" s="247">
        <v>61203.186850968472</v>
      </c>
      <c r="F13" s="247">
        <v>59165.168551054921</v>
      </c>
      <c r="G13" s="247">
        <v>53982.822653938056</v>
      </c>
      <c r="H13" s="247">
        <v>51578.809796582209</v>
      </c>
      <c r="I13" s="247">
        <v>52595.271287469033</v>
      </c>
      <c r="J13" s="247">
        <v>53020.028787031115</v>
      </c>
      <c r="K13" s="247">
        <v>52608.317390663593</v>
      </c>
      <c r="L13" s="247">
        <v>54672.872823392587</v>
      </c>
      <c r="M13" s="247">
        <v>55842.43017974621</v>
      </c>
      <c r="N13" s="247">
        <v>54552.27472450801</v>
      </c>
      <c r="O13" s="247">
        <v>62231.243368039301</v>
      </c>
      <c r="P13" s="247">
        <v>60918.820137391798</v>
      </c>
      <c r="Q13" s="247">
        <v>59219.597042694091</v>
      </c>
      <c r="S13" s="24" t="s">
        <v>98</v>
      </c>
      <c r="T13" s="247">
        <v>46421.945966710649</v>
      </c>
      <c r="U13" s="247">
        <v>49109.214168040577</v>
      </c>
      <c r="V13" s="247">
        <v>48698.414207854126</v>
      </c>
      <c r="W13" s="247">
        <v>53567.069699820364</v>
      </c>
      <c r="X13" s="247">
        <v>52658.601689260628</v>
      </c>
      <c r="Y13" s="247">
        <v>43469.213151819116</v>
      </c>
      <c r="Z13" s="247">
        <v>43622.317296211011</v>
      </c>
      <c r="AA13" s="247">
        <v>44114.140001372703</v>
      </c>
      <c r="AB13" s="247">
        <v>40130.420718491354</v>
      </c>
      <c r="AC13" s="247">
        <v>39103.727474356376</v>
      </c>
      <c r="AD13" s="247">
        <v>40918.916729402546</v>
      </c>
      <c r="AE13" s="247">
        <v>40833.954205930335</v>
      </c>
      <c r="AF13" s="247">
        <v>42437.896786885307</v>
      </c>
      <c r="AG13" s="247">
        <v>43965.689668014325</v>
      </c>
      <c r="AH13" s="247">
        <v>41612.967277624601</v>
      </c>
      <c r="AI13" s="247">
        <v>45754.632085751509</v>
      </c>
      <c r="AK13" s="18" t="s">
        <v>125</v>
      </c>
      <c r="AL13" s="23"/>
      <c r="AM13" s="315">
        <v>83.083074999999994</v>
      </c>
      <c r="AN13" s="189">
        <v>0.22976847382645249</v>
      </c>
      <c r="AO13" s="119">
        <v>71.694635000000005</v>
      </c>
      <c r="AP13" s="23">
        <v>0.18078357970910777</v>
      </c>
      <c r="AQ13" s="119">
        <v>70</v>
      </c>
      <c r="AR13" s="23">
        <v>0.17318135081830818</v>
      </c>
      <c r="AS13" s="119">
        <v>66.946070000000006</v>
      </c>
      <c r="AT13" s="23">
        <v>0.18099301707144166</v>
      </c>
      <c r="AU13" s="119">
        <v>64</v>
      </c>
      <c r="AV13" s="23">
        <v>0.1672821397448877</v>
      </c>
      <c r="AW13" s="119">
        <v>75.896000000000001</v>
      </c>
      <c r="AX13" s="23">
        <v>0.18431291703990083</v>
      </c>
      <c r="AY13" s="119">
        <v>86.221000000000004</v>
      </c>
      <c r="AZ13" s="23">
        <v>0.20508699738744404</v>
      </c>
      <c r="BA13" s="119">
        <v>68.41707000000001</v>
      </c>
      <c r="BB13" s="23">
        <v>0.17953717574563541</v>
      </c>
      <c r="BC13" s="119">
        <v>84.468285000000009</v>
      </c>
      <c r="BD13" s="23">
        <v>0.21014058496519944</v>
      </c>
      <c r="BE13" s="119">
        <v>105.08585000000001</v>
      </c>
      <c r="BF13" s="23">
        <v>0.25335271336728954</v>
      </c>
      <c r="BG13" s="119">
        <v>118.42574999999999</v>
      </c>
      <c r="BH13" s="23">
        <v>0.27495698578563232</v>
      </c>
      <c r="BI13" s="119">
        <v>107.8657</v>
      </c>
      <c r="BJ13" s="23">
        <v>0.24626015857941744</v>
      </c>
      <c r="BK13" s="119">
        <v>92.018119999999996</v>
      </c>
      <c r="BL13" s="23">
        <v>0.23051416003866462</v>
      </c>
      <c r="BM13" s="119">
        <v>99.110900000000001</v>
      </c>
      <c r="BN13" s="23">
        <v>0.24492497618978187</v>
      </c>
      <c r="BO13" s="119">
        <v>99.110900000000001</v>
      </c>
      <c r="BP13" s="23">
        <v>0.23599999999999999</v>
      </c>
      <c r="BQ13" s="119">
        <f>76027.7/1000</f>
        <v>76.027699999999996</v>
      </c>
      <c r="BR13" s="23">
        <v>0.19287499999999999</v>
      </c>
      <c r="BS13" s="125">
        <f>'[2]Table 9-10-14-16'!$C$28/1000</f>
        <v>69.918300000000002</v>
      </c>
      <c r="BT13" s="115">
        <f>'[2]Table 9-10-14-16'!$I$28</f>
        <v>0.18732391739843191</v>
      </c>
      <c r="BV13" s="21" t="s">
        <v>436</v>
      </c>
      <c r="BW13" s="113">
        <f>'T1-T6'!C21/1000</f>
        <v>2220.3000000000002</v>
      </c>
      <c r="BX13" s="26" t="s">
        <v>138</v>
      </c>
      <c r="BZ13" s="113">
        <f>'T1-T6'!I77/1000</f>
        <v>80703.899999999994</v>
      </c>
      <c r="CA13" s="26" t="s">
        <v>138</v>
      </c>
    </row>
    <row r="14" spans="1:79">
      <c r="A14" s="25"/>
      <c r="S14" s="25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K14" s="20"/>
      <c r="AL14" s="24"/>
      <c r="AM14" s="314"/>
      <c r="AN14" s="314"/>
      <c r="AO14" s="24"/>
      <c r="BV14" s="21" t="s">
        <v>432</v>
      </c>
      <c r="BW14" s="113">
        <f>'T1-T6'!C24/1000</f>
        <v>2175.6999999999998</v>
      </c>
      <c r="BX14" s="26" t="s">
        <v>138</v>
      </c>
      <c r="BZ14" s="113">
        <f>'T1-T6'!I80/1000</f>
        <v>79559.600000000006</v>
      </c>
      <c r="CA14" s="26" t="s">
        <v>138</v>
      </c>
    </row>
    <row r="15" spans="1:79">
      <c r="A15" s="25" t="s">
        <v>99</v>
      </c>
      <c r="B15" s="247">
        <v>56975.59879107897</v>
      </c>
      <c r="C15" s="247">
        <v>59607.131970470975</v>
      </c>
      <c r="D15" s="247">
        <v>52088.168870714275</v>
      </c>
      <c r="E15" s="247">
        <v>50969.416907921142</v>
      </c>
      <c r="F15" s="247">
        <v>53995.99290618232</v>
      </c>
      <c r="G15" s="247">
        <v>57124.865591281145</v>
      </c>
      <c r="H15" s="247">
        <v>55513.605637594286</v>
      </c>
      <c r="I15" s="247">
        <v>55222.551227132411</v>
      </c>
      <c r="J15" s="247">
        <v>57400.333458889116</v>
      </c>
      <c r="K15" s="247">
        <v>50187.122542555022</v>
      </c>
      <c r="L15" s="247">
        <v>43341.654485144682</v>
      </c>
      <c r="M15" s="247">
        <v>46290.259149486883</v>
      </c>
      <c r="N15" s="247">
        <v>48557.018933719228</v>
      </c>
      <c r="O15" s="247">
        <v>49136.053155415029</v>
      </c>
      <c r="P15" s="247">
        <v>48526.817244493286</v>
      </c>
      <c r="Q15" s="247">
        <v>49604.564989137638</v>
      </c>
      <c r="S15" s="25" t="s">
        <v>99</v>
      </c>
      <c r="T15" s="247">
        <v>53735.416324787599</v>
      </c>
      <c r="U15" s="247">
        <v>54862.464372950111</v>
      </c>
      <c r="V15" s="247">
        <v>48982.014131307355</v>
      </c>
      <c r="W15" s="247">
        <v>50913.641123784153</v>
      </c>
      <c r="X15" s="247">
        <v>55716.577573304574</v>
      </c>
      <c r="Y15" s="247">
        <v>55814.207901578164</v>
      </c>
      <c r="Z15" s="247">
        <v>52623.652050114513</v>
      </c>
      <c r="AA15" s="247">
        <v>54116.169373786848</v>
      </c>
      <c r="AB15" s="247">
        <v>55756.255894659946</v>
      </c>
      <c r="AC15" s="247">
        <v>48464.659672237467</v>
      </c>
      <c r="AD15" s="247">
        <v>43619.904094989106</v>
      </c>
      <c r="AE15" s="247">
        <v>43298.513105143866</v>
      </c>
      <c r="AF15" s="247">
        <v>42720.25228513046</v>
      </c>
      <c r="AG15" s="247">
        <v>42845.117584136227</v>
      </c>
      <c r="AH15" s="247">
        <v>41752.553782546987</v>
      </c>
      <c r="AI15" s="247">
        <v>41930.78096315416</v>
      </c>
      <c r="AK15" s="187" t="s">
        <v>126</v>
      </c>
      <c r="AL15" s="24"/>
      <c r="AM15" s="314"/>
      <c r="AN15" s="314"/>
      <c r="AO15" s="24"/>
      <c r="BV15" s="21" t="s">
        <v>430</v>
      </c>
      <c r="BW15" s="113">
        <f>'T1-T6'!C27/1000</f>
        <v>2217.6</v>
      </c>
      <c r="BX15" s="26" t="s">
        <v>138</v>
      </c>
      <c r="BZ15" s="113">
        <f>'T1-T6'!I83/1000</f>
        <v>78756</v>
      </c>
      <c r="CA15" s="26" t="s">
        <v>138</v>
      </c>
    </row>
    <row r="16" spans="1:79">
      <c r="A16" s="25"/>
      <c r="B16" s="25"/>
      <c r="S16" s="25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K16" s="18" t="s">
        <v>127</v>
      </c>
      <c r="AL16" s="23"/>
      <c r="AM16" s="315">
        <v>83.402820000000006</v>
      </c>
      <c r="AN16" s="189">
        <v>4.694602100204464E-2</v>
      </c>
      <c r="AO16" s="119">
        <v>96.367474999999999</v>
      </c>
      <c r="AP16" s="23">
        <v>5.2367952198267599E-2</v>
      </c>
      <c r="AQ16" s="119">
        <v>90</v>
      </c>
      <c r="AR16" s="23">
        <v>5.0420869681834714E-2</v>
      </c>
      <c r="AS16" s="119">
        <v>95.867999999999995</v>
      </c>
      <c r="AT16" s="23">
        <v>5.3800342015427154E-2</v>
      </c>
      <c r="AU16" s="119">
        <v>95</v>
      </c>
      <c r="AV16" s="23">
        <v>5.2509535575296591E-2</v>
      </c>
      <c r="AW16" s="119">
        <v>90.531000000000006</v>
      </c>
      <c r="AX16" s="23">
        <v>5.0348213139367111E-2</v>
      </c>
      <c r="AY16" s="119">
        <v>91.968999999999994</v>
      </c>
      <c r="AZ16" s="23">
        <v>5.3400426214565026E-2</v>
      </c>
      <c r="BA16" s="119">
        <v>86.761369999999999</v>
      </c>
      <c r="BB16" s="23">
        <v>5.2014754235276156E-2</v>
      </c>
      <c r="BC16" s="119">
        <v>97.444584999999989</v>
      </c>
      <c r="BD16" s="23">
        <v>5.6881165309482715E-2</v>
      </c>
      <c r="BE16" s="119">
        <v>96.686014999999998</v>
      </c>
      <c r="BF16" s="23">
        <v>5.6461433743243937E-2</v>
      </c>
      <c r="BG16" s="119">
        <v>98.814965000000001</v>
      </c>
      <c r="BH16" s="23">
        <v>5.9002451237298983E-2</v>
      </c>
      <c r="BI16" s="119">
        <v>112.7097</v>
      </c>
      <c r="BJ16" s="23">
        <v>6.6421591498098523E-2</v>
      </c>
      <c r="BK16" s="119">
        <v>111.06269999999999</v>
      </c>
      <c r="BL16" s="23">
        <v>6.6464693357187743E-2</v>
      </c>
      <c r="BM16" s="119">
        <v>116.8216</v>
      </c>
      <c r="BN16" s="23">
        <v>6.9672405515996516E-2</v>
      </c>
      <c r="BO16" s="119">
        <v>127</v>
      </c>
      <c r="BP16" s="23">
        <v>7.2999999999999995E-2</v>
      </c>
      <c r="BQ16" s="119">
        <f>106521.9/1000</f>
        <v>106.52189999999999</v>
      </c>
      <c r="BR16" s="23">
        <v>6.157E-2</v>
      </c>
      <c r="BS16" s="125">
        <f>'[2]Table 9-10-14-16'!$C$7/1000</f>
        <v>86.933369999999996</v>
      </c>
      <c r="BT16" s="115">
        <f>'[2]Table 9-10-14-16'!$H$7</f>
        <v>5.0836210080736681E-2</v>
      </c>
      <c r="BV16" s="21" t="s">
        <v>429</v>
      </c>
      <c r="BW16" s="113">
        <f>'T1-T6'!C30/1000</f>
        <v>2232.4</v>
      </c>
      <c r="BX16" s="26" t="s">
        <v>138</v>
      </c>
      <c r="BZ16" s="113">
        <f>'T1-T6'!I86/1000</f>
        <v>78842</v>
      </c>
      <c r="CA16" s="26" t="s">
        <v>138</v>
      </c>
    </row>
    <row r="17" spans="1:79">
      <c r="A17" s="188" t="s">
        <v>100</v>
      </c>
      <c r="P17" s="133"/>
      <c r="Q17" s="133"/>
      <c r="S17" s="188" t="s">
        <v>113</v>
      </c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K17" s="18" t="s">
        <v>128</v>
      </c>
      <c r="AL17" s="23"/>
      <c r="AM17" s="315">
        <v>37.44256</v>
      </c>
      <c r="AN17" s="189">
        <v>0.12953205351452926</v>
      </c>
      <c r="AO17" s="119">
        <v>37.723300000000002</v>
      </c>
      <c r="AP17" s="23">
        <v>0.13405878425431814</v>
      </c>
      <c r="AQ17" s="119">
        <v>44</v>
      </c>
      <c r="AR17" s="23">
        <v>0.15127763813534401</v>
      </c>
      <c r="AS17" s="119">
        <v>37.115675000000003</v>
      </c>
      <c r="AT17" s="23">
        <v>0.12989624972916172</v>
      </c>
      <c r="AU17" s="119">
        <v>28</v>
      </c>
      <c r="AV17" s="23">
        <v>9.658627360317644E-2</v>
      </c>
      <c r="AW17" s="119">
        <v>43.930999999999997</v>
      </c>
      <c r="AX17" s="23">
        <v>0.14976519258687432</v>
      </c>
      <c r="AY17" s="119">
        <v>49.868000000000002</v>
      </c>
      <c r="AZ17" s="23">
        <v>0.17443193670271134</v>
      </c>
      <c r="BA17" s="119">
        <v>40.500129999999999</v>
      </c>
      <c r="BB17" s="23">
        <v>0.15090301565108891</v>
      </c>
      <c r="BC17" s="119">
        <v>48.35474</v>
      </c>
      <c r="BD17" s="23">
        <v>0.17064804344375639</v>
      </c>
      <c r="BE17" s="119">
        <v>58.947274999999998</v>
      </c>
      <c r="BF17" s="23">
        <v>0.1989124805197218</v>
      </c>
      <c r="BG17" s="119">
        <v>68.343249999999998</v>
      </c>
      <c r="BH17" s="23">
        <v>0.23073804929372244</v>
      </c>
      <c r="BI17" s="119">
        <v>56.661960000000001</v>
      </c>
      <c r="BJ17" s="23">
        <v>0.18760067336578101</v>
      </c>
      <c r="BK17" s="119">
        <v>50.502040000000001</v>
      </c>
      <c r="BL17" s="23">
        <v>0.16578419964443517</v>
      </c>
      <c r="BM17" s="119">
        <v>54.79804</v>
      </c>
      <c r="BN17" s="23">
        <v>0.18204005030996248</v>
      </c>
      <c r="BO17" s="119">
        <v>45</v>
      </c>
      <c r="BP17" s="23">
        <v>0.154</v>
      </c>
      <c r="BQ17" s="119">
        <f>40319.72/1000</f>
        <v>40.319720000000004</v>
      </c>
      <c r="BR17" s="23">
        <v>0.136962</v>
      </c>
      <c r="BS17" s="125">
        <f>'[2]Table 9-10-14-16'!$C$8/1000</f>
        <v>37.84883</v>
      </c>
      <c r="BT17" s="115">
        <f>'[2]Table 9-10-14-16'!$I$8</f>
        <v>0.11970338071772887</v>
      </c>
      <c r="BV17" s="21" t="s">
        <v>423</v>
      </c>
      <c r="BW17" s="113">
        <f>'T1-T6'!C33/1000</f>
        <v>2188</v>
      </c>
      <c r="BX17" s="26" t="s">
        <v>138</v>
      </c>
      <c r="BZ17" s="113">
        <f>'T1-T6'!I89/1000</f>
        <v>78361</v>
      </c>
      <c r="CA17" s="26" t="s">
        <v>138</v>
      </c>
    </row>
    <row r="18" spans="1:79">
      <c r="A18" s="24" t="s">
        <v>101</v>
      </c>
      <c r="B18" s="247">
        <v>105100.65423775678</v>
      </c>
      <c r="C18" s="247">
        <v>107584.45403061122</v>
      </c>
      <c r="D18" s="247">
        <v>109232.3590308353</v>
      </c>
      <c r="E18" s="247">
        <v>110506.58774699213</v>
      </c>
      <c r="F18" s="247">
        <v>112447.08552899005</v>
      </c>
      <c r="G18" s="247">
        <v>112191.65123718925</v>
      </c>
      <c r="H18" s="247">
        <v>112333.0067890377</v>
      </c>
      <c r="I18" s="247">
        <v>113408.17438022332</v>
      </c>
      <c r="J18" s="247">
        <v>110094.8375265029</v>
      </c>
      <c r="K18" s="247">
        <v>104438.9309589121</v>
      </c>
      <c r="L18" s="247">
        <v>104146.55826484758</v>
      </c>
      <c r="M18" s="247">
        <v>103264.60913036158</v>
      </c>
      <c r="N18" s="247">
        <v>102920.99894773556</v>
      </c>
      <c r="O18" s="247">
        <v>104620.69852116067</v>
      </c>
      <c r="P18" s="247">
        <v>103399.95225804916</v>
      </c>
      <c r="Q18" s="247">
        <v>105501.3852680717</v>
      </c>
      <c r="S18" s="24" t="s">
        <v>114</v>
      </c>
      <c r="T18" s="247">
        <v>87051.411927359411</v>
      </c>
      <c r="U18" s="247">
        <v>88833.152390246309</v>
      </c>
      <c r="V18" s="247">
        <v>86789.897983429299</v>
      </c>
      <c r="W18" s="247">
        <v>88613.965324821678</v>
      </c>
      <c r="X18" s="247">
        <v>93961.816950789507</v>
      </c>
      <c r="Y18" s="247">
        <v>91160.848248095484</v>
      </c>
      <c r="Z18" s="247">
        <v>89096.896261554852</v>
      </c>
      <c r="AA18" s="247">
        <v>88093.937548548143</v>
      </c>
      <c r="AB18" s="247">
        <v>85110.115362937519</v>
      </c>
      <c r="AC18" s="247">
        <v>85916.669973443961</v>
      </c>
      <c r="AD18" s="247">
        <v>86545.803870443429</v>
      </c>
      <c r="AE18" s="247">
        <v>82189.922540230953</v>
      </c>
      <c r="AF18" s="247">
        <v>76039.19457498769</v>
      </c>
      <c r="AG18" s="247">
        <v>74079.748728137318</v>
      </c>
      <c r="AH18" s="247">
        <v>77856.329115843459</v>
      </c>
      <c r="AI18" s="247">
        <v>82371.34178602093</v>
      </c>
      <c r="AK18" s="50"/>
      <c r="AM18" s="287"/>
      <c r="AN18" s="287"/>
      <c r="BV18" s="21" t="s">
        <v>417</v>
      </c>
      <c r="BW18" s="113">
        <f>'T1-T6'!C36/1000</f>
        <v>2246.4</v>
      </c>
      <c r="BX18" s="26" t="s">
        <v>138</v>
      </c>
      <c r="BZ18" s="113">
        <f>'T1-T6'!I92/1000</f>
        <v>78208</v>
      </c>
      <c r="CA18" s="26" t="s">
        <v>138</v>
      </c>
    </row>
    <row r="19" spans="1:79">
      <c r="A19" s="24" t="s">
        <v>102</v>
      </c>
      <c r="B19" s="247">
        <v>127798.04344757731</v>
      </c>
      <c r="C19" s="247">
        <v>125488.27767400866</v>
      </c>
      <c r="D19" s="247">
        <v>124400.04133434864</v>
      </c>
      <c r="E19" s="247">
        <v>124633.28916482357</v>
      </c>
      <c r="F19" s="247">
        <v>127704.99348884451</v>
      </c>
      <c r="G19" s="247">
        <v>129596.08956544157</v>
      </c>
      <c r="H19" s="247">
        <v>129526.16785175171</v>
      </c>
      <c r="I19" s="247">
        <v>130157.53850218203</v>
      </c>
      <c r="J19" s="247">
        <v>120701.23072403089</v>
      </c>
      <c r="K19" s="247">
        <v>115840.57922354396</v>
      </c>
      <c r="L19" s="247">
        <v>123121.68591446031</v>
      </c>
      <c r="M19" s="247">
        <v>123015.62225234663</v>
      </c>
      <c r="N19" s="247">
        <v>118813.81139061735</v>
      </c>
      <c r="O19" s="247">
        <v>121719.82202605534</v>
      </c>
      <c r="P19" s="247">
        <v>127051.08147114601</v>
      </c>
      <c r="Q19" s="247">
        <v>125477.00721570634</v>
      </c>
      <c r="S19" s="24" t="s">
        <v>115</v>
      </c>
      <c r="T19" s="247">
        <v>58200.720996994191</v>
      </c>
      <c r="U19" s="247">
        <v>59643.098319664052</v>
      </c>
      <c r="V19" s="247">
        <v>59813.856612452801</v>
      </c>
      <c r="W19" s="247">
        <v>63214.964147136212</v>
      </c>
      <c r="X19" s="247">
        <v>66924.560010642905</v>
      </c>
      <c r="Y19" s="247">
        <v>60770.126206184214</v>
      </c>
      <c r="Z19" s="247">
        <v>56318.169714693198</v>
      </c>
      <c r="AA19" s="247">
        <v>58125.608350012568</v>
      </c>
      <c r="AB19" s="247">
        <v>56449.823823389088</v>
      </c>
      <c r="AC19" s="247">
        <v>52024.925908979974</v>
      </c>
      <c r="AD19" s="247">
        <v>52081.111483661727</v>
      </c>
      <c r="AE19" s="247">
        <v>51760.660760071019</v>
      </c>
      <c r="AF19" s="247">
        <v>53412.667867921191</v>
      </c>
      <c r="AG19" s="247">
        <v>56025.274485943868</v>
      </c>
      <c r="AH19" s="247">
        <v>54033.605431427219</v>
      </c>
      <c r="AI19" s="247">
        <v>55677.153242493958</v>
      </c>
      <c r="AK19" s="18" t="s">
        <v>129</v>
      </c>
      <c r="AL19" s="23"/>
      <c r="AM19" s="315">
        <v>35.343089999999997</v>
      </c>
      <c r="AN19" s="189">
        <v>0.15025787123618128</v>
      </c>
      <c r="AO19" s="119">
        <v>41.184530000000002</v>
      </c>
      <c r="AP19" s="23">
        <v>0.1582470415707446</v>
      </c>
      <c r="AQ19" s="119">
        <v>40</v>
      </c>
      <c r="AR19" s="23">
        <v>0.14740802091482325</v>
      </c>
      <c r="AS19" s="119">
        <v>45.585535</v>
      </c>
      <c r="AT19" s="23">
        <v>0.1657618446420481</v>
      </c>
      <c r="AU19" s="119">
        <v>53</v>
      </c>
      <c r="AV19" s="23">
        <v>0.16474632644851422</v>
      </c>
      <c r="AW19" s="119">
        <v>53.968000000000004</v>
      </c>
      <c r="AX19" s="23">
        <v>0.15366121819273898</v>
      </c>
      <c r="AY19" s="119">
        <v>47.167999999999999</v>
      </c>
      <c r="AZ19" s="23">
        <v>0.13872248548823055</v>
      </c>
      <c r="BA19" s="119">
        <v>51.247910000000005</v>
      </c>
      <c r="BB19" s="23">
        <v>0.15685537837095573</v>
      </c>
      <c r="BC19" s="119">
        <v>52.953824999999995</v>
      </c>
      <c r="BD19" s="23">
        <v>0.15362200599427769</v>
      </c>
      <c r="BE19" s="119">
        <v>54.275829999999999</v>
      </c>
      <c r="BF19" s="23">
        <v>0.15110971299449324</v>
      </c>
      <c r="BG19" s="119">
        <v>66.568894999999983</v>
      </c>
      <c r="BH19" s="23">
        <v>0.17912216466257913</v>
      </c>
      <c r="BI19" s="119">
        <v>81.247529999999998</v>
      </c>
      <c r="BJ19" s="23">
        <v>0.20356546289299696</v>
      </c>
      <c r="BK19" s="119">
        <v>84.573160000000001</v>
      </c>
      <c r="BL19" s="23">
        <v>0.21723012021826485</v>
      </c>
      <c r="BM19" s="119">
        <v>86.045229999999989</v>
      </c>
      <c r="BN19" s="23">
        <v>0.22972239106396838</v>
      </c>
      <c r="BO19" s="119">
        <v>82</v>
      </c>
      <c r="BP19" s="23">
        <v>0.21299999999999999</v>
      </c>
      <c r="BQ19" s="119">
        <f>67420.81/1000</f>
        <v>67.420810000000003</v>
      </c>
      <c r="BR19" s="23">
        <v>0.17407800000000001</v>
      </c>
      <c r="BS19" s="125">
        <f>'[2]Table 9-10-14-16'!$C$95/1000</f>
        <v>53.218089999999997</v>
      </c>
      <c r="BT19" s="115">
        <f>'[2]Table 9-10-14-16'!$H$95</f>
        <v>0.13686298371498354</v>
      </c>
      <c r="BV19" s="21" t="s">
        <v>395</v>
      </c>
      <c r="BW19" s="113">
        <f>'T1-T6'!C39/1000</f>
        <v>2296.1999999999998</v>
      </c>
      <c r="BX19" s="26" t="s">
        <v>138</v>
      </c>
      <c r="BZ19" s="113">
        <f>'T1-T6'!I95/1000</f>
        <v>78000</v>
      </c>
      <c r="CA19" s="26" t="s">
        <v>138</v>
      </c>
    </row>
    <row r="20" spans="1:79">
      <c r="A20" s="24" t="s">
        <v>103</v>
      </c>
      <c r="B20" s="247">
        <v>62803.743839352086</v>
      </c>
      <c r="C20" s="247">
        <v>64367.468615989281</v>
      </c>
      <c r="D20" s="247">
        <v>67396.133680967076</v>
      </c>
      <c r="E20" s="247">
        <v>69345.835243648355</v>
      </c>
      <c r="F20" s="247">
        <v>69166.104071533802</v>
      </c>
      <c r="G20" s="247">
        <v>66012.577686857607</v>
      </c>
      <c r="H20" s="247">
        <v>70979.517321536187</v>
      </c>
      <c r="I20" s="247">
        <v>75566.604364842438</v>
      </c>
      <c r="J20" s="247">
        <v>66553.754759751784</v>
      </c>
      <c r="K20" s="247">
        <v>62580.938756592019</v>
      </c>
      <c r="L20" s="247">
        <v>64377.427115360479</v>
      </c>
      <c r="M20" s="247">
        <v>63683.397866760788</v>
      </c>
      <c r="N20" s="247">
        <v>68835.795669861691</v>
      </c>
      <c r="O20" s="247">
        <v>70050.317214786599</v>
      </c>
      <c r="P20" s="247">
        <v>68532.743558636779</v>
      </c>
      <c r="Q20" s="247">
        <v>69878.589478972834</v>
      </c>
      <c r="S20" s="25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K20" s="20"/>
      <c r="AL20" s="24"/>
      <c r="AM20" s="314"/>
      <c r="AN20" s="314"/>
      <c r="AO20" s="24"/>
      <c r="BV20" s="21" t="s">
        <v>380</v>
      </c>
      <c r="BW20" s="113">
        <f>'T1-T6'!C42/1000</f>
        <v>2268.1</v>
      </c>
      <c r="BX20" s="26" t="s">
        <v>138</v>
      </c>
      <c r="BZ20" s="113">
        <f>'T1-T6'!I98/1000</f>
        <v>77100</v>
      </c>
      <c r="CA20" s="26" t="s">
        <v>138</v>
      </c>
    </row>
    <row r="21" spans="1:79">
      <c r="A21" s="24" t="s">
        <v>104</v>
      </c>
      <c r="S21" s="188" t="s">
        <v>116</v>
      </c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K21" s="18" t="s">
        <v>501</v>
      </c>
      <c r="AL21" s="24"/>
      <c r="AM21" s="314"/>
      <c r="AN21" s="314"/>
      <c r="AO21" s="24"/>
      <c r="BV21" s="21" t="s">
        <v>145</v>
      </c>
      <c r="BW21" s="113">
        <f>'T1-T6'!C45/1000</f>
        <v>2243.5</v>
      </c>
      <c r="BX21" s="26" t="s">
        <v>138</v>
      </c>
      <c r="BZ21" s="113">
        <f>'T1-T6'!I101/1000</f>
        <v>76614</v>
      </c>
      <c r="CA21" s="26" t="s">
        <v>138</v>
      </c>
    </row>
    <row r="22" spans="1:79">
      <c r="A22" s="24" t="s">
        <v>393</v>
      </c>
      <c r="B22" s="247">
        <v>47236.972973428012</v>
      </c>
      <c r="C22" s="247">
        <v>49931.802149981922</v>
      </c>
      <c r="D22" s="247">
        <v>51571.501779349877</v>
      </c>
      <c r="E22" s="247">
        <v>51056.810294020303</v>
      </c>
      <c r="F22" s="247">
        <v>47812.573981821559</v>
      </c>
      <c r="G22" s="247">
        <v>43948.869444266857</v>
      </c>
      <c r="H22" s="247">
        <v>41471.775849283658</v>
      </c>
      <c r="I22" s="247">
        <v>42205.959983140769</v>
      </c>
      <c r="J22" s="247">
        <v>42354.450523001127</v>
      </c>
      <c r="K22" s="247">
        <v>40514.54488668577</v>
      </c>
      <c r="L22" s="247">
        <v>39237.041604542144</v>
      </c>
      <c r="M22" s="247">
        <v>39177.786538365035</v>
      </c>
      <c r="N22" s="247">
        <v>40400.637308225632</v>
      </c>
      <c r="O22" s="247">
        <v>43129.087283311361</v>
      </c>
      <c r="P22" s="247">
        <v>44334.448154629863</v>
      </c>
      <c r="Q22" s="247">
        <v>39392.177323713171</v>
      </c>
      <c r="S22" s="24" t="s">
        <v>117</v>
      </c>
      <c r="T22" s="247">
        <v>95004.734160023625</v>
      </c>
      <c r="U22" s="247">
        <v>95798.820083386585</v>
      </c>
      <c r="V22" s="247">
        <v>94830.422097913834</v>
      </c>
      <c r="W22" s="247">
        <v>98091.832308650948</v>
      </c>
      <c r="X22" s="247">
        <v>103697.20697728818</v>
      </c>
      <c r="Y22" s="247">
        <v>99934.706621335004</v>
      </c>
      <c r="Z22" s="247">
        <v>95487.38309041693</v>
      </c>
      <c r="AA22" s="247">
        <v>93729.559451252775</v>
      </c>
      <c r="AB22" s="247">
        <v>91098.601151491079</v>
      </c>
      <c r="AC22" s="247">
        <v>91919.163642407017</v>
      </c>
      <c r="AD22" s="247">
        <v>91664.044573483639</v>
      </c>
      <c r="AE22" s="247">
        <v>86488.638445886056</v>
      </c>
      <c r="AF22" s="247">
        <v>86030.647425628587</v>
      </c>
      <c r="AG22" s="247">
        <v>89408.461363060982</v>
      </c>
      <c r="AH22" s="247">
        <v>90538.172184992596</v>
      </c>
      <c r="AI22" s="247">
        <v>91527.626271710906</v>
      </c>
      <c r="AK22" s="187" t="s">
        <v>503</v>
      </c>
      <c r="AL22" s="24"/>
      <c r="AM22" s="314"/>
      <c r="AN22" s="314"/>
      <c r="AO22" s="24"/>
      <c r="BV22" s="21" t="s">
        <v>137</v>
      </c>
      <c r="BW22" s="113">
        <f>'T1-T6'!C48/1000</f>
        <v>2259</v>
      </c>
      <c r="BX22" s="26" t="s">
        <v>138</v>
      </c>
      <c r="BZ22" s="113">
        <f>'T1-T6'!I104/1000</f>
        <v>75907</v>
      </c>
      <c r="CA22" s="26" t="s">
        <v>138</v>
      </c>
    </row>
    <row r="23" spans="1:79">
      <c r="A23" s="25"/>
      <c r="B23" s="25"/>
      <c r="S23" s="24" t="s">
        <v>118</v>
      </c>
      <c r="T23" s="247">
        <v>44969.128401964597</v>
      </c>
      <c r="U23" s="247">
        <v>45757.771448891377</v>
      </c>
      <c r="V23" s="247">
        <v>41896.605239517245</v>
      </c>
      <c r="W23" s="247">
        <v>43125.514984782509</v>
      </c>
      <c r="X23" s="247">
        <v>47501.21930905676</v>
      </c>
      <c r="Y23" s="247">
        <v>45911.955656150436</v>
      </c>
      <c r="Z23" s="247">
        <v>44837.205276425229</v>
      </c>
      <c r="AA23" s="247">
        <v>46010.246998888542</v>
      </c>
      <c r="AB23" s="247">
        <v>44574.159675408198</v>
      </c>
      <c r="AC23" s="247">
        <v>41219.65839020686</v>
      </c>
      <c r="AD23" s="247">
        <v>36709.960914282419</v>
      </c>
      <c r="AE23" s="247">
        <v>34129.068391066656</v>
      </c>
      <c r="AF23" s="247">
        <v>37354.434496433751</v>
      </c>
      <c r="AG23" s="247">
        <v>42838.42822059249</v>
      </c>
      <c r="AH23" s="247">
        <v>42773.355712105389</v>
      </c>
      <c r="AI23" s="247">
        <v>40180.197258634784</v>
      </c>
      <c r="AK23" s="18" t="s">
        <v>130</v>
      </c>
      <c r="AL23" s="23"/>
      <c r="AM23" s="315">
        <v>46.010455</v>
      </c>
      <c r="AN23" s="189">
        <v>3.9213313873347033E-2</v>
      </c>
      <c r="AO23" s="119">
        <v>55.696075</v>
      </c>
      <c r="AP23" s="23">
        <v>4.5875765125986491E-2</v>
      </c>
      <c r="AQ23" s="119">
        <v>56</v>
      </c>
      <c r="AR23" s="23">
        <v>4.7844606071883206E-2</v>
      </c>
      <c r="AS23" s="119">
        <v>57.438070000000003</v>
      </c>
      <c r="AT23" s="23">
        <v>5.0440104479684472E-2</v>
      </c>
      <c r="AU23" s="119">
        <v>49</v>
      </c>
      <c r="AV23" s="23">
        <v>4.3039796130458947E-2</v>
      </c>
      <c r="AW23" s="119">
        <v>46.23</v>
      </c>
      <c r="AX23" s="23">
        <v>3.9344308405378288E-2</v>
      </c>
      <c r="AY23" s="119">
        <v>44.026000000000003</v>
      </c>
      <c r="AZ23" s="23">
        <v>3.7606678034313376E-2</v>
      </c>
      <c r="BA23" s="119">
        <v>35.144289999999998</v>
      </c>
      <c r="BB23" s="23">
        <v>3.020497417605169E-2</v>
      </c>
      <c r="BC23" s="119">
        <v>48.410814999999999</v>
      </c>
      <c r="BD23" s="23">
        <v>4.0294408415108715E-2</v>
      </c>
      <c r="BE23" s="119">
        <v>62.568104999999996</v>
      </c>
      <c r="BF23" s="23">
        <v>5.136902199890192E-2</v>
      </c>
      <c r="BG23" s="119">
        <v>60.552949999999996</v>
      </c>
      <c r="BH23" s="23">
        <v>5.0329995960539255E-2</v>
      </c>
      <c r="BI23" s="119">
        <v>54.931919999999998</v>
      </c>
      <c r="BJ23" s="23">
        <v>4.4288019149428218E-2</v>
      </c>
      <c r="BK23" s="119">
        <v>46.890900000000002</v>
      </c>
      <c r="BL23" s="23">
        <v>3.8050390587593297E-2</v>
      </c>
      <c r="BM23" s="119">
        <v>54.10895</v>
      </c>
      <c r="BN23" s="23">
        <v>4.3165880451629016E-2</v>
      </c>
      <c r="BO23" s="119">
        <v>69</v>
      </c>
      <c r="BP23" s="23">
        <v>5.1999999999999998E-2</v>
      </c>
      <c r="BQ23" s="119">
        <f>64125.5/1000</f>
        <v>64.125500000000002</v>
      </c>
      <c r="BR23" s="23">
        <v>4.8000000000000001E-2</v>
      </c>
      <c r="BS23" s="125">
        <f>'[2]Table 9-10-14-16'!$C$41/1000</f>
        <v>55.139989999999997</v>
      </c>
      <c r="BT23" s="115">
        <f>'[2]Table 9-10-14-16'!$H$41</f>
        <v>4.1266554456643123E-2</v>
      </c>
      <c r="BU23" s="23"/>
      <c r="BV23" s="21" t="s">
        <v>139</v>
      </c>
      <c r="BW23" s="113">
        <f>'T1-T6'!C51/1000</f>
        <v>2291.9</v>
      </c>
      <c r="BX23" s="26" t="s">
        <v>138</v>
      </c>
      <c r="BZ23" s="113">
        <f>'T1-T6'!I107/1000</f>
        <v>74962</v>
      </c>
      <c r="CA23" s="26" t="s">
        <v>138</v>
      </c>
    </row>
    <row r="24" spans="1:79">
      <c r="A24" s="158" t="s">
        <v>83</v>
      </c>
      <c r="B24" s="25"/>
      <c r="S24" s="25"/>
      <c r="AK24" s="18" t="s">
        <v>131</v>
      </c>
      <c r="AL24" s="23"/>
      <c r="AM24" s="315">
        <v>29.639990000000001</v>
      </c>
      <c r="AN24" s="189">
        <v>7.2735713945751471E-2</v>
      </c>
      <c r="AO24" s="119">
        <v>41.208419999999997</v>
      </c>
      <c r="AP24" s="23">
        <v>8.8753085168311624E-2</v>
      </c>
      <c r="AQ24" s="119">
        <v>41</v>
      </c>
      <c r="AR24" s="23">
        <v>8.5924518002025232E-2</v>
      </c>
      <c r="AS24" s="119">
        <v>33.176450000000003</v>
      </c>
      <c r="AT24" s="23">
        <v>7.229913829077661E-2</v>
      </c>
      <c r="AU24" s="119">
        <v>27</v>
      </c>
      <c r="AV24" s="23">
        <v>5.6874207624541456E-2</v>
      </c>
      <c r="AW24" s="119">
        <v>33.305</v>
      </c>
      <c r="AX24" s="23">
        <v>6.8317068568548606E-2</v>
      </c>
      <c r="AY24" s="119">
        <v>42.621000000000002</v>
      </c>
      <c r="AZ24" s="23">
        <v>8.9836324322960043E-2</v>
      </c>
      <c r="BA24" s="119">
        <v>25.97062</v>
      </c>
      <c r="BB24" s="23">
        <v>6.4775448311723244E-2</v>
      </c>
      <c r="BC24" s="119">
        <v>32.028669999999998</v>
      </c>
      <c r="BD24" s="23">
        <v>7.6605819913812614E-2</v>
      </c>
      <c r="BE24" s="119">
        <v>37.175635</v>
      </c>
      <c r="BF24" s="23">
        <v>8.4517228784355414E-2</v>
      </c>
      <c r="BG24" s="119">
        <v>38.776499999999999</v>
      </c>
      <c r="BH24" s="23">
        <v>8.698772130844841E-2</v>
      </c>
      <c r="BI24" s="119">
        <v>44.93177</v>
      </c>
      <c r="BJ24" s="23">
        <v>0.10291733379156044</v>
      </c>
      <c r="BK24" s="119">
        <v>44.540239999999997</v>
      </c>
      <c r="BL24" s="23">
        <v>9.7862977628740536E-2</v>
      </c>
      <c r="BM24" s="119">
        <v>40.613879999999995</v>
      </c>
      <c r="BN24" s="23">
        <v>8.9412180870452398E-2</v>
      </c>
      <c r="BO24" s="119">
        <v>44</v>
      </c>
      <c r="BP24" s="23">
        <v>0.10299999999999999</v>
      </c>
      <c r="BQ24" s="119">
        <f>37782.03/1000</f>
        <v>37.782029999999999</v>
      </c>
      <c r="BR24" s="23">
        <v>0.09</v>
      </c>
      <c r="BS24" s="125">
        <f>'[2]Table 9-10-14-16'!$C$42/1000</f>
        <v>27.087229999999998</v>
      </c>
      <c r="BT24" s="115">
        <f>'[2]Table 9-10-14-16'!$L$42</f>
        <v>6.7593425963181297E-2</v>
      </c>
      <c r="BU24" s="23"/>
      <c r="BV24" s="21" t="s">
        <v>119</v>
      </c>
      <c r="BW24" s="113">
        <f>'T1-T6'!C54/1000</f>
        <v>2216.5</v>
      </c>
      <c r="BX24" s="26" t="s">
        <v>138</v>
      </c>
      <c r="BZ24" s="113">
        <f>'T1-T6'!I110/1000</f>
        <v>73352</v>
      </c>
      <c r="CA24" s="26" t="s">
        <v>138</v>
      </c>
    </row>
    <row r="25" spans="1:79">
      <c r="A25" s="25"/>
      <c r="S25" s="184" t="s">
        <v>83</v>
      </c>
      <c r="T25" s="25"/>
      <c r="AK25" s="18" t="s">
        <v>132</v>
      </c>
      <c r="AL25" s="23"/>
      <c r="AM25" s="315">
        <v>31.95777</v>
      </c>
      <c r="AN25" s="189">
        <v>7.3527807477975424E-2</v>
      </c>
      <c r="AO25" s="119">
        <v>24.529495000000001</v>
      </c>
      <c r="AP25" s="23">
        <v>5.7578759558743267E-2</v>
      </c>
      <c r="AQ25" s="119">
        <v>22</v>
      </c>
      <c r="AR25" s="23">
        <v>5.2707551700097735E-2</v>
      </c>
      <c r="AS25" s="119">
        <v>30.608844999999999</v>
      </c>
      <c r="AT25" s="23">
        <v>6.8451454173628232E-2</v>
      </c>
      <c r="AU25" s="119">
        <v>35</v>
      </c>
      <c r="AV25" s="23">
        <v>7.6535219101153407E-2</v>
      </c>
      <c r="AW25" s="119">
        <v>29.033000000000001</v>
      </c>
      <c r="AX25" s="23">
        <v>6.5845075102097958E-2</v>
      </c>
      <c r="AY25" s="119">
        <v>29.501999999999999</v>
      </c>
      <c r="AZ25" s="23">
        <v>7.0415232360802035E-2</v>
      </c>
      <c r="BA25" s="119">
        <v>42.522440000000003</v>
      </c>
      <c r="BB25" s="23">
        <v>0.10478748053675613</v>
      </c>
      <c r="BC25" s="119">
        <v>38.164145000000005</v>
      </c>
      <c r="BD25" s="23">
        <v>9.4740878450948363E-2</v>
      </c>
      <c r="BE25" s="119">
        <v>41.413770000000007</v>
      </c>
      <c r="BF25" s="23">
        <v>0.10781243733777297</v>
      </c>
      <c r="BG25" s="119">
        <v>62.758925000000005</v>
      </c>
      <c r="BH25" s="23">
        <v>0.16363993013581707</v>
      </c>
      <c r="BI25" s="119">
        <v>56.982390000000002</v>
      </c>
      <c r="BJ25" s="23">
        <v>0.14861833002151092</v>
      </c>
      <c r="BK25" s="119">
        <v>56.376690000000004</v>
      </c>
      <c r="BL25" s="23">
        <v>0.15538567414868637</v>
      </c>
      <c r="BM25" s="119">
        <v>63.558</v>
      </c>
      <c r="BN25" s="23">
        <v>0.17194522566045642</v>
      </c>
      <c r="BO25" s="119">
        <v>40</v>
      </c>
      <c r="BP25" s="23">
        <v>0.106</v>
      </c>
      <c r="BQ25" s="119">
        <f>27929.21/1000</f>
        <v>27.929209999999998</v>
      </c>
      <c r="BR25" s="23">
        <v>7.2999999999999995E-2</v>
      </c>
      <c r="BS25" s="125">
        <f>'[2]Table 9-10-14-16'!$C$43/1000</f>
        <v>35.613019999999999</v>
      </c>
      <c r="BT25" s="115">
        <f>'[2]Table 9-10-14-16'!$M$43</f>
        <v>9.3196793595596752E-2</v>
      </c>
      <c r="BU25" s="23"/>
    </row>
    <row r="26" spans="1:79">
      <c r="A26" s="188" t="s">
        <v>95</v>
      </c>
      <c r="B26" s="295">
        <v>70877.67805570089</v>
      </c>
      <c r="C26" s="295">
        <v>70386.977467268094</v>
      </c>
      <c r="D26" s="295">
        <v>70296.862077800411</v>
      </c>
      <c r="E26" s="295">
        <v>70472.883296649903</v>
      </c>
      <c r="F26" s="295">
        <v>70901.357362028706</v>
      </c>
      <c r="G26" s="295">
        <v>71889.477335397663</v>
      </c>
      <c r="H26" s="295">
        <v>71383.275839249633</v>
      </c>
      <c r="I26" s="295">
        <v>69444.678995173977</v>
      </c>
      <c r="J26" s="295">
        <v>68324.958064341743</v>
      </c>
      <c r="K26" s="295">
        <v>67166.53082680708</v>
      </c>
      <c r="L26" s="295">
        <v>66447.35621696047</v>
      </c>
      <c r="M26" s="295">
        <v>66796.312883211882</v>
      </c>
      <c r="N26" s="295">
        <v>68061.900518102892</v>
      </c>
      <c r="O26" s="295">
        <v>71066.027336273575</v>
      </c>
      <c r="P26" s="295">
        <v>72430.858038761988</v>
      </c>
      <c r="Q26" s="295">
        <v>72582.372308861726</v>
      </c>
      <c r="S26" s="25"/>
      <c r="AK26" s="18" t="s">
        <v>133</v>
      </c>
      <c r="AL26" s="23"/>
      <c r="AM26" s="315">
        <v>23.611979999999999</v>
      </c>
      <c r="AN26" s="189">
        <v>0.11743595396886687</v>
      </c>
      <c r="AO26" s="119">
        <v>20.054085000000001</v>
      </c>
      <c r="AP26" s="23">
        <v>0.1069532062506295</v>
      </c>
      <c r="AQ26" s="119">
        <v>26</v>
      </c>
      <c r="AR26" s="23">
        <v>0.12494440045144367</v>
      </c>
      <c r="AS26" s="119">
        <v>23.578105000000001</v>
      </c>
      <c r="AT26" s="23">
        <v>0.11135833420235708</v>
      </c>
      <c r="AU26" s="119">
        <v>20</v>
      </c>
      <c r="AV26" s="23">
        <v>0.10137948349709533</v>
      </c>
      <c r="AW26" s="119">
        <v>31.85</v>
      </c>
      <c r="AX26" s="23">
        <v>0.16519277470538477</v>
      </c>
      <c r="AY26" s="119">
        <v>32.447000000000003</v>
      </c>
      <c r="AZ26" s="23">
        <v>0.1781905735119412</v>
      </c>
      <c r="BA26" s="119">
        <v>40.200890000000001</v>
      </c>
      <c r="BB26" s="23">
        <v>0.18550244647853781</v>
      </c>
      <c r="BC26" s="119">
        <v>39.906330000000004</v>
      </c>
      <c r="BD26" s="23">
        <v>0.18998234872627043</v>
      </c>
      <c r="BE26" s="119">
        <v>29.841155000000004</v>
      </c>
      <c r="BF26" s="23">
        <v>0.1698909881784588</v>
      </c>
      <c r="BG26" s="119">
        <v>25.1004</v>
      </c>
      <c r="BH26" s="23">
        <v>0.17513140838608621</v>
      </c>
      <c r="BI26" s="119">
        <v>29.77112</v>
      </c>
      <c r="BJ26" s="23">
        <v>0.1860908713735093</v>
      </c>
      <c r="BK26" s="119">
        <v>26.72514</v>
      </c>
      <c r="BL26" s="23">
        <v>0.10171483908850676</v>
      </c>
      <c r="BM26" s="119">
        <v>29.604050000000001</v>
      </c>
      <c r="BN26" s="23">
        <v>0.18873301384227831</v>
      </c>
      <c r="BO26" s="119">
        <v>40</v>
      </c>
      <c r="BP26" s="23">
        <v>0.22800000000000001</v>
      </c>
      <c r="BQ26" s="119">
        <f>(24019.35+15510.38)/1000</f>
        <v>39.529729999999994</v>
      </c>
      <c r="BR26" s="23">
        <v>0.23442199999999999</v>
      </c>
      <c r="BS26" s="125">
        <f>('[2]Table 9-10-14-16'!$C$44+'[2]Table 9-10-14-16'!$C$45)/2000</f>
        <v>15.628155000000001</v>
      </c>
      <c r="BT26" s="115">
        <f>'[2]Table 9-10-14-16'!$J$44</f>
        <v>0.19337855766368153</v>
      </c>
      <c r="BU26" s="23"/>
      <c r="BV26" s="186" t="s">
        <v>140</v>
      </c>
      <c r="BW26" s="113"/>
      <c r="BX26" s="24"/>
      <c r="BY26" s="24"/>
      <c r="BZ26" s="144"/>
      <c r="CA26" s="24"/>
    </row>
    <row r="27" spans="1:79" ht="16.5" thickBot="1">
      <c r="A27" s="25"/>
      <c r="B27" s="2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S27" s="188" t="s">
        <v>112</v>
      </c>
      <c r="T27" s="296">
        <v>58148.899123357376</v>
      </c>
      <c r="U27" s="296">
        <v>57762.68980522413</v>
      </c>
      <c r="V27" s="296">
        <v>57677.432539063266</v>
      </c>
      <c r="W27" s="296">
        <v>57892.771476220878</v>
      </c>
      <c r="X27" s="296">
        <v>58417.162028537306</v>
      </c>
      <c r="Y27" s="296">
        <v>59075.012408137431</v>
      </c>
      <c r="Z27" s="247">
        <v>58414.318743281809</v>
      </c>
      <c r="AA27" s="295">
        <v>57175.420872624614</v>
      </c>
      <c r="AB27" s="295">
        <v>56274.860097856712</v>
      </c>
      <c r="AC27" s="295">
        <v>55050.299910177913</v>
      </c>
      <c r="AD27" s="295">
        <v>54480.30081196838</v>
      </c>
      <c r="AE27" s="295">
        <v>54527.527315256055</v>
      </c>
      <c r="AF27" s="295">
        <v>55058.126005118233</v>
      </c>
      <c r="AG27" s="295">
        <v>56904.797831998694</v>
      </c>
      <c r="AH27" s="295">
        <v>57953.65136231319</v>
      </c>
      <c r="AI27" s="295">
        <v>58210.289245605949</v>
      </c>
      <c r="AK27" s="20"/>
      <c r="AL27" s="24"/>
      <c r="AM27" s="314"/>
      <c r="AN27" s="314"/>
      <c r="AO27" s="24"/>
      <c r="BI27" s="119"/>
      <c r="BJ27" s="23"/>
      <c r="BK27" s="119"/>
      <c r="BL27" s="23"/>
      <c r="BV27" s="21" t="s">
        <v>567</v>
      </c>
      <c r="BW27" s="299">
        <f>BS8</f>
        <v>149.0966</v>
      </c>
      <c r="BX27" s="80">
        <f>BT8</f>
        <v>6.54E-2</v>
      </c>
      <c r="BY27" s="24"/>
      <c r="BZ27" s="311">
        <f>'[1]Table 10'!$D$9</f>
        <v>7918.0389999999998</v>
      </c>
      <c r="CA27" s="80">
        <f>'[1]Table 10'!$F$9</f>
        <v>9.5446899154302212E-2</v>
      </c>
    </row>
    <row r="28" spans="1:79">
      <c r="A28" s="188" t="s">
        <v>96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S28" s="25"/>
      <c r="T28" s="25"/>
      <c r="AK28" s="18" t="s">
        <v>501</v>
      </c>
      <c r="AL28" s="24"/>
      <c r="AM28" s="315"/>
      <c r="AN28" s="314"/>
      <c r="AO28" s="24"/>
      <c r="BI28" s="119"/>
      <c r="BJ28" s="23"/>
      <c r="BK28" s="119"/>
      <c r="BL28" s="23"/>
      <c r="BV28" s="21" t="s">
        <v>496</v>
      </c>
      <c r="BW28" s="299">
        <f>BQ8</f>
        <v>169.3665</v>
      </c>
      <c r="BX28" s="80">
        <f>BR8</f>
        <v>7.3200000000000001E-2</v>
      </c>
      <c r="BY28" s="24"/>
      <c r="BZ28" s="311">
        <v>8333.7839999999997</v>
      </c>
      <c r="CA28" s="80">
        <v>0.101009</v>
      </c>
    </row>
    <row r="29" spans="1:79">
      <c r="A29" s="24" t="s">
        <v>97</v>
      </c>
      <c r="B29" s="295">
        <v>74792.549077465665</v>
      </c>
      <c r="C29" s="295">
        <v>74474.609789353271</v>
      </c>
      <c r="D29" s="295">
        <v>74083.715203594358</v>
      </c>
      <c r="E29" s="295">
        <v>74204.447865312744</v>
      </c>
      <c r="F29" s="295">
        <v>74650.245832519402</v>
      </c>
      <c r="G29" s="295">
        <v>75479.566805824026</v>
      </c>
      <c r="H29" s="295">
        <v>75210.36737960059</v>
      </c>
      <c r="I29" s="295">
        <v>72855.922665288643</v>
      </c>
      <c r="J29" s="295">
        <v>71305.054799720703</v>
      </c>
      <c r="K29" s="295">
        <v>70414.897703599563</v>
      </c>
      <c r="L29" s="295">
        <v>70082.012644981151</v>
      </c>
      <c r="M29" s="295">
        <v>70542.098222650849</v>
      </c>
      <c r="N29" s="295">
        <v>71936.502782612413</v>
      </c>
      <c r="O29" s="295">
        <v>74981.668029431152</v>
      </c>
      <c r="P29" s="295">
        <v>76088.300422092274</v>
      </c>
      <c r="Q29" s="295">
        <v>76302.820649429545</v>
      </c>
      <c r="S29" s="188" t="s">
        <v>96</v>
      </c>
      <c r="AK29" s="190" t="s">
        <v>502</v>
      </c>
      <c r="AL29" s="23"/>
      <c r="AM29" s="315">
        <v>41.910975000000001</v>
      </c>
      <c r="AN29" s="189">
        <v>9.6292382639840787E-2</v>
      </c>
      <c r="AO29" s="119">
        <v>36.579864999999998</v>
      </c>
      <c r="AP29" s="23">
        <v>8.2395367408110598E-2</v>
      </c>
      <c r="AQ29" s="119">
        <v>46</v>
      </c>
      <c r="AR29" s="23">
        <v>0.10707754357568357</v>
      </c>
      <c r="AS29" s="119">
        <v>47.68092</v>
      </c>
      <c r="AT29" s="23">
        <v>0.10817896244060551</v>
      </c>
      <c r="AU29" s="119">
        <v>41</v>
      </c>
      <c r="AV29" s="23">
        <v>8.831504100764119E-2</v>
      </c>
      <c r="AW29" s="119">
        <v>54.357999999999997</v>
      </c>
      <c r="AX29" s="23">
        <v>0.11667363189409281</v>
      </c>
      <c r="AY29" s="119">
        <v>57.551000000000002</v>
      </c>
      <c r="AZ29" s="23">
        <v>0.12833380239105491</v>
      </c>
      <c r="BA29" s="119">
        <v>55.766019999999997</v>
      </c>
      <c r="BB29" s="23">
        <v>0.13432987504165741</v>
      </c>
      <c r="BC29" s="119">
        <v>54.490910000000007</v>
      </c>
      <c r="BD29" s="23">
        <v>0.13063476166278759</v>
      </c>
      <c r="BE29" s="119">
        <v>48.795580000000001</v>
      </c>
      <c r="BF29" s="23">
        <v>0.12566914741920632</v>
      </c>
      <c r="BG29" s="119">
        <v>59.970399999999998</v>
      </c>
      <c r="BH29" s="23">
        <v>0.16609480848339708</v>
      </c>
      <c r="BI29" s="119">
        <v>70.634889999999999</v>
      </c>
      <c r="BJ29" s="23">
        <v>0.18349028550753621</v>
      </c>
      <c r="BK29" s="119">
        <v>68.580559999999991</v>
      </c>
      <c r="BL29" s="23">
        <v>0.17618218229522767</v>
      </c>
      <c r="BM29" s="119">
        <v>66.930309999999992</v>
      </c>
      <c r="BN29" s="23">
        <v>0.18166739879764043</v>
      </c>
      <c r="BO29" s="119">
        <v>62</v>
      </c>
      <c r="BP29" s="23">
        <v>0.16500000000000001</v>
      </c>
      <c r="BQ29" s="119">
        <f>46024.76/1000</f>
        <v>46.024760000000001</v>
      </c>
      <c r="BR29" s="23">
        <v>0.12120499999999999</v>
      </c>
      <c r="BS29" s="125">
        <f>'[2]Table 9-10-14-16'!$C$65/1000</f>
        <v>41.454320000000003</v>
      </c>
      <c r="BT29" s="115">
        <f>'[2]Table 9-10-14-16'!$I$65</f>
        <v>0.1115030210942</v>
      </c>
      <c r="BU29" s="23"/>
      <c r="BV29" s="21" t="s">
        <v>491</v>
      </c>
      <c r="BW29" s="299">
        <f>BO8</f>
        <v>193</v>
      </c>
      <c r="BX29" s="115">
        <f>BP8</f>
        <v>8.4000000000000005E-2</v>
      </c>
      <c r="BY29" s="24"/>
      <c r="BZ29" s="11">
        <v>9024</v>
      </c>
      <c r="CA29" s="23">
        <v>0.11</v>
      </c>
    </row>
    <row r="30" spans="1:79">
      <c r="A30" s="24" t="s">
        <v>98</v>
      </c>
      <c r="B30" s="295">
        <v>46148.00807776647</v>
      </c>
      <c r="C30" s="295">
        <v>45770.508080920161</v>
      </c>
      <c r="D30" s="295">
        <v>45709.897191597091</v>
      </c>
      <c r="E30" s="295">
        <v>45068.324439975309</v>
      </c>
      <c r="F30" s="295">
        <v>45543.187617266791</v>
      </c>
      <c r="G30" s="295">
        <v>47019.94237397633</v>
      </c>
      <c r="H30" s="295">
        <v>46425.097141227838</v>
      </c>
      <c r="I30" s="295">
        <v>44661.858311148695</v>
      </c>
      <c r="J30" s="295">
        <v>43619.069996338745</v>
      </c>
      <c r="K30" s="295">
        <v>43710.537641746945</v>
      </c>
      <c r="L30" s="295">
        <v>43740.915968307469</v>
      </c>
      <c r="M30" s="295">
        <v>43555.185640716409</v>
      </c>
      <c r="N30" s="295">
        <v>43900.934834673419</v>
      </c>
      <c r="O30" s="295">
        <v>45695.532709140891</v>
      </c>
      <c r="P30" s="295">
        <v>47615.079686723162</v>
      </c>
      <c r="Q30" s="295">
        <v>47985.046510654836</v>
      </c>
      <c r="S30" s="24" t="s">
        <v>97</v>
      </c>
      <c r="T30" s="295">
        <v>61599.647290303241</v>
      </c>
      <c r="U30" s="295">
        <v>61150.519813182851</v>
      </c>
      <c r="V30" s="295">
        <v>60738.041769080293</v>
      </c>
      <c r="W30" s="295">
        <v>60818.509854423326</v>
      </c>
      <c r="X30" s="295">
        <v>61335.148892622427</v>
      </c>
      <c r="Y30" s="295">
        <v>61698.927800114005</v>
      </c>
      <c r="Z30" s="295">
        <v>60691.848270242444</v>
      </c>
      <c r="AA30" s="295">
        <v>59509.767089291083</v>
      </c>
      <c r="AB30" s="295">
        <v>58811.399677496862</v>
      </c>
      <c r="AC30" s="295">
        <v>57574.109831659094</v>
      </c>
      <c r="AD30" s="295">
        <v>57088.462629073707</v>
      </c>
      <c r="AE30" s="295">
        <v>57703.536757077716</v>
      </c>
      <c r="AF30" s="295">
        <v>57527.498354375668</v>
      </c>
      <c r="AG30" s="295">
        <v>59506.720679707883</v>
      </c>
      <c r="AH30" s="295">
        <v>61294.32993271263</v>
      </c>
      <c r="AI30" s="295">
        <v>61628.699774094814</v>
      </c>
      <c r="AK30" s="20"/>
      <c r="AL30" s="24"/>
      <c r="AM30" s="314"/>
      <c r="AN30" s="314"/>
      <c r="AO30" s="24"/>
      <c r="BI30" s="119"/>
      <c r="BJ30" s="23"/>
      <c r="BK30" s="119"/>
      <c r="BL30" s="23"/>
      <c r="BV30" s="21" t="s">
        <v>485</v>
      </c>
      <c r="BW30" s="299">
        <v>187.88489999999999</v>
      </c>
      <c r="BX30" s="115">
        <v>8.4093352465847482E-2</v>
      </c>
      <c r="BZ30" s="11">
        <v>9295.2790000000005</v>
      </c>
      <c r="CA30" s="23">
        <v>0.11411752905582029</v>
      </c>
    </row>
    <row r="31" spans="1:79">
      <c r="A31" s="2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S31" s="24" t="s">
        <v>98</v>
      </c>
      <c r="T31" s="295">
        <v>40110.00376746893</v>
      </c>
      <c r="U31" s="295">
        <v>39453.332474991403</v>
      </c>
      <c r="V31" s="295">
        <v>39249.54832575412</v>
      </c>
      <c r="W31" s="295">
        <v>38856.563349800468</v>
      </c>
      <c r="X31" s="295">
        <v>38762.35458844302</v>
      </c>
      <c r="Y31" s="295">
        <v>39462.121834262289</v>
      </c>
      <c r="Z31" s="295">
        <v>39499.7062776151</v>
      </c>
      <c r="AA31" s="295">
        <v>38078.312616501193</v>
      </c>
      <c r="AB31" s="295">
        <v>36630.067842676799</v>
      </c>
      <c r="AC31" s="295">
        <v>35571.789075157911</v>
      </c>
      <c r="AD31" s="295">
        <v>35307.352353471972</v>
      </c>
      <c r="AE31" s="295">
        <v>35939.278661678487</v>
      </c>
      <c r="AF31" s="295">
        <v>36308.386099331517</v>
      </c>
      <c r="AG31" s="295">
        <v>35700.415451959874</v>
      </c>
      <c r="AH31" s="295">
        <v>36428.250725285907</v>
      </c>
      <c r="AI31" s="295">
        <v>36481.552053312233</v>
      </c>
      <c r="AK31" s="18" t="s">
        <v>504</v>
      </c>
      <c r="AL31" s="24"/>
      <c r="AM31" s="314"/>
      <c r="AN31" s="314"/>
      <c r="AO31" s="24"/>
      <c r="BI31" s="119"/>
      <c r="BJ31" s="23"/>
      <c r="BK31" s="119"/>
      <c r="BL31" s="23"/>
      <c r="BV31" s="21" t="s">
        <v>439</v>
      </c>
      <c r="BW31" s="299">
        <v>174.53299999999999</v>
      </c>
      <c r="BX31" s="115">
        <v>7.8702098310772572E-2</v>
      </c>
      <c r="BZ31" s="11">
        <v>9317.1440000000002</v>
      </c>
      <c r="CA31" s="23">
        <v>0.11496017543463516</v>
      </c>
    </row>
    <row r="32" spans="1:79">
      <c r="A32" s="25" t="s">
        <v>99</v>
      </c>
      <c r="B32" s="295">
        <v>47171.609031486092</v>
      </c>
      <c r="C32" s="295">
        <v>46147.745830287837</v>
      </c>
      <c r="D32" s="295">
        <v>45838.604721418291</v>
      </c>
      <c r="E32" s="295">
        <v>46776.592379421549</v>
      </c>
      <c r="F32" s="295">
        <v>48121.884223124085</v>
      </c>
      <c r="G32" s="295">
        <v>48304.744526352995</v>
      </c>
      <c r="H32" s="295">
        <v>47014.148760500073</v>
      </c>
      <c r="I32" s="295">
        <v>45766.480905328848</v>
      </c>
      <c r="J32" s="295">
        <v>44968.848734931744</v>
      </c>
      <c r="K32" s="295">
        <v>44072.054532082228</v>
      </c>
      <c r="L32" s="295">
        <v>43595.255679799367</v>
      </c>
      <c r="M32" s="295">
        <v>43999.898960153885</v>
      </c>
      <c r="N32" s="295">
        <v>45543.151891711059</v>
      </c>
      <c r="O32" s="295">
        <v>47780.080079357867</v>
      </c>
      <c r="P32" s="295">
        <v>49301.103845042089</v>
      </c>
      <c r="Q32" s="295">
        <v>50400.158130474949</v>
      </c>
      <c r="S32" s="25"/>
      <c r="T32" s="49"/>
      <c r="U32" s="49"/>
      <c r="V32" s="49"/>
      <c r="W32" s="49"/>
      <c r="X32" s="49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K32" s="187" t="s">
        <v>134</v>
      </c>
      <c r="AL32" s="24"/>
      <c r="AM32" s="314"/>
      <c r="AN32" s="314"/>
      <c r="AO32" s="24"/>
      <c r="BI32" s="119"/>
      <c r="BJ32" s="23"/>
      <c r="BK32" s="119"/>
      <c r="BL32" s="23"/>
      <c r="BV32" s="21" t="s">
        <v>436</v>
      </c>
      <c r="BW32" s="299">
        <v>186.6</v>
      </c>
      <c r="BX32" s="115">
        <v>8.4050065081002212E-2</v>
      </c>
      <c r="BZ32" s="11">
        <v>9495.4240000000009</v>
      </c>
      <c r="CA32" s="23">
        <v>0.11765760427597835</v>
      </c>
    </row>
    <row r="33" spans="1:79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S33" s="25" t="s">
        <v>99</v>
      </c>
      <c r="T33" s="295">
        <v>46976.251217492172</v>
      </c>
      <c r="U33" s="295">
        <v>44529.142256805979</v>
      </c>
      <c r="V33" s="295">
        <v>44215.228588857928</v>
      </c>
      <c r="W33" s="295">
        <v>44754.623911526134</v>
      </c>
      <c r="X33" s="295">
        <v>45505.71063482474</v>
      </c>
      <c r="Y33" s="295">
        <v>45838.267050017101</v>
      </c>
      <c r="Z33" s="295">
        <v>44466.311049226075</v>
      </c>
      <c r="AA33" s="295">
        <v>43320.737079030921</v>
      </c>
      <c r="AB33" s="295">
        <v>42938.108452824948</v>
      </c>
      <c r="AC33" s="295">
        <v>42239.911796101303</v>
      </c>
      <c r="AD33" s="295">
        <v>41849.098159264351</v>
      </c>
      <c r="AE33" s="295">
        <v>42358.692627857934</v>
      </c>
      <c r="AF33" s="295">
        <v>42258.038218634683</v>
      </c>
      <c r="AG33" s="295">
        <v>44038.276137375375</v>
      </c>
      <c r="AH33" s="295">
        <v>46301.542216302274</v>
      </c>
      <c r="AI33" s="295">
        <v>46957.721296852811</v>
      </c>
      <c r="AK33" s="18" t="s">
        <v>130</v>
      </c>
      <c r="AL33" s="23"/>
      <c r="AM33" s="315">
        <v>40.524664999999999</v>
      </c>
      <c r="AN33" s="189">
        <v>0.12193840487450736</v>
      </c>
      <c r="AO33" s="119">
        <v>48.469095000000003</v>
      </c>
      <c r="AP33" s="23">
        <v>0.13986097899607838</v>
      </c>
      <c r="AQ33" s="119">
        <v>54</v>
      </c>
      <c r="AR33" s="23">
        <v>0.18146469032268947</v>
      </c>
      <c r="AS33" s="119">
        <v>57.928840000000001</v>
      </c>
      <c r="AT33" s="23">
        <v>0.21116211513220642</v>
      </c>
      <c r="AU33" s="119">
        <v>53</v>
      </c>
      <c r="AV33" s="23">
        <v>0.1886786352179026</v>
      </c>
      <c r="AW33" s="119">
        <v>48.795000000000002</v>
      </c>
      <c r="AX33" s="23">
        <v>0.18260270850368082</v>
      </c>
      <c r="AY33" s="119">
        <v>53.36</v>
      </c>
      <c r="AZ33" s="23">
        <v>0.20301377133949075</v>
      </c>
      <c r="BA33" s="119">
        <v>56.42109</v>
      </c>
      <c r="BB33" s="23">
        <v>0.21105051412550407</v>
      </c>
      <c r="BC33" s="119">
        <v>54.285224999999997</v>
      </c>
      <c r="BD33" s="23">
        <v>0.21324102446479365</v>
      </c>
      <c r="BE33" s="119">
        <v>55.999544999999998</v>
      </c>
      <c r="BF33" s="23">
        <v>0.22220599972977942</v>
      </c>
      <c r="BG33" s="119">
        <v>63.829085000000006</v>
      </c>
      <c r="BH33" s="23">
        <v>0.22725062833492096</v>
      </c>
      <c r="BI33" s="119">
        <v>30.017400000000002</v>
      </c>
      <c r="BJ33" s="23">
        <v>0.19169038950237538</v>
      </c>
      <c r="BK33" s="119">
        <v>31.894110000000001</v>
      </c>
      <c r="BL33" s="23">
        <v>0.19160253454663967</v>
      </c>
      <c r="BM33" s="119">
        <v>51.151350000000001</v>
      </c>
      <c r="BN33" s="23">
        <v>0.20132590172386902</v>
      </c>
      <c r="BO33" s="119">
        <v>62</v>
      </c>
      <c r="BP33" s="23">
        <v>0.20799999999999999</v>
      </c>
      <c r="BQ33" s="119">
        <f>34391.3/1000</f>
        <v>34.391300000000001</v>
      </c>
      <c r="BR33" s="23">
        <v>0.19548199999999999</v>
      </c>
      <c r="BS33" s="125">
        <f>'[2]Table 9-10-14-16'!$C$75/1000</f>
        <v>31.78463</v>
      </c>
      <c r="BT33" s="115">
        <f>'[2]Table 9-10-14-16'!$H$75</f>
        <v>0.13783732049282543</v>
      </c>
      <c r="BU33" s="23"/>
      <c r="BV33" s="21" t="s">
        <v>432</v>
      </c>
      <c r="BW33" s="299">
        <v>187.2</v>
      </c>
      <c r="BX33" s="115">
        <v>8.6034922400509029E-2</v>
      </c>
      <c r="BZ33" s="11">
        <v>9349.3885000000009</v>
      </c>
      <c r="CA33" s="23">
        <v>0.11751424277793183</v>
      </c>
    </row>
    <row r="34" spans="1:79">
      <c r="A34" s="188" t="s">
        <v>100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K34" s="18" t="s">
        <v>131</v>
      </c>
      <c r="AL34" s="23"/>
      <c r="AM34" s="315">
        <v>65.863285000000005</v>
      </c>
      <c r="AN34" s="189">
        <v>0.10023853786266362</v>
      </c>
      <c r="AO34" s="119">
        <v>66.620400000000004</v>
      </c>
      <c r="AP34" s="23">
        <v>0.10292130927571184</v>
      </c>
      <c r="AQ34" s="119">
        <v>66</v>
      </c>
      <c r="AR34" s="23">
        <v>9.8819497857521879E-2</v>
      </c>
      <c r="AS34" s="119">
        <v>60.974820000000001</v>
      </c>
      <c r="AT34" s="23">
        <v>8.6971159144547311E-2</v>
      </c>
      <c r="AU34" s="119">
        <v>49</v>
      </c>
      <c r="AV34" s="23">
        <v>7.2175080215470894E-2</v>
      </c>
      <c r="AW34" s="119">
        <v>65.551000000000002</v>
      </c>
      <c r="AX34" s="23">
        <v>9.5230062514574804E-2</v>
      </c>
      <c r="AY34" s="119">
        <v>71.563000000000002</v>
      </c>
      <c r="AZ34" s="23">
        <v>0.10310280506539801</v>
      </c>
      <c r="BA34" s="119">
        <v>56.325449999999996</v>
      </c>
      <c r="BB34" s="23">
        <v>8.2462552088795257E-2</v>
      </c>
      <c r="BC34" s="119">
        <v>69.080294999999992</v>
      </c>
      <c r="BD34" s="23">
        <v>0.10145894564939603</v>
      </c>
      <c r="BE34" s="119">
        <v>72.585700000000003</v>
      </c>
      <c r="BF34" s="23">
        <v>0.11005183044782674</v>
      </c>
      <c r="BG34" s="119">
        <v>76.621794999999992</v>
      </c>
      <c r="BH34" s="23">
        <v>0.12086248521709135</v>
      </c>
      <c r="BI34" s="119">
        <v>62.013839999999995</v>
      </c>
      <c r="BJ34" s="23">
        <v>0.16905684227261791</v>
      </c>
      <c r="BK34" s="119">
        <v>56.290759999999999</v>
      </c>
      <c r="BL34" s="23">
        <v>0.12445979066672072</v>
      </c>
      <c r="BM34" s="119">
        <v>86.605149999999995</v>
      </c>
      <c r="BN34" s="23">
        <v>0.14049307606611761</v>
      </c>
      <c r="BO34" s="119">
        <v>83</v>
      </c>
      <c r="BP34" s="23">
        <v>0.125</v>
      </c>
      <c r="BQ34" s="119">
        <f>51732.68/1000</f>
        <v>51.732680000000002</v>
      </c>
      <c r="BR34" s="23">
        <v>0.12746199999999999</v>
      </c>
      <c r="BS34" s="125">
        <f>'[2]Table 9-10-14-16'!$C$76/1000</f>
        <v>55.611059999999995</v>
      </c>
      <c r="BT34" s="115">
        <f>'[2]Table 9-10-14-16'!$I$76</f>
        <v>0.1060738632345041</v>
      </c>
      <c r="BU34" s="23"/>
      <c r="BV34" s="21" t="s">
        <v>430</v>
      </c>
      <c r="BW34" s="299">
        <v>171</v>
      </c>
      <c r="BX34" s="115">
        <v>7.7108125691258758E-2</v>
      </c>
      <c r="BZ34" s="11">
        <v>8996.3829999999998</v>
      </c>
      <c r="CA34" s="23">
        <v>0.11427851547400636</v>
      </c>
    </row>
    <row r="35" spans="1:79">
      <c r="A35" s="24" t="s">
        <v>101</v>
      </c>
      <c r="B35" s="295">
        <v>83572.84969070775</v>
      </c>
      <c r="C35" s="295">
        <v>83290.319124678179</v>
      </c>
      <c r="D35" s="295">
        <v>82981.653063224803</v>
      </c>
      <c r="E35" s="295">
        <v>82821.792304269271</v>
      </c>
      <c r="F35" s="295">
        <v>83757.819733682394</v>
      </c>
      <c r="G35" s="295">
        <v>85398.013961077435</v>
      </c>
      <c r="H35" s="295">
        <v>84540.161583526264</v>
      </c>
      <c r="I35" s="295">
        <v>82482.035301552358</v>
      </c>
      <c r="J35" s="295">
        <v>81706.079284149921</v>
      </c>
      <c r="K35" s="295">
        <v>80903.317224281796</v>
      </c>
      <c r="L35" s="295">
        <v>80521.729286132904</v>
      </c>
      <c r="M35" s="295">
        <v>80494.420730353697</v>
      </c>
      <c r="N35" s="295">
        <v>81588.714515365922</v>
      </c>
      <c r="O35" s="295">
        <v>82788.218580276472</v>
      </c>
      <c r="P35" s="295">
        <v>84421.723219170206</v>
      </c>
      <c r="Q35" s="295">
        <v>86892.444046764387</v>
      </c>
      <c r="S35" s="188" t="s">
        <v>113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K35" s="18" t="s">
        <v>132</v>
      </c>
      <c r="AL35" s="23"/>
      <c r="AM35" s="315">
        <v>21.86805</v>
      </c>
      <c r="AN35" s="189">
        <v>2.2764018550863047E-2</v>
      </c>
      <c r="AO35" s="119">
        <v>22.637519999999999</v>
      </c>
      <c r="AP35" s="23">
        <v>2.2064029107747921E-2</v>
      </c>
      <c r="AQ35" s="119">
        <v>21</v>
      </c>
      <c r="AR35" s="23">
        <v>2.0804817822814389E-2</v>
      </c>
      <c r="AS35" s="119">
        <v>20.32734</v>
      </c>
      <c r="AT35" s="23">
        <v>2.0943641738763015E-2</v>
      </c>
      <c r="AU35" s="119">
        <v>23</v>
      </c>
      <c r="AV35" s="23">
        <v>2.3567485905067215E-2</v>
      </c>
      <c r="AW35" s="119">
        <v>20.888999999999999</v>
      </c>
      <c r="AX35" s="23">
        <v>2.0663106315770206E-2</v>
      </c>
      <c r="AY35" s="119">
        <v>18.75</v>
      </c>
      <c r="AZ35" s="23">
        <v>1.8949330250872483E-2</v>
      </c>
      <c r="BA35" s="119">
        <v>23.200490000000002</v>
      </c>
      <c r="BB35" s="23">
        <v>2.4839464433057842E-2</v>
      </c>
      <c r="BC35" s="119">
        <v>25.238635000000002</v>
      </c>
      <c r="BD35" s="23">
        <v>2.5384516005807982E-2</v>
      </c>
      <c r="BE35" s="119">
        <v>29.274019999999997</v>
      </c>
      <c r="BF35" s="23">
        <v>2.9406901258787088E-2</v>
      </c>
      <c r="BG35" s="119">
        <v>31.061799999999998</v>
      </c>
      <c r="BH35" s="23">
        <v>3.3365337029588826E-2</v>
      </c>
      <c r="BI35" s="119">
        <v>49.43394</v>
      </c>
      <c r="BJ35" s="23">
        <v>7.0026917346166145E-2</v>
      </c>
      <c r="BK35" s="119">
        <v>45.519680000000001</v>
      </c>
      <c r="BL35" s="23">
        <v>6.2334719227017756E-2</v>
      </c>
      <c r="BM35" s="119">
        <v>29.32611</v>
      </c>
      <c r="BN35" s="23">
        <v>3.2928910133966025E-2</v>
      </c>
      <c r="BO35" s="119">
        <v>39</v>
      </c>
      <c r="BP35" s="23">
        <v>0.04</v>
      </c>
      <c r="BQ35" s="119">
        <f>33634.88/1000</f>
        <v>33.634879999999995</v>
      </c>
      <c r="BR35" s="23">
        <v>4.5108000000000002E-2</v>
      </c>
      <c r="BS35" s="125">
        <f>'[2]Table 9-10-14-16'!$C$77/1000</f>
        <v>24.378599999999999</v>
      </c>
      <c r="BT35" s="115">
        <f>'[2]Table 9-10-14-16'!$J$77</f>
        <v>3.049445393736467E-2</v>
      </c>
      <c r="BU35" s="23"/>
      <c r="BV35" s="21" t="s">
        <v>429</v>
      </c>
      <c r="BW35" s="299">
        <v>158.50995</v>
      </c>
      <c r="BX35" s="115">
        <v>7.1004132711939699E-2</v>
      </c>
      <c r="BZ35" s="11">
        <v>8462.7039999999997</v>
      </c>
      <c r="CA35" s="23">
        <v>0.1073382796748943</v>
      </c>
    </row>
    <row r="36" spans="1:79">
      <c r="A36" s="24" t="s">
        <v>102</v>
      </c>
      <c r="B36" s="295">
        <v>97884.618611543789</v>
      </c>
      <c r="C36" s="295">
        <v>98418.271243110386</v>
      </c>
      <c r="D36" s="295">
        <v>98255.314827337061</v>
      </c>
      <c r="E36" s="295">
        <v>97353.033876416681</v>
      </c>
      <c r="F36" s="295">
        <v>97955.339137219591</v>
      </c>
      <c r="G36" s="295">
        <v>99917.627377126584</v>
      </c>
      <c r="H36" s="295">
        <v>99009.36521991773</v>
      </c>
      <c r="I36" s="295">
        <v>97099.896271824779</v>
      </c>
      <c r="J36" s="295">
        <v>96918.607663891176</v>
      </c>
      <c r="K36" s="295">
        <v>95891.476970330987</v>
      </c>
      <c r="L36" s="295">
        <v>95627.466913354438</v>
      </c>
      <c r="M36" s="295">
        <v>96514.680638219375</v>
      </c>
      <c r="N36" s="295">
        <v>97539.552942299822</v>
      </c>
      <c r="O36" s="295">
        <v>101934.69017758136</v>
      </c>
      <c r="P36" s="295">
        <v>104556.55941016608</v>
      </c>
      <c r="Q36" s="295">
        <v>104681.48574019656</v>
      </c>
      <c r="S36" s="24" t="s">
        <v>114</v>
      </c>
      <c r="T36" s="295">
        <v>69366.858654236406</v>
      </c>
      <c r="U36" s="295">
        <v>68430.344521411171</v>
      </c>
      <c r="V36" s="295">
        <v>67712.982210213799</v>
      </c>
      <c r="W36" s="295">
        <v>67524.781465086242</v>
      </c>
      <c r="X36" s="295">
        <v>67917.225311952236</v>
      </c>
      <c r="Y36" s="295">
        <v>68894.625427554827</v>
      </c>
      <c r="Z36" s="295">
        <v>68424.232591476495</v>
      </c>
      <c r="AA36" s="295">
        <v>66490.729474473381</v>
      </c>
      <c r="AB36" s="295">
        <v>65139.9107458824</v>
      </c>
      <c r="AC36" s="295">
        <v>63857.785520218778</v>
      </c>
      <c r="AD36" s="295">
        <v>63400.328929946067</v>
      </c>
      <c r="AE36" s="295">
        <v>63701.325049505293</v>
      </c>
      <c r="AF36" s="295">
        <v>64199.178867640134</v>
      </c>
      <c r="AG36" s="295">
        <v>66303.07033268841</v>
      </c>
      <c r="AH36" s="295">
        <v>67539.31883912909</v>
      </c>
      <c r="AI36" s="295">
        <v>68234.946709136129</v>
      </c>
      <c r="AK36" s="93" t="s">
        <v>133</v>
      </c>
      <c r="AL36" s="52"/>
      <c r="AM36" s="316">
        <v>2.9641950000000001</v>
      </c>
      <c r="AN36" s="297">
        <v>1.112292145401917E-2</v>
      </c>
      <c r="AO36" s="132">
        <v>3.7610600000000001</v>
      </c>
      <c r="AP36" s="52">
        <v>1.3824968472517166E-2</v>
      </c>
      <c r="AQ36" s="132">
        <v>3</v>
      </c>
      <c r="AR36" s="52">
        <v>1.0699767278345901E-2</v>
      </c>
      <c r="AS36" s="132">
        <v>5.5704700000000003</v>
      </c>
      <c r="AT36" s="52">
        <v>1.8764449428113224E-2</v>
      </c>
      <c r="AU36" s="132">
        <v>6</v>
      </c>
      <c r="AV36" s="52">
        <v>1.9313350277286499E-2</v>
      </c>
      <c r="AW36" s="132">
        <v>5.1820000000000004</v>
      </c>
      <c r="AX36" s="52">
        <v>1.5714664941760378E-2</v>
      </c>
      <c r="AY36" s="132">
        <v>4.9429999999999996</v>
      </c>
      <c r="AZ36" s="52">
        <v>1.6538226578410017E-2</v>
      </c>
      <c r="BA36" s="132">
        <v>7.8912100000000001</v>
      </c>
      <c r="BB36" s="52">
        <v>2.6325251486031081E-2</v>
      </c>
      <c r="BC36" s="132">
        <v>9.9058050000000009</v>
      </c>
      <c r="BD36" s="52">
        <v>3.2876809851156159E-2</v>
      </c>
      <c r="BE36" s="132">
        <v>13.1394</v>
      </c>
      <c r="BF36" s="52">
        <v>4.2382050994644753E-2</v>
      </c>
      <c r="BG36" s="132">
        <v>15.676095000000002</v>
      </c>
      <c r="BH36" s="52">
        <v>4.7594450738060949E-2</v>
      </c>
      <c r="BI36" s="132">
        <v>45.15202</v>
      </c>
      <c r="BJ36" s="52">
        <v>4.5563589985068424E-2</v>
      </c>
      <c r="BK36" s="132">
        <v>40.828410000000005</v>
      </c>
      <c r="BL36" s="52">
        <v>4.708060079169523E-2</v>
      </c>
      <c r="BM36" s="132">
        <v>20.802259999999997</v>
      </c>
      <c r="BN36" s="52">
        <v>4.4104198672747771E-2</v>
      </c>
      <c r="BO36" s="132">
        <v>9</v>
      </c>
      <c r="BP36" s="52">
        <v>2.5000000000000001E-2</v>
      </c>
      <c r="BQ36" s="194">
        <f>49607.62/1000</f>
        <v>49.607620000000004</v>
      </c>
      <c r="BR36" s="52">
        <v>5.0276000000000001E-2</v>
      </c>
      <c r="BS36" s="260">
        <f>'[2]Table 9-10-14-16'!$C$78/1000</f>
        <v>37.32226</v>
      </c>
      <c r="BT36" s="142">
        <f>'[2]Table 9-10-14-16'!$K$78</f>
        <v>5.1381060474461872E-2</v>
      </c>
      <c r="BU36" s="97"/>
      <c r="BV36" s="21" t="s">
        <v>423</v>
      </c>
      <c r="BW36" s="299">
        <v>143.43810000000002</v>
      </c>
      <c r="BX36" s="115">
        <v>6.5556082078983849E-2</v>
      </c>
      <c r="BZ36" s="11">
        <v>7881.7235000000001</v>
      </c>
      <c r="CA36" s="23">
        <v>0.10058169909796695</v>
      </c>
    </row>
    <row r="37" spans="1:79">
      <c r="A37" s="24" t="s">
        <v>103</v>
      </c>
      <c r="B37" s="295">
        <v>51530.665898204767</v>
      </c>
      <c r="C37" s="295">
        <v>51177.333717246613</v>
      </c>
      <c r="D37" s="295">
        <v>51483.156990021256</v>
      </c>
      <c r="E37" s="295">
        <v>52014.347243676028</v>
      </c>
      <c r="F37" s="295">
        <v>52534.198795498458</v>
      </c>
      <c r="G37" s="295">
        <v>52512.876873578163</v>
      </c>
      <c r="H37" s="295">
        <v>52502.972916038081</v>
      </c>
      <c r="I37" s="295">
        <v>52002.656038781453</v>
      </c>
      <c r="J37" s="295">
        <v>51894.783165467532</v>
      </c>
      <c r="K37" s="295">
        <v>52113.673553122535</v>
      </c>
      <c r="L37" s="295">
        <v>51903.051161134528</v>
      </c>
      <c r="M37" s="295">
        <v>52121.117306929751</v>
      </c>
      <c r="N37" s="295">
        <v>52087.696875130336</v>
      </c>
      <c r="O37" s="295">
        <v>53278.521916886595</v>
      </c>
      <c r="P37" s="295">
        <v>54748.663118335717</v>
      </c>
      <c r="Q37" s="295">
        <v>56000.966027899936</v>
      </c>
      <c r="S37" s="24" t="s">
        <v>115</v>
      </c>
      <c r="T37" s="295">
        <v>47178.882361570839</v>
      </c>
      <c r="U37" s="295">
        <v>47615.622045828226</v>
      </c>
      <c r="V37" s="295">
        <v>47524.965933895481</v>
      </c>
      <c r="W37" s="295">
        <v>47600.084689920172</v>
      </c>
      <c r="X37" s="295">
        <v>48281.361758315863</v>
      </c>
      <c r="Y37" s="295">
        <v>48803.126972725877</v>
      </c>
      <c r="Z37" s="295">
        <v>48119.734206044319</v>
      </c>
      <c r="AA37" s="295">
        <v>47332.377182184136</v>
      </c>
      <c r="AB37" s="295">
        <v>46720.019883347421</v>
      </c>
      <c r="AC37" s="295">
        <v>45746.385119026119</v>
      </c>
      <c r="AD37" s="295">
        <v>45412.691601968618</v>
      </c>
      <c r="AE37" s="295">
        <v>46173.557006533607</v>
      </c>
      <c r="AF37" s="295">
        <v>46763.695987882849</v>
      </c>
      <c r="AG37" s="295">
        <v>47830.848369897663</v>
      </c>
      <c r="AH37" s="295">
        <v>48899.669462009304</v>
      </c>
      <c r="AI37" s="295">
        <v>48716.423619139889</v>
      </c>
      <c r="AK37" s="2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BQ37" s="133"/>
      <c r="BS37" s="265"/>
      <c r="BT37" s="266"/>
      <c r="BV37" s="21" t="s">
        <v>417</v>
      </c>
      <c r="BW37" s="299">
        <v>148.61699999999999</v>
      </c>
      <c r="BX37" s="115">
        <v>6.6157020185790935E-2</v>
      </c>
      <c r="BZ37" s="11">
        <v>7638.2839999999997</v>
      </c>
      <c r="CA37" s="23">
        <v>9.7740100269117697E-2</v>
      </c>
    </row>
    <row r="38" spans="1:79">
      <c r="A38" s="24" t="s">
        <v>104</v>
      </c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261"/>
      <c r="BT38" s="264"/>
      <c r="BV38" s="21" t="s">
        <v>395</v>
      </c>
      <c r="BW38" s="299">
        <v>140.41665</v>
      </c>
      <c r="BX38" s="115">
        <v>6.1150613299061927E-2</v>
      </c>
      <c r="BZ38" s="11">
        <v>7657.31</v>
      </c>
      <c r="CA38" s="23">
        <v>9.8279908123493187E-2</v>
      </c>
    </row>
    <row r="39" spans="1:79">
      <c r="A39" s="24" t="s">
        <v>105</v>
      </c>
      <c r="B39" s="295">
        <v>35852.43366474584</v>
      </c>
      <c r="C39" s="295">
        <v>35721.236706463482</v>
      </c>
      <c r="D39" s="295">
        <v>35219.011686333542</v>
      </c>
      <c r="E39" s="295">
        <v>34627.880188005845</v>
      </c>
      <c r="F39" s="295">
        <v>34687.109419618886</v>
      </c>
      <c r="G39" s="295">
        <v>35504.428524116294</v>
      </c>
      <c r="H39" s="295">
        <v>35109.055150922839</v>
      </c>
      <c r="I39" s="295">
        <v>34244.935324010003</v>
      </c>
      <c r="J39" s="295">
        <v>33496.44524663128</v>
      </c>
      <c r="K39" s="295">
        <v>32935.790722236321</v>
      </c>
      <c r="L39" s="295">
        <v>32893.115697830275</v>
      </c>
      <c r="M39" s="295">
        <v>32922.645288359825</v>
      </c>
      <c r="N39" s="295">
        <v>32064.944407577772</v>
      </c>
      <c r="O39" s="295">
        <v>33176.334253334477</v>
      </c>
      <c r="P39" s="295">
        <v>35078.557982426835</v>
      </c>
      <c r="Q39" s="295">
        <v>34738.053013748628</v>
      </c>
      <c r="S39" s="188" t="s">
        <v>116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K39" s="24" t="s">
        <v>572</v>
      </c>
      <c r="BV39" s="21" t="s">
        <v>380</v>
      </c>
      <c r="BW39" s="299">
        <v>131.14345</v>
      </c>
      <c r="BX39" s="115">
        <v>5.7820528816815556E-2</v>
      </c>
      <c r="BZ39" s="11">
        <v>7753.5936999999994</v>
      </c>
      <c r="CA39" s="23">
        <v>0.10042712518960596</v>
      </c>
    </row>
    <row r="40" spans="1:79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256"/>
      <c r="S40" s="24" t="s">
        <v>117</v>
      </c>
      <c r="T40" s="295">
        <v>71353.441465856551</v>
      </c>
      <c r="U40" s="295">
        <v>71330.149466982213</v>
      </c>
      <c r="V40" s="295">
        <v>71365.998050559385</v>
      </c>
      <c r="W40" s="295">
        <v>71446.667043886191</v>
      </c>
      <c r="X40" s="295">
        <v>72331.974090550924</v>
      </c>
      <c r="Y40" s="295">
        <v>72983.574626091213</v>
      </c>
      <c r="Z40" s="295">
        <v>71936.490947178216</v>
      </c>
      <c r="AA40" s="295">
        <v>70711.974228429695</v>
      </c>
      <c r="AB40" s="295">
        <v>69922.059480372132</v>
      </c>
      <c r="AC40" s="295">
        <v>68683.912662251838</v>
      </c>
      <c r="AD40" s="295">
        <v>68266.04807172899</v>
      </c>
      <c r="AE40" s="295">
        <v>68429.898568527933</v>
      </c>
      <c r="AF40" s="295">
        <v>69164.24964029601</v>
      </c>
      <c r="AG40" s="295">
        <v>71661.793303651182</v>
      </c>
      <c r="AH40" s="295">
        <v>72859.529078535023</v>
      </c>
      <c r="AI40" s="295">
        <v>72909.62592000881</v>
      </c>
      <c r="AK40" s="192" t="s">
        <v>573</v>
      </c>
      <c r="BV40" s="21" t="s">
        <v>145</v>
      </c>
      <c r="BW40" s="299">
        <v>144.8015</v>
      </c>
      <c r="BX40" s="115">
        <v>6.4544088549293027E-2</v>
      </c>
      <c r="BZ40" s="11">
        <v>7728.0169999999998</v>
      </c>
      <c r="CA40" s="23">
        <v>0.10087222173819264</v>
      </c>
    </row>
    <row r="41" spans="1:79">
      <c r="A41" s="43"/>
      <c r="B41" s="2"/>
      <c r="C41" s="2"/>
      <c r="D41" s="2"/>
      <c r="E41" s="2"/>
      <c r="F41" s="2"/>
      <c r="G41" s="2"/>
      <c r="Q41" s="161"/>
      <c r="S41" s="24" t="s">
        <v>118</v>
      </c>
      <c r="T41" s="295">
        <v>38419.156574401728</v>
      </c>
      <c r="U41" s="295">
        <v>37029.982556720126</v>
      </c>
      <c r="V41" s="295">
        <v>36161.063616833984</v>
      </c>
      <c r="W41" s="295">
        <v>35934.443093076683</v>
      </c>
      <c r="X41" s="295">
        <v>36551.152459197518</v>
      </c>
      <c r="Y41" s="295">
        <v>37238.051683524609</v>
      </c>
      <c r="Z41" s="295">
        <v>36677.74955169751</v>
      </c>
      <c r="AA41" s="295">
        <v>35903.622665869741</v>
      </c>
      <c r="AB41" s="295">
        <v>35166.684728492153</v>
      </c>
      <c r="AC41" s="295">
        <v>34503.695089362154</v>
      </c>
      <c r="AD41" s="295">
        <v>34450.851762157552</v>
      </c>
      <c r="AE41" s="295">
        <v>35412.71766567741</v>
      </c>
      <c r="AF41" s="295">
        <v>36303.462804368872</v>
      </c>
      <c r="AG41" s="295">
        <v>36223.589015845457</v>
      </c>
      <c r="AH41" s="295">
        <v>37392.843709938184</v>
      </c>
      <c r="AI41" s="295">
        <v>38566.345532343134</v>
      </c>
      <c r="BV41" s="21" t="s">
        <v>137</v>
      </c>
      <c r="BW41" s="299">
        <v>145</v>
      </c>
      <c r="BX41" s="115">
        <v>6.4008137320717876E-2</v>
      </c>
      <c r="BZ41" s="11">
        <v>7414.4745000000003</v>
      </c>
      <c r="CA41" s="23">
        <v>9.76789880240235E-2</v>
      </c>
    </row>
    <row r="42" spans="1:79">
      <c r="A42" s="24" t="s">
        <v>106</v>
      </c>
      <c r="B42" s="2"/>
      <c r="C42" s="2"/>
      <c r="D42" s="2"/>
      <c r="E42" s="2"/>
      <c r="F42" s="2"/>
      <c r="G42" s="2"/>
      <c r="S42" s="183"/>
      <c r="T42" s="183"/>
      <c r="U42" s="183"/>
      <c r="V42" s="183"/>
      <c r="W42" s="168"/>
      <c r="X42" s="168"/>
      <c r="Y42" s="168"/>
      <c r="Z42" s="168"/>
      <c r="AA42" s="168"/>
      <c r="AB42" s="168"/>
      <c r="AC42" s="168"/>
      <c r="AD42" s="168"/>
      <c r="AE42" s="168"/>
      <c r="AF42" s="140"/>
      <c r="AG42" s="140"/>
      <c r="AH42" s="140"/>
      <c r="AI42" s="140"/>
      <c r="BV42" s="21" t="s">
        <v>139</v>
      </c>
      <c r="BW42" s="299">
        <v>141.48807500000001</v>
      </c>
      <c r="BX42" s="115">
        <v>6.1734315435272337E-2</v>
      </c>
      <c r="BZ42" s="11">
        <v>7017.4056</v>
      </c>
      <c r="CA42" s="23">
        <v>9.361249508502778E-2</v>
      </c>
    </row>
    <row r="43" spans="1:79">
      <c r="A43" s="24" t="s">
        <v>107</v>
      </c>
      <c r="B43" s="2"/>
      <c r="C43" s="2"/>
      <c r="D43" s="2"/>
      <c r="E43" s="2"/>
      <c r="F43" s="2"/>
      <c r="G43" s="2"/>
      <c r="S43" s="43"/>
      <c r="T43" s="2"/>
      <c r="U43" s="2"/>
      <c r="V43" s="2"/>
      <c r="W43" s="2"/>
      <c r="X43" s="2"/>
      <c r="Y43" s="2"/>
      <c r="AF43" s="161"/>
      <c r="AG43" s="161"/>
      <c r="AH43" s="161"/>
      <c r="AI43" s="140"/>
      <c r="BV43" s="21" t="s">
        <v>119</v>
      </c>
      <c r="BW43" s="302">
        <v>131.22020000000001</v>
      </c>
      <c r="BX43" s="189">
        <v>5.9200519007569466E-2</v>
      </c>
      <c r="BY43" s="287"/>
      <c r="BZ43" s="119">
        <v>6515.1481000000003</v>
      </c>
      <c r="CA43" s="189">
        <v>8.8820390276615591E-2</v>
      </c>
    </row>
    <row r="44" spans="1:79">
      <c r="A44" s="24" t="s">
        <v>88</v>
      </c>
      <c r="B44" s="2"/>
      <c r="C44" s="2"/>
      <c r="D44" s="2"/>
      <c r="E44" s="2"/>
      <c r="F44" s="2"/>
      <c r="G44" s="2"/>
      <c r="S44" s="24" t="s">
        <v>106</v>
      </c>
      <c r="T44" s="2"/>
      <c r="U44" s="2"/>
      <c r="V44" s="2"/>
      <c r="W44" s="2"/>
      <c r="X44" s="2"/>
      <c r="Y44" s="2"/>
      <c r="BV44" s="191" t="s">
        <v>141</v>
      </c>
      <c r="BW44" s="299"/>
      <c r="BX44" s="80"/>
      <c r="BY44" s="24"/>
      <c r="BZ44" s="24"/>
      <c r="CA44" s="24"/>
    </row>
    <row r="45" spans="1:79">
      <c r="A45" s="24" t="s">
        <v>572</v>
      </c>
      <c r="B45" s="2"/>
      <c r="C45" s="2"/>
      <c r="D45" s="2"/>
      <c r="E45" s="2"/>
      <c r="F45" s="2"/>
      <c r="G45" s="2"/>
      <c r="S45" s="24" t="s">
        <v>107</v>
      </c>
      <c r="T45" s="2"/>
      <c r="U45" s="2"/>
      <c r="V45" s="2"/>
      <c r="W45" s="2"/>
      <c r="X45" s="2"/>
      <c r="Y45" s="2"/>
      <c r="BV45" s="21" t="s">
        <v>567</v>
      </c>
      <c r="BW45" s="299">
        <f>BS11</f>
        <v>67.697070000000011</v>
      </c>
      <c r="BX45" s="80">
        <f>BT11</f>
        <v>3.8283412835174266E-2</v>
      </c>
      <c r="BY45" s="24"/>
      <c r="BZ45" s="113">
        <f>'[1]Table 10'!$C$7</f>
        <v>3049.7269999999999</v>
      </c>
      <c r="CA45" s="80">
        <f>'[1]Table 10'!$F$7</f>
        <v>3.6762509684172127E-2</v>
      </c>
    </row>
    <row r="46" spans="1:79">
      <c r="A46" s="192" t="s">
        <v>573</v>
      </c>
      <c r="B46" s="2"/>
      <c r="C46" s="2"/>
      <c r="D46" s="2"/>
      <c r="E46" s="2"/>
      <c r="F46" s="2"/>
      <c r="G46" s="2"/>
      <c r="S46" s="24" t="s">
        <v>88</v>
      </c>
      <c r="T46" s="2"/>
      <c r="U46" s="2"/>
      <c r="V46" s="2"/>
      <c r="BV46" s="21" t="s">
        <v>496</v>
      </c>
      <c r="BW46" s="299">
        <f>BQ11</f>
        <v>77.538269999999997</v>
      </c>
      <c r="BX46" s="80">
        <f>BR11</f>
        <v>4.3992999999999997E-2</v>
      </c>
      <c r="BY46" s="24"/>
      <c r="BZ46" s="113">
        <v>3170.4090000000001</v>
      </c>
      <c r="CA46" s="80">
        <v>3.8427000000000003E-2</v>
      </c>
    </row>
    <row r="47" spans="1:79">
      <c r="S47" s="24" t="s">
        <v>572</v>
      </c>
      <c r="T47" s="2"/>
      <c r="U47" s="2"/>
      <c r="V47" s="2"/>
      <c r="BV47" s="21" t="s">
        <v>491</v>
      </c>
      <c r="BW47" s="299">
        <f>BO11</f>
        <v>77</v>
      </c>
      <c r="BX47" s="80">
        <f>BP11</f>
        <v>4.3999999999999997E-2</v>
      </c>
      <c r="BY47" s="24"/>
      <c r="BZ47" s="11">
        <v>3490</v>
      </c>
      <c r="CA47" s="23">
        <v>4.2599999999999999E-2</v>
      </c>
    </row>
    <row r="48" spans="1:79">
      <c r="S48" s="192" t="s">
        <v>573</v>
      </c>
      <c r="BV48" s="21" t="s">
        <v>485</v>
      </c>
      <c r="BW48" s="299">
        <v>76.921880000000002</v>
      </c>
      <c r="BX48" s="115">
        <v>4.5538737208764342E-2</v>
      </c>
      <c r="BZ48" s="11">
        <v>3604.4920000000002</v>
      </c>
      <c r="CA48" s="23">
        <v>6.0235963735947549E-2</v>
      </c>
    </row>
    <row r="49" spans="74:79">
      <c r="BV49" s="21" t="s">
        <v>439</v>
      </c>
      <c r="BW49" s="299">
        <v>70.526470000000003</v>
      </c>
      <c r="BX49" s="115">
        <v>4.219792234984248E-2</v>
      </c>
      <c r="BZ49" s="11">
        <v>3589.0859999999998</v>
      </c>
      <c r="CA49" s="23">
        <v>6.0385525675540778E-2</v>
      </c>
    </row>
    <row r="50" spans="74:79">
      <c r="BV50" s="21" t="s">
        <v>436</v>
      </c>
      <c r="BW50" s="299">
        <v>63.41413</v>
      </c>
      <c r="BX50" s="115">
        <v>3.9467895636353036E-2</v>
      </c>
      <c r="BZ50" s="11">
        <v>3675.6550000000002</v>
      </c>
      <c r="CA50" s="23">
        <v>6.2218703086147749E-2</v>
      </c>
    </row>
    <row r="51" spans="74:79">
      <c r="BV51" s="21" t="s">
        <v>432</v>
      </c>
      <c r="BW51" s="299">
        <v>54.167904999999998</v>
      </c>
      <c r="BX51" s="115">
        <v>3.4344648627166671E-2</v>
      </c>
      <c r="BZ51" s="11">
        <v>3622.2754999999997</v>
      </c>
      <c r="CA51" s="23">
        <v>6.1927243809471198E-2</v>
      </c>
    </row>
    <row r="52" spans="74:79">
      <c r="BV52" s="21" t="s">
        <v>430</v>
      </c>
      <c r="BW52" s="299">
        <v>47.844265</v>
      </c>
      <c r="BX52" s="115">
        <v>2.935471582210665E-2</v>
      </c>
      <c r="BZ52" s="11">
        <v>3501.6095</v>
      </c>
      <c r="CA52" s="23">
        <v>6.0141443649049185E-2</v>
      </c>
    </row>
    <row r="53" spans="74:79">
      <c r="BV53" s="21" t="s">
        <v>429</v>
      </c>
      <c r="BW53" s="299">
        <v>53.279724999999999</v>
      </c>
      <c r="BX53" s="115">
        <v>3.2216197267759719E-2</v>
      </c>
      <c r="BZ53" s="11">
        <v>3334.1644999999999</v>
      </c>
      <c r="CA53" s="23">
        <v>5.6738347851638005E-2</v>
      </c>
    </row>
    <row r="54" spans="74:79">
      <c r="BV54" s="21" t="s">
        <v>423</v>
      </c>
      <c r="BW54" s="299">
        <v>57.667180000000002</v>
      </c>
      <c r="BX54" s="115">
        <v>3.5142984918826982E-2</v>
      </c>
      <c r="BZ54" s="11">
        <v>3055.1530000000002</v>
      </c>
      <c r="CA54" s="23">
        <v>5.2008241948746398E-2</v>
      </c>
    </row>
    <row r="55" spans="74:79">
      <c r="BV55" s="21" t="s">
        <v>417</v>
      </c>
      <c r="BW55" s="299">
        <v>48.645000000000003</v>
      </c>
      <c r="BX55" s="115">
        <v>2.8638574351723164E-2</v>
      </c>
      <c r="BZ55" s="11">
        <v>2879.0034999999998</v>
      </c>
      <c r="CA55" s="23">
        <v>4.9081790604515591E-2</v>
      </c>
    </row>
    <row r="56" spans="74:79">
      <c r="BV56" s="21" t="s">
        <v>395</v>
      </c>
      <c r="BW56" s="299">
        <v>53.856465</v>
      </c>
      <c r="BX56" s="115">
        <v>3.0862308968155918E-2</v>
      </c>
      <c r="BZ56" s="11">
        <v>2926.6360000000004</v>
      </c>
      <c r="CA56" s="23">
        <v>4.9974843834376129E-2</v>
      </c>
    </row>
    <row r="57" spans="74:79">
      <c r="BV57" s="21" t="s">
        <v>380</v>
      </c>
      <c r="BW57" s="299">
        <v>57.569015</v>
      </c>
      <c r="BX57" s="115">
        <v>3.3100392736526089E-2</v>
      </c>
      <c r="BZ57" s="11">
        <v>3081.942</v>
      </c>
      <c r="CA57" s="23">
        <v>5.3005054458988794E-2</v>
      </c>
    </row>
    <row r="58" spans="74:79">
      <c r="BV58" s="21" t="s">
        <v>145</v>
      </c>
      <c r="BW58" s="299">
        <v>63.906149999999997</v>
      </c>
      <c r="BX58" s="115">
        <v>3.7006684524447268E-2</v>
      </c>
      <c r="BZ58" s="11">
        <v>3167.223</v>
      </c>
      <c r="CA58" s="23">
        <v>5.4688267097546026E-2</v>
      </c>
    </row>
    <row r="59" spans="74:79">
      <c r="BV59" s="21" t="s">
        <v>137</v>
      </c>
      <c r="BW59" s="299">
        <v>63</v>
      </c>
      <c r="BX59" s="115">
        <v>3.6361534766903104E-2</v>
      </c>
      <c r="BZ59" s="11">
        <v>3082.2489999999998</v>
      </c>
      <c r="CA59" s="23">
        <v>5.3586275587650473E-2</v>
      </c>
    </row>
    <row r="60" spans="74:79">
      <c r="BV60" s="21" t="s">
        <v>139</v>
      </c>
      <c r="BW60" s="299">
        <v>59.020755000000001</v>
      </c>
      <c r="BX60" s="115">
        <v>3.3208869653773412E-2</v>
      </c>
      <c r="BZ60" s="11">
        <v>2904.951</v>
      </c>
      <c r="CA60" s="23">
        <v>5.0934252072991085E-2</v>
      </c>
    </row>
    <row r="61" spans="74:79">
      <c r="BV61" s="21" t="s">
        <v>119</v>
      </c>
      <c r="BW61" s="302">
        <v>48.433835000000002</v>
      </c>
      <c r="BX61" s="189">
        <v>2.7953643588975872E-2</v>
      </c>
      <c r="BY61" s="287"/>
      <c r="BZ61" s="119">
        <v>2697.9610000000002</v>
      </c>
      <c r="CA61" s="189">
        <v>4.802786767408445E-2</v>
      </c>
    </row>
    <row r="62" spans="74:79">
      <c r="BV62" s="186" t="s">
        <v>142</v>
      </c>
      <c r="BW62" s="299"/>
      <c r="BX62" s="80"/>
      <c r="BY62" s="24"/>
      <c r="BZ62" s="24"/>
      <c r="CA62" s="24"/>
    </row>
    <row r="63" spans="74:79">
      <c r="BV63" s="21" t="s">
        <v>567</v>
      </c>
      <c r="BW63" s="299">
        <f>BS13</f>
        <v>69.918300000000002</v>
      </c>
      <c r="BX63" s="80">
        <f>BT13</f>
        <v>0.18732391739843191</v>
      </c>
      <c r="BY63" s="24"/>
      <c r="BZ63" s="113">
        <f>'[1]Table 10'!$C$9</f>
        <v>4047.99</v>
      </c>
      <c r="CA63" s="80">
        <f>'[1]Table 10'!$H$9</f>
        <v>0.26120412300886214</v>
      </c>
    </row>
    <row r="64" spans="74:79">
      <c r="BV64" s="21" t="s">
        <v>496</v>
      </c>
      <c r="BW64" s="299">
        <f>BQ13</f>
        <v>76.027699999999996</v>
      </c>
      <c r="BX64" s="80">
        <f>BR13</f>
        <v>0.19287499999999999</v>
      </c>
      <c r="BY64" s="24"/>
      <c r="BZ64" s="11">
        <v>4270.1059999999998</v>
      </c>
      <c r="CA64" s="193">
        <v>0.27377484789684264</v>
      </c>
    </row>
    <row r="65" spans="74:79">
      <c r="BV65" s="21" t="s">
        <v>491</v>
      </c>
      <c r="BW65" s="299">
        <f>BO13</f>
        <v>99.110900000000001</v>
      </c>
      <c r="BX65" s="115">
        <f>BP13</f>
        <v>0.23599999999999999</v>
      </c>
      <c r="BY65" s="24"/>
      <c r="BZ65" s="11">
        <v>4581</v>
      </c>
      <c r="CA65" s="23">
        <v>0.29399999999999998</v>
      </c>
    </row>
    <row r="66" spans="74:79">
      <c r="BV66" s="21" t="s">
        <v>485</v>
      </c>
      <c r="BW66" s="299">
        <v>99.110900000000001</v>
      </c>
      <c r="BX66" s="115">
        <v>0.24492497618978187</v>
      </c>
      <c r="BZ66" s="11">
        <v>4702.7479999999996</v>
      </c>
      <c r="CA66" s="23">
        <v>0.30600421154112184</v>
      </c>
    </row>
    <row r="67" spans="74:79">
      <c r="BV67" s="21" t="s">
        <v>439</v>
      </c>
      <c r="BW67" s="299">
        <v>92.018119999999996</v>
      </c>
      <c r="BX67" s="115">
        <v>0.23051416003866462</v>
      </c>
      <c r="BZ67" s="11">
        <v>4713.72</v>
      </c>
      <c r="CA67" s="23">
        <v>0.3074642121120309</v>
      </c>
    </row>
    <row r="68" spans="74:79">
      <c r="BV68" s="21" t="s">
        <v>436</v>
      </c>
      <c r="BW68" s="299">
        <v>107.8657</v>
      </c>
      <c r="BX68" s="115">
        <v>0.24626015857941744</v>
      </c>
      <c r="BZ68" s="11">
        <v>4833.9830000000002</v>
      </c>
      <c r="CA68" s="23">
        <v>0.31049328396939507</v>
      </c>
    </row>
    <row r="69" spans="74:79">
      <c r="BV69" s="21" t="s">
        <v>432</v>
      </c>
      <c r="BW69" s="299">
        <v>118.42574999999999</v>
      </c>
      <c r="BX69" s="115">
        <v>0.27495698578563232</v>
      </c>
      <c r="BZ69" s="11">
        <v>4812.9255000000003</v>
      </c>
      <c r="CA69" s="23">
        <v>0.313674210953441</v>
      </c>
    </row>
    <row r="70" spans="74:79">
      <c r="BV70" s="21" t="s">
        <v>430</v>
      </c>
      <c r="BW70" s="299">
        <v>105.08585000000001</v>
      </c>
      <c r="BX70" s="115">
        <v>0.25335271336728954</v>
      </c>
      <c r="BZ70" s="11">
        <v>4584.9695000000002</v>
      </c>
      <c r="CA70" s="23">
        <v>0.30707549167985643</v>
      </c>
    </row>
    <row r="71" spans="74:79">
      <c r="BV71" s="21" t="s">
        <v>429</v>
      </c>
      <c r="BW71" s="299">
        <v>84.468285000000009</v>
      </c>
      <c r="BX71" s="115">
        <v>0.21014058496519944</v>
      </c>
      <c r="BZ71" s="11">
        <v>4297.0895</v>
      </c>
      <c r="CA71" s="23">
        <v>0.29308607669095321</v>
      </c>
    </row>
    <row r="72" spans="74:79">
      <c r="BV72" s="21" t="s">
        <v>423</v>
      </c>
      <c r="BW72" s="299">
        <v>68.41707000000001</v>
      </c>
      <c r="BX72" s="115">
        <v>0.17953717574563541</v>
      </c>
      <c r="BZ72" s="11">
        <v>4119.5864999999994</v>
      </c>
      <c r="CA72" s="23">
        <v>0.28525480528184971</v>
      </c>
    </row>
    <row r="73" spans="74:79">
      <c r="BV73" s="21" t="s">
        <v>417</v>
      </c>
      <c r="BW73" s="299">
        <v>86.221000000000004</v>
      </c>
      <c r="BX73" s="115">
        <v>0.20508699738744404</v>
      </c>
      <c r="BZ73" s="11">
        <v>4079.2780000000002</v>
      </c>
      <c r="CA73" s="23">
        <v>0.28308552407964077</v>
      </c>
    </row>
    <row r="74" spans="74:79">
      <c r="BV74" s="21" t="s">
        <v>395</v>
      </c>
      <c r="BW74" s="299">
        <v>75.895984999999996</v>
      </c>
      <c r="BX74" s="115">
        <v>0.18431291703990083</v>
      </c>
      <c r="BZ74" s="11">
        <v>4062.4670000000001</v>
      </c>
      <c r="CA74" s="23">
        <v>0.28499599976365309</v>
      </c>
    </row>
    <row r="75" spans="74:79">
      <c r="BV75" s="21" t="s">
        <v>380</v>
      </c>
      <c r="BW75" s="299">
        <v>63.770895000000003</v>
      </c>
      <c r="BX75" s="115">
        <v>0.1672821397448877</v>
      </c>
      <c r="BZ75" s="11">
        <v>4007.8465000000001</v>
      </c>
      <c r="CA75" s="23">
        <v>0.28524352436725814</v>
      </c>
    </row>
    <row r="76" spans="74:79">
      <c r="BV76" s="21" t="s">
        <v>145</v>
      </c>
      <c r="BW76" s="299">
        <v>66.946070000000006</v>
      </c>
      <c r="BX76" s="115">
        <v>0.18099301707144166</v>
      </c>
      <c r="BZ76" s="11">
        <v>3913.5605</v>
      </c>
      <c r="CA76" s="23">
        <v>0.28165116611243979</v>
      </c>
    </row>
    <row r="77" spans="74:79">
      <c r="BV77" s="21" t="s">
        <v>137</v>
      </c>
      <c r="BW77" s="299">
        <v>70</v>
      </c>
      <c r="BX77" s="115">
        <v>0.17318135081830818</v>
      </c>
      <c r="BZ77" s="11">
        <v>3732.17</v>
      </c>
      <c r="CA77" s="23">
        <v>0.27240429472375893</v>
      </c>
    </row>
    <row r="78" spans="74:79">
      <c r="BV78" s="21" t="s">
        <v>139</v>
      </c>
      <c r="BW78" s="299">
        <v>71.694635000000005</v>
      </c>
      <c r="BX78" s="115">
        <v>0.18078357970910777</v>
      </c>
      <c r="BZ78" s="11">
        <v>3538.8474999999999</v>
      </c>
      <c r="CA78" s="23">
        <v>0.26445247707688013</v>
      </c>
    </row>
    <row r="79" spans="74:79">
      <c r="BV79" s="21" t="s">
        <v>119</v>
      </c>
      <c r="BW79" s="302">
        <v>83.083074999999994</v>
      </c>
      <c r="BX79" s="189">
        <v>0.22976847382645249</v>
      </c>
      <c r="BY79" s="287"/>
      <c r="BZ79" s="119">
        <v>3281.4250000000002</v>
      </c>
      <c r="CA79" s="189">
        <v>0.25567955260548797</v>
      </c>
    </row>
    <row r="80" spans="74:79">
      <c r="BV80" s="191" t="s">
        <v>143</v>
      </c>
      <c r="BW80" s="299"/>
      <c r="BX80" s="80"/>
      <c r="BY80" s="24"/>
      <c r="BZ80" s="24"/>
      <c r="CA80" s="24"/>
    </row>
    <row r="81" spans="74:79">
      <c r="BV81" s="21" t="s">
        <v>567</v>
      </c>
      <c r="BW81" s="299">
        <f>BS16</f>
        <v>86.933369999999996</v>
      </c>
      <c r="BX81" s="80">
        <f>BT16</f>
        <v>5.0836210080736681E-2</v>
      </c>
      <c r="BY81" s="24"/>
      <c r="BZ81" s="113">
        <f>'[1]Table 10'!$C$22</f>
        <v>5300.9780000000001</v>
      </c>
      <c r="CA81" s="80">
        <f>'[1]Table 10'!$F$22</f>
        <v>8.0690111089783773E-2</v>
      </c>
    </row>
    <row r="82" spans="74:79">
      <c r="BV82" s="21" t="s">
        <v>496</v>
      </c>
      <c r="BW82" s="299">
        <f>BQ16</f>
        <v>106.52189999999999</v>
      </c>
      <c r="BX82" s="80">
        <f>BR16</f>
        <v>6.157E-2</v>
      </c>
      <c r="BY82" s="24"/>
      <c r="BZ82" s="113">
        <v>5587.1170000000002</v>
      </c>
      <c r="CA82" s="80">
        <v>8.5306999999999994E-2</v>
      </c>
    </row>
    <row r="83" spans="74:79">
      <c r="BV83" s="21" t="s">
        <v>491</v>
      </c>
      <c r="BW83" s="299">
        <f>BO16</f>
        <v>127</v>
      </c>
      <c r="BX83" s="115">
        <f>BP16</f>
        <v>7.2999999999999995E-2</v>
      </c>
      <c r="BY83" s="24"/>
      <c r="BZ83" s="11">
        <v>6022</v>
      </c>
      <c r="CA83" s="23">
        <v>9.2499999999999999E-2</v>
      </c>
    </row>
    <row r="84" spans="74:79">
      <c r="BV84" s="21" t="s">
        <v>485</v>
      </c>
      <c r="BW84" s="299">
        <v>116.8216</v>
      </c>
      <c r="BX84" s="115">
        <v>6.9672405515996516E-2</v>
      </c>
      <c r="BZ84" s="11">
        <v>6167.2169999999996</v>
      </c>
      <c r="CA84" s="23">
        <v>9.5162520895631902E-2</v>
      </c>
    </row>
    <row r="85" spans="74:79">
      <c r="BV85" s="21" t="s">
        <v>439</v>
      </c>
      <c r="BW85" s="299">
        <v>111.06269999999999</v>
      </c>
      <c r="BX85" s="115">
        <v>6.6464693357187743E-2</v>
      </c>
      <c r="BZ85" s="11">
        <v>6163.38</v>
      </c>
      <c r="CA85" s="23">
        <v>9.5263925160650006E-2</v>
      </c>
    </row>
    <row r="86" spans="74:79">
      <c r="BV86" s="21" t="s">
        <v>436</v>
      </c>
      <c r="BW86" s="299">
        <v>112.7097</v>
      </c>
      <c r="BX86" s="115">
        <v>6.6421591498098523E-2</v>
      </c>
      <c r="BZ86" s="11">
        <v>6311.6769999999997</v>
      </c>
      <c r="CA86" s="23">
        <v>9.760712063682192E-2</v>
      </c>
    </row>
    <row r="87" spans="74:79">
      <c r="BV87" s="21" t="s">
        <v>432</v>
      </c>
      <c r="BW87" s="299">
        <v>98.814965000000001</v>
      </c>
      <c r="BX87" s="115">
        <v>5.9002451237298983E-2</v>
      </c>
      <c r="BZ87" s="11">
        <v>6294.0570000000007</v>
      </c>
      <c r="CA87" s="23">
        <v>9.8013783612426006E-2</v>
      </c>
    </row>
    <row r="88" spans="74:79">
      <c r="BV88" s="21" t="s">
        <v>430</v>
      </c>
      <c r="BW88" s="299">
        <v>96.686014999999998</v>
      </c>
      <c r="BX88" s="115">
        <v>5.6461433743243937E-2</v>
      </c>
      <c r="BZ88" s="11">
        <v>6125.1035000000002</v>
      </c>
      <c r="CA88" s="23">
        <v>9.5751012368117325E-2</v>
      </c>
    </row>
    <row r="89" spans="74:79">
      <c r="BV89" s="21" t="s">
        <v>429</v>
      </c>
      <c r="BW89" s="299">
        <v>97.444584999999989</v>
      </c>
      <c r="BX89" s="115">
        <v>5.6881165309482715E-2</v>
      </c>
      <c r="BZ89" s="11">
        <v>5700.8814999999995</v>
      </c>
      <c r="CA89" s="23">
        <v>8.8879928648248244E-2</v>
      </c>
    </row>
    <row r="90" spans="74:79">
      <c r="BV90" s="21" t="s">
        <v>423</v>
      </c>
      <c r="BW90" s="299">
        <v>86.761369999999999</v>
      </c>
      <c r="BX90" s="115">
        <v>5.2014754235276156E-2</v>
      </c>
      <c r="BZ90" s="11">
        <v>5228.3094999999994</v>
      </c>
      <c r="CA90" s="23">
        <v>8.1865782668765166E-2</v>
      </c>
    </row>
    <row r="91" spans="74:79">
      <c r="BV91" s="21" t="s">
        <v>417</v>
      </c>
      <c r="BW91" s="299">
        <v>91.968999999999994</v>
      </c>
      <c r="BX91" s="115">
        <v>5.3400426214565026E-2</v>
      </c>
      <c r="BZ91" s="11">
        <v>5076.5594999999994</v>
      </c>
      <c r="CA91" s="23">
        <v>7.9533942045604669E-2</v>
      </c>
    </row>
    <row r="92" spans="74:79">
      <c r="BV92" s="21" t="s">
        <v>395</v>
      </c>
      <c r="BW92" s="299">
        <v>90.531260000000003</v>
      </c>
      <c r="BX92" s="115">
        <v>5.0348213139367111E-2</v>
      </c>
      <c r="BZ92" s="11">
        <v>5087.9449999999997</v>
      </c>
      <c r="CA92" s="23">
        <v>7.9815314652180253E-2</v>
      </c>
    </row>
    <row r="93" spans="74:79">
      <c r="BV93" s="21" t="s">
        <v>380</v>
      </c>
      <c r="BW93" s="299">
        <v>95.006444999999999</v>
      </c>
      <c r="BX93" s="115">
        <v>5.2509535575296591E-2</v>
      </c>
      <c r="BZ93" s="11">
        <v>5067.0640000000003</v>
      </c>
      <c r="CA93" s="23">
        <v>7.992027190025168E-2</v>
      </c>
    </row>
    <row r="94" spans="74:79">
      <c r="BV94" s="21" t="s">
        <v>145</v>
      </c>
      <c r="BW94" s="299">
        <v>95.867885000000001</v>
      </c>
      <c r="BX94" s="115">
        <v>5.3800342015427154E-2</v>
      </c>
      <c r="BZ94" s="11">
        <v>5185.4014999999999</v>
      </c>
      <c r="CA94" s="23">
        <v>8.2418571273033897E-2</v>
      </c>
    </row>
    <row r="95" spans="74:79">
      <c r="BV95" s="21" t="s">
        <v>137</v>
      </c>
      <c r="BW95" s="299">
        <v>90</v>
      </c>
      <c r="BX95" s="115">
        <v>5.0420869681834714E-2</v>
      </c>
      <c r="BZ95" s="11">
        <v>4958.7420000000002</v>
      </c>
      <c r="CA95" s="23">
        <v>7.9399923114650689E-2</v>
      </c>
    </row>
    <row r="96" spans="74:79">
      <c r="BV96" s="21" t="s">
        <v>139</v>
      </c>
      <c r="BW96" s="299">
        <v>96.367474999999999</v>
      </c>
      <c r="BX96" s="115">
        <v>5.2367952198267599E-2</v>
      </c>
      <c r="BZ96" s="11">
        <v>4718.0660000000007</v>
      </c>
      <c r="CA96" s="23">
        <v>7.6137844234703794E-2</v>
      </c>
    </row>
    <row r="97" spans="74:79">
      <c r="BV97" s="21" t="s">
        <v>119</v>
      </c>
      <c r="BW97" s="302">
        <v>83.402820000000006</v>
      </c>
      <c r="BX97" s="189">
        <v>4.694602100204464E-2</v>
      </c>
      <c r="BY97" s="287"/>
      <c r="BZ97" s="119">
        <v>4362.415</v>
      </c>
      <c r="CA97" s="189">
        <v>7.1601638569567846E-2</v>
      </c>
    </row>
    <row r="98" spans="74:79">
      <c r="BV98" s="191" t="s">
        <v>144</v>
      </c>
      <c r="BW98" s="299"/>
      <c r="BX98" s="80"/>
      <c r="BY98" s="24"/>
      <c r="BZ98" s="24"/>
      <c r="CA98" s="24"/>
    </row>
    <row r="99" spans="74:79">
      <c r="BV99" s="21" t="s">
        <v>567</v>
      </c>
      <c r="BW99" s="299">
        <f>BS17</f>
        <v>37.84883</v>
      </c>
      <c r="BX99" s="80">
        <f>BT17</f>
        <v>0.11970338071772887</v>
      </c>
      <c r="BY99" s="24"/>
      <c r="BZ99" s="113">
        <f>'[1]Table 10'!$C$23</f>
        <v>1859.2650000000001</v>
      </c>
      <c r="CA99" s="80">
        <f>'[1]Table 10'!$F$23</f>
        <v>0.18595139331302282</v>
      </c>
    </row>
    <row r="100" spans="74:79">
      <c r="BV100" s="21" t="s">
        <v>496</v>
      </c>
      <c r="BW100" s="299">
        <f>BQ17</f>
        <v>40.319720000000004</v>
      </c>
      <c r="BX100" s="115">
        <f>BR17</f>
        <v>0.136962</v>
      </c>
      <c r="BY100" s="24"/>
      <c r="BZ100" s="113">
        <v>1987.932</v>
      </c>
      <c r="CA100" s="80">
        <v>0.20061599999999999</v>
      </c>
    </row>
    <row r="101" spans="74:79">
      <c r="BV101" s="21" t="s">
        <v>491</v>
      </c>
      <c r="BW101" s="299">
        <f>BO17</f>
        <v>45</v>
      </c>
      <c r="BX101" s="115">
        <f>BP17</f>
        <v>0.154</v>
      </c>
      <c r="BY101" s="24"/>
      <c r="BZ101" s="11">
        <v>2174</v>
      </c>
      <c r="CA101" s="23">
        <v>0.22</v>
      </c>
    </row>
    <row r="102" spans="74:79">
      <c r="BV102" s="21" t="s">
        <v>485</v>
      </c>
      <c r="BW102" s="299">
        <v>54.79804</v>
      </c>
      <c r="BX102" s="115">
        <v>0.18204005030996248</v>
      </c>
      <c r="BZ102" s="11">
        <v>2266.2449999999999</v>
      </c>
      <c r="CA102" s="23">
        <v>0.22861338155229338</v>
      </c>
    </row>
    <row r="103" spans="74:79">
      <c r="BV103" s="21" t="s">
        <v>439</v>
      </c>
      <c r="BW103" s="299">
        <v>50.502040000000001</v>
      </c>
      <c r="BX103" s="115">
        <v>0.16578419964443517</v>
      </c>
      <c r="BZ103" s="11">
        <v>2291.0300000000002</v>
      </c>
      <c r="CA103" s="23">
        <v>0.23227578266713081</v>
      </c>
    </row>
    <row r="104" spans="74:79">
      <c r="BV104" s="21" t="s">
        <v>436</v>
      </c>
      <c r="BW104" s="299">
        <v>56.661960000000001</v>
      </c>
      <c r="BX104" s="115">
        <v>0.18760067336578101</v>
      </c>
      <c r="BZ104" s="11">
        <v>2322.558</v>
      </c>
      <c r="CA104" s="23">
        <v>0.23871177425750056</v>
      </c>
    </row>
    <row r="105" spans="74:79">
      <c r="BV105" s="21" t="s">
        <v>432</v>
      </c>
      <c r="BW105" s="299">
        <v>68.343249999999998</v>
      </c>
      <c r="BX105" s="115">
        <v>0.23073804929372244</v>
      </c>
      <c r="BZ105" s="11">
        <v>2304.9364999999998</v>
      </c>
      <c r="CA105" s="23">
        <v>0.24175357794270622</v>
      </c>
    </row>
    <row r="106" spans="74:79">
      <c r="BV106" s="21" t="s">
        <v>430</v>
      </c>
      <c r="BW106" s="299">
        <v>58.947274999999998</v>
      </c>
      <c r="BX106" s="115">
        <v>0.1989124805197218</v>
      </c>
      <c r="BZ106" s="11">
        <v>2198.808</v>
      </c>
      <c r="CA106" s="23">
        <v>0.23421170854881132</v>
      </c>
    </row>
    <row r="107" spans="74:79">
      <c r="BV107" s="21" t="s">
        <v>429</v>
      </c>
      <c r="BW107" s="299">
        <v>48.35474</v>
      </c>
      <c r="BX107" s="115">
        <v>0.17064804344375639</v>
      </c>
      <c r="BZ107" s="11">
        <v>2086.69</v>
      </c>
      <c r="CA107" s="23">
        <v>0.22299021544658709</v>
      </c>
    </row>
    <row r="108" spans="74:79">
      <c r="BV108" s="21" t="s">
        <v>423</v>
      </c>
      <c r="BW108" s="299">
        <v>40.500129999999999</v>
      </c>
      <c r="BX108" s="115">
        <v>0.15090301565108891</v>
      </c>
      <c r="BZ108" s="11">
        <v>2048.5830000000001</v>
      </c>
      <c r="CA108" s="23">
        <v>0.22011963095132264</v>
      </c>
    </row>
    <row r="109" spans="74:79">
      <c r="BV109" s="21" t="s">
        <v>417</v>
      </c>
      <c r="BW109" s="299">
        <v>49.868000000000002</v>
      </c>
      <c r="BX109" s="115">
        <v>0.17443193670271134</v>
      </c>
      <c r="BZ109" s="11">
        <v>2024.4349999999999</v>
      </c>
      <c r="CA109" s="23">
        <v>0.21851934900385953</v>
      </c>
    </row>
    <row r="110" spans="74:79">
      <c r="BV110" s="21" t="s">
        <v>395</v>
      </c>
      <c r="BW110" s="299">
        <v>43.931064999999997</v>
      </c>
      <c r="BX110" s="115">
        <v>0.14976519258687432</v>
      </c>
      <c r="BZ110" s="11">
        <v>2002.0140000000001</v>
      </c>
      <c r="CA110" s="23">
        <v>0.21856619504407349</v>
      </c>
    </row>
    <row r="111" spans="74:79">
      <c r="BV111" s="21" t="s">
        <v>380</v>
      </c>
      <c r="BW111" s="299">
        <v>27.956710000000001</v>
      </c>
      <c r="BX111" s="115">
        <v>9.658627360317644E-2</v>
      </c>
      <c r="BZ111" s="11">
        <v>1997.086</v>
      </c>
      <c r="CA111" s="23">
        <v>0.22074279215736073</v>
      </c>
    </row>
    <row r="112" spans="74:79">
      <c r="BV112" s="21" t="s">
        <v>145</v>
      </c>
      <c r="BW112" s="299">
        <v>37.115675000000003</v>
      </c>
      <c r="BX112" s="115">
        <v>0.12989624972916172</v>
      </c>
      <c r="BZ112" s="11">
        <v>2008.3834999999999</v>
      </c>
      <c r="CA112" s="23">
        <v>0.22545289206804828</v>
      </c>
    </row>
    <row r="113" spans="74:79">
      <c r="BV113" s="21" t="s">
        <v>137</v>
      </c>
      <c r="BW113" s="299">
        <v>44</v>
      </c>
      <c r="BX113" s="115">
        <v>0.15127763813534401</v>
      </c>
      <c r="BZ113" s="11">
        <v>1952.3865000000001</v>
      </c>
      <c r="CA113" s="23">
        <v>0.21887805811443206</v>
      </c>
    </row>
    <row r="114" spans="74:79">
      <c r="BV114" s="21" t="s">
        <v>139</v>
      </c>
      <c r="BW114" s="300">
        <v>37.723300000000002</v>
      </c>
      <c r="BX114" s="142">
        <v>0.13405878425431814</v>
      </c>
      <c r="BY114" s="140"/>
      <c r="BZ114" s="195">
        <v>1875.0540000000001</v>
      </c>
      <c r="CA114" s="97">
        <v>0.21101218956991719</v>
      </c>
    </row>
    <row r="115" spans="74:79">
      <c r="BV115" s="53" t="s">
        <v>119</v>
      </c>
      <c r="BW115" s="301">
        <v>37.44256</v>
      </c>
      <c r="BX115" s="297">
        <v>0.12953205351452926</v>
      </c>
      <c r="BY115" s="298"/>
      <c r="BZ115" s="132">
        <v>1756.99</v>
      </c>
      <c r="CA115" s="297">
        <v>0.19899957575586033</v>
      </c>
    </row>
    <row r="116" spans="74:79">
      <c r="BV116" s="24" t="s">
        <v>572</v>
      </c>
    </row>
    <row r="117" spans="74:79">
      <c r="BV117" s="192" t="s">
        <v>573</v>
      </c>
    </row>
  </sheetData>
  <phoneticPr fontId="2" type="noConversion"/>
  <printOptions horizontalCentered="1"/>
  <pageMargins left="0.25" right="0.25" top="0.75" bottom="0.75" header="0.3" footer="0.3"/>
  <pageSetup scale="80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Z120"/>
  <sheetViews>
    <sheetView topLeftCell="FR1" zoomScaleNormal="100" workbookViewId="0">
      <selection activeCell="GI2" sqref="GI2"/>
    </sheetView>
  </sheetViews>
  <sheetFormatPr defaultColWidth="8.75" defaultRowHeight="15.75"/>
  <cols>
    <col min="1" max="1" width="28.75" style="104" customWidth="1"/>
    <col min="2" max="18" width="8.25" style="104" customWidth="1"/>
    <col min="19" max="19" width="1.5" style="104" customWidth="1"/>
    <col min="20" max="20" width="29.5" style="104" customWidth="1"/>
    <col min="21" max="21" width="7.125" style="104" customWidth="1"/>
    <col min="22" max="22" width="7" style="104" customWidth="1"/>
    <col min="23" max="24" width="6.5" style="104" customWidth="1"/>
    <col min="25" max="25" width="6.375" style="104" customWidth="1"/>
    <col min="26" max="26" width="6.5" style="104" customWidth="1"/>
    <col min="27" max="28" width="6.625" style="104" customWidth="1"/>
    <col min="29" max="29" width="6.375" style="104" customWidth="1"/>
    <col min="30" max="30" width="6.75" style="104" customWidth="1"/>
    <col min="31" max="31" width="6.375" style="104" customWidth="1"/>
    <col min="32" max="32" width="6.875" style="104" customWidth="1"/>
    <col min="33" max="37" width="6.5" style="104" customWidth="1"/>
    <col min="38" max="38" width="1.625" style="104" customWidth="1"/>
    <col min="39" max="39" width="25.375" style="104" bestFit="1" customWidth="1"/>
    <col min="40" max="40" width="6.75" style="104" customWidth="1"/>
    <col min="41" max="41" width="6.875" style="104" customWidth="1"/>
    <col min="42" max="42" width="6.5" style="104" customWidth="1"/>
    <col min="43" max="43" width="6.25" style="104" customWidth="1"/>
    <col min="44" max="45" width="6.625" style="104" customWidth="1"/>
    <col min="46" max="46" width="6.25" style="104" customWidth="1"/>
    <col min="47" max="47" width="6.375" style="104" customWidth="1"/>
    <col min="48" max="49" width="6.5" style="104" customWidth="1"/>
    <col min="50" max="50" width="6.375" style="104" customWidth="1"/>
    <col min="51" max="52" width="6.5" style="104" customWidth="1"/>
    <col min="53" max="56" width="6.625" style="104" customWidth="1"/>
    <col min="57" max="57" width="1.625" style="104" customWidth="1"/>
    <col min="58" max="58" width="20.5" style="104" customWidth="1"/>
    <col min="59" max="59" width="6.125" style="104" customWidth="1"/>
    <col min="60" max="60" width="7.625" style="104" customWidth="1"/>
    <col min="61" max="61" width="6" style="104" customWidth="1"/>
    <col min="62" max="62" width="7.75" style="104" customWidth="1"/>
    <col min="63" max="63" width="6.125" style="104" customWidth="1"/>
    <col min="64" max="64" width="7.625" style="104" customWidth="1"/>
    <col min="65" max="65" width="6" style="104" customWidth="1"/>
    <col min="66" max="66" width="7.5" style="104" customWidth="1"/>
    <col min="67" max="67" width="6.25" style="104" customWidth="1"/>
    <col min="68" max="68" width="7.75" style="104" customWidth="1"/>
    <col min="69" max="69" width="6.125" style="104" customWidth="1"/>
    <col min="70" max="70" width="7.75" style="104" bestFit="1" customWidth="1"/>
    <col min="71" max="71" width="6.125" style="104" customWidth="1"/>
    <col min="72" max="72" width="7.75" style="104" bestFit="1" customWidth="1"/>
    <col min="73" max="73" width="6.625" style="104" customWidth="1"/>
    <col min="74" max="74" width="7.75" style="104" bestFit="1" customWidth="1"/>
    <col min="75" max="75" width="6.5" style="104" customWidth="1"/>
    <col min="76" max="76" width="7.75" style="104" customWidth="1"/>
    <col min="77" max="77" width="6.875" style="104" customWidth="1"/>
    <col min="78" max="78" width="7.75" style="104" customWidth="1"/>
    <col min="79" max="79" width="6.375" style="104" customWidth="1"/>
    <col min="80" max="80" width="7.75" style="104" customWidth="1"/>
    <col min="81" max="81" width="6.25" style="104" customWidth="1"/>
    <col min="82" max="82" width="7.75" style="104" customWidth="1"/>
    <col min="83" max="83" width="6.75" style="104" customWidth="1"/>
    <col min="84" max="84" width="7.75" style="104" customWidth="1"/>
    <col min="85" max="85" width="6.875" style="104" customWidth="1"/>
    <col min="86" max="86" width="7.75" style="104" customWidth="1"/>
    <col min="87" max="87" width="6.375" style="104" customWidth="1"/>
    <col min="88" max="88" width="7.75" style="104" customWidth="1"/>
    <col min="89" max="89" width="7.75" style="111" customWidth="1"/>
    <col min="90" max="90" width="7.75" style="104" customWidth="1"/>
    <col min="91" max="91" width="1.75" style="232" customWidth="1"/>
    <col min="92" max="92" width="22.75" style="104" customWidth="1"/>
    <col min="93" max="93" width="8.875" style="104" customWidth="1"/>
    <col min="94" max="94" width="7.75" style="104" bestFit="1" customWidth="1"/>
    <col min="95" max="95" width="8.75" style="104" customWidth="1"/>
    <col min="96" max="96" width="7.75" style="104" bestFit="1" customWidth="1"/>
    <col min="97" max="97" width="8.75" style="104"/>
    <col min="98" max="98" width="7.75" style="104" bestFit="1" customWidth="1"/>
    <col min="99" max="99" width="8.75" style="104"/>
    <col min="100" max="100" width="7.75" style="104" bestFit="1" customWidth="1"/>
    <col min="101" max="101" width="8.75" style="104"/>
    <col min="102" max="102" width="7.75" style="104" bestFit="1" customWidth="1"/>
    <col min="103" max="103" width="8.75" style="104"/>
    <col min="104" max="104" width="7.75" style="104" bestFit="1" customWidth="1"/>
    <col min="105" max="105" width="8.5" style="104" customWidth="1"/>
    <col min="106" max="106" width="7.75" style="104" bestFit="1" customWidth="1"/>
    <col min="107" max="107" width="8.5" style="104" customWidth="1"/>
    <col min="108" max="108" width="7.75" style="104" bestFit="1" customWidth="1"/>
    <col min="109" max="109" width="8.25" style="104" customWidth="1"/>
    <col min="110" max="110" width="7.75" style="104" customWidth="1"/>
    <col min="111" max="111" width="8.25" style="104" customWidth="1"/>
    <col min="112" max="112" width="7.75" style="104" customWidth="1"/>
    <col min="113" max="113" width="8.25" style="104" customWidth="1"/>
    <col min="114" max="114" width="7.75" style="104" customWidth="1"/>
    <col min="115" max="115" width="8.125" style="104" customWidth="1"/>
    <col min="116" max="116" width="7.75" style="104" customWidth="1"/>
    <col min="117" max="117" width="8.25" style="104" customWidth="1"/>
    <col min="118" max="118" width="7.75" style="104" customWidth="1"/>
    <col min="119" max="119" width="8" style="104" customWidth="1"/>
    <col min="120" max="120" width="7.75" style="104" customWidth="1"/>
    <col min="121" max="121" width="8.25" style="104" customWidth="1"/>
    <col min="122" max="122" width="7.75" style="104" customWidth="1"/>
    <col min="123" max="123" width="7.75" style="111" customWidth="1"/>
    <col min="124" max="124" width="7.75" style="104" customWidth="1"/>
    <col min="125" max="125" width="1.625" style="104" customWidth="1"/>
    <col min="126" max="126" width="29.5" style="104" bestFit="1" customWidth="1"/>
    <col min="127" max="143" width="7.625" style="104" customWidth="1"/>
    <col min="144" max="144" width="1.625" style="104" customWidth="1"/>
    <col min="145" max="145" width="10.125" style="104" customWidth="1"/>
    <col min="146" max="146" width="8.875" style="104" customWidth="1"/>
    <col min="147" max="151" width="7.25" style="104" customWidth="1"/>
    <col min="152" max="152" width="1.625" style="104" customWidth="1"/>
    <col min="153" max="153" width="21.625" style="104" customWidth="1"/>
    <col min="154" max="170" width="7.625" style="104" customWidth="1"/>
    <col min="171" max="171" width="1.625" style="104" customWidth="1"/>
    <col min="172" max="172" width="28.75" style="104" customWidth="1"/>
    <col min="173" max="189" width="7.625" style="104" customWidth="1"/>
    <col min="190" max="190" width="1.75" style="104" customWidth="1"/>
    <col min="191" max="191" width="29.5" style="104" bestFit="1" customWidth="1"/>
    <col min="192" max="199" width="7.625" style="104" customWidth="1"/>
    <col min="200" max="207" width="8.75" style="104"/>
    <col min="208" max="208" width="9.375" style="2" bestFit="1" customWidth="1"/>
    <col min="209" max="16384" width="8.75" style="104"/>
  </cols>
  <sheetData>
    <row r="1" spans="1:208">
      <c r="A1" s="153" t="s">
        <v>570</v>
      </c>
      <c r="B1" s="15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153" t="s">
        <v>571</v>
      </c>
      <c r="U1" s="2"/>
      <c r="V1" s="2"/>
      <c r="W1" s="2"/>
      <c r="X1" s="2"/>
      <c r="Y1" s="2"/>
      <c r="Z1" s="2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M1" s="200" t="s">
        <v>442</v>
      </c>
      <c r="AN1" s="2"/>
      <c r="AO1" s="2"/>
      <c r="AP1" s="2"/>
      <c r="AQ1" s="2"/>
      <c r="AR1" s="2"/>
      <c r="AS1" s="2"/>
      <c r="BF1" s="286" t="s">
        <v>575</v>
      </c>
      <c r="BG1" s="153"/>
      <c r="BH1" s="153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118"/>
      <c r="CL1" s="2"/>
      <c r="CM1" s="233"/>
      <c r="CN1" s="288" t="s">
        <v>577</v>
      </c>
      <c r="CO1" s="2"/>
      <c r="CP1" s="2"/>
      <c r="CQ1" s="2"/>
      <c r="CR1" s="2"/>
      <c r="CS1" s="2"/>
      <c r="CT1" s="2"/>
      <c r="CU1" s="2"/>
      <c r="CV1" s="2"/>
      <c r="CW1" s="2"/>
      <c r="DV1" s="273" t="s">
        <v>593</v>
      </c>
      <c r="DW1" s="2"/>
      <c r="DX1" s="2"/>
      <c r="DY1" s="2"/>
      <c r="DZ1" s="2"/>
      <c r="EA1" s="2"/>
      <c r="EB1" s="2"/>
      <c r="EO1" s="153" t="s">
        <v>548</v>
      </c>
      <c r="EP1" s="2"/>
      <c r="EQ1" s="2"/>
      <c r="ER1" s="2"/>
      <c r="EW1" s="202" t="s">
        <v>549</v>
      </c>
      <c r="EX1" s="2"/>
      <c r="EY1" s="2"/>
      <c r="EZ1" s="2"/>
      <c r="FA1" s="2"/>
      <c r="FB1" s="2"/>
      <c r="FC1" s="2"/>
      <c r="FP1" s="153" t="s">
        <v>297</v>
      </c>
      <c r="FQ1" s="2"/>
      <c r="FR1" s="2"/>
      <c r="FS1" s="2"/>
      <c r="FT1" s="2"/>
      <c r="FU1" s="2"/>
      <c r="FV1" s="2"/>
      <c r="GI1" s="273" t="s">
        <v>581</v>
      </c>
      <c r="GJ1" s="64"/>
      <c r="GK1" s="64"/>
      <c r="GL1" s="64"/>
      <c r="GM1" s="64"/>
      <c r="GN1" s="64"/>
      <c r="GO1" s="64"/>
    </row>
    <row r="2" spans="1:208">
      <c r="A2" s="25" t="s">
        <v>438</v>
      </c>
      <c r="B2" s="25"/>
      <c r="C2" s="2"/>
      <c r="D2" s="2"/>
      <c r="E2" s="2"/>
      <c r="F2" s="2"/>
      <c r="G2" s="2"/>
      <c r="H2" s="181"/>
      <c r="I2" s="2"/>
      <c r="J2" s="2"/>
      <c r="K2" s="2"/>
      <c r="L2" s="2"/>
      <c r="M2" s="2"/>
      <c r="N2" s="2"/>
      <c r="O2" s="2"/>
      <c r="P2" s="2"/>
      <c r="Q2" s="2"/>
      <c r="R2" s="2"/>
      <c r="T2" s="25" t="s">
        <v>441</v>
      </c>
      <c r="U2" s="2"/>
      <c r="V2" s="2"/>
      <c r="W2" s="2"/>
      <c r="X2" s="2"/>
      <c r="Y2" s="2"/>
      <c r="Z2" s="2"/>
      <c r="AM2" s="200" t="s">
        <v>574</v>
      </c>
      <c r="AN2" s="2"/>
      <c r="AO2" s="2"/>
      <c r="AP2" s="2"/>
      <c r="AQ2" s="2"/>
      <c r="AR2" s="2"/>
      <c r="AS2" s="2"/>
      <c r="AT2" s="133"/>
      <c r="BF2" s="154" t="s">
        <v>576</v>
      </c>
      <c r="BG2" s="154"/>
      <c r="BH2" s="154"/>
      <c r="BI2" s="2"/>
      <c r="BJ2" s="2"/>
      <c r="BK2" s="2"/>
      <c r="BL2" s="2"/>
      <c r="BM2" s="181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18"/>
      <c r="CL2" s="2"/>
      <c r="CM2" s="233"/>
      <c r="CN2" s="184" t="s">
        <v>578</v>
      </c>
      <c r="CO2" s="2"/>
      <c r="CP2" s="2"/>
      <c r="CQ2" s="2"/>
      <c r="CR2" s="2"/>
      <c r="CS2" s="2"/>
      <c r="CT2" s="181"/>
      <c r="CU2" s="2"/>
      <c r="CV2" s="2"/>
      <c r="CW2" s="2"/>
      <c r="DV2" s="61"/>
      <c r="DW2" s="2"/>
      <c r="DX2" s="2"/>
      <c r="DY2" s="2"/>
      <c r="DZ2" s="2"/>
      <c r="EA2" s="2"/>
      <c r="EB2" s="2"/>
      <c r="ED2" s="133"/>
      <c r="EI2" s="2"/>
      <c r="EJ2" s="2"/>
      <c r="EO2" s="102" t="s">
        <v>280</v>
      </c>
      <c r="EP2" s="2"/>
      <c r="EQ2" s="2"/>
      <c r="ER2" s="2"/>
      <c r="EW2" s="101" t="s">
        <v>486</v>
      </c>
      <c r="EX2" s="2"/>
      <c r="EY2" s="2"/>
      <c r="EZ2" s="2"/>
      <c r="FA2" s="2"/>
      <c r="FB2" s="2"/>
      <c r="FC2" s="2"/>
      <c r="FD2" s="133"/>
      <c r="FP2" s="153" t="s">
        <v>580</v>
      </c>
      <c r="FQ2" s="2"/>
      <c r="FR2" s="2"/>
      <c r="FS2" s="2"/>
      <c r="FT2" s="2"/>
      <c r="FU2" s="181"/>
      <c r="FV2" s="2"/>
      <c r="GI2" s="64"/>
      <c r="GJ2" s="64"/>
      <c r="GK2" s="64"/>
      <c r="GL2" s="64"/>
      <c r="GM2" s="64"/>
      <c r="GN2" s="64"/>
      <c r="GO2" s="64"/>
      <c r="GQ2" s="133"/>
    </row>
    <row r="3" spans="1:208">
      <c r="A3" s="203" t="s">
        <v>92</v>
      </c>
      <c r="B3" s="127" t="s">
        <v>94</v>
      </c>
      <c r="C3" s="127" t="s">
        <v>146</v>
      </c>
      <c r="D3" s="127" t="s">
        <v>109</v>
      </c>
      <c r="E3" s="127" t="s">
        <v>170</v>
      </c>
      <c r="F3" s="127" t="s">
        <v>171</v>
      </c>
      <c r="G3" s="127" t="s">
        <v>381</v>
      </c>
      <c r="H3" s="127" t="s">
        <v>396</v>
      </c>
      <c r="I3" s="127" t="s">
        <v>418</v>
      </c>
      <c r="J3" s="127" t="s">
        <v>424</v>
      </c>
      <c r="K3" s="127" t="s">
        <v>430</v>
      </c>
      <c r="L3" s="127" t="s">
        <v>432</v>
      </c>
      <c r="M3" s="127" t="s">
        <v>436</v>
      </c>
      <c r="N3" s="127" t="s">
        <v>439</v>
      </c>
      <c r="O3" s="127" t="s">
        <v>485</v>
      </c>
      <c r="P3" s="127" t="s">
        <v>491</v>
      </c>
      <c r="Q3" s="127" t="s">
        <v>496</v>
      </c>
      <c r="R3" s="127" t="s">
        <v>567</v>
      </c>
      <c r="T3" s="203" t="s">
        <v>92</v>
      </c>
      <c r="U3" s="128" t="s">
        <v>94</v>
      </c>
      <c r="V3" s="128" t="s">
        <v>146</v>
      </c>
      <c r="W3" s="128" t="s">
        <v>109</v>
      </c>
      <c r="X3" s="128" t="s">
        <v>170</v>
      </c>
      <c r="Y3" s="128" t="s">
        <v>191</v>
      </c>
      <c r="Z3" s="128" t="s">
        <v>381</v>
      </c>
      <c r="AA3" s="128" t="s">
        <v>397</v>
      </c>
      <c r="AB3" s="128" t="s">
        <v>418</v>
      </c>
      <c r="AC3" s="127" t="s">
        <v>424</v>
      </c>
      <c r="AD3" s="127" t="s">
        <v>430</v>
      </c>
      <c r="AE3" s="127" t="s">
        <v>432</v>
      </c>
      <c r="AF3" s="127" t="s">
        <v>436</v>
      </c>
      <c r="AG3" s="127" t="s">
        <v>439</v>
      </c>
      <c r="AH3" s="127" t="s">
        <v>485</v>
      </c>
      <c r="AI3" s="128" t="s">
        <v>491</v>
      </c>
      <c r="AJ3" s="128" t="s">
        <v>496</v>
      </c>
      <c r="AK3" s="128" t="s">
        <v>567</v>
      </c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118"/>
      <c r="CL3" s="2"/>
      <c r="CM3" s="233"/>
      <c r="CO3" s="2"/>
      <c r="CP3" s="2"/>
      <c r="CQ3" s="2"/>
      <c r="CR3" s="2"/>
      <c r="CS3" s="2"/>
      <c r="CT3" s="2"/>
      <c r="CU3" s="2"/>
      <c r="CV3" s="2"/>
      <c r="CW3" s="2"/>
      <c r="DV3" s="204" t="s">
        <v>92</v>
      </c>
      <c r="DW3" s="137" t="s">
        <v>94</v>
      </c>
      <c r="DX3" s="137" t="s">
        <v>146</v>
      </c>
      <c r="DY3" s="137" t="s">
        <v>277</v>
      </c>
      <c r="DZ3" s="137" t="s">
        <v>279</v>
      </c>
      <c r="EA3" s="137" t="s">
        <v>382</v>
      </c>
      <c r="EB3" s="137" t="s">
        <v>394</v>
      </c>
      <c r="EC3" s="137" t="s">
        <v>396</v>
      </c>
      <c r="ED3" s="137" t="s">
        <v>422</v>
      </c>
      <c r="EE3" s="137" t="s">
        <v>429</v>
      </c>
      <c r="EF3" s="137" t="s">
        <v>430</v>
      </c>
      <c r="EG3" s="137" t="s">
        <v>432</v>
      </c>
      <c r="EH3" s="137" t="s">
        <v>436</v>
      </c>
      <c r="EI3" s="137" t="s">
        <v>439</v>
      </c>
      <c r="EJ3" s="137" t="s">
        <v>485</v>
      </c>
      <c r="EK3" s="137" t="s">
        <v>491</v>
      </c>
      <c r="EL3" s="291" t="s">
        <v>496</v>
      </c>
      <c r="EM3" s="291" t="s">
        <v>567</v>
      </c>
      <c r="EO3" s="29"/>
      <c r="EP3" s="4"/>
      <c r="EQ3" s="320" t="s">
        <v>530</v>
      </c>
      <c r="ER3" s="321"/>
      <c r="ES3" s="321"/>
      <c r="ET3" s="321"/>
      <c r="EU3" s="322"/>
      <c r="FP3" s="2"/>
      <c r="FQ3" s="2"/>
      <c r="FR3" s="2"/>
      <c r="FS3" s="2"/>
      <c r="FT3" s="2"/>
      <c r="FU3" s="2"/>
      <c r="FV3" s="2"/>
      <c r="GI3" s="205" t="s">
        <v>92</v>
      </c>
      <c r="GJ3" s="276" t="s">
        <v>94</v>
      </c>
      <c r="GK3" s="276" t="s">
        <v>146</v>
      </c>
      <c r="GL3" s="276" t="s">
        <v>277</v>
      </c>
      <c r="GM3" s="276" t="s">
        <v>278</v>
      </c>
      <c r="GN3" s="276" t="s">
        <v>382</v>
      </c>
      <c r="GO3" s="276" t="s">
        <v>381</v>
      </c>
      <c r="GP3" s="276" t="s">
        <v>397</v>
      </c>
      <c r="GQ3" s="128" t="s">
        <v>420</v>
      </c>
      <c r="GR3" s="128" t="s">
        <v>424</v>
      </c>
      <c r="GS3" s="128" t="s">
        <v>430</v>
      </c>
      <c r="GT3" s="128" t="s">
        <v>432</v>
      </c>
      <c r="GU3" s="128" t="s">
        <v>436</v>
      </c>
      <c r="GV3" s="128" t="s">
        <v>439</v>
      </c>
      <c r="GW3" s="128" t="s">
        <v>485</v>
      </c>
      <c r="GX3" s="128" t="s">
        <v>491</v>
      </c>
      <c r="GY3" s="128" t="s">
        <v>496</v>
      </c>
      <c r="GZ3" s="128" t="s">
        <v>567</v>
      </c>
    </row>
    <row r="4" spans="1:208">
      <c r="A4" s="2"/>
      <c r="B4" s="24"/>
      <c r="C4" s="24"/>
      <c r="T4" s="2"/>
      <c r="U4" s="24"/>
      <c r="V4" s="24"/>
      <c r="AG4" s="2"/>
      <c r="AH4" s="2"/>
      <c r="AI4" s="2"/>
      <c r="AJ4" s="2"/>
      <c r="AK4" s="2"/>
      <c r="AM4" s="206" t="s">
        <v>92</v>
      </c>
      <c r="AN4" s="137" t="s">
        <v>94</v>
      </c>
      <c r="AO4" s="137" t="s">
        <v>146</v>
      </c>
      <c r="AP4" s="128" t="s">
        <v>109</v>
      </c>
      <c r="AQ4" s="128" t="s">
        <v>170</v>
      </c>
      <c r="AR4" s="128" t="s">
        <v>208</v>
      </c>
      <c r="AS4" s="128" t="s">
        <v>381</v>
      </c>
      <c r="AT4" s="128" t="s">
        <v>397</v>
      </c>
      <c r="AU4" s="128" t="s">
        <v>418</v>
      </c>
      <c r="AV4" s="128" t="s">
        <v>429</v>
      </c>
      <c r="AW4" s="128" t="s">
        <v>430</v>
      </c>
      <c r="AX4" s="128" t="s">
        <v>432</v>
      </c>
      <c r="AY4" s="128" t="s">
        <v>436</v>
      </c>
      <c r="AZ4" s="128" t="s">
        <v>439</v>
      </c>
      <c r="BA4" s="128" t="s">
        <v>485</v>
      </c>
      <c r="BB4" s="128" t="s">
        <v>491</v>
      </c>
      <c r="BC4" s="128" t="s">
        <v>496</v>
      </c>
      <c r="BD4" s="128" t="s">
        <v>567</v>
      </c>
      <c r="BE4" s="207"/>
      <c r="BF4" s="85" t="s">
        <v>19</v>
      </c>
      <c r="BG4" s="135" t="s">
        <v>77</v>
      </c>
      <c r="BH4" s="135"/>
      <c r="BI4" s="135" t="s">
        <v>76</v>
      </c>
      <c r="BJ4" s="135"/>
      <c r="BK4" s="135" t="s">
        <v>78</v>
      </c>
      <c r="BL4" s="135"/>
      <c r="BM4" s="135" t="s">
        <v>90</v>
      </c>
      <c r="BN4" s="135"/>
      <c r="BO4" s="135" t="s">
        <v>79</v>
      </c>
      <c r="BP4" s="135"/>
      <c r="BQ4" s="135" t="s">
        <v>433</v>
      </c>
      <c r="BR4" s="135"/>
      <c r="BS4" s="135" t="s">
        <v>507</v>
      </c>
      <c r="BT4" s="135"/>
      <c r="BU4" s="135" t="s">
        <v>508</v>
      </c>
      <c r="BV4" s="135"/>
      <c r="BW4" s="135" t="s">
        <v>428</v>
      </c>
      <c r="BX4" s="135"/>
      <c r="BY4" s="135" t="s">
        <v>427</v>
      </c>
      <c r="BZ4" s="135"/>
      <c r="CA4" s="135" t="s">
        <v>431</v>
      </c>
      <c r="CB4" s="135"/>
      <c r="CC4" s="135" t="s">
        <v>435</v>
      </c>
      <c r="CD4" s="135"/>
      <c r="CE4" s="135" t="s">
        <v>437</v>
      </c>
      <c r="CF4" s="135"/>
      <c r="CG4" s="135" t="s">
        <v>482</v>
      </c>
      <c r="CH4" s="135"/>
      <c r="CI4" s="135" t="s">
        <v>490</v>
      </c>
      <c r="CJ4" s="135"/>
      <c r="CK4" s="135" t="s">
        <v>497</v>
      </c>
      <c r="CL4" s="135"/>
      <c r="CM4" s="236"/>
      <c r="CN4" s="166" t="s">
        <v>19</v>
      </c>
      <c r="CO4" s="131" t="s">
        <v>77</v>
      </c>
      <c r="CP4" s="131"/>
      <c r="CQ4" s="131" t="s">
        <v>76</v>
      </c>
      <c r="CR4" s="131"/>
      <c r="CS4" s="131" t="s">
        <v>78</v>
      </c>
      <c r="CT4" s="131"/>
      <c r="CU4" s="131" t="s">
        <v>90</v>
      </c>
      <c r="CV4" s="131"/>
      <c r="CW4" s="131" t="s">
        <v>79</v>
      </c>
      <c r="CX4" s="131"/>
      <c r="CY4" s="131" t="s">
        <v>377</v>
      </c>
      <c r="CZ4" s="131"/>
      <c r="DA4" s="131" t="s">
        <v>507</v>
      </c>
      <c r="DB4" s="131"/>
      <c r="DC4" s="131" t="s">
        <v>508</v>
      </c>
      <c r="DD4" s="131"/>
      <c r="DE4" s="131" t="s">
        <v>428</v>
      </c>
      <c r="DF4" s="131"/>
      <c r="DG4" s="131" t="s">
        <v>427</v>
      </c>
      <c r="DH4" s="131"/>
      <c r="DI4" s="131" t="s">
        <v>431</v>
      </c>
      <c r="DJ4" s="131"/>
      <c r="DK4" s="131" t="s">
        <v>435</v>
      </c>
      <c r="DL4" s="131"/>
      <c r="DM4" s="131" t="s">
        <v>437</v>
      </c>
      <c r="DN4" s="131"/>
      <c r="DO4" s="131" t="s">
        <v>482</v>
      </c>
      <c r="DP4" s="131"/>
      <c r="DQ4" s="131" t="s">
        <v>490</v>
      </c>
      <c r="DR4" s="131"/>
      <c r="DS4" s="267" t="s">
        <v>497</v>
      </c>
      <c r="DT4" s="131"/>
      <c r="DU4" s="104" t="s">
        <v>434</v>
      </c>
      <c r="DV4" s="62"/>
      <c r="DW4" s="64"/>
      <c r="EL4" s="133"/>
      <c r="EM4" s="133"/>
      <c r="EO4" s="208" t="s">
        <v>19</v>
      </c>
      <c r="EP4" s="109" t="s">
        <v>529</v>
      </c>
      <c r="EQ4" s="317" t="s">
        <v>158</v>
      </c>
      <c r="ER4" s="318"/>
      <c r="ES4" s="317" t="s">
        <v>531</v>
      </c>
      <c r="ET4" s="319"/>
      <c r="EU4" s="209" t="s">
        <v>163</v>
      </c>
      <c r="EW4" s="210" t="s">
        <v>92</v>
      </c>
      <c r="EX4" s="274" t="s">
        <v>93</v>
      </c>
      <c r="EY4" s="274" t="s">
        <v>94</v>
      </c>
      <c r="EZ4" s="274" t="s">
        <v>146</v>
      </c>
      <c r="FA4" s="274" t="s">
        <v>277</v>
      </c>
      <c r="FB4" s="274" t="s">
        <v>279</v>
      </c>
      <c r="FC4" s="274" t="s">
        <v>379</v>
      </c>
      <c r="FD4" s="128" t="s">
        <v>392</v>
      </c>
      <c r="FE4" s="128" t="s">
        <v>396</v>
      </c>
      <c r="FF4" s="128" t="s">
        <v>420</v>
      </c>
      <c r="FG4" s="128" t="s">
        <v>429</v>
      </c>
      <c r="FH4" s="128" t="s">
        <v>430</v>
      </c>
      <c r="FI4" s="128" t="s">
        <v>436</v>
      </c>
      <c r="FJ4" s="128" t="s">
        <v>439</v>
      </c>
      <c r="FK4" s="128" t="s">
        <v>485</v>
      </c>
      <c r="FL4" s="128" t="s">
        <v>491</v>
      </c>
      <c r="FM4" s="128" t="s">
        <v>496</v>
      </c>
      <c r="FN4" s="128" t="s">
        <v>567</v>
      </c>
      <c r="FP4" s="2"/>
      <c r="FQ4" s="2"/>
      <c r="FR4" s="2"/>
      <c r="FS4" s="2"/>
      <c r="FT4" s="2"/>
      <c r="FU4" s="2"/>
      <c r="FV4" s="2"/>
      <c r="GI4" s="66"/>
      <c r="GJ4" s="64"/>
      <c r="GK4" s="64"/>
    </row>
    <row r="5" spans="1:208">
      <c r="A5" s="153" t="s">
        <v>147</v>
      </c>
      <c r="B5" s="11">
        <v>8501.1095000000005</v>
      </c>
      <c r="C5" s="11">
        <v>8537.4334999999992</v>
      </c>
      <c r="D5" s="11">
        <v>8592</v>
      </c>
      <c r="E5" s="11">
        <v>8622</v>
      </c>
      <c r="F5" s="11">
        <v>8694.9645</v>
      </c>
      <c r="G5" s="11">
        <v>8692.6176500000001</v>
      </c>
      <c r="H5" s="11">
        <v>8608</v>
      </c>
      <c r="I5" s="11">
        <v>8540.0414999999994</v>
      </c>
      <c r="J5" s="11">
        <v>8602.0385000000006</v>
      </c>
      <c r="K5" s="11">
        <v>8675.6509999999998</v>
      </c>
      <c r="L5" s="11">
        <v>8661.7720000000008</v>
      </c>
      <c r="M5" s="11">
        <v>8688.5939999999991</v>
      </c>
      <c r="N5" s="11">
        <v>8787.2389999999996</v>
      </c>
      <c r="O5" s="11">
        <v>8894.2819999999992</v>
      </c>
      <c r="P5" s="11">
        <v>8940</v>
      </c>
      <c r="Q5" s="11">
        <f>8896560/1000</f>
        <v>8896.56</v>
      </c>
      <c r="R5" s="11">
        <f>'[2]Table 11'!$C$14/1000</f>
        <v>8937.4189999999999</v>
      </c>
      <c r="T5" s="153" t="s">
        <v>95</v>
      </c>
      <c r="U5" s="24"/>
      <c r="V5" s="24"/>
      <c r="AM5" s="211" t="s">
        <v>192</v>
      </c>
      <c r="AN5" s="27"/>
      <c r="AO5" s="27"/>
      <c r="BF5" s="21" t="s">
        <v>234</v>
      </c>
      <c r="BG5" s="21" t="s">
        <v>209</v>
      </c>
      <c r="BH5" s="21"/>
      <c r="BI5" s="21" t="s">
        <v>209</v>
      </c>
      <c r="BJ5" s="21"/>
      <c r="BK5" s="21" t="s">
        <v>209</v>
      </c>
      <c r="BL5" s="21"/>
      <c r="BM5" s="21" t="s">
        <v>209</v>
      </c>
      <c r="BN5" s="21"/>
      <c r="BO5" s="21" t="s">
        <v>209</v>
      </c>
      <c r="BP5" s="21"/>
      <c r="BQ5" s="21" t="s">
        <v>209</v>
      </c>
      <c r="BR5" s="21"/>
      <c r="BS5" s="21" t="s">
        <v>209</v>
      </c>
      <c r="BT5" s="21"/>
      <c r="BU5" s="196" t="s">
        <v>209</v>
      </c>
      <c r="BV5" s="196"/>
      <c r="BW5" s="21" t="s">
        <v>209</v>
      </c>
      <c r="BX5" s="21"/>
      <c r="BY5" s="21" t="s">
        <v>209</v>
      </c>
      <c r="BZ5" s="21"/>
      <c r="CA5" s="21" t="s">
        <v>209</v>
      </c>
      <c r="CB5" s="21"/>
      <c r="CC5" s="21" t="s">
        <v>209</v>
      </c>
      <c r="CD5" s="21"/>
      <c r="CE5" s="21" t="s">
        <v>209</v>
      </c>
      <c r="CF5" s="21"/>
      <c r="CG5" s="21" t="s">
        <v>209</v>
      </c>
      <c r="CH5" s="21"/>
      <c r="CI5" s="21" t="s">
        <v>209</v>
      </c>
      <c r="CJ5" s="21"/>
      <c r="CK5" s="117" t="s">
        <v>209</v>
      </c>
      <c r="CL5" s="21"/>
      <c r="CM5" s="237"/>
      <c r="CN5" s="45" t="s">
        <v>234</v>
      </c>
      <c r="CO5" s="45" t="s">
        <v>236</v>
      </c>
      <c r="CP5" s="42" t="s">
        <v>237</v>
      </c>
      <c r="CQ5" s="45" t="s">
        <v>236</v>
      </c>
      <c r="CR5" s="42" t="s">
        <v>237</v>
      </c>
      <c r="CS5" s="45" t="s">
        <v>236</v>
      </c>
      <c r="CT5" s="42" t="s">
        <v>237</v>
      </c>
      <c r="CU5" s="45" t="s">
        <v>236</v>
      </c>
      <c r="CV5" s="42" t="s">
        <v>237</v>
      </c>
      <c r="CW5" s="45" t="s">
        <v>236</v>
      </c>
      <c r="CX5" s="42" t="s">
        <v>237</v>
      </c>
      <c r="CY5" s="45" t="s">
        <v>236</v>
      </c>
      <c r="CZ5" s="42" t="s">
        <v>237</v>
      </c>
      <c r="DA5" s="45" t="s">
        <v>236</v>
      </c>
      <c r="DB5" s="42" t="s">
        <v>237</v>
      </c>
      <c r="DC5" s="45" t="s">
        <v>236</v>
      </c>
      <c r="DD5" s="42" t="s">
        <v>237</v>
      </c>
      <c r="DE5" s="45" t="s">
        <v>236</v>
      </c>
      <c r="DF5" s="42" t="s">
        <v>237</v>
      </c>
      <c r="DG5" s="45" t="s">
        <v>236</v>
      </c>
      <c r="DH5" s="42" t="s">
        <v>237</v>
      </c>
      <c r="DI5" s="45" t="s">
        <v>236</v>
      </c>
      <c r="DJ5" s="42" t="s">
        <v>237</v>
      </c>
      <c r="DK5" s="45" t="s">
        <v>236</v>
      </c>
      <c r="DL5" s="42" t="s">
        <v>237</v>
      </c>
      <c r="DM5" s="45" t="s">
        <v>236</v>
      </c>
      <c r="DN5" s="42" t="s">
        <v>237</v>
      </c>
      <c r="DO5" s="45" t="s">
        <v>236</v>
      </c>
      <c r="DP5" s="42" t="s">
        <v>237</v>
      </c>
      <c r="DQ5" s="45" t="s">
        <v>236</v>
      </c>
      <c r="DR5" s="42" t="s">
        <v>237</v>
      </c>
      <c r="DS5" s="117" t="s">
        <v>236</v>
      </c>
      <c r="DT5" s="42" t="s">
        <v>237</v>
      </c>
      <c r="DV5" s="201" t="s">
        <v>261</v>
      </c>
      <c r="DW5" s="11">
        <f>'T1-T6'!C54/1000</f>
        <v>2216.5</v>
      </c>
      <c r="DX5" s="11">
        <f>'T1-T6'!C51/1000</f>
        <v>2291.9</v>
      </c>
      <c r="DY5" s="11">
        <f>'T1-T6'!C48/1000</f>
        <v>2259</v>
      </c>
      <c r="DZ5" s="11">
        <f>'T1-T6'!C45/1000</f>
        <v>2243.5</v>
      </c>
      <c r="EA5" s="11">
        <f>'T1-T6'!C42/1000</f>
        <v>2268.1</v>
      </c>
      <c r="EB5" s="11">
        <f>'T1-T6'!C39/1000</f>
        <v>2296.1999999999998</v>
      </c>
      <c r="EC5" s="11">
        <f>'T1-T6'!C36/1000</f>
        <v>2246.4</v>
      </c>
      <c r="ED5" s="11">
        <f>'T1-T6'!C33/1000</f>
        <v>2188</v>
      </c>
      <c r="EE5" s="11">
        <f>'T1-T6'!C30/1000</f>
        <v>2232.4</v>
      </c>
      <c r="EF5" s="11">
        <f>'T1-T6'!C27/1000</f>
        <v>2217.6</v>
      </c>
      <c r="EG5" s="11">
        <f>'T1-T6'!C24/1000</f>
        <v>2175.6999999999998</v>
      </c>
      <c r="EH5" s="11">
        <f>'T1-T6'!C21/1000</f>
        <v>2220.3000000000002</v>
      </c>
      <c r="EI5" s="11">
        <f>'T1-T6'!C18/1000</f>
        <v>2217.6</v>
      </c>
      <c r="EJ5" s="11">
        <f>'T1-T6'!C15/1000</f>
        <v>2234.1999999999998</v>
      </c>
      <c r="EK5" s="11">
        <f>'T1-T6'!C12/1000</f>
        <v>2304.0479999999998</v>
      </c>
      <c r="EL5" s="139">
        <f>'T1-T6'!C9/1000</f>
        <v>2314.1473799999999</v>
      </c>
      <c r="EM5" s="139">
        <f>'T1-T6'!C6/1000</f>
        <v>2280.6879100000001</v>
      </c>
      <c r="EO5" s="212" t="s">
        <v>24</v>
      </c>
      <c r="EP5" s="54" t="s">
        <v>25</v>
      </c>
      <c r="EQ5" s="197" t="s">
        <v>323</v>
      </c>
      <c r="ER5" s="53" t="s">
        <v>324</v>
      </c>
      <c r="ES5" s="199" t="s">
        <v>326</v>
      </c>
      <c r="ET5" s="198" t="s">
        <v>327</v>
      </c>
      <c r="EU5" s="198" t="s">
        <v>532</v>
      </c>
      <c r="EW5" s="69"/>
      <c r="EX5" s="71"/>
      <c r="EY5" s="71"/>
      <c r="FP5" s="203" t="s">
        <v>92</v>
      </c>
      <c r="FQ5" s="128" t="s">
        <v>305</v>
      </c>
      <c r="FR5" s="128" t="s">
        <v>306</v>
      </c>
      <c r="FS5" s="128" t="s">
        <v>307</v>
      </c>
      <c r="FT5" s="128" t="s">
        <v>298</v>
      </c>
      <c r="FU5" s="128" t="s">
        <v>304</v>
      </c>
      <c r="FV5" s="128" t="s">
        <v>392</v>
      </c>
      <c r="FW5" s="128" t="s">
        <v>412</v>
      </c>
      <c r="FX5" s="128" t="s">
        <v>420</v>
      </c>
      <c r="FY5" s="128" t="s">
        <v>424</v>
      </c>
      <c r="FZ5" s="128" t="s">
        <v>430</v>
      </c>
      <c r="GA5" s="128" t="s">
        <v>432</v>
      </c>
      <c r="GB5" s="128" t="s">
        <v>436</v>
      </c>
      <c r="GC5" s="128" t="s">
        <v>439</v>
      </c>
      <c r="GD5" s="128" t="s">
        <v>485</v>
      </c>
      <c r="GE5" s="128" t="s">
        <v>491</v>
      </c>
      <c r="GF5" s="128" t="s">
        <v>496</v>
      </c>
      <c r="GG5" s="128" t="s">
        <v>567</v>
      </c>
      <c r="GH5" s="207"/>
      <c r="GI5" s="201" t="s">
        <v>261</v>
      </c>
      <c r="GJ5" s="11">
        <f>DW5</f>
        <v>2216.5</v>
      </c>
      <c r="GK5" s="11">
        <f t="shared" ref="GK5:GZ5" si="0">DX5</f>
        <v>2291.9</v>
      </c>
      <c r="GL5" s="11">
        <f t="shared" si="0"/>
        <v>2259</v>
      </c>
      <c r="GM5" s="11">
        <f t="shared" si="0"/>
        <v>2243.5</v>
      </c>
      <c r="GN5" s="11">
        <f t="shared" si="0"/>
        <v>2268.1</v>
      </c>
      <c r="GO5" s="11">
        <f t="shared" si="0"/>
        <v>2296.1999999999998</v>
      </c>
      <c r="GP5" s="11">
        <f t="shared" si="0"/>
        <v>2246.4</v>
      </c>
      <c r="GQ5" s="11">
        <f t="shared" si="0"/>
        <v>2188</v>
      </c>
      <c r="GR5" s="11">
        <f t="shared" si="0"/>
        <v>2232.4</v>
      </c>
      <c r="GS5" s="11">
        <f t="shared" si="0"/>
        <v>2217.6</v>
      </c>
      <c r="GT5" s="11">
        <f t="shared" si="0"/>
        <v>2175.6999999999998</v>
      </c>
      <c r="GU5" s="11">
        <f t="shared" si="0"/>
        <v>2220.3000000000002</v>
      </c>
      <c r="GV5" s="11">
        <f t="shared" si="0"/>
        <v>2217.6</v>
      </c>
      <c r="GW5" s="11">
        <f t="shared" si="0"/>
        <v>2234.1999999999998</v>
      </c>
      <c r="GX5" s="11">
        <f t="shared" si="0"/>
        <v>2304.0479999999998</v>
      </c>
      <c r="GY5" s="11">
        <f t="shared" si="0"/>
        <v>2314.1473799999999</v>
      </c>
      <c r="GZ5" s="11">
        <f t="shared" si="0"/>
        <v>2280.6879100000001</v>
      </c>
    </row>
    <row r="6" spans="1:208">
      <c r="A6" s="24"/>
      <c r="B6" s="24"/>
      <c r="C6" s="24"/>
      <c r="T6" s="25" t="s">
        <v>172</v>
      </c>
      <c r="U6" s="11">
        <f>'T1-T6'!C54/1000</f>
        <v>2216.5</v>
      </c>
      <c r="V6" s="11">
        <f>'T1-T6'!C51/1000</f>
        <v>2291.9</v>
      </c>
      <c r="W6" s="11">
        <f>'T1-T6'!C48/1000</f>
        <v>2259</v>
      </c>
      <c r="X6" s="11">
        <f>'T1-T6'!C45/1000</f>
        <v>2243.5</v>
      </c>
      <c r="Y6" s="11">
        <f>'T1-T6'!C42/1000</f>
        <v>2268.1</v>
      </c>
      <c r="Z6" s="11">
        <f>'T1-T6'!C39/1000</f>
        <v>2296.1999999999998</v>
      </c>
      <c r="AA6" s="11">
        <f>'T1-T6'!C36/1000</f>
        <v>2246.4</v>
      </c>
      <c r="AB6" s="11">
        <f>'T1-T6'!C33/1000</f>
        <v>2188</v>
      </c>
      <c r="AC6" s="11">
        <f>'T1-T6'!C30/1000</f>
        <v>2232.4</v>
      </c>
      <c r="AD6" s="11">
        <f>'T1-T6'!C27/1000</f>
        <v>2217.6</v>
      </c>
      <c r="AE6" s="11">
        <f>'T1-T6'!C24/1000</f>
        <v>2175.6999999999998</v>
      </c>
      <c r="AF6" s="11">
        <f>'T1-T6'!C21/1000</f>
        <v>2220.3000000000002</v>
      </c>
      <c r="AG6" s="11">
        <f>'T1-T6'!C18/1000</f>
        <v>2217.6</v>
      </c>
      <c r="AH6" s="11">
        <f>'T1-T6'!C15/1000</f>
        <v>2234.1999999999998</v>
      </c>
      <c r="AI6" s="11">
        <f>'T1-T6'!C12/1000</f>
        <v>2304.0479999999998</v>
      </c>
      <c r="AJ6" s="11">
        <f>'T1-T6'!C9/1000</f>
        <v>2314.1473799999999</v>
      </c>
      <c r="AK6" s="11">
        <f>'[2]Table 12'!$C$11/1000</f>
        <v>2280.6880000000001</v>
      </c>
      <c r="AM6" s="200" t="s">
        <v>193</v>
      </c>
      <c r="AN6" s="55">
        <v>6673.7939749999996</v>
      </c>
      <c r="AO6" s="55">
        <v>6859.6428649999998</v>
      </c>
      <c r="AP6" s="55">
        <v>6804</v>
      </c>
      <c r="AQ6" s="55">
        <v>6837</v>
      </c>
      <c r="AR6" s="55">
        <v>6920.9</v>
      </c>
      <c r="AS6" s="55">
        <v>6959.6</v>
      </c>
      <c r="AT6" s="55">
        <v>6912.1</v>
      </c>
      <c r="AU6" s="55">
        <v>6862.7</v>
      </c>
      <c r="AV6" s="55">
        <v>6930.6</v>
      </c>
      <c r="AW6" s="55">
        <v>7012.4</v>
      </c>
      <c r="AX6" s="55">
        <v>7006.9</v>
      </c>
      <c r="AY6" s="55">
        <v>7034.5</v>
      </c>
      <c r="AZ6" s="55">
        <v>7129.0683999999992</v>
      </c>
      <c r="BA6" s="55">
        <v>7235.2250000000004</v>
      </c>
      <c r="BB6" s="55">
        <v>7288</v>
      </c>
      <c r="BC6" s="55">
        <f>7258075/1000</f>
        <v>7258.0749999999998</v>
      </c>
      <c r="BD6" s="55">
        <f>'[2]Table 3 &amp; 13'!$D$19/1000</f>
        <v>7297.625</v>
      </c>
      <c r="BG6" s="21" t="s">
        <v>210</v>
      </c>
      <c r="BH6" s="213" t="s">
        <v>211</v>
      </c>
      <c r="BI6" s="21" t="s">
        <v>210</v>
      </c>
      <c r="BJ6" s="213" t="s">
        <v>211</v>
      </c>
      <c r="BK6" s="21" t="s">
        <v>210</v>
      </c>
      <c r="BL6" s="213" t="s">
        <v>211</v>
      </c>
      <c r="BM6" s="21" t="s">
        <v>210</v>
      </c>
      <c r="BN6" s="213" t="s">
        <v>211</v>
      </c>
      <c r="BO6" s="21" t="s">
        <v>210</v>
      </c>
      <c r="BP6" s="213" t="s">
        <v>211</v>
      </c>
      <c r="BQ6" s="21" t="s">
        <v>210</v>
      </c>
      <c r="BR6" s="213" t="s">
        <v>211</v>
      </c>
      <c r="BS6" s="21" t="s">
        <v>210</v>
      </c>
      <c r="BT6" s="213" t="s">
        <v>211</v>
      </c>
      <c r="BU6" s="21" t="s">
        <v>210</v>
      </c>
      <c r="BV6" s="213" t="s">
        <v>211</v>
      </c>
      <c r="BW6" s="21" t="s">
        <v>210</v>
      </c>
      <c r="BX6" s="213" t="s">
        <v>211</v>
      </c>
      <c r="BY6" s="21" t="s">
        <v>210</v>
      </c>
      <c r="BZ6" s="213" t="s">
        <v>211</v>
      </c>
      <c r="CA6" s="21" t="s">
        <v>210</v>
      </c>
      <c r="CB6" s="213" t="s">
        <v>211</v>
      </c>
      <c r="CC6" s="21" t="s">
        <v>210</v>
      </c>
      <c r="CD6" s="213" t="s">
        <v>211</v>
      </c>
      <c r="CE6" s="21" t="s">
        <v>210</v>
      </c>
      <c r="CF6" s="213" t="s">
        <v>211</v>
      </c>
      <c r="CG6" s="21" t="s">
        <v>210</v>
      </c>
      <c r="CH6" s="213" t="s">
        <v>211</v>
      </c>
      <c r="CI6" s="21" t="s">
        <v>210</v>
      </c>
      <c r="CJ6" s="213" t="s">
        <v>211</v>
      </c>
      <c r="CK6" s="117" t="s">
        <v>210</v>
      </c>
      <c r="CL6" s="213" t="s">
        <v>211</v>
      </c>
      <c r="CM6" s="237"/>
      <c r="CN6" s="92" t="s">
        <v>260</v>
      </c>
      <c r="CO6" s="92" t="s">
        <v>25</v>
      </c>
      <c r="CP6" s="174" t="s">
        <v>238</v>
      </c>
      <c r="CQ6" s="92" t="s">
        <v>25</v>
      </c>
      <c r="CR6" s="174" t="s">
        <v>238</v>
      </c>
      <c r="CS6" s="92" t="s">
        <v>25</v>
      </c>
      <c r="CT6" s="174" t="s">
        <v>238</v>
      </c>
      <c r="CU6" s="92" t="s">
        <v>25</v>
      </c>
      <c r="CV6" s="174" t="s">
        <v>238</v>
      </c>
      <c r="CW6" s="92" t="s">
        <v>25</v>
      </c>
      <c r="CX6" s="174" t="s">
        <v>238</v>
      </c>
      <c r="CY6" s="92" t="s">
        <v>25</v>
      </c>
      <c r="CZ6" s="174" t="s">
        <v>238</v>
      </c>
      <c r="DA6" s="92" t="s">
        <v>25</v>
      </c>
      <c r="DB6" s="174" t="s">
        <v>238</v>
      </c>
      <c r="DC6" s="92" t="s">
        <v>25</v>
      </c>
      <c r="DD6" s="174" t="s">
        <v>238</v>
      </c>
      <c r="DE6" s="92" t="s">
        <v>25</v>
      </c>
      <c r="DF6" s="174" t="s">
        <v>238</v>
      </c>
      <c r="DG6" s="92" t="s">
        <v>25</v>
      </c>
      <c r="DH6" s="174" t="s">
        <v>238</v>
      </c>
      <c r="DI6" s="92" t="s">
        <v>25</v>
      </c>
      <c r="DJ6" s="174" t="s">
        <v>238</v>
      </c>
      <c r="DK6" s="92" t="s">
        <v>25</v>
      </c>
      <c r="DL6" s="174" t="s">
        <v>238</v>
      </c>
      <c r="DM6" s="92" t="s">
        <v>25</v>
      </c>
      <c r="DN6" s="174" t="s">
        <v>238</v>
      </c>
      <c r="DO6" s="92" t="s">
        <v>25</v>
      </c>
      <c r="DP6" s="174" t="s">
        <v>238</v>
      </c>
      <c r="DQ6" s="92" t="s">
        <v>25</v>
      </c>
      <c r="DR6" s="174" t="s">
        <v>238</v>
      </c>
      <c r="DS6" s="270" t="s">
        <v>25</v>
      </c>
      <c r="DT6" s="174" t="s">
        <v>238</v>
      </c>
      <c r="DV6" s="64" t="s">
        <v>262</v>
      </c>
      <c r="DW6" s="65">
        <f t="shared" ref="DW6:EM6" si="1">SUM(DW7:DW10)</f>
        <v>1.0001773103934772</v>
      </c>
      <c r="DX6" s="65">
        <f t="shared" si="1"/>
        <v>1.0000000567218192</v>
      </c>
      <c r="DY6" s="65">
        <f t="shared" si="1"/>
        <v>1.0000000309875121</v>
      </c>
      <c r="DZ6" s="65">
        <f t="shared" si="1"/>
        <v>1.0000000757761145</v>
      </c>
      <c r="EA6" s="65">
        <f t="shared" si="1"/>
        <v>1</v>
      </c>
      <c r="EB6" s="65">
        <f t="shared" si="1"/>
        <v>1</v>
      </c>
      <c r="EC6" s="65">
        <f t="shared" si="1"/>
        <v>1</v>
      </c>
      <c r="ED6" s="65">
        <f t="shared" si="1"/>
        <v>1</v>
      </c>
      <c r="EE6" s="65">
        <f t="shared" si="1"/>
        <v>1</v>
      </c>
      <c r="EF6" s="65">
        <f t="shared" si="1"/>
        <v>1</v>
      </c>
      <c r="EG6" s="65">
        <f t="shared" si="1"/>
        <v>0.99999996552881798</v>
      </c>
      <c r="EH6" s="65">
        <f t="shared" si="1"/>
        <v>1.0000001711472721</v>
      </c>
      <c r="EI6" s="65">
        <f t="shared" si="1"/>
        <v>1.0000002660484721</v>
      </c>
      <c r="EJ6" s="65">
        <f t="shared" si="1"/>
        <v>0.99999997762104553</v>
      </c>
      <c r="EK6" s="65">
        <f t="shared" si="1"/>
        <v>1.0003</v>
      </c>
      <c r="EL6" s="290">
        <f t="shared" si="1"/>
        <v>0.99990000000000001</v>
      </c>
      <c r="EM6" s="290">
        <f t="shared" si="1"/>
        <v>0.99979999999999991</v>
      </c>
      <c r="EO6" s="155" t="s">
        <v>281</v>
      </c>
      <c r="EP6" s="11">
        <v>785.78905000000009</v>
      </c>
      <c r="EQ6" s="11">
        <v>305.42259999999999</v>
      </c>
      <c r="ER6" s="11">
        <v>480.36642499999999</v>
      </c>
      <c r="ES6" s="11">
        <v>625.80330000000004</v>
      </c>
      <c r="ET6" s="11">
        <v>133.61860499999997</v>
      </c>
      <c r="EU6" s="195">
        <v>328.40014000000002</v>
      </c>
      <c r="EW6" s="202" t="s">
        <v>282</v>
      </c>
      <c r="EX6" s="70">
        <v>8388.3305</v>
      </c>
      <c r="EY6" s="70">
        <v>8537.4334999999992</v>
      </c>
      <c r="EZ6" s="70">
        <v>8592</v>
      </c>
      <c r="FA6" s="11">
        <v>8621.8086000000003</v>
      </c>
      <c r="FB6" s="11">
        <v>8694.9647650000006</v>
      </c>
      <c r="FC6" s="11">
        <v>8692.6172899999983</v>
      </c>
      <c r="FD6" s="11">
        <v>8607.8491999999987</v>
      </c>
      <c r="FE6" s="11">
        <v>8540.0414999999994</v>
      </c>
      <c r="FF6" s="11">
        <v>8602.0385000000006</v>
      </c>
      <c r="FG6" s="11">
        <v>8675.6509999999998</v>
      </c>
      <c r="FH6" s="11">
        <v>8661.7720000000008</v>
      </c>
      <c r="FI6" s="11">
        <v>8688.5939999999991</v>
      </c>
      <c r="FJ6" s="11">
        <v>8787.2396600000011</v>
      </c>
      <c r="FK6" s="11">
        <v>8894.2819999999992</v>
      </c>
      <c r="FL6" s="11">
        <f>8940457/1000</f>
        <v>8940.4570000000003</v>
      </c>
      <c r="FM6" s="11">
        <f>8896560/1000</f>
        <v>8896.56</v>
      </c>
      <c r="FN6" s="11">
        <f>'[2]Table S2'!$C$49/1000</f>
        <v>8937.4189999999999</v>
      </c>
      <c r="FP6" s="2"/>
      <c r="FQ6" s="24"/>
      <c r="FR6" s="24"/>
      <c r="FS6" s="24"/>
      <c r="GI6" s="25" t="s">
        <v>185</v>
      </c>
      <c r="GJ6" s="23">
        <v>0.52935599808106115</v>
      </c>
      <c r="GK6" s="23">
        <v>0.52972205348631052</v>
      </c>
      <c r="GL6" s="23">
        <v>0.52015766817526554</v>
      </c>
      <c r="GM6" s="23">
        <v>0.50758317686365928</v>
      </c>
      <c r="GN6" s="23">
        <v>0.50135057455947074</v>
      </c>
      <c r="GO6" s="23">
        <v>0.51171236885643201</v>
      </c>
      <c r="GP6" s="23">
        <v>0.52114047011150388</v>
      </c>
      <c r="GQ6" s="23">
        <v>0.52933165565294737</v>
      </c>
      <c r="GR6" s="23">
        <v>0.53817659660365846</v>
      </c>
      <c r="GS6" s="23">
        <v>0.54923617089291921</v>
      </c>
      <c r="GT6" s="23">
        <v>0.55297241050135093</v>
      </c>
      <c r="GU6" s="23">
        <v>0.55863059263464687</v>
      </c>
      <c r="GV6" s="23">
        <v>0.55569731577390313</v>
      </c>
      <c r="GW6" s="23">
        <v>0.56104562979301265</v>
      </c>
      <c r="GX6" s="23">
        <v>0.57536799999999999</v>
      </c>
      <c r="GY6" s="23">
        <v>0.57938999999999996</v>
      </c>
      <c r="GZ6" s="116">
        <f>'[2]Table S4'!F26</f>
        <v>0.58587159444869275</v>
      </c>
    </row>
    <row r="7" spans="1:208">
      <c r="A7" s="186" t="s">
        <v>148</v>
      </c>
      <c r="B7" s="189"/>
      <c r="C7" s="189"/>
      <c r="T7" s="25" t="s">
        <v>173</v>
      </c>
      <c r="U7" s="22">
        <v>3.189620779757254</v>
      </c>
      <c r="V7" s="22">
        <v>3.1457373401837163</v>
      </c>
      <c r="W7" s="22">
        <v>3.1524450709869454</v>
      </c>
      <c r="X7" s="22">
        <v>3.197271198977385</v>
      </c>
      <c r="Y7" s="22">
        <v>3.2142274623549598</v>
      </c>
      <c r="Z7" s="22">
        <v>3.1954678264752614</v>
      </c>
      <c r="AA7" s="22">
        <v>3.6791658205558555</v>
      </c>
      <c r="AB7" s="22">
        <v>3.2664986096483295</v>
      </c>
      <c r="AC7" s="22">
        <v>3.2492899656125847</v>
      </c>
      <c r="AD7" s="22">
        <v>3.292228446363461</v>
      </c>
      <c r="AE7" s="22">
        <v>3.3290700042318111</v>
      </c>
      <c r="AF7" s="22">
        <v>3.2913199057789226</v>
      </c>
      <c r="AG7" s="22">
        <v>3.3422874126154771</v>
      </c>
      <c r="AH7" s="22">
        <v>3.3633850764599358</v>
      </c>
      <c r="AI7" s="22">
        <v>3.2784328</v>
      </c>
      <c r="AJ7" s="22">
        <v>3.2377180000000001</v>
      </c>
      <c r="AK7" s="22">
        <f>'[2]Table 12'!$D$33</f>
        <v>3.2966158457447929</v>
      </c>
      <c r="AM7" s="27" t="s">
        <v>194</v>
      </c>
      <c r="AN7" s="56">
        <v>1</v>
      </c>
      <c r="AO7" s="56">
        <v>1</v>
      </c>
      <c r="AP7" s="56">
        <v>1</v>
      </c>
      <c r="AQ7" s="309">
        <v>1</v>
      </c>
      <c r="AR7" s="56">
        <v>1</v>
      </c>
      <c r="AS7" s="56">
        <v>1</v>
      </c>
      <c r="AT7" s="309">
        <v>1</v>
      </c>
      <c r="AU7" s="56">
        <v>1</v>
      </c>
      <c r="AV7" s="56">
        <v>1</v>
      </c>
      <c r="AW7" s="56">
        <v>1</v>
      </c>
      <c r="AX7" s="56">
        <v>1</v>
      </c>
      <c r="AY7" s="56">
        <v>1</v>
      </c>
      <c r="AZ7" s="56">
        <v>1</v>
      </c>
      <c r="BA7" s="56">
        <v>1</v>
      </c>
      <c r="BB7" s="56">
        <f>SUM(BB8:BB13)</f>
        <v>1.000461</v>
      </c>
      <c r="BC7" s="56">
        <f>SUM(BC8:BC13)</f>
        <v>1.0000010000000001</v>
      </c>
      <c r="BD7" s="56">
        <f>SUM(BD8:BD13)</f>
        <v>1.0000000000000002</v>
      </c>
      <c r="BF7" s="53" t="s">
        <v>235</v>
      </c>
      <c r="BG7" s="53" t="s">
        <v>212</v>
      </c>
      <c r="BH7" s="53" t="s">
        <v>213</v>
      </c>
      <c r="BI7" s="53" t="s">
        <v>212</v>
      </c>
      <c r="BJ7" s="53" t="s">
        <v>213</v>
      </c>
      <c r="BK7" s="53" t="s">
        <v>212</v>
      </c>
      <c r="BL7" s="53" t="s">
        <v>213</v>
      </c>
      <c r="BM7" s="53" t="s">
        <v>212</v>
      </c>
      <c r="BN7" s="53" t="s">
        <v>213</v>
      </c>
      <c r="BO7" s="53" t="s">
        <v>212</v>
      </c>
      <c r="BP7" s="53" t="s">
        <v>213</v>
      </c>
      <c r="BQ7" s="53" t="s">
        <v>212</v>
      </c>
      <c r="BR7" s="53" t="s">
        <v>213</v>
      </c>
      <c r="BS7" s="53" t="s">
        <v>212</v>
      </c>
      <c r="BT7" s="53" t="s">
        <v>213</v>
      </c>
      <c r="BU7" s="53" t="s">
        <v>212</v>
      </c>
      <c r="BV7" s="53" t="s">
        <v>213</v>
      </c>
      <c r="BW7" s="53" t="s">
        <v>212</v>
      </c>
      <c r="BX7" s="53" t="s">
        <v>213</v>
      </c>
      <c r="BY7" s="53" t="s">
        <v>212</v>
      </c>
      <c r="BZ7" s="53" t="s">
        <v>213</v>
      </c>
      <c r="CA7" s="53" t="s">
        <v>212</v>
      </c>
      <c r="CB7" s="53" t="s">
        <v>213</v>
      </c>
      <c r="CC7" s="53" t="s">
        <v>212</v>
      </c>
      <c r="CD7" s="53" t="s">
        <v>213</v>
      </c>
      <c r="CE7" s="53" t="s">
        <v>212</v>
      </c>
      <c r="CF7" s="53" t="s">
        <v>213</v>
      </c>
      <c r="CG7" s="53" t="s">
        <v>212</v>
      </c>
      <c r="CH7" s="53" t="s">
        <v>213</v>
      </c>
      <c r="CI7" s="53" t="s">
        <v>212</v>
      </c>
      <c r="CJ7" s="53" t="s">
        <v>213</v>
      </c>
      <c r="CK7" s="270" t="s">
        <v>212</v>
      </c>
      <c r="CL7" s="53" t="s">
        <v>213</v>
      </c>
      <c r="CM7" s="237"/>
      <c r="CN7" s="43"/>
      <c r="CO7" s="25"/>
      <c r="CQ7" s="25"/>
      <c r="DV7" s="64" t="s">
        <v>263</v>
      </c>
      <c r="DW7" s="65">
        <v>5.9200519007569466E-2</v>
      </c>
      <c r="DX7" s="65">
        <v>6.1734326343314487E-2</v>
      </c>
      <c r="DY7" s="65">
        <v>6.4008137320717876E-2</v>
      </c>
      <c r="DZ7" s="65">
        <v>6.4544088549293027E-2</v>
      </c>
      <c r="EA7" s="65">
        <v>5.7820528816815556E-2</v>
      </c>
      <c r="EB7" s="65">
        <v>6.1150613299061927E-2</v>
      </c>
      <c r="EC7" s="65">
        <v>6.6157020185790935E-2</v>
      </c>
      <c r="ED7" s="65">
        <v>6.5556082078983849E-2</v>
      </c>
      <c r="EE7" s="65">
        <v>7.1004132711939699E-2</v>
      </c>
      <c r="EF7" s="65">
        <v>7.7108125691258758E-2</v>
      </c>
      <c r="EG7" s="65">
        <v>8.6034922400509029E-2</v>
      </c>
      <c r="EH7" s="65">
        <v>8.4050065081002212E-2</v>
      </c>
      <c r="EI7" s="65">
        <v>7.8702098310772572E-2</v>
      </c>
      <c r="EJ7" s="65">
        <v>8.4093352465847482E-2</v>
      </c>
      <c r="EK7" s="65">
        <v>8.3599999999999994E-2</v>
      </c>
      <c r="EL7" s="290">
        <v>7.3200000000000001E-2</v>
      </c>
      <c r="EM7" s="292">
        <f>'T7-T10'!BT8</f>
        <v>6.54E-2</v>
      </c>
      <c r="EO7" s="155" t="s">
        <v>108</v>
      </c>
      <c r="EP7" s="11">
        <v>789.73205000000007</v>
      </c>
      <c r="EQ7" s="11">
        <v>318.61595</v>
      </c>
      <c r="ER7" s="11">
        <v>471.11607499999997</v>
      </c>
      <c r="ES7" s="11">
        <v>612.28769999999997</v>
      </c>
      <c r="ET7" s="11">
        <v>149.27985999999999</v>
      </c>
      <c r="EU7" s="195">
        <v>336.47395</v>
      </c>
      <c r="EW7" s="71" t="s">
        <v>283</v>
      </c>
      <c r="EX7" s="72">
        <v>8.1962954368571914E-2</v>
      </c>
      <c r="EY7" s="72">
        <v>8.1888643700709363E-2</v>
      </c>
      <c r="EZ7" s="72">
        <v>8.4159411624241662E-2</v>
      </c>
      <c r="FA7" s="72">
        <v>8.3964674186805782E-2</v>
      </c>
      <c r="FB7" s="72">
        <v>7.1739527459834265E-2</v>
      </c>
      <c r="FC7" s="72">
        <v>8.0383952460881911E-2</v>
      </c>
      <c r="FD7" s="72">
        <v>8.8370030924798268E-2</v>
      </c>
      <c r="FE7" s="72">
        <v>9.0526804817049181E-2</v>
      </c>
      <c r="FF7" s="72">
        <v>9.4310345158301723E-2</v>
      </c>
      <c r="FG7" s="72">
        <v>0.10176889895640108</v>
      </c>
      <c r="FH7" s="72">
        <v>0.11183454955868152</v>
      </c>
      <c r="FI7" s="72">
        <v>0.10454897535780817</v>
      </c>
      <c r="FJ7" s="72">
        <v>0.10302355859496382</v>
      </c>
      <c r="FK7" s="72">
        <v>0.11278280810075507</v>
      </c>
      <c r="FL7" s="72">
        <v>0.113215</v>
      </c>
      <c r="FM7" s="72">
        <v>0.104139</v>
      </c>
      <c r="FN7" s="72">
        <f>'[2]Table S2'!$J$52</f>
        <v>9.1378282701079588E-2</v>
      </c>
      <c r="FP7" s="25" t="s">
        <v>500</v>
      </c>
      <c r="FQ7" s="11">
        <v>3501.2249999999999</v>
      </c>
      <c r="FR7" s="11">
        <v>3571.5884999999998</v>
      </c>
      <c r="FS7" s="11">
        <v>3536.8539999999998</v>
      </c>
      <c r="FT7" s="11">
        <v>3540.44</v>
      </c>
      <c r="FU7" s="11">
        <v>3562.1325000000002</v>
      </c>
      <c r="FV7" s="11">
        <v>3579</v>
      </c>
      <c r="FW7" s="11">
        <v>3579.8829999999998</v>
      </c>
      <c r="FX7" s="11">
        <v>3579.5830000000001</v>
      </c>
      <c r="FY7" s="11">
        <v>3598.7060000000001</v>
      </c>
      <c r="FZ7" s="11">
        <v>3608.6880000000001</v>
      </c>
      <c r="GA7" s="11">
        <v>3645.3175000000001</v>
      </c>
      <c r="GB7" s="11">
        <v>3686.2069999999999</v>
      </c>
      <c r="GC7" s="11">
        <v>3699.3980000000001</v>
      </c>
      <c r="GD7" s="11">
        <v>3727.326</v>
      </c>
      <c r="GE7" s="11">
        <v>3754</v>
      </c>
      <c r="GF7" s="11">
        <f>3751663/1000</f>
        <v>3751.663</v>
      </c>
      <c r="GG7" s="11">
        <f>'[2]Table S3'!$D$12/1000</f>
        <v>3750.31</v>
      </c>
      <c r="GI7" s="25" t="s">
        <v>186</v>
      </c>
      <c r="GJ7" s="23">
        <v>0.18384643725767524</v>
      </c>
      <c r="GK7" s="23">
        <v>0.20258598154202481</v>
      </c>
      <c r="GL7" s="23">
        <v>0.20891897995594091</v>
      </c>
      <c r="GM7" s="23">
        <v>0.20454091127146784</v>
      </c>
      <c r="GN7" s="23">
        <v>0.21029280130892278</v>
      </c>
      <c r="GO7" s="23">
        <v>0.2123006972694092</v>
      </c>
      <c r="GP7" s="23">
        <v>0.21129318390179591</v>
      </c>
      <c r="GQ7" s="23">
        <v>0.19548962748781604</v>
      </c>
      <c r="GR7" s="23">
        <v>0.18728556204145552</v>
      </c>
      <c r="GS7" s="23">
        <v>0.19834466461826214</v>
      </c>
      <c r="GT7" s="23">
        <v>0.2048828517769542</v>
      </c>
      <c r="GU7" s="23">
        <v>0.1966307091363686</v>
      </c>
      <c r="GV7" s="23">
        <v>0.20523091282615513</v>
      </c>
      <c r="GW7" s="23">
        <v>0.20330478077128616</v>
      </c>
      <c r="GX7" s="23">
        <v>0.18309700000000001</v>
      </c>
      <c r="GY7" s="23">
        <v>0.18157699999999999</v>
      </c>
      <c r="GZ7" s="116">
        <f>'[2]Table S4'!$G$26</f>
        <v>0.17570911716113732</v>
      </c>
    </row>
    <row r="8" spans="1:208">
      <c r="A8" s="25" t="s">
        <v>149</v>
      </c>
      <c r="B8" s="23">
        <v>0.37226593775788913</v>
      </c>
      <c r="C8" s="23">
        <v>0.38014029626116563</v>
      </c>
      <c r="D8" s="23">
        <v>0.37459515336902405</v>
      </c>
      <c r="E8" s="23">
        <v>0.372677959618333</v>
      </c>
      <c r="F8" s="23">
        <v>0.36666710945168324</v>
      </c>
      <c r="G8" s="23">
        <v>0.36543060190850574</v>
      </c>
      <c r="H8" s="23">
        <v>0.37333774605006881</v>
      </c>
      <c r="I8" s="23">
        <v>0.3750775098692436</v>
      </c>
      <c r="J8" s="23">
        <v>0.37193009540703637</v>
      </c>
      <c r="K8" s="23">
        <v>0.36924831346950215</v>
      </c>
      <c r="L8" s="23">
        <v>0.36805990737230204</v>
      </c>
      <c r="M8" s="23">
        <v>0.37213892144114458</v>
      </c>
      <c r="N8" s="23">
        <v>0.37487486114808077</v>
      </c>
      <c r="O8" s="23">
        <v>0.37261388833859777</v>
      </c>
      <c r="P8" s="23">
        <v>0.376</v>
      </c>
      <c r="Q8" s="23">
        <v>0.38439200000000001</v>
      </c>
      <c r="R8" s="23">
        <f>'[2]Table 11'!$E$8</f>
        <v>0.37885713985212061</v>
      </c>
      <c r="T8" s="24"/>
      <c r="U8" s="25"/>
      <c r="V8" s="25"/>
      <c r="AH8" s="133"/>
      <c r="AI8" s="133"/>
      <c r="AJ8" s="133"/>
      <c r="AK8" s="133"/>
      <c r="AM8" s="27" t="s">
        <v>195</v>
      </c>
      <c r="AN8" s="56">
        <v>0.53011300817088824</v>
      </c>
      <c r="AO8" s="56">
        <v>0.53070867851951942</v>
      </c>
      <c r="AP8" s="56">
        <v>0.52084093100486895</v>
      </c>
      <c r="AQ8" s="56">
        <v>0.5183744897974385</v>
      </c>
      <c r="AR8" s="56">
        <v>0.51447066133017383</v>
      </c>
      <c r="AS8" s="56">
        <v>0.51939951453670208</v>
      </c>
      <c r="AT8" s="56">
        <v>0.51257938976577311</v>
      </c>
      <c r="AU8" s="56">
        <v>0.49849184723213896</v>
      </c>
      <c r="AV8" s="56">
        <v>0.49549822526188209</v>
      </c>
      <c r="AW8" s="56">
        <v>0.48335593982430897</v>
      </c>
      <c r="AX8" s="56">
        <v>0.46733040114703711</v>
      </c>
      <c r="AY8" s="56">
        <v>0.47299404152735613</v>
      </c>
      <c r="AZ8" s="56">
        <v>0.48767353669940944</v>
      </c>
      <c r="BA8" s="56">
        <v>0.48664362365068581</v>
      </c>
      <c r="BB8" s="56">
        <v>0.49199999999999999</v>
      </c>
      <c r="BC8" s="56">
        <v>0.50396200000000002</v>
      </c>
      <c r="BD8" s="56">
        <f>'[2]Table 3 &amp; 13'!$I$8</f>
        <v>0.50684788367775668</v>
      </c>
      <c r="BF8" s="2"/>
      <c r="CM8" s="234"/>
      <c r="CN8" s="158" t="s">
        <v>112</v>
      </c>
      <c r="CO8" s="11">
        <f>'T1-T6'!B51/1000</f>
        <v>3245.4</v>
      </c>
      <c r="CP8" s="49">
        <f>'T1-T6'!AU44</f>
        <v>74174.499742013082</v>
      </c>
      <c r="CQ8" s="11">
        <f>'T1-T6'!B48/1000</f>
        <v>3218.4</v>
      </c>
      <c r="CR8" s="49">
        <f>'T1-T6'!AU43</f>
        <v>75301.072501514107</v>
      </c>
      <c r="CS8" s="11">
        <f>'T1-T6'!B45/1000</f>
        <v>3213.2</v>
      </c>
      <c r="CT8" s="49">
        <f>'T1-T6'!AU42</f>
        <v>73614.900776894152</v>
      </c>
      <c r="CU8" s="11">
        <f>'T1-T6'!B42/1000</f>
        <v>3188.2</v>
      </c>
      <c r="CV8" s="49">
        <f>'T1-T6'!AU41</f>
        <v>75809.752227153804</v>
      </c>
      <c r="CW8" s="11">
        <f>'T1-T6'!B39/1000</f>
        <v>3176.5</v>
      </c>
      <c r="CX8" s="49">
        <f>'T1-T6'!AU40</f>
        <v>80689.361121264461</v>
      </c>
      <c r="CY8" s="11">
        <f>'T1-T6'!B36/1000</f>
        <v>3213.6</v>
      </c>
      <c r="CZ8" s="49">
        <f>'T1-T6'!AU39</f>
        <v>76261.71452623044</v>
      </c>
      <c r="DA8" s="11">
        <f>'T1-T6'!B33/1000</f>
        <v>3203.2</v>
      </c>
      <c r="DB8" s="49">
        <f>'T1-T6'!AU38</f>
        <v>72197.579542150459</v>
      </c>
      <c r="DC8" s="11">
        <f>'T1-T6'!B30/1000</f>
        <v>3199.4</v>
      </c>
      <c r="DD8" s="49">
        <f>'T1-T6'!AU37</f>
        <v>73431.879403117622</v>
      </c>
      <c r="DE8" s="11">
        <f>'T1-T6'!B27/1000</f>
        <v>3203.4695000000002</v>
      </c>
      <c r="DF8" s="49">
        <f>'T1-T6'!AU36</f>
        <v>71809.110350796778</v>
      </c>
      <c r="DG8" s="11">
        <f>'T1-T6'!B24/1000</f>
        <v>3188.1</v>
      </c>
      <c r="DH8" s="49">
        <f>'T1-T6'!AU35</f>
        <v>68622.136496054969</v>
      </c>
      <c r="DI8" s="11">
        <f>'T1-T6'!B21/1000</f>
        <v>3233.4</v>
      </c>
      <c r="DJ8" s="49">
        <f>'T1-T6'!AU34</f>
        <v>68700.587731315551</v>
      </c>
      <c r="DK8" s="11">
        <f>'T1-T6'!B18/1000</f>
        <v>3294.1</v>
      </c>
      <c r="DL8" s="49">
        <f>'T1-T6'!AU33</f>
        <v>67376.123921841208</v>
      </c>
      <c r="DM8" s="11">
        <f>'T1-T6'!B15/1000</f>
        <v>3314.1</v>
      </c>
      <c r="DN8" s="49">
        <f>'T1-T6'!AU32</f>
        <v>65691.590641251416</v>
      </c>
      <c r="DO8" s="11">
        <f>'T1-T6'!B12/1000</f>
        <v>3363.2190000000001</v>
      </c>
      <c r="DP8" s="49">
        <f>'T1-T6'!AU31</f>
        <v>67317.601007229561</v>
      </c>
      <c r="DQ8" s="118">
        <f>'T1-T6'!B9/1000</f>
        <v>3419.4506900000001</v>
      </c>
      <c r="DR8" s="49">
        <f>'T1-T6'!AU30</f>
        <v>67387.356730917323</v>
      </c>
      <c r="DS8" s="118">
        <f>'T1-T6'!B6/1000</f>
        <v>3386.0050000000001</v>
      </c>
      <c r="DT8" s="49">
        <f>'T1-T6'!AU29</f>
        <v>68849.235528743971</v>
      </c>
      <c r="DV8" s="64" t="s">
        <v>264</v>
      </c>
      <c r="DW8" s="65">
        <v>2.6633303194371363E-2</v>
      </c>
      <c r="DX8" s="65">
        <v>2.4741935357196931E-2</v>
      </c>
      <c r="DY8" s="65">
        <v>2.4051787658514959E-2</v>
      </c>
      <c r="DZ8" s="65">
        <v>2.2103010050141498E-2</v>
      </c>
      <c r="EA8" s="65">
        <v>2.2823652085950216E-2</v>
      </c>
      <c r="EB8" s="65">
        <v>2.3683761635110427E-2</v>
      </c>
      <c r="EC8" s="65">
        <v>3.1351634773514325E-2</v>
      </c>
      <c r="ED8" s="65">
        <v>3.3653231355286112E-2</v>
      </c>
      <c r="EE8" s="65">
        <v>3.1529827121635552E-2</v>
      </c>
      <c r="EF8" s="65">
        <v>3.1739526320280959E-2</v>
      </c>
      <c r="EG8" s="65">
        <v>3.0779646970468342E-2</v>
      </c>
      <c r="EH8" s="65">
        <v>3.1618517234079928E-2</v>
      </c>
      <c r="EI8" s="65">
        <v>3.2109674198844626E-2</v>
      </c>
      <c r="EJ8" s="65">
        <v>2.8402469383352384E-2</v>
      </c>
      <c r="EK8" s="65">
        <v>2.52E-2</v>
      </c>
      <c r="EL8" s="290">
        <v>2.69E-2</v>
      </c>
      <c r="EM8" s="292">
        <f>'[2]Table 9-10-14-16'!$K$14</f>
        <v>2.9100000000000001E-2</v>
      </c>
      <c r="EO8" s="155" t="s">
        <v>109</v>
      </c>
      <c r="EP8" s="11">
        <v>800</v>
      </c>
      <c r="EQ8" s="11">
        <v>322</v>
      </c>
      <c r="ER8" s="11">
        <v>478</v>
      </c>
      <c r="ES8" s="11">
        <v>634</v>
      </c>
      <c r="ET8" s="11">
        <v>135</v>
      </c>
      <c r="EU8" s="195">
        <v>343</v>
      </c>
      <c r="EW8" s="68"/>
      <c r="FP8" s="2"/>
      <c r="FQ8" s="24"/>
      <c r="GH8" s="11"/>
      <c r="GI8" s="25" t="s">
        <v>187</v>
      </c>
      <c r="GJ8" s="23">
        <v>0.19608742039640065</v>
      </c>
      <c r="GK8" s="23">
        <v>0.18588021764940432</v>
      </c>
      <c r="GL8" s="23">
        <v>0.18553483014403815</v>
      </c>
      <c r="GM8" s="23">
        <v>0.19931850669354972</v>
      </c>
      <c r="GN8" s="23">
        <v>0.1992892155828587</v>
      </c>
      <c r="GO8" s="23">
        <v>0.19202428924116483</v>
      </c>
      <c r="GP8" s="23">
        <v>0.18650789955326788</v>
      </c>
      <c r="GQ8" s="23">
        <v>0.18312206137139311</v>
      </c>
      <c r="GR8" s="23">
        <v>0.18044520115330639</v>
      </c>
      <c r="GS8" s="23">
        <v>0.17321414885757247</v>
      </c>
      <c r="GT8" s="23">
        <v>0.17627111240358145</v>
      </c>
      <c r="GU8" s="23">
        <v>0.17268498210319036</v>
      </c>
      <c r="GV8" s="23">
        <v>0.1636052565089389</v>
      </c>
      <c r="GW8" s="23">
        <v>0.16544356878082139</v>
      </c>
      <c r="GX8" s="23">
        <v>0.165663</v>
      </c>
      <c r="GY8" s="23">
        <v>0.16616600000000001</v>
      </c>
      <c r="GZ8" s="116">
        <f>'[2]Table S4'!$H$26</f>
        <v>0.167549022487951</v>
      </c>
    </row>
    <row r="9" spans="1:208">
      <c r="A9" s="25" t="s">
        <v>150</v>
      </c>
      <c r="B9" s="23">
        <v>0.26069404822982223</v>
      </c>
      <c r="C9" s="23">
        <v>0.26845147900712785</v>
      </c>
      <c r="D9" s="23">
        <v>0.26262365815670846</v>
      </c>
      <c r="E9" s="23">
        <v>0.26056260122223773</v>
      </c>
      <c r="F9" s="23">
        <v>0.25946544692620649</v>
      </c>
      <c r="G9" s="23">
        <v>0.26339589433109373</v>
      </c>
      <c r="H9" s="23">
        <v>0.26097392169099526</v>
      </c>
      <c r="I9" s="23">
        <v>0.25620727955478906</v>
      </c>
      <c r="J9" s="23">
        <v>0.25952039159090023</v>
      </c>
      <c r="K9" s="23">
        <v>0.25561748622668201</v>
      </c>
      <c r="L9" s="23">
        <v>0.25075597596375837</v>
      </c>
      <c r="M9" s="23">
        <v>0.2553955219912451</v>
      </c>
      <c r="N9" s="23">
        <v>0.25237073897728285</v>
      </c>
      <c r="O9" s="23">
        <v>0.25119981579176376</v>
      </c>
      <c r="P9" s="23">
        <v>0.25800000000000001</v>
      </c>
      <c r="Q9" s="23">
        <v>0.26006000000000001</v>
      </c>
      <c r="R9" s="23">
        <f>'[2]Table 11'!$E$19</f>
        <v>0.25518418684409894</v>
      </c>
      <c r="T9" s="186" t="s">
        <v>174</v>
      </c>
      <c r="U9" s="25"/>
      <c r="V9" s="25"/>
      <c r="AM9" s="27" t="s">
        <v>196</v>
      </c>
      <c r="AN9" s="56">
        <v>1.9326795295624932E-2</v>
      </c>
      <c r="AO9" s="56">
        <v>2.0241602621684007E-2</v>
      </c>
      <c r="AP9" s="56">
        <v>1.7447943102369048E-2</v>
      </c>
      <c r="AQ9" s="56">
        <v>1.8160025336014355E-2</v>
      </c>
      <c r="AR9" s="56">
        <v>1.8379112543166352E-2</v>
      </c>
      <c r="AS9" s="56">
        <v>1.6143139769569652E-2</v>
      </c>
      <c r="AT9" s="56">
        <v>1.4423981134532197E-2</v>
      </c>
      <c r="AU9" s="56">
        <v>1.4673524997449984E-2</v>
      </c>
      <c r="AV9" s="56">
        <v>1.3173462615069402E-2</v>
      </c>
      <c r="AW9" s="56">
        <v>1.4439218201159338E-2</v>
      </c>
      <c r="AX9" s="56">
        <v>1.9597411027328995E-2</v>
      </c>
      <c r="AY9" s="56">
        <v>2.0091985955245958E-2</v>
      </c>
      <c r="AZ9" s="56">
        <v>1.6358450144762254E-2</v>
      </c>
      <c r="BA9" s="56">
        <v>1.5054299411903409E-2</v>
      </c>
      <c r="BB9" s="56">
        <v>1.7000000000000001E-2</v>
      </c>
      <c r="BC9" s="56">
        <v>1.8613000000000001E-2</v>
      </c>
      <c r="BD9" s="56">
        <f>'[2]Table 3 &amp; 13'!$I$10</f>
        <v>1.842218012883429E-2</v>
      </c>
      <c r="BF9" s="153" t="s">
        <v>95</v>
      </c>
      <c r="BG9" s="11">
        <f>'T1-T6'!C51/1000</f>
        <v>2291.9</v>
      </c>
      <c r="BH9" s="49">
        <f>'T7-T10'!B9</f>
        <v>91778.148563966854</v>
      </c>
      <c r="BI9" s="11">
        <f>'T1-T6'!C48/1000</f>
        <v>2259</v>
      </c>
      <c r="BJ9" s="49">
        <f>'T7-T10'!C9</f>
        <v>93447.090623525903</v>
      </c>
      <c r="BK9" s="11">
        <f>'T1-T6'!C45/1000</f>
        <v>2243.5</v>
      </c>
      <c r="BL9" s="49">
        <f>'T7-T10'!D9</f>
        <v>93564.434733482543</v>
      </c>
      <c r="BM9" s="11">
        <f>'T1-T6'!C42/1000</f>
        <v>2268.1</v>
      </c>
      <c r="BN9" s="49">
        <f>'T7-T10'!E9</f>
        <v>95878.826159990887</v>
      </c>
      <c r="BO9" s="11">
        <f>'T1-T6'!C39/1000</f>
        <v>2296.1999999999998</v>
      </c>
      <c r="BP9" s="49">
        <f>'T7-T10'!F9</f>
        <v>98473.546434899094</v>
      </c>
      <c r="BQ9" s="11">
        <f>'T1-T6'!C36/1000</f>
        <v>2246.4</v>
      </c>
      <c r="BR9" s="49">
        <f>'T7-T10'!G9</f>
        <v>95945.212375720876</v>
      </c>
      <c r="BS9" s="11">
        <f>'T1-T6'!C33/1000</f>
        <v>2188</v>
      </c>
      <c r="BT9" s="49">
        <f>'T7-T10'!H9</f>
        <v>94360.920391729887</v>
      </c>
      <c r="BU9" s="11">
        <f>'T1-T6'!C30/1000</f>
        <v>2232.4</v>
      </c>
      <c r="BV9" s="49">
        <f>'T7-T10'!I9</f>
        <v>91689.497800978046</v>
      </c>
      <c r="BW9" s="11">
        <f>'T1-T6'!C27/1000</f>
        <v>2217.6</v>
      </c>
      <c r="BX9" s="49">
        <f>'T7-T10'!J9</f>
        <v>87412.140988697065</v>
      </c>
      <c r="BY9" s="11">
        <f>'T1-T6'!C24/1000</f>
        <v>2175.6999999999998</v>
      </c>
      <c r="BZ9" s="49">
        <f>'T7-T10'!K9</f>
        <v>86269.896598271676</v>
      </c>
      <c r="CA9" s="11">
        <f>'T1-T6'!C21/1000</f>
        <v>2220.3000000000002</v>
      </c>
      <c r="CB9" s="49">
        <f>'T7-T10'!L9</f>
        <v>86034.244150838334</v>
      </c>
      <c r="CC9" s="11">
        <f>'T1-T6'!C18/1000</f>
        <v>2217.6</v>
      </c>
      <c r="CD9" s="49">
        <f>'T7-T10'!M9</f>
        <v>85425.380316543451</v>
      </c>
      <c r="CE9" s="11">
        <f>'T1-T6'!C15/1000</f>
        <v>2234.1999999999998</v>
      </c>
      <c r="CF9" s="49">
        <f>'T7-T10'!N9</f>
        <v>84655.690302300733</v>
      </c>
      <c r="CG9" s="11">
        <f>'T1-T6'!C12/1000</f>
        <v>2304.0479999999998</v>
      </c>
      <c r="CH9" s="49">
        <f>'T7-T10'!O9</f>
        <v>88471.11491837044</v>
      </c>
      <c r="CI9" s="11">
        <f>'T1-T6'!C9/1000</f>
        <v>2314.1473799999999</v>
      </c>
      <c r="CJ9" s="49">
        <f>'T7-T10'!P9</f>
        <v>91562.757908514614</v>
      </c>
      <c r="CK9" s="118">
        <f>'T1-T6'!C6/1000</f>
        <v>2280.6879100000001</v>
      </c>
      <c r="CL9" s="49">
        <f>'T7-T10'!Q9</f>
        <v>89367.914351206273</v>
      </c>
      <c r="CM9" s="235"/>
      <c r="CN9" s="43"/>
      <c r="CS9" s="25"/>
      <c r="DV9" s="64" t="s">
        <v>265</v>
      </c>
      <c r="DW9" s="65">
        <v>3.2478260474854581E-2</v>
      </c>
      <c r="DX9" s="65">
        <v>3.1485980766067435E-2</v>
      </c>
      <c r="DY9" s="65">
        <v>2.7653231588050241E-2</v>
      </c>
      <c r="DZ9" s="65">
        <v>2.4919933620123642E-2</v>
      </c>
      <c r="EA9" s="65">
        <v>2.2376846599243827E-2</v>
      </c>
      <c r="EB9" s="65">
        <v>2.3314127364175718E-2</v>
      </c>
      <c r="EC9" s="65">
        <v>2.2128121969788805E-2</v>
      </c>
      <c r="ED9" s="65">
        <v>2.4720351892013624E-2</v>
      </c>
      <c r="EE9" s="65">
        <v>2.4839487371322414E-2</v>
      </c>
      <c r="EF9" s="65">
        <v>2.4924802659754539E-2</v>
      </c>
      <c r="EG9" s="65">
        <v>2.5521247417209344E-2</v>
      </c>
      <c r="EH9" s="65">
        <v>3.0948052299003295E-2</v>
      </c>
      <c r="EI9" s="65">
        <v>3.0553123792354128E-2</v>
      </c>
      <c r="EJ9" s="65">
        <v>2.5896057812895827E-2</v>
      </c>
      <c r="EK9" s="65">
        <v>2.7699999999999999E-2</v>
      </c>
      <c r="EL9" s="290">
        <v>3.0700000000000002E-2</v>
      </c>
      <c r="EM9" s="292">
        <f>'[2]Table 9-10-14-16'!$K$18</f>
        <v>3.3699999999999994E-2</v>
      </c>
      <c r="EO9" s="155" t="s">
        <v>170</v>
      </c>
      <c r="EP9" s="11">
        <v>830.21540000000005</v>
      </c>
      <c r="EQ9" s="11">
        <v>321.83911499999999</v>
      </c>
      <c r="ER9" s="11">
        <v>508.37630999999999</v>
      </c>
      <c r="ES9" s="11">
        <v>672.84870000000001</v>
      </c>
      <c r="ET9" s="11">
        <v>125.46948</v>
      </c>
      <c r="EU9" s="195">
        <v>365.85101500000002</v>
      </c>
      <c r="EW9" s="214" t="s">
        <v>284</v>
      </c>
      <c r="FP9" s="25" t="s">
        <v>299</v>
      </c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I9" s="25" t="s">
        <v>188</v>
      </c>
      <c r="GJ9" s="23">
        <v>7.1505462584856141E-2</v>
      </c>
      <c r="GK9" s="23">
        <v>6.4402091776072284E-2</v>
      </c>
      <c r="GL9" s="23">
        <v>6.7979315198845661E-2</v>
      </c>
      <c r="GM9" s="23">
        <v>7.238642965199106E-2</v>
      </c>
      <c r="GN9" s="23">
        <v>7.4716125078224213E-2</v>
      </c>
      <c r="GO9" s="23">
        <v>6.6869656216698312E-2</v>
      </c>
      <c r="GP9" s="23">
        <v>6.329401900664812E-2</v>
      </c>
      <c r="GQ9" s="23">
        <v>7.105402162378649E-2</v>
      </c>
      <c r="GR9" s="23">
        <v>7.1115201230734143E-2</v>
      </c>
      <c r="GS9" s="23">
        <v>6.2027126236109224E-2</v>
      </c>
      <c r="GT9" s="23">
        <v>5.2372383205227267E-2</v>
      </c>
      <c r="GU9" s="23">
        <v>5.4222976066723924E-2</v>
      </c>
      <c r="GV9" s="23">
        <v>5.5460286922940472E-2</v>
      </c>
      <c r="GW9" s="23">
        <v>5.5452894091150375E-2</v>
      </c>
      <c r="GX9" s="23">
        <v>6.1081999999999997E-2</v>
      </c>
      <c r="GY9" s="23">
        <v>5.4011999999999998E-2</v>
      </c>
      <c r="GZ9" s="116">
        <f>'[2]Table S4'!$I$26</f>
        <v>4.978634298071459E-2</v>
      </c>
    </row>
    <row r="10" spans="1:208">
      <c r="A10" s="25" t="s">
        <v>151</v>
      </c>
      <c r="B10" s="23">
        <v>0.1115718895280669</v>
      </c>
      <c r="C10" s="23">
        <v>0.11168881725403777</v>
      </c>
      <c r="D10" s="23">
        <v>0.11197149521231559</v>
      </c>
      <c r="E10" s="23">
        <v>0.11340188082349545</v>
      </c>
      <c r="F10" s="23">
        <v>0.10720166252547667</v>
      </c>
      <c r="G10" s="23">
        <v>0.10203470757741198</v>
      </c>
      <c r="H10" s="23">
        <v>0.11236382435907351</v>
      </c>
      <c r="I10" s="23">
        <v>0.11887023031445457</v>
      </c>
      <c r="J10" s="23">
        <v>0.11240970381613614</v>
      </c>
      <c r="K10" s="23">
        <v>0.11363082724282017</v>
      </c>
      <c r="L10" s="23">
        <v>0.11688797602095675</v>
      </c>
      <c r="M10" s="23">
        <v>0.11674339944989949</v>
      </c>
      <c r="N10" s="23">
        <v>0.12250412217079791</v>
      </c>
      <c r="O10" s="23">
        <v>0.12141407254683402</v>
      </c>
      <c r="P10" s="23">
        <v>0.11899999999999999</v>
      </c>
      <c r="Q10" s="23">
        <v>0.124332</v>
      </c>
      <c r="R10" s="23">
        <f>'[2]Table 11'!$E$20</f>
        <v>0.12367295300802167</v>
      </c>
      <c r="T10" s="25" t="s">
        <v>175</v>
      </c>
      <c r="U10" s="23">
        <v>1</v>
      </c>
      <c r="V10" s="23">
        <v>1</v>
      </c>
      <c r="W10" s="23">
        <v>1</v>
      </c>
      <c r="X10" s="23">
        <v>1</v>
      </c>
      <c r="Y10" s="23">
        <v>1</v>
      </c>
      <c r="Z10" s="23">
        <v>1</v>
      </c>
      <c r="AA10" s="23">
        <v>1</v>
      </c>
      <c r="AB10" s="23">
        <v>1</v>
      </c>
      <c r="AC10" s="23">
        <v>1</v>
      </c>
      <c r="AD10" s="23">
        <v>1</v>
      </c>
      <c r="AE10" s="23">
        <v>1</v>
      </c>
      <c r="AF10" s="23">
        <v>1</v>
      </c>
      <c r="AG10" s="23">
        <v>1</v>
      </c>
      <c r="AH10" s="23">
        <v>1</v>
      </c>
      <c r="AI10" s="23">
        <f>SUM(AI11:AI13)</f>
        <v>1</v>
      </c>
      <c r="AJ10" s="23">
        <f>SUM(AJ11:AJ13)</f>
        <v>1</v>
      </c>
      <c r="AK10" s="23">
        <f>SUM(AK11:AK13)</f>
        <v>1</v>
      </c>
      <c r="AM10" s="27" t="s">
        <v>197</v>
      </c>
      <c r="AN10" s="56">
        <v>6.414896932745065E-2</v>
      </c>
      <c r="AO10" s="56">
        <v>6.0435737422315498E-2</v>
      </c>
      <c r="AP10" s="56">
        <v>6.1968822549389353E-2</v>
      </c>
      <c r="AQ10" s="56">
        <v>6.3766081974259148E-2</v>
      </c>
      <c r="AR10" s="56">
        <v>6.4803710500079464E-2</v>
      </c>
      <c r="AS10" s="56">
        <v>6.2143034833277509E-2</v>
      </c>
      <c r="AT10" s="56">
        <v>6.154424849177529E-2</v>
      </c>
      <c r="AU10" s="56">
        <v>6.5440715753274953E-2</v>
      </c>
      <c r="AV10" s="56">
        <v>6.8349060687386373E-2</v>
      </c>
      <c r="AW10" s="56">
        <v>6.493772751324392E-2</v>
      </c>
      <c r="AX10" s="56">
        <v>6.2521527793574699E-2</v>
      </c>
      <c r="AY10" s="56">
        <v>6.4416090792465852E-2</v>
      </c>
      <c r="AZ10" s="56">
        <v>6.4238724375263401E-2</v>
      </c>
      <c r="BA10" s="56">
        <v>6.1241588766840757E-2</v>
      </c>
      <c r="BB10" s="56">
        <v>6.1120000000000001E-2</v>
      </c>
      <c r="BC10" s="56">
        <v>6.2429999999999999E-2</v>
      </c>
      <c r="BD10" s="56">
        <f>'[2]Table 3 &amp; 13'!$I$12</f>
        <v>5.4593751675459386E-2</v>
      </c>
      <c r="BF10" s="2"/>
      <c r="CM10" s="234"/>
      <c r="CN10" s="188" t="s">
        <v>239</v>
      </c>
      <c r="CS10" s="25"/>
      <c r="DV10" s="64" t="s">
        <v>266</v>
      </c>
      <c r="DW10" s="65">
        <v>0.88186522771668185</v>
      </c>
      <c r="DX10" s="65">
        <v>0.8820378142552403</v>
      </c>
      <c r="DY10" s="65">
        <v>0.88428687442022913</v>
      </c>
      <c r="DZ10" s="65">
        <v>0.88843304355655639</v>
      </c>
      <c r="EA10" s="65">
        <v>0.89697897249799041</v>
      </c>
      <c r="EB10" s="65">
        <v>0.89185149770165195</v>
      </c>
      <c r="EC10" s="65">
        <v>0.88036322307090598</v>
      </c>
      <c r="ED10" s="65">
        <v>0.87607033467371642</v>
      </c>
      <c r="EE10" s="65">
        <v>0.87262655279510237</v>
      </c>
      <c r="EF10" s="65">
        <v>0.86622754532870572</v>
      </c>
      <c r="EG10" s="65">
        <v>0.85766414874063124</v>
      </c>
      <c r="EH10" s="65">
        <v>0.85338353653318677</v>
      </c>
      <c r="EI10" s="65">
        <v>0.8586353697465009</v>
      </c>
      <c r="EJ10" s="65">
        <v>0.86160809795894988</v>
      </c>
      <c r="EK10" s="65">
        <v>0.86380000000000001</v>
      </c>
      <c r="EL10" s="290">
        <v>0.86909999999999998</v>
      </c>
      <c r="EM10" s="292">
        <f>'[2]Table 9-10-14-16'!$K$22</f>
        <v>0.87159999999999993</v>
      </c>
      <c r="EO10" s="155" t="s">
        <v>208</v>
      </c>
      <c r="EP10" s="11">
        <v>794.91976999999997</v>
      </c>
      <c r="EQ10" s="11">
        <v>318.78321500000004</v>
      </c>
      <c r="ER10" s="11">
        <v>476.13657999999998</v>
      </c>
      <c r="ES10" s="11">
        <v>647.87060000000008</v>
      </c>
      <c r="ET10" s="11">
        <v>109.12485000000001</v>
      </c>
      <c r="EU10" s="195">
        <v>344.54672999999997</v>
      </c>
      <c r="EW10" s="202" t="s">
        <v>159</v>
      </c>
      <c r="EX10" s="70">
        <v>4042.7375000000002</v>
      </c>
      <c r="EY10" s="70">
        <v>4136.0679</v>
      </c>
      <c r="EZ10" s="70">
        <v>4180</v>
      </c>
      <c r="FA10" s="70">
        <v>4200.1362499999996</v>
      </c>
      <c r="FB10" s="70">
        <v>4260.0769650000002</v>
      </c>
      <c r="FC10" s="70">
        <v>4262.1000000000004</v>
      </c>
      <c r="FD10" s="70">
        <v>4193.53298</v>
      </c>
      <c r="FE10" s="70">
        <v>4140.2565800000002</v>
      </c>
      <c r="FF10" s="70">
        <v>4196.3723499999996</v>
      </c>
      <c r="FG10" s="70">
        <v>4265.0430500000011</v>
      </c>
      <c r="FH10" s="70">
        <v>4211.0984000000008</v>
      </c>
      <c r="FI10" s="70">
        <v>4183.5644000000002</v>
      </c>
      <c r="FJ10" s="70">
        <v>4262.6890999999996</v>
      </c>
      <c r="FK10" s="70">
        <v>4347.5712000000003</v>
      </c>
      <c r="FL10" s="70">
        <v>4377</v>
      </c>
      <c r="FM10" s="70">
        <f>4340043/1000</f>
        <v>4340.0429999999997</v>
      </c>
      <c r="FN10" s="70">
        <f>'[2]Table S2'!$F$86/1000</f>
        <v>4373.7212</v>
      </c>
      <c r="FP10" s="25" t="s">
        <v>300</v>
      </c>
      <c r="FQ10" s="11">
        <v>1406</v>
      </c>
      <c r="FR10" s="11">
        <v>1427</v>
      </c>
      <c r="FS10" s="11">
        <v>1412</v>
      </c>
      <c r="FT10" s="11">
        <v>1435.2534450000001</v>
      </c>
      <c r="FU10" s="11">
        <v>1493.3134100000002</v>
      </c>
      <c r="FV10" s="11">
        <v>1527.4</v>
      </c>
      <c r="FW10" s="11">
        <v>1462.8148550000001</v>
      </c>
      <c r="FX10" s="11">
        <v>1381.7301200000002</v>
      </c>
      <c r="FY10" s="11">
        <v>1406.8572900000001</v>
      </c>
      <c r="FZ10" s="11">
        <v>1410.3386800000001</v>
      </c>
      <c r="GA10" s="11">
        <v>1366.6038849999998</v>
      </c>
      <c r="GB10" s="11">
        <v>1334.7899199999999</v>
      </c>
      <c r="GC10" s="11">
        <v>1367.7604300000003</v>
      </c>
      <c r="GD10" s="11">
        <v>1359.624765</v>
      </c>
      <c r="GE10" s="11">
        <v>1313</v>
      </c>
      <c r="GF10" s="11">
        <f>1308793/1000</f>
        <v>1308.7929999999999</v>
      </c>
      <c r="GG10" s="11">
        <f>'[2]Table S3'!$F$15/1000</f>
        <v>1304.9881800000001</v>
      </c>
      <c r="GH10" s="24"/>
      <c r="GI10" s="25" t="s">
        <v>189</v>
      </c>
      <c r="GJ10" s="23">
        <v>1.9204771910822267E-2</v>
      </c>
      <c r="GK10" s="23">
        <v>1.7409688270317136E-2</v>
      </c>
      <c r="GL10" s="23">
        <v>1.7409206525909646E-2</v>
      </c>
      <c r="GM10" s="23">
        <v>1.6170975519331932E-2</v>
      </c>
      <c r="GN10" s="23">
        <v>1.4351208518332428E-2</v>
      </c>
      <c r="GO10" s="23">
        <v>1.7092914382319292E-2</v>
      </c>
      <c r="GP10" s="23">
        <v>1.7764418523747404E-2</v>
      </c>
      <c r="GQ10" s="23">
        <v>2.1002624723377321E-2</v>
      </c>
      <c r="GR10" s="23">
        <v>2.2977438970845483E-2</v>
      </c>
      <c r="GS10" s="23">
        <v>1.7177889395136973E-2</v>
      </c>
      <c r="GT10" s="23">
        <v>1.350124211288635E-2</v>
      </c>
      <c r="GU10" s="23">
        <v>1.783074005907016E-2</v>
      </c>
      <c r="GV10" s="23">
        <v>2.0006227968062448E-2</v>
      </c>
      <c r="GW10" s="23">
        <v>1.475291396366195E-2</v>
      </c>
      <c r="GX10" s="23">
        <v>1.4789E-2</v>
      </c>
      <c r="GY10" s="23">
        <v>1.8856000000000001E-2</v>
      </c>
      <c r="GZ10" s="116">
        <f>'[2]Table S4'!$J$26</f>
        <v>2.108383084402601E-2</v>
      </c>
    </row>
    <row r="11" spans="1:208">
      <c r="A11" s="25" t="s">
        <v>152</v>
      </c>
      <c r="B11" s="24"/>
      <c r="C11" s="24"/>
      <c r="D11" s="24"/>
      <c r="E11" s="24"/>
      <c r="T11" s="25" t="s">
        <v>176</v>
      </c>
      <c r="U11" s="23">
        <v>0.78169108763305661</v>
      </c>
      <c r="V11" s="23">
        <v>0.7754564033916157</v>
      </c>
      <c r="W11" s="23">
        <v>0.76458209244947206</v>
      </c>
      <c r="X11" s="23">
        <v>0.76974313234387559</v>
      </c>
      <c r="Y11" s="23">
        <v>0.76681588400221379</v>
      </c>
      <c r="Z11" s="23">
        <v>0.75996138039397398</v>
      </c>
      <c r="AA11" s="23">
        <v>0.75614316239316237</v>
      </c>
      <c r="AB11" s="23">
        <v>0.75045703839122491</v>
      </c>
      <c r="AC11" s="23">
        <v>0.74081705787493279</v>
      </c>
      <c r="AD11" s="23">
        <v>0.73495280145583075</v>
      </c>
      <c r="AE11" s="23">
        <v>0.72489965552253011</v>
      </c>
      <c r="AF11" s="23">
        <v>0.72364985069652432</v>
      </c>
      <c r="AG11" s="23">
        <v>0.75364993702767946</v>
      </c>
      <c r="AH11" s="23">
        <v>0.75602911412461138</v>
      </c>
      <c r="AI11" s="23">
        <v>0.749</v>
      </c>
      <c r="AJ11" s="23">
        <v>0.76161699999999999</v>
      </c>
      <c r="AK11" s="23">
        <f>'[2]Table 12'!E37</f>
        <v>0.77534191436969901</v>
      </c>
      <c r="AM11" s="27" t="s">
        <v>198</v>
      </c>
      <c r="AN11" s="56">
        <v>7.6200704112985435E-2</v>
      </c>
      <c r="AO11" s="56">
        <v>7.5674471720474909E-2</v>
      </c>
      <c r="AP11" s="56">
        <v>7.8126624628030855E-2</v>
      </c>
      <c r="AQ11" s="56">
        <v>7.3841462719039616E-2</v>
      </c>
      <c r="AR11" s="56">
        <v>6.7505671227730504E-2</v>
      </c>
      <c r="AS11" s="56">
        <v>7.0308019801064936E-2</v>
      </c>
      <c r="AT11" s="56">
        <v>7.2047568756239064E-2</v>
      </c>
      <c r="AU11" s="56">
        <v>7.2843050111472157E-2</v>
      </c>
      <c r="AV11" s="56">
        <v>7.562115834126916E-2</v>
      </c>
      <c r="AW11" s="56">
        <v>7.2091675470755845E-2</v>
      </c>
      <c r="AX11" s="56">
        <v>7.5444462054225794E-2</v>
      </c>
      <c r="AY11" s="56">
        <v>8.0462119232288604E-2</v>
      </c>
      <c r="AZ11" s="56">
        <v>7.7519707904612059E-2</v>
      </c>
      <c r="BA11" s="56">
        <v>7.2549356334647777E-2</v>
      </c>
      <c r="BB11" s="56">
        <v>7.1165000000000006E-2</v>
      </c>
      <c r="BC11" s="56">
        <v>7.6997999999999997E-2</v>
      </c>
      <c r="BD11" s="56">
        <f>'[2]Table 3 &amp; 13'!$I$14</f>
        <v>7.8953805770973662E-2</v>
      </c>
      <c r="BF11" s="186" t="s">
        <v>214</v>
      </c>
      <c r="CM11" s="234"/>
      <c r="CN11" s="24" t="s">
        <v>240</v>
      </c>
      <c r="CO11" s="139">
        <v>1728.6410000000001</v>
      </c>
      <c r="CP11" s="49">
        <f>'T7-T10'!T18</f>
        <v>87051.411927359411</v>
      </c>
      <c r="CQ11" s="139">
        <v>1707.241</v>
      </c>
      <c r="CR11" s="49">
        <f>'T7-T10'!U18</f>
        <v>88833.152390246309</v>
      </c>
      <c r="CS11" s="11">
        <v>1688.0429999999999</v>
      </c>
      <c r="CT11" s="49">
        <f>'T7-T10'!V18</f>
        <v>86789.897983429299</v>
      </c>
      <c r="CU11" s="11">
        <v>1653.1824999999999</v>
      </c>
      <c r="CV11" s="49">
        <f>'T7-T10'!W18</f>
        <v>88613.965324821678</v>
      </c>
      <c r="CW11" s="11">
        <v>1622.3805</v>
      </c>
      <c r="CX11" s="49">
        <f>'T7-T10'!X18</f>
        <v>93961.816950789507</v>
      </c>
      <c r="CY11" s="11">
        <v>1606.4069999999999</v>
      </c>
      <c r="CZ11" s="49">
        <f>'T7-T10'!Y18</f>
        <v>91160.848248095484</v>
      </c>
      <c r="DA11" s="11">
        <v>1607.9635000000001</v>
      </c>
      <c r="DB11" s="49">
        <f>'T7-T10'!Z18</f>
        <v>89096.896261554852</v>
      </c>
      <c r="DC11" s="11">
        <v>1621.318</v>
      </c>
      <c r="DD11" s="49">
        <f>'T7-T10'!AA18</f>
        <v>88093.937548548143</v>
      </c>
      <c r="DE11" s="11">
        <v>1621.318</v>
      </c>
      <c r="DF11" s="49">
        <f>'T7-T10'!AB18</f>
        <v>85110.115362937519</v>
      </c>
      <c r="DG11" s="11">
        <v>1598.3989999999999</v>
      </c>
      <c r="DH11" s="49">
        <f>'T7-T10'!AC18</f>
        <v>85916.669973443961</v>
      </c>
      <c r="DI11" s="11">
        <v>1633.3375000000001</v>
      </c>
      <c r="DJ11" s="49">
        <f>'T7-T10'!AD18</f>
        <v>86545.803870443429</v>
      </c>
      <c r="DK11" s="11">
        <v>1677.4345000000001</v>
      </c>
      <c r="DL11" s="49">
        <f>'T7-T10'!AE18</f>
        <v>82189.922540230953</v>
      </c>
      <c r="DM11" s="11">
        <v>1680.7294999999999</v>
      </c>
      <c r="DN11" s="49">
        <f>'T7-T10'!AF18</f>
        <v>76039.19457498769</v>
      </c>
      <c r="DO11" s="11">
        <v>1702</v>
      </c>
      <c r="DP11" s="49">
        <f>'T7-T10'!AG18</f>
        <v>74079.748728137318</v>
      </c>
      <c r="DQ11" s="11">
        <v>1764.1990000000001</v>
      </c>
      <c r="DR11" s="49">
        <f>'T7-T10'!AH18</f>
        <v>77856.329115843459</v>
      </c>
      <c r="DS11" s="118">
        <f>'[2]Table 8 &amp; 15'!$G$49</f>
        <v>1738.5045</v>
      </c>
      <c r="DT11" s="49">
        <f>'T7-T10'!AI18</f>
        <v>82371.34178602093</v>
      </c>
      <c r="DV11" s="61"/>
      <c r="DW11" s="64"/>
      <c r="EL11" s="133"/>
      <c r="EM11" s="133"/>
      <c r="EO11" s="155" t="s">
        <v>381</v>
      </c>
      <c r="EP11" s="11">
        <v>744.18792000000008</v>
      </c>
      <c r="EQ11" s="11">
        <v>317.35409999999996</v>
      </c>
      <c r="ER11" s="11">
        <v>426.83382000000006</v>
      </c>
      <c r="ES11" s="11">
        <v>589.35669999999993</v>
      </c>
      <c r="ET11" s="11">
        <v>116.14205</v>
      </c>
      <c r="EU11" s="195">
        <v>313.05132500000002</v>
      </c>
      <c r="EW11" s="71" t="s">
        <v>283</v>
      </c>
      <c r="EX11" s="72">
        <v>6.6454611510146283E-2</v>
      </c>
      <c r="EY11" s="72">
        <v>6.9141865393457388E-2</v>
      </c>
      <c r="EZ11" s="72">
        <v>7.3546270855870233E-2</v>
      </c>
      <c r="FA11" s="72">
        <v>7.2768913151329315E-2</v>
      </c>
      <c r="FB11" s="72">
        <v>6.1133983948763189E-2</v>
      </c>
      <c r="FC11" s="72">
        <v>6.8706297605275787E-2</v>
      </c>
      <c r="FD11" s="72">
        <v>7.7913647408586736E-2</v>
      </c>
      <c r="FE11" s="72">
        <v>7.851050864098863E-2</v>
      </c>
      <c r="FF11" s="72">
        <v>8.1993891700292046E-2</v>
      </c>
      <c r="FG11" s="72">
        <v>9.5088020272151755E-2</v>
      </c>
      <c r="FH11" s="72">
        <v>0.10155443054952124</v>
      </c>
      <c r="FI11" s="72">
        <v>9.2333704723178159E-2</v>
      </c>
      <c r="FJ11" s="72">
        <v>9.0482836292236288E-2</v>
      </c>
      <c r="FK11" s="72">
        <v>0.10073969576392446</v>
      </c>
      <c r="FL11" s="72">
        <v>0.1032</v>
      </c>
      <c r="FM11" s="72">
        <v>8.9372999999999994E-2</v>
      </c>
      <c r="FN11" s="72">
        <f>'[2]Table S2'!$F$87</f>
        <v>7.706997876316396E-2</v>
      </c>
      <c r="FP11" s="215" t="s">
        <v>301</v>
      </c>
      <c r="FQ11" s="23">
        <v>1</v>
      </c>
      <c r="FR11" s="23">
        <v>1</v>
      </c>
      <c r="FS11" s="23">
        <v>1</v>
      </c>
      <c r="FT11" s="23">
        <v>1</v>
      </c>
      <c r="FU11" s="23">
        <v>1</v>
      </c>
      <c r="FV11" s="23">
        <v>1</v>
      </c>
      <c r="FW11" s="23">
        <v>1</v>
      </c>
      <c r="FX11" s="23">
        <v>1</v>
      </c>
      <c r="FY11" s="23">
        <v>1</v>
      </c>
      <c r="FZ11" s="23">
        <v>1</v>
      </c>
      <c r="GA11" s="23">
        <v>1</v>
      </c>
      <c r="GB11" s="23">
        <v>1</v>
      </c>
      <c r="GC11" s="23">
        <v>1</v>
      </c>
      <c r="GD11" s="23">
        <v>1</v>
      </c>
      <c r="GE11" s="23">
        <f>SUM(GE12:GE14)</f>
        <v>0.99460199999999999</v>
      </c>
      <c r="GF11" s="23">
        <f>SUM(GF12:GF14)</f>
        <v>0.99787899999999996</v>
      </c>
      <c r="GG11" s="23">
        <f>SUM(GG12:GG14)</f>
        <v>0.99999999999999989</v>
      </c>
      <c r="GH11" s="218"/>
      <c r="GI11" s="64"/>
      <c r="GJ11" s="64"/>
      <c r="GK11" s="64"/>
    </row>
    <row r="12" spans="1:208">
      <c r="A12" s="25" t="s">
        <v>153</v>
      </c>
      <c r="B12" s="23">
        <v>0.20379281080898912</v>
      </c>
      <c r="C12" s="23">
        <v>0.20817245604314225</v>
      </c>
      <c r="D12" s="23">
        <v>0.20102839031646838</v>
      </c>
      <c r="E12" s="23">
        <v>0.20029220087641705</v>
      </c>
      <c r="F12" s="23">
        <v>0.20002663610644988</v>
      </c>
      <c r="G12" s="23">
        <v>0.20075149629985167</v>
      </c>
      <c r="H12" s="23">
        <v>0.19733233824154553</v>
      </c>
      <c r="I12" s="23">
        <v>0.19226885489959269</v>
      </c>
      <c r="J12" s="23">
        <v>0.19225884655131453</v>
      </c>
      <c r="K12" s="23">
        <v>0.1878667664247905</v>
      </c>
      <c r="L12" s="23">
        <v>0.18208583647780152</v>
      </c>
      <c r="M12" s="23">
        <v>0.18492370572269806</v>
      </c>
      <c r="N12" s="23">
        <v>0.1901991057714488</v>
      </c>
      <c r="O12" s="23">
        <v>0.18991437420131271</v>
      </c>
      <c r="P12" s="23">
        <v>0.193</v>
      </c>
      <c r="Q12" s="23">
        <v>0.198128</v>
      </c>
      <c r="R12" s="23">
        <f>'[2]Table 11'!$E$9</f>
        <v>0.19785499594457864</v>
      </c>
      <c r="T12" s="25" t="s">
        <v>177</v>
      </c>
      <c r="U12" s="23">
        <v>5.63740165970536E-2</v>
      </c>
      <c r="V12" s="23">
        <v>5.1508320436391496E-2</v>
      </c>
      <c r="W12" s="23">
        <v>5.6904117332887111E-2</v>
      </c>
      <c r="X12" s="23">
        <v>6.5384913688776788E-2</v>
      </c>
      <c r="Y12" s="23">
        <v>6.5107073073654084E-2</v>
      </c>
      <c r="Z12" s="23">
        <v>6.0711823617970735E-2</v>
      </c>
      <c r="AA12" s="23">
        <v>5.6712962962962965E-2</v>
      </c>
      <c r="AB12" s="23">
        <v>6.448811700182816E-2</v>
      </c>
      <c r="AC12" s="23">
        <v>7.9107686794481269E-2</v>
      </c>
      <c r="AD12" s="23">
        <v>7.8010807712324562E-2</v>
      </c>
      <c r="AE12" s="23">
        <v>7.7140818155707808E-2</v>
      </c>
      <c r="AF12" s="23">
        <v>7.9073777985956911E-2</v>
      </c>
      <c r="AG12" s="23">
        <v>6.6345229006859088E-2</v>
      </c>
      <c r="AH12" s="23">
        <v>6.2853979112379055E-2</v>
      </c>
      <c r="AI12" s="23">
        <v>7.0000000000000007E-2</v>
      </c>
      <c r="AJ12" s="23">
        <v>6.8047999999999997E-2</v>
      </c>
      <c r="AK12" s="23">
        <f>'[2]Table 12'!E38</f>
        <v>6.1002162505349261E-2</v>
      </c>
      <c r="AM12" s="27" t="s">
        <v>199</v>
      </c>
      <c r="AN12" s="56">
        <v>2.3599285592270623E-2</v>
      </c>
      <c r="AO12" s="56">
        <v>2.1409478290674831E-2</v>
      </c>
      <c r="AP12" s="56">
        <v>1.815147909743867E-2</v>
      </c>
      <c r="AQ12" s="56">
        <v>2.0924432054469439E-2</v>
      </c>
      <c r="AR12" s="56">
        <v>2.3392911326561575E-2</v>
      </c>
      <c r="AS12" s="56">
        <v>2.2387192564555534E-2</v>
      </c>
      <c r="AT12" s="56">
        <v>2.2569117923641149E-2</v>
      </c>
      <c r="AU12" s="56">
        <v>2.2105002404301514E-2</v>
      </c>
      <c r="AV12" s="56">
        <v>2.2335728508354254E-2</v>
      </c>
      <c r="AW12" s="56">
        <v>2.1187214758384351E-2</v>
      </c>
      <c r="AX12" s="56">
        <v>2.0039044905571818E-2</v>
      </c>
      <c r="AY12" s="56">
        <v>2.205638654948644E-2</v>
      </c>
      <c r="AZ12" s="56">
        <v>2.0920732083311199E-2</v>
      </c>
      <c r="BA12" s="56">
        <v>1.8323960099998385E-2</v>
      </c>
      <c r="BB12" s="56">
        <v>2.0497000000000001E-2</v>
      </c>
      <c r="BC12" s="56">
        <v>2.0421999999999999E-2</v>
      </c>
      <c r="BD12" s="56">
        <f>'[2]Table 3 &amp; 13'!$I$16</f>
        <v>1.7156841135866355E-2</v>
      </c>
      <c r="BF12" s="25" t="s">
        <v>215</v>
      </c>
      <c r="BG12" s="139">
        <v>1840.1990000000001</v>
      </c>
      <c r="BH12" s="49">
        <f>'T7-T10'!B12</f>
        <v>96180.02890641363</v>
      </c>
      <c r="BI12" s="11">
        <v>1791.366</v>
      </c>
      <c r="BJ12" s="49">
        <f>'T7-T10'!C12</f>
        <v>97536.054782660241</v>
      </c>
      <c r="BK12" s="11">
        <v>1781.9195</v>
      </c>
      <c r="BL12" s="49">
        <f>'T7-T10'!D12</f>
        <v>98603.706668081752</v>
      </c>
      <c r="BM12" s="11">
        <v>1809.318</v>
      </c>
      <c r="BN12" s="49">
        <f>'T7-T10'!E12</f>
        <v>101416.90418179381</v>
      </c>
      <c r="BO12" s="11">
        <v>1798.1030000000001</v>
      </c>
      <c r="BP12" s="49">
        <f>'T7-T10'!F12</f>
        <v>102789.17370528253</v>
      </c>
      <c r="BQ12" s="11">
        <v>1722.2525000000001</v>
      </c>
      <c r="BR12" s="49">
        <f>'T7-T10'!G12</f>
        <v>101116.05435930261</v>
      </c>
      <c r="BS12" s="11">
        <v>1671.761</v>
      </c>
      <c r="BT12" s="49">
        <f>'T7-T10'!H12</f>
        <v>100392.85163437887</v>
      </c>
      <c r="BU12" s="11">
        <v>1713.1255000000001</v>
      </c>
      <c r="BV12" s="49">
        <f>'T7-T10'!I12</f>
        <v>98102.606913087555</v>
      </c>
      <c r="BW12" s="11">
        <v>1712.4259999999999</v>
      </c>
      <c r="BX12" s="49">
        <f>'T7-T10'!J12</f>
        <v>94787.656761877734</v>
      </c>
      <c r="BY12" s="11">
        <v>1674.76</v>
      </c>
      <c r="BZ12" s="49">
        <f>'T7-T10'!K12</f>
        <v>91390.44953083474</v>
      </c>
      <c r="CA12" s="11">
        <v>1696.883</v>
      </c>
      <c r="CB12" s="49">
        <f>'T7-T10'!L12</f>
        <v>90441.211192791248</v>
      </c>
      <c r="CC12" s="11">
        <v>1671.0035</v>
      </c>
      <c r="CD12" s="49">
        <f>'T7-T10'!M12</f>
        <v>88766.2711424726</v>
      </c>
      <c r="CE12" s="11">
        <v>1676.7270000000001</v>
      </c>
      <c r="CF12" s="49">
        <f>'T7-T10'!N12</f>
        <v>86565.720107790708</v>
      </c>
      <c r="CG12" s="11">
        <v>1729</v>
      </c>
      <c r="CH12" s="49">
        <f>'T7-T10'!O12</f>
        <v>90692.659249606877</v>
      </c>
      <c r="CI12" s="11">
        <f>1730086/1000</f>
        <v>1730.086</v>
      </c>
      <c r="CJ12" s="49">
        <f>'T7-T10'!P12</f>
        <v>93101.650658719329</v>
      </c>
      <c r="CK12" s="118">
        <f>'[2]Table 9-10-14-16'!$H$6/1000</f>
        <v>1710.0678799999998</v>
      </c>
      <c r="CL12" s="49">
        <f>'T7-T10'!Q12</f>
        <v>90878.081793218356</v>
      </c>
      <c r="CM12" s="235"/>
      <c r="CN12" s="24" t="s">
        <v>241</v>
      </c>
      <c r="CO12" s="11">
        <v>1516.7819999999999</v>
      </c>
      <c r="CP12" s="49">
        <f>'T7-T10'!T19</f>
        <v>58200.720996994191</v>
      </c>
      <c r="CQ12" s="11">
        <v>1511.1605</v>
      </c>
      <c r="CR12" s="49">
        <f>'T7-T10'!U19</f>
        <v>59643.098319664052</v>
      </c>
      <c r="CS12" s="11">
        <v>1525.115</v>
      </c>
      <c r="CT12" s="49">
        <f>'T7-T10'!V19</f>
        <v>59813.856612452801</v>
      </c>
      <c r="CU12" s="11">
        <v>1534.9749999999999</v>
      </c>
      <c r="CV12" s="49">
        <f>'T7-T10'!W19</f>
        <v>63214.964147136212</v>
      </c>
      <c r="CW12" s="11">
        <v>1554.1679999999999</v>
      </c>
      <c r="CX12" s="49">
        <f>'T7-T10'!X19</f>
        <v>66924.560010642905</v>
      </c>
      <c r="CY12" s="11">
        <v>1607.2284999999999</v>
      </c>
      <c r="CZ12" s="49">
        <f>'T7-T10'!Y19</f>
        <v>60770.126206184214</v>
      </c>
      <c r="DA12" s="11">
        <v>1595.2145</v>
      </c>
      <c r="DB12" s="49">
        <f>'T7-T10'!Z19</f>
        <v>56318.169714693198</v>
      </c>
      <c r="DC12" s="11">
        <v>1578.039</v>
      </c>
      <c r="DD12" s="49">
        <f>'T7-T10'!AA19</f>
        <v>58125.608350012568</v>
      </c>
      <c r="DE12" s="11">
        <v>1604.0915</v>
      </c>
      <c r="DF12" s="49">
        <f>'T7-T10'!AB19</f>
        <v>56449.823823389088</v>
      </c>
      <c r="DG12" s="11">
        <v>1589.652</v>
      </c>
      <c r="DH12" s="49">
        <f>'T7-T10'!AC19</f>
        <v>52024.925908979974</v>
      </c>
      <c r="DI12" s="11">
        <v>1600.0264999999999</v>
      </c>
      <c r="DJ12" s="49">
        <f>'T7-T10'!AD19</f>
        <v>52081.111483661727</v>
      </c>
      <c r="DK12" s="11">
        <v>1616.6804999999999</v>
      </c>
      <c r="DL12" s="49">
        <f>'T7-T10'!AE19</f>
        <v>51760.660760071019</v>
      </c>
      <c r="DM12" s="11">
        <v>1633.4034999999999</v>
      </c>
      <c r="DN12" s="49">
        <f>'T7-T10'!AF19</f>
        <v>53412.667867921191</v>
      </c>
      <c r="DO12" s="11">
        <v>1662</v>
      </c>
      <c r="DP12" s="49">
        <f>'T7-T10'!AG19</f>
        <v>56025.274485943868</v>
      </c>
      <c r="DQ12" s="11">
        <v>1655.252</v>
      </c>
      <c r="DR12" s="49">
        <f>'T7-T10'!AH19</f>
        <v>54033.605431427219</v>
      </c>
      <c r="DS12" s="118">
        <f>'[2]Table 8 &amp; 15'!$G$102</f>
        <v>1647.4994999999999</v>
      </c>
      <c r="DT12" s="49">
        <f>'T7-T10'!AI19</f>
        <v>55677.153242493958</v>
      </c>
      <c r="DV12" s="216" t="s">
        <v>214</v>
      </c>
      <c r="DW12" s="64"/>
      <c r="EL12" s="133"/>
      <c r="EM12" s="133"/>
      <c r="EO12" s="155" t="s">
        <v>396</v>
      </c>
      <c r="EP12" s="11">
        <v>813.8</v>
      </c>
      <c r="EQ12" s="11">
        <v>322.2</v>
      </c>
      <c r="ER12" s="11">
        <v>491.5</v>
      </c>
      <c r="ES12" s="11">
        <v>622.6</v>
      </c>
      <c r="ET12" s="11">
        <v>157</v>
      </c>
      <c r="EU12" s="195">
        <v>349.9</v>
      </c>
      <c r="EW12" s="202" t="s">
        <v>160</v>
      </c>
      <c r="EX12" s="70">
        <v>4345.5931500000006</v>
      </c>
      <c r="EY12" s="70">
        <v>4401.3658000000005</v>
      </c>
      <c r="EZ12" s="70">
        <v>4412</v>
      </c>
      <c r="FA12" s="70">
        <v>4421.67245</v>
      </c>
      <c r="FB12" s="70">
        <v>4434.8879000000006</v>
      </c>
      <c r="FC12" s="70">
        <v>4430.5</v>
      </c>
      <c r="FD12" s="70">
        <v>4414.31585</v>
      </c>
      <c r="FE12" s="70">
        <v>4399.7845499999994</v>
      </c>
      <c r="FF12" s="70">
        <v>4405.66615</v>
      </c>
      <c r="FG12" s="70">
        <v>4410.6075000000001</v>
      </c>
      <c r="FH12" s="70">
        <v>4450.6730500000003</v>
      </c>
      <c r="FI12" s="70">
        <v>4505.0294000000004</v>
      </c>
      <c r="FJ12" s="70">
        <v>4524.5495000000001</v>
      </c>
      <c r="FK12" s="70">
        <v>4546.7112999999999</v>
      </c>
      <c r="FL12" s="70">
        <v>4564</v>
      </c>
      <c r="FM12" s="70">
        <f>4556517/1000</f>
        <v>4556.5169999999998</v>
      </c>
      <c r="FN12" s="70">
        <f>'[2]Table S2'!$G$86/1000</f>
        <v>4563.6988000000001</v>
      </c>
      <c r="FP12" s="25" t="s">
        <v>302</v>
      </c>
      <c r="FQ12" s="23">
        <v>0.58641053764101403</v>
      </c>
      <c r="FR12" s="23">
        <v>0.59703439743069553</v>
      </c>
      <c r="FS12" s="23">
        <v>0.5965992137253725</v>
      </c>
      <c r="FT12" s="23">
        <v>0.58211694450940688</v>
      </c>
      <c r="FU12" s="23">
        <v>0.57994273810581609</v>
      </c>
      <c r="FV12" s="23">
        <v>0.57607699358386799</v>
      </c>
      <c r="FW12" s="23">
        <v>0.58179847373781279</v>
      </c>
      <c r="FX12" s="23">
        <v>0.57429366163053597</v>
      </c>
      <c r="FY12" s="23">
        <v>0.54910882254446713</v>
      </c>
      <c r="FZ12" s="23">
        <v>0.55443799499280544</v>
      </c>
      <c r="GA12" s="23">
        <v>0.5658226633828134</v>
      </c>
      <c r="GB12" s="23">
        <v>0.57510136126889544</v>
      </c>
      <c r="GC12" s="23">
        <v>0.54124463887290553</v>
      </c>
      <c r="GD12" s="23">
        <v>0.52280167168034775</v>
      </c>
      <c r="GE12" s="23">
        <v>0.56095499999999998</v>
      </c>
      <c r="GF12" s="23">
        <v>0.58511800000000003</v>
      </c>
      <c r="GG12" s="23">
        <f>'[2]Table S3'!$F$19</f>
        <v>0.58724233042478591</v>
      </c>
      <c r="GH12" s="218"/>
      <c r="GI12" s="216" t="s">
        <v>214</v>
      </c>
      <c r="GJ12" s="64"/>
      <c r="GK12" s="64"/>
    </row>
    <row r="13" spans="1:208">
      <c r="A13" s="25" t="s">
        <v>154</v>
      </c>
      <c r="B13" s="23">
        <v>0.2296151461171039</v>
      </c>
      <c r="C13" s="23">
        <v>0.21316643813389585</v>
      </c>
      <c r="D13" s="23">
        <v>0.22831170552858729</v>
      </c>
      <c r="E13" s="23">
        <v>0.23006598209644763</v>
      </c>
      <c r="F13" s="23">
        <v>0.22901794251143867</v>
      </c>
      <c r="G13" s="23">
        <v>0.22493764982289316</v>
      </c>
      <c r="H13" s="23">
        <v>0.22328382694764121</v>
      </c>
      <c r="I13" s="23">
        <v>0.22284985383267752</v>
      </c>
      <c r="J13" s="23">
        <v>0.21836900171976675</v>
      </c>
      <c r="K13" s="23">
        <v>0.21394563589521987</v>
      </c>
      <c r="L13" s="23">
        <v>0.21053989183737459</v>
      </c>
      <c r="M13" s="23">
        <v>0.21229747816505179</v>
      </c>
      <c r="N13" s="23">
        <v>0.21334144092359386</v>
      </c>
      <c r="O13" s="23">
        <v>0.20636617548218056</v>
      </c>
      <c r="P13" s="23">
        <v>0.19800000000000001</v>
      </c>
      <c r="Q13" s="23">
        <v>0.19950399999999999</v>
      </c>
      <c r="R13" s="23">
        <f>'[2]Table 11'!$E$10</f>
        <v>0.20381891013501774</v>
      </c>
      <c r="T13" s="25" t="s">
        <v>178</v>
      </c>
      <c r="U13" s="23">
        <v>0.16193476042368773</v>
      </c>
      <c r="V13" s="23">
        <v>0.17303518890765557</v>
      </c>
      <c r="W13" s="23">
        <v>0.17851383448551544</v>
      </c>
      <c r="X13" s="23">
        <v>0.1648719093931626</v>
      </c>
      <c r="Y13" s="23">
        <v>0.16807704292413217</v>
      </c>
      <c r="Z13" s="23">
        <v>0.17932679598805529</v>
      </c>
      <c r="AA13" s="23">
        <v>0.18714387464387464</v>
      </c>
      <c r="AB13" s="23">
        <v>0.18505484460694699</v>
      </c>
      <c r="AC13" s="23">
        <v>0.18007525533058591</v>
      </c>
      <c r="AD13" s="23">
        <v>0.18703639083184465</v>
      </c>
      <c r="AE13" s="23">
        <v>0.19795952632176206</v>
      </c>
      <c r="AF13" s="23">
        <v>0.19727659651129797</v>
      </c>
      <c r="AG13" s="23">
        <v>0.1800049692443457</v>
      </c>
      <c r="AH13" s="23">
        <v>0.18111654869973801</v>
      </c>
      <c r="AI13" s="23">
        <v>0.18099999999999999</v>
      </c>
      <c r="AJ13" s="23">
        <v>0.17033499999999999</v>
      </c>
      <c r="AK13" s="23">
        <f>'[2]Table 12'!E39</f>
        <v>0.16365592312495175</v>
      </c>
      <c r="AM13" s="27" t="s">
        <v>200</v>
      </c>
      <c r="AN13" s="56">
        <v>0.28661123750078005</v>
      </c>
      <c r="AO13" s="56">
        <v>0.29153003142533135</v>
      </c>
      <c r="AP13" s="56">
        <v>0.30346419961790316</v>
      </c>
      <c r="AQ13" s="56">
        <v>0.30493350811877901</v>
      </c>
      <c r="AR13" s="56">
        <v>0.31146238206013671</v>
      </c>
      <c r="AS13" s="56">
        <v>0.30961909849483021</v>
      </c>
      <c r="AT13" s="56">
        <v>0.31682122654475486</v>
      </c>
      <c r="AU13" s="56">
        <v>0.3264312879770353</v>
      </c>
      <c r="AV13" s="56">
        <v>0.32500793582085247</v>
      </c>
      <c r="AW13" s="56">
        <v>0.34398822423214759</v>
      </c>
      <c r="AX13" s="56">
        <v>0.3550671530722615</v>
      </c>
      <c r="AY13" s="56">
        <v>0.33997937594315703</v>
      </c>
      <c r="AZ13" s="56">
        <v>0.3332888487926417</v>
      </c>
      <c r="BA13" s="56">
        <v>0.34618717173592378</v>
      </c>
      <c r="BB13" s="56">
        <v>0.33867900000000001</v>
      </c>
      <c r="BC13" s="56">
        <v>0.31757600000000002</v>
      </c>
      <c r="BD13" s="56">
        <f>'[2]Table 3 &amp; 13'!$I$18</f>
        <v>0.32402553761110969</v>
      </c>
      <c r="BF13" s="25" t="s">
        <v>216</v>
      </c>
      <c r="BG13" s="139">
        <v>281.39375000000001</v>
      </c>
      <c r="BH13" s="49">
        <f>'T7-T10'!B13</f>
        <v>58481.534611043913</v>
      </c>
      <c r="BI13" s="11">
        <v>289.38595000000004</v>
      </c>
      <c r="BJ13" s="49">
        <f>'T7-T10'!C13</f>
        <v>57275.153465960975</v>
      </c>
      <c r="BK13" s="11">
        <v>285.73320000000001</v>
      </c>
      <c r="BL13" s="49">
        <f>'T7-T10'!D13</f>
        <v>57276.3339048817</v>
      </c>
      <c r="BM13" s="11">
        <v>289.44805000000002</v>
      </c>
      <c r="BN13" s="49">
        <f>'T7-T10'!E13</f>
        <v>61203.186850968472</v>
      </c>
      <c r="BO13" s="11">
        <v>293.33295000000004</v>
      </c>
      <c r="BP13" s="49">
        <f>'T7-T10'!F13</f>
        <v>59165.168551054921</v>
      </c>
      <c r="BQ13" s="11">
        <v>285.88650000000001</v>
      </c>
      <c r="BR13" s="49">
        <f>'T7-T10'!G13</f>
        <v>53982.822653938056</v>
      </c>
      <c r="BS13" s="11">
        <v>272.536</v>
      </c>
      <c r="BT13" s="49">
        <f>'T7-T10'!H13</f>
        <v>51578.809796582209</v>
      </c>
      <c r="BU13" s="11">
        <v>283.35950000000003</v>
      </c>
      <c r="BV13" s="49">
        <f>'T7-T10'!I13</f>
        <v>52595.271287469033</v>
      </c>
      <c r="BW13" s="11">
        <v>296.34780000000001</v>
      </c>
      <c r="BX13" s="49">
        <f>'T7-T10'!J13</f>
        <v>53020.028787031115</v>
      </c>
      <c r="BY13" s="11">
        <v>296.34780000000001</v>
      </c>
      <c r="BZ13" s="49">
        <f>'T7-T10'!K13</f>
        <v>52608.317390663593</v>
      </c>
      <c r="CA13" s="11">
        <v>302.03495000000004</v>
      </c>
      <c r="CB13" s="49">
        <f>'T7-T10'!L13</f>
        <v>54672.872823392587</v>
      </c>
      <c r="CC13" s="11">
        <v>304.62515000000002</v>
      </c>
      <c r="CD13" s="49">
        <f>'T7-T10'!M13</f>
        <v>55842.43017974621</v>
      </c>
      <c r="CE13" s="11">
        <v>301.02190000000002</v>
      </c>
      <c r="CF13" s="49">
        <f>'T7-T10'!N13</f>
        <v>54552.27472450801</v>
      </c>
      <c r="CG13" s="11">
        <v>291</v>
      </c>
      <c r="CH13" s="49">
        <f>'T7-T10'!O13</f>
        <v>62231.243368039301</v>
      </c>
      <c r="CI13" s="11">
        <f>294386.1/1000</f>
        <v>294.3861</v>
      </c>
      <c r="CJ13" s="49">
        <f>'T7-T10'!P13</f>
        <v>60918.820137391798</v>
      </c>
      <c r="CK13" s="118">
        <f>'[2]Table 9-10-14-16'!$I$6/1000</f>
        <v>316.18847999999997</v>
      </c>
      <c r="CL13" s="49">
        <f>'T7-T10'!Q13</f>
        <v>59219.597042694091</v>
      </c>
      <c r="CM13" s="235"/>
      <c r="CN13" s="43"/>
      <c r="CS13" s="11"/>
      <c r="DV13" s="201" t="s">
        <v>127</v>
      </c>
      <c r="DW13" s="63">
        <v>1776.5684550000001</v>
      </c>
      <c r="DX13" s="217">
        <f>BG12</f>
        <v>1840.1990000000001</v>
      </c>
      <c r="DY13" s="63">
        <f>BI12</f>
        <v>1791.366</v>
      </c>
      <c r="DZ13" s="63">
        <f>BK12</f>
        <v>1781.9195</v>
      </c>
      <c r="EA13" s="63">
        <f>BM12</f>
        <v>1809.318</v>
      </c>
      <c r="EB13" s="63">
        <f>BO12</f>
        <v>1798.1030000000001</v>
      </c>
      <c r="EC13" s="63">
        <f>BQ12</f>
        <v>1722.2525000000001</v>
      </c>
      <c r="ED13" s="63">
        <f>BS12</f>
        <v>1671.761</v>
      </c>
      <c r="EE13" s="63">
        <f>BU12</f>
        <v>1713.1255000000001</v>
      </c>
      <c r="EF13" s="63">
        <f>BW12</f>
        <v>1712.4259999999999</v>
      </c>
      <c r="EG13" s="63">
        <f>BY12</f>
        <v>1674.76</v>
      </c>
      <c r="EH13" s="63">
        <f>CA12</f>
        <v>1696.883</v>
      </c>
      <c r="EI13" s="63">
        <f>CC12</f>
        <v>1671.0035</v>
      </c>
      <c r="EJ13" s="63">
        <f>CE12</f>
        <v>1676.7270000000001</v>
      </c>
      <c r="EK13" s="63">
        <f>CG12</f>
        <v>1729</v>
      </c>
      <c r="EL13" s="217">
        <f>CI12</f>
        <v>1730.086</v>
      </c>
      <c r="EM13" s="217">
        <f>'[2]Table 9-10-14-16'!$H$6/1000</f>
        <v>1710.0678799999998</v>
      </c>
      <c r="EO13" s="155" t="s">
        <v>418</v>
      </c>
      <c r="EP13" s="11">
        <v>861.47305000000006</v>
      </c>
      <c r="EQ13" s="11">
        <v>326.94824999999997</v>
      </c>
      <c r="ER13" s="11">
        <v>534.52479999999991</v>
      </c>
      <c r="ES13" s="11">
        <v>658.49464999999998</v>
      </c>
      <c r="ET13" s="11">
        <v>165.16292999999999</v>
      </c>
      <c r="EU13" s="195">
        <v>369.33633999999995</v>
      </c>
      <c r="EW13" s="71" t="s">
        <v>283</v>
      </c>
      <c r="EX13" s="72">
        <v>9.6390466281915957E-2</v>
      </c>
      <c r="EY13" s="72">
        <v>9.3867090074630913E-2</v>
      </c>
      <c r="EZ13" s="72">
        <v>9.4213441720352634E-2</v>
      </c>
      <c r="FA13" s="72">
        <v>9.4599499336501053E-2</v>
      </c>
      <c r="FB13" s="72">
        <v>8.2004970264749691E-2</v>
      </c>
      <c r="FC13" s="72">
        <v>9.1617900108794129E-2</v>
      </c>
      <c r="FD13" s="72">
        <v>9.8303443782800468E-2</v>
      </c>
      <c r="FE13" s="72">
        <v>0.10183431595531196</v>
      </c>
      <c r="FF13" s="72">
        <v>0.10604170495306367</v>
      </c>
      <c r="FG13" s="72">
        <v>0.10822930854763205</v>
      </c>
      <c r="FH13" s="72">
        <v>0.12156132205667182</v>
      </c>
      <c r="FI13" s="72">
        <v>0.11589260660540859</v>
      </c>
      <c r="FJ13" s="72">
        <v>0.11483850491634581</v>
      </c>
      <c r="FK13" s="72">
        <v>0.12429843522283898</v>
      </c>
      <c r="FL13" s="72">
        <v>0.12282</v>
      </c>
      <c r="FM13" s="72">
        <v>0.118203</v>
      </c>
      <c r="FN13" s="72">
        <f>'[2]Table S2'!$G$87</f>
        <v>0.10509094070800643</v>
      </c>
      <c r="FP13" s="25" t="s">
        <v>295</v>
      </c>
      <c r="FQ13" s="23">
        <v>3.8038502755011312E-2</v>
      </c>
      <c r="FR13" s="23">
        <v>4.8622339691459966E-2</v>
      </c>
      <c r="FS13" s="23">
        <v>3.9751276042717693E-2</v>
      </c>
      <c r="FT13" s="23">
        <v>3.5243040298015102E-2</v>
      </c>
      <c r="FU13" s="23">
        <v>3.1938446754665693E-2</v>
      </c>
      <c r="FV13" s="23">
        <v>3.4306664920780411E-2</v>
      </c>
      <c r="FW13" s="23">
        <v>3.4680297938319747E-2</v>
      </c>
      <c r="FX13" s="23">
        <v>3.4713595155615479E-2</v>
      </c>
      <c r="FY13" s="23">
        <v>5.1411355305270516E-2</v>
      </c>
      <c r="FZ13" s="23">
        <v>6.0465568454805468E-2</v>
      </c>
      <c r="GA13" s="23">
        <v>5.4786310665288364E-2</v>
      </c>
      <c r="GB13" s="23">
        <v>5.57493122213569E-2</v>
      </c>
      <c r="GC13" s="23">
        <v>4.7037572215771727E-2</v>
      </c>
      <c r="GD13" s="23">
        <v>4.1060328876842717E-2</v>
      </c>
      <c r="GE13" s="23">
        <v>3.8266000000000001E-2</v>
      </c>
      <c r="GF13" s="23">
        <v>3.0824000000000001E-2</v>
      </c>
      <c r="GG13" s="23">
        <f>'[2]Table S3'!$F$20</f>
        <v>2.480932815805274E-2</v>
      </c>
      <c r="GH13" s="218"/>
      <c r="GI13" s="201" t="s">
        <v>127</v>
      </c>
      <c r="GJ13" s="217">
        <f>DW13</f>
        <v>1776.5684550000001</v>
      </c>
      <c r="GK13" s="217">
        <f t="shared" ref="GK13:GZ13" si="2">DX13</f>
        <v>1840.1990000000001</v>
      </c>
      <c r="GL13" s="217">
        <f t="shared" si="2"/>
        <v>1791.366</v>
      </c>
      <c r="GM13" s="217">
        <f t="shared" si="2"/>
        <v>1781.9195</v>
      </c>
      <c r="GN13" s="217">
        <f t="shared" si="2"/>
        <v>1809.318</v>
      </c>
      <c r="GO13" s="217">
        <f t="shared" si="2"/>
        <v>1798.1030000000001</v>
      </c>
      <c r="GP13" s="217">
        <f t="shared" si="2"/>
        <v>1722.2525000000001</v>
      </c>
      <c r="GQ13" s="217">
        <f t="shared" si="2"/>
        <v>1671.761</v>
      </c>
      <c r="GR13" s="217">
        <f t="shared" si="2"/>
        <v>1713.1255000000001</v>
      </c>
      <c r="GS13" s="217">
        <f t="shared" si="2"/>
        <v>1712.4259999999999</v>
      </c>
      <c r="GT13" s="217">
        <f t="shared" si="2"/>
        <v>1674.76</v>
      </c>
      <c r="GU13" s="217">
        <f t="shared" si="2"/>
        <v>1696.883</v>
      </c>
      <c r="GV13" s="217">
        <f t="shared" si="2"/>
        <v>1671.0035</v>
      </c>
      <c r="GW13" s="217">
        <f t="shared" si="2"/>
        <v>1676.7270000000001</v>
      </c>
      <c r="GX13" s="217">
        <f t="shared" si="2"/>
        <v>1729</v>
      </c>
      <c r="GY13" s="217">
        <f t="shared" si="2"/>
        <v>1730.086</v>
      </c>
      <c r="GZ13" s="217">
        <f t="shared" si="2"/>
        <v>1710.0678799999998</v>
      </c>
    </row>
    <row r="14" spans="1:208">
      <c r="A14" s="25" t="s">
        <v>155</v>
      </c>
      <c r="B14" s="23">
        <v>9.1403004513704936E-2</v>
      </c>
      <c r="C14" s="23">
        <v>8.9436532653519349E-2</v>
      </c>
      <c r="D14" s="23">
        <v>9.081072565614208E-2</v>
      </c>
      <c r="E14" s="23">
        <v>9.5845019058356476E-2</v>
      </c>
      <c r="F14" s="23">
        <v>9.9902202015890923E-2</v>
      </c>
      <c r="G14" s="23">
        <v>0.1018211873151927</v>
      </c>
      <c r="H14" s="23">
        <v>9.7230502697645452E-2</v>
      </c>
      <c r="I14" s="23">
        <v>9.5528803929114392E-2</v>
      </c>
      <c r="J14" s="23">
        <v>9.6208253427370716E-2</v>
      </c>
      <c r="K14" s="23">
        <v>9.9439823017315937E-2</v>
      </c>
      <c r="L14" s="23">
        <v>0.10923919493609391</v>
      </c>
      <c r="M14" s="23">
        <v>0.11558671057710833</v>
      </c>
      <c r="N14" s="23">
        <v>0.11986347475014621</v>
      </c>
      <c r="O14" s="23">
        <v>0.12217422384403823</v>
      </c>
      <c r="P14" s="23">
        <v>0.11700000000000001</v>
      </c>
      <c r="Q14" s="23">
        <v>0.114579</v>
      </c>
      <c r="R14" s="23">
        <f>'[2]Table 11'!$E$12</f>
        <v>0.11638438345567104</v>
      </c>
      <c r="T14" s="24"/>
      <c r="U14" s="25"/>
      <c r="V14" s="25"/>
      <c r="AM14" s="27"/>
      <c r="AN14" s="27"/>
      <c r="AO14" s="27"/>
      <c r="BF14" s="2"/>
      <c r="BG14" s="133"/>
      <c r="BP14" s="49"/>
      <c r="BR14" s="49"/>
      <c r="BT14" s="49"/>
      <c r="BV14" s="49"/>
      <c r="BX14" s="49"/>
      <c r="BZ14" s="49"/>
      <c r="CB14" s="49"/>
      <c r="CD14" s="49"/>
      <c r="CF14" s="49"/>
      <c r="CH14" s="49"/>
      <c r="CJ14" s="49"/>
      <c r="CK14" s="118"/>
      <c r="CL14" s="49"/>
      <c r="CM14" s="235"/>
      <c r="CN14" s="188" t="s">
        <v>126</v>
      </c>
      <c r="CS14" s="11"/>
      <c r="DV14" s="64" t="s">
        <v>262</v>
      </c>
      <c r="DW14" s="65">
        <v>1</v>
      </c>
      <c r="DX14" s="65">
        <f t="shared" ref="DX14:EL14" si="3">SUM(DX15:DX18)</f>
        <v>0.99999999999999989</v>
      </c>
      <c r="DY14" s="65">
        <f t="shared" si="3"/>
        <v>1</v>
      </c>
      <c r="DZ14" s="65">
        <f t="shared" si="3"/>
        <v>0.99999999999999989</v>
      </c>
      <c r="EA14" s="65">
        <f t="shared" si="3"/>
        <v>1</v>
      </c>
      <c r="EB14" s="65">
        <f t="shared" si="3"/>
        <v>1</v>
      </c>
      <c r="EC14" s="65">
        <f t="shared" si="3"/>
        <v>0.99999999999999989</v>
      </c>
      <c r="ED14" s="65">
        <f t="shared" si="3"/>
        <v>1</v>
      </c>
      <c r="EE14" s="65">
        <f t="shared" si="3"/>
        <v>0.99999999999999989</v>
      </c>
      <c r="EF14" s="65">
        <f t="shared" si="3"/>
        <v>1</v>
      </c>
      <c r="EG14" s="65">
        <f t="shared" si="3"/>
        <v>1</v>
      </c>
      <c r="EH14" s="65">
        <f t="shared" si="3"/>
        <v>1</v>
      </c>
      <c r="EI14" s="65">
        <f t="shared" si="3"/>
        <v>1</v>
      </c>
      <c r="EJ14" s="65">
        <f t="shared" si="3"/>
        <v>1</v>
      </c>
      <c r="EK14" s="65">
        <f t="shared" si="3"/>
        <v>1</v>
      </c>
      <c r="EL14" s="65">
        <f t="shared" si="3"/>
        <v>1</v>
      </c>
      <c r="EM14" s="65">
        <f t="shared" ref="EM14" si="4">SUM(EM15:EM18)</f>
        <v>1</v>
      </c>
      <c r="EO14" s="155" t="s">
        <v>424</v>
      </c>
      <c r="EP14" s="11">
        <v>830.19630000000006</v>
      </c>
      <c r="EQ14" s="11">
        <v>337.01869999999997</v>
      </c>
      <c r="ER14" s="11">
        <v>493.17760000000004</v>
      </c>
      <c r="ES14" s="11">
        <v>658.21890000000008</v>
      </c>
      <c r="ET14" s="11">
        <v>138.18333000000001</v>
      </c>
      <c r="EU14" s="195">
        <v>358.90130000000005</v>
      </c>
      <c r="EW14" s="68"/>
      <c r="EX14" s="71"/>
      <c r="EY14" s="71"/>
      <c r="FP14" s="25" t="s">
        <v>296</v>
      </c>
      <c r="FQ14" s="23">
        <v>0.37555095960397461</v>
      </c>
      <c r="FR14" s="23">
        <v>0.35434326287784446</v>
      </c>
      <c r="FS14" s="23">
        <v>0.36364951023190972</v>
      </c>
      <c r="FT14" s="23">
        <v>0.38264001519257806</v>
      </c>
      <c r="FU14" s="23">
        <v>0.38811881513951829</v>
      </c>
      <c r="FV14" s="23">
        <v>0.38955087076076989</v>
      </c>
      <c r="FW14" s="23">
        <v>0.38352122832386742</v>
      </c>
      <c r="FX14" s="23">
        <v>0.39099274321384836</v>
      </c>
      <c r="FY14" s="23">
        <v>0.39947982215026234</v>
      </c>
      <c r="FZ14" s="23">
        <v>0.38509643655238895</v>
      </c>
      <c r="GA14" s="23">
        <v>0.37939102595189833</v>
      </c>
      <c r="GB14" s="23">
        <v>0.36914932650974774</v>
      </c>
      <c r="GC14" s="23">
        <v>0.41171778891132271</v>
      </c>
      <c r="GD14" s="23">
        <v>0.43613799944280945</v>
      </c>
      <c r="GE14" s="23">
        <v>0.39538099999999998</v>
      </c>
      <c r="GF14" s="23">
        <v>0.38193700000000003</v>
      </c>
      <c r="GG14" s="23">
        <f>'[2]Table S3'!$F$21</f>
        <v>0.38794834141716128</v>
      </c>
      <c r="GH14" s="218"/>
      <c r="GI14" s="25" t="s">
        <v>185</v>
      </c>
      <c r="GJ14" s="65">
        <v>0.54301787011484426</v>
      </c>
      <c r="GK14" s="65">
        <v>0.54411776185617466</v>
      </c>
      <c r="GL14" s="65">
        <v>0.53581794464314658</v>
      </c>
      <c r="GM14" s="65">
        <v>0.52341392180135182</v>
      </c>
      <c r="GN14" s="65">
        <v>0.51890174760033225</v>
      </c>
      <c r="GO14" s="65">
        <v>0.53422084084055022</v>
      </c>
      <c r="GP14" s="65">
        <v>0.54646167048184469</v>
      </c>
      <c r="GQ14" s="65">
        <v>0.55256253271269407</v>
      </c>
      <c r="GR14" s="65">
        <v>0.55726704213298206</v>
      </c>
      <c r="GS14" s="65">
        <v>0.56182932343232406</v>
      </c>
      <c r="GT14" s="65">
        <v>0.5641201992326933</v>
      </c>
      <c r="GU14" s="65">
        <v>0.5772935231022932</v>
      </c>
      <c r="GV14" s="65">
        <v>0.58314798009983371</v>
      </c>
      <c r="GW14" s="65">
        <v>0.58796506527299919</v>
      </c>
      <c r="GX14" s="65">
        <v>0.59687100000000004</v>
      </c>
      <c r="GY14" s="65">
        <v>0.60723000000000005</v>
      </c>
      <c r="GZ14" s="116">
        <f>'[2]Table S4'!K7</f>
        <v>0.61944376646623067</v>
      </c>
    </row>
    <row r="15" spans="1:208">
      <c r="A15" s="25" t="s">
        <v>156</v>
      </c>
      <c r="B15" s="23">
        <v>6.4458886219498759E-2</v>
      </c>
      <c r="C15" s="23">
        <v>6.8336286308994382E-2</v>
      </c>
      <c r="D15" s="23">
        <v>6.4735433857838864E-2</v>
      </c>
      <c r="E15" s="23">
        <v>6.3436418241022169E-2</v>
      </c>
      <c r="F15" s="23">
        <v>6.4778338082921452E-2</v>
      </c>
      <c r="G15" s="23">
        <v>6.6641628945913675E-2</v>
      </c>
      <c r="H15" s="23">
        <v>6.6630390473327486E-2</v>
      </c>
      <c r="I15" s="23">
        <v>6.8166612539295027E-2</v>
      </c>
      <c r="J15" s="23">
        <v>7.3914723818081035E-2</v>
      </c>
      <c r="K15" s="23">
        <v>7.7875210747873569E-2</v>
      </c>
      <c r="L15" s="23">
        <v>7.5337852347071702E-2</v>
      </c>
      <c r="M15" s="23">
        <v>6.8094366015951494E-2</v>
      </c>
      <c r="N15" s="23">
        <v>6.5276988596759455E-2</v>
      </c>
      <c r="O15" s="23">
        <v>7.2595955468918116E-2</v>
      </c>
      <c r="P15" s="23">
        <v>7.4999999999999997E-2</v>
      </c>
      <c r="Q15" s="23">
        <v>6.6528000000000004E-2</v>
      </c>
      <c r="R15" s="23">
        <f>'[2]Table 11'!$E$13</f>
        <v>6.5320782207928252E-2</v>
      </c>
      <c r="T15" s="186" t="s">
        <v>179</v>
      </c>
      <c r="U15" s="24"/>
      <c r="V15" s="24"/>
      <c r="AM15" s="211" t="s">
        <v>201</v>
      </c>
      <c r="AN15" s="27"/>
      <c r="AO15" s="27"/>
      <c r="BF15" s="2" t="s">
        <v>217</v>
      </c>
      <c r="BG15" s="139">
        <v>260.25465000000003</v>
      </c>
      <c r="BH15" s="49">
        <f>'T7-T10'!B15</f>
        <v>56975.59879107897</v>
      </c>
      <c r="BI15" s="11">
        <v>270.61765000000003</v>
      </c>
      <c r="BJ15" s="49">
        <f>'T7-T10'!C15</f>
        <v>59607.131970470975</v>
      </c>
      <c r="BK15" s="11">
        <v>275.00625000000002</v>
      </c>
      <c r="BL15" s="49">
        <f>'T7-T10'!D15</f>
        <v>52088.168870714275</v>
      </c>
      <c r="BM15" s="11">
        <v>319.46644999999995</v>
      </c>
      <c r="BN15" s="49">
        <f>'T7-T10'!E15</f>
        <v>50969.416907921142</v>
      </c>
      <c r="BO15" s="11">
        <v>351.21365000000003</v>
      </c>
      <c r="BP15" s="49">
        <f>'T7-T10'!F15</f>
        <v>53995.99290618232</v>
      </c>
      <c r="BQ15" s="11">
        <v>340.01620000000003</v>
      </c>
      <c r="BR15" s="49">
        <f>'T7-T10'!G15</f>
        <v>57124.865591281145</v>
      </c>
      <c r="BS15" s="11">
        <v>332.89920000000001</v>
      </c>
      <c r="BT15" s="49">
        <f>'T7-T10'!H15</f>
        <v>55513.605637594286</v>
      </c>
      <c r="BU15" s="11">
        <v>344.70205000000004</v>
      </c>
      <c r="BV15" s="49">
        <f>'T7-T10'!I15</f>
        <v>55222.551227132411</v>
      </c>
      <c r="BW15" s="11">
        <v>359.1816</v>
      </c>
      <c r="BX15" s="49">
        <f>'T7-T10'!J15</f>
        <v>57400.333458889116</v>
      </c>
      <c r="BY15" s="11">
        <v>371.63965000000002</v>
      </c>
      <c r="BZ15" s="49">
        <f>'T7-T10'!K15</f>
        <v>50187.122542555022</v>
      </c>
      <c r="CA15" s="11">
        <v>399.12234999999998</v>
      </c>
      <c r="CB15" s="49">
        <f>'T7-T10'!L15</f>
        <v>43341.654485144682</v>
      </c>
      <c r="CC15" s="11">
        <v>389.32515000000001</v>
      </c>
      <c r="CD15" s="49">
        <f>'T7-T10'!M15</f>
        <v>46290.259149486883</v>
      </c>
      <c r="CE15" s="11">
        <v>374.56180000000001</v>
      </c>
      <c r="CF15" s="49">
        <f>'T7-T10'!N15</f>
        <v>48557.018933719228</v>
      </c>
      <c r="CG15" s="11">
        <v>386</v>
      </c>
      <c r="CH15" s="49">
        <f>'T7-T10'!O15</f>
        <v>49136.053155415029</v>
      </c>
      <c r="CI15" s="11">
        <f>387301.8/1000</f>
        <v>387.30180000000001</v>
      </c>
      <c r="CJ15" s="49">
        <f>'T7-T10'!P15</f>
        <v>48526.817244493286</v>
      </c>
      <c r="CK15" s="118">
        <f>'[2]Table 9-10-14-16'!$J$6/1000</f>
        <v>388.84209999999996</v>
      </c>
      <c r="CL15" s="49">
        <f>'T7-T10'!Q15</f>
        <v>49604.564989137638</v>
      </c>
      <c r="CM15" s="235"/>
      <c r="CN15" s="24" t="s">
        <v>242</v>
      </c>
      <c r="CO15" s="11">
        <v>2583.2534999999998</v>
      </c>
      <c r="CP15" s="49">
        <f>'T7-T10'!T12</f>
        <v>78297.857896564732</v>
      </c>
      <c r="CQ15" s="11">
        <v>2559.6015000000002</v>
      </c>
      <c r="CR15" s="49">
        <f>'T7-T10'!U12</f>
        <v>78855.062686343314</v>
      </c>
      <c r="CS15" s="11">
        <v>2572.1205</v>
      </c>
      <c r="CT15" s="49">
        <f>'T7-T10'!V12</f>
        <v>77299.963454847661</v>
      </c>
      <c r="CU15" s="11">
        <v>2561.067</v>
      </c>
      <c r="CV15" s="49">
        <f>'T7-T10'!W12</f>
        <v>81134.700163074973</v>
      </c>
      <c r="CW15" s="11">
        <v>2497.6995000000002</v>
      </c>
      <c r="CX15" s="49">
        <f>'T7-T10'!X12</f>
        <v>86222.114806823811</v>
      </c>
      <c r="CY15" s="11">
        <v>2470.3654999999999</v>
      </c>
      <c r="CZ15" s="49">
        <f>'T7-T10'!Y12</f>
        <v>82155.806014845555</v>
      </c>
      <c r="DA15" s="11">
        <v>2452.9974999999999</v>
      </c>
      <c r="DB15" s="49">
        <f>'T7-T10'!Z12</f>
        <v>78418.727039877005</v>
      </c>
      <c r="DC15" s="11">
        <v>2477.6790000000001</v>
      </c>
      <c r="DD15" s="49">
        <f>'T7-T10'!AA12</f>
        <v>78540.507491487922</v>
      </c>
      <c r="DE15" s="11">
        <v>2502.2040000000002</v>
      </c>
      <c r="DF15" s="49">
        <f>'T7-T10'!AB12</f>
        <v>76463.239810463012</v>
      </c>
      <c r="DG15" s="11">
        <v>2471.6104999999998</v>
      </c>
      <c r="DH15" s="49">
        <f>'T7-T10'!AC12</f>
        <v>73111.715842565158</v>
      </c>
      <c r="DI15" s="11">
        <v>2502.9594999999999</v>
      </c>
      <c r="DJ15" s="49">
        <f>'T7-T10'!AD12</f>
        <v>73221.620925554467</v>
      </c>
      <c r="DK15" s="11">
        <v>2518.2764999999999</v>
      </c>
      <c r="DL15" s="49">
        <f>'T7-T10'!AE12</f>
        <v>70183.983546169868</v>
      </c>
      <c r="DM15" s="11">
        <v>2491.3380000000002</v>
      </c>
      <c r="DN15" s="49">
        <f>'T7-T10'!AF12</f>
        <v>68893.896400714846</v>
      </c>
      <c r="DO15" s="11">
        <v>2509</v>
      </c>
      <c r="DP15" s="49">
        <f>'T7-T10'!AG12</f>
        <v>69885.865688782331</v>
      </c>
      <c r="DQ15" s="11">
        <v>2554.0459999999998</v>
      </c>
      <c r="DR15" s="49">
        <f>'T7-T10'!AH12</f>
        <v>68840.844527407258</v>
      </c>
      <c r="DS15" s="118">
        <f>'[2]Table 8 &amp; 15'!$G$155</f>
        <v>2574.6379999999999</v>
      </c>
      <c r="DT15" s="49">
        <f>'T7-T10'!AI12</f>
        <v>71136.63371962271</v>
      </c>
      <c r="DV15" s="64" t="s">
        <v>263</v>
      </c>
      <c r="DW15" s="65">
        <v>4.694602100204464E-2</v>
      </c>
      <c r="DX15" s="65">
        <v>5.2367952198267599E-2</v>
      </c>
      <c r="DY15" s="65">
        <v>5.0420869681834714E-2</v>
      </c>
      <c r="DZ15" s="65">
        <v>5.3800342015427154E-2</v>
      </c>
      <c r="EA15" s="65">
        <v>5.2509535575296591E-2</v>
      </c>
      <c r="EB15" s="65">
        <v>5.0348213139367111E-2</v>
      </c>
      <c r="EC15" s="65">
        <v>5.3400426214565026E-2</v>
      </c>
      <c r="ED15" s="65">
        <v>5.2014754235276156E-2</v>
      </c>
      <c r="EE15" s="65">
        <v>5.6881165309482715E-2</v>
      </c>
      <c r="EF15" s="65">
        <v>5.6461433743243937E-2</v>
      </c>
      <c r="EG15" s="65">
        <v>5.9002451237298983E-2</v>
      </c>
      <c r="EH15" s="65">
        <v>6.6421591498098523E-2</v>
      </c>
      <c r="EI15" s="65">
        <v>6.6464693357187743E-2</v>
      </c>
      <c r="EJ15" s="65">
        <v>6.9672405515996516E-2</v>
      </c>
      <c r="EK15" s="65">
        <v>7.3451000000000002E-2</v>
      </c>
      <c r="EL15" s="65">
        <v>6.157E-2</v>
      </c>
      <c r="EM15" s="116">
        <f>'T7-T10'!BT16</f>
        <v>5.0836210080736681E-2</v>
      </c>
      <c r="EO15" s="155" t="s">
        <v>430</v>
      </c>
      <c r="EP15" s="11">
        <v>827.88225</v>
      </c>
      <c r="EQ15" s="11">
        <v>340.13534999999996</v>
      </c>
      <c r="ER15" s="11">
        <v>487.74690000000004</v>
      </c>
      <c r="ES15" s="11">
        <v>662.69010000000003</v>
      </c>
      <c r="ET15" s="11">
        <v>132.219705</v>
      </c>
      <c r="EU15" s="195">
        <v>361.31907000000001</v>
      </c>
      <c r="EW15" s="214" t="s">
        <v>214</v>
      </c>
      <c r="EX15" s="71"/>
      <c r="EY15" s="71"/>
      <c r="GH15" s="133"/>
      <c r="GI15" s="25" t="s">
        <v>186</v>
      </c>
      <c r="GJ15" s="65">
        <v>0.17459919595956161</v>
      </c>
      <c r="GK15" s="65">
        <v>0.18948665425907915</v>
      </c>
      <c r="GL15" s="65">
        <v>0.19427546770720897</v>
      </c>
      <c r="GM15" s="65">
        <v>0.19184732554283948</v>
      </c>
      <c r="GN15" s="65">
        <v>0.19755743344530094</v>
      </c>
      <c r="GO15" s="65">
        <v>0.19819714453526052</v>
      </c>
      <c r="GP15" s="65">
        <v>0.1989653619555701</v>
      </c>
      <c r="GQ15" s="65">
        <v>0.18357263041986091</v>
      </c>
      <c r="GR15" s="65">
        <v>0.17584801124767424</v>
      </c>
      <c r="GS15" s="65">
        <v>0.18928507282946377</v>
      </c>
      <c r="GT15" s="65">
        <v>0.19785616780288154</v>
      </c>
      <c r="GU15" s="65">
        <v>0.18820666404672576</v>
      </c>
      <c r="GV15" s="65">
        <v>0.18797582982384958</v>
      </c>
      <c r="GW15" s="65">
        <v>0.1845097621735679</v>
      </c>
      <c r="GX15" s="65">
        <v>0.17016899999999999</v>
      </c>
      <c r="GY15" s="65">
        <v>0.16006200000000001</v>
      </c>
      <c r="GZ15" s="116">
        <f>'[2]Table S4'!K8</f>
        <v>0.15507716108094552</v>
      </c>
    </row>
    <row r="16" spans="1:208">
      <c r="A16" s="25" t="s">
        <v>157</v>
      </c>
      <c r="B16" s="23">
        <v>3.8464144003791507E-2</v>
      </c>
      <c r="C16" s="23">
        <v>4.0747989427970359E-2</v>
      </c>
      <c r="D16" s="23">
        <v>3.9995666737801382E-2</v>
      </c>
      <c r="E16" s="23">
        <v>3.6658411051463273E-2</v>
      </c>
      <c r="F16" s="23">
        <v>3.8219632754107273E-2</v>
      </c>
      <c r="G16" s="23">
        <v>3.9653216542890286E-2</v>
      </c>
      <c r="H16" s="23">
        <v>4.203957849331038E-2</v>
      </c>
      <c r="I16" s="23">
        <v>4.6108359075304257E-2</v>
      </c>
      <c r="J16" s="23">
        <v>4.7319120926975621E-2</v>
      </c>
      <c r="K16" s="23">
        <v>5.1624229697575429E-2</v>
      </c>
      <c r="L16" s="23">
        <v>5.4589239938432912E-2</v>
      </c>
      <c r="M16" s="23">
        <v>4.6811279247252202E-2</v>
      </c>
      <c r="N16" s="23">
        <v>3.6444120843873717E-2</v>
      </c>
      <c r="O16" s="23">
        <v>3.6335445626752109E-2</v>
      </c>
      <c r="P16" s="23">
        <v>0.04</v>
      </c>
      <c r="Q16" s="23">
        <v>3.6122000000000001E-2</v>
      </c>
      <c r="R16" s="23">
        <f>'[2]Table 11'!$E$14</f>
        <v>3.6678441505316017E-2</v>
      </c>
      <c r="T16" s="25" t="s">
        <v>175</v>
      </c>
      <c r="U16" s="23">
        <v>1</v>
      </c>
      <c r="V16" s="23">
        <v>1</v>
      </c>
      <c r="W16" s="23">
        <v>1</v>
      </c>
      <c r="X16" s="23">
        <v>1</v>
      </c>
      <c r="Y16" s="23">
        <v>1</v>
      </c>
      <c r="Z16" s="23">
        <v>1</v>
      </c>
      <c r="AA16" s="23">
        <v>1</v>
      </c>
      <c r="AB16" s="23">
        <v>1</v>
      </c>
      <c r="AC16" s="23">
        <v>1</v>
      </c>
      <c r="AD16" s="23">
        <v>1</v>
      </c>
      <c r="AE16" s="23">
        <v>1</v>
      </c>
      <c r="AF16" s="23">
        <v>1</v>
      </c>
      <c r="AG16" s="23">
        <v>1</v>
      </c>
      <c r="AH16" s="23">
        <v>1</v>
      </c>
      <c r="AI16" s="23">
        <f>SUM(AI17:AI20)</f>
        <v>1</v>
      </c>
      <c r="AJ16" s="23">
        <f>SUM(AJ17:AJ20)</f>
        <v>0.9998999999999999</v>
      </c>
      <c r="AK16" s="23">
        <f>SUM(AK17:AK20)</f>
        <v>0.99999991230716345</v>
      </c>
      <c r="AM16" s="200" t="s">
        <v>202</v>
      </c>
      <c r="AN16" s="55">
        <v>3172.5692450000001</v>
      </c>
      <c r="AO16" s="55">
        <v>3288.0546250000002</v>
      </c>
      <c r="AP16" s="55">
        <v>3268</v>
      </c>
      <c r="AQ16" s="55">
        <v>3285</v>
      </c>
      <c r="AR16" s="55">
        <v>3358.8</v>
      </c>
      <c r="AS16" s="55">
        <v>3380.5</v>
      </c>
      <c r="AT16" s="55">
        <v>3332.2</v>
      </c>
      <c r="AU16" s="55">
        <v>3283.1</v>
      </c>
      <c r="AV16" s="55">
        <v>3331.9</v>
      </c>
      <c r="AW16" s="55">
        <v>3403.7</v>
      </c>
      <c r="AX16" s="55">
        <v>3361.6</v>
      </c>
      <c r="AY16" s="55">
        <v>3348.3</v>
      </c>
      <c r="AZ16" s="55">
        <v>3429.6702399999999</v>
      </c>
      <c r="BA16" s="55">
        <v>3507.8980000000001</v>
      </c>
      <c r="BB16" s="55">
        <f>'T1-T6'!Q15/1000</f>
        <v>3534.5364500000001</v>
      </c>
      <c r="BC16" s="55">
        <f>'T1-T6'!Q12/1000</f>
        <v>3506.4110000000001</v>
      </c>
      <c r="BD16" s="55">
        <f>'[2]Table 3 &amp; 13'!$F$7/1000</f>
        <v>3547.3151499999999</v>
      </c>
      <c r="BF16" s="2"/>
      <c r="BG16" s="133"/>
      <c r="CM16" s="234"/>
      <c r="CN16" s="24" t="s">
        <v>243</v>
      </c>
      <c r="CO16" s="11">
        <v>455.99180000000001</v>
      </c>
      <c r="CP16" s="49">
        <f>'T7-T10'!T13</f>
        <v>46421.945966710649</v>
      </c>
      <c r="CQ16" s="11">
        <v>446.14279999999997</v>
      </c>
      <c r="CR16" s="49">
        <f>'T7-T10'!U13</f>
        <v>49109.214168040577</v>
      </c>
      <c r="CS16" s="11">
        <v>429.51609999999999</v>
      </c>
      <c r="CT16" s="49">
        <f>'T7-T10'!V13</f>
        <v>48698.414207854126</v>
      </c>
      <c r="CU16" s="11">
        <v>415.67509999999999</v>
      </c>
      <c r="CV16" s="49">
        <f>'T7-T10'!W13</f>
        <v>53567.069699820364</v>
      </c>
      <c r="CW16" s="11">
        <v>428.57940000000002</v>
      </c>
      <c r="CX16" s="49">
        <f>'T7-T10'!X13</f>
        <v>52658.601689260628</v>
      </c>
      <c r="CY16" s="11">
        <v>460.346</v>
      </c>
      <c r="CZ16" s="49">
        <f>'T7-T10'!Y13</f>
        <v>43469.213151819116</v>
      </c>
      <c r="DA16" s="11">
        <v>456.19209999999998</v>
      </c>
      <c r="DB16" s="49">
        <f>'T7-T10'!Z13</f>
        <v>43622.317296211011</v>
      </c>
      <c r="DC16" s="11">
        <v>439.81975</v>
      </c>
      <c r="DD16" s="49">
        <f>'T7-T10'!AA13</f>
        <v>44114.140001372703</v>
      </c>
      <c r="DE16" s="11">
        <v>449.75625000000002</v>
      </c>
      <c r="DF16" s="49">
        <f>'T7-T10'!AB13</f>
        <v>40130.420718491354</v>
      </c>
      <c r="DG16" s="11">
        <v>457.40809999999999</v>
      </c>
      <c r="DH16" s="49">
        <f>'T7-T10'!AC13</f>
        <v>39103.727474356376</v>
      </c>
      <c r="DI16" s="11">
        <v>458.46809999999999</v>
      </c>
      <c r="DJ16" s="49">
        <f>'T7-T10'!AD13</f>
        <v>40918.916729402546</v>
      </c>
      <c r="DK16" s="11">
        <v>482.24074999999999</v>
      </c>
      <c r="DL16" s="49">
        <f>'T7-T10'!AE13</f>
        <v>40833.954205930335</v>
      </c>
      <c r="DM16" s="11">
        <v>502.50845000000004</v>
      </c>
      <c r="DN16" s="49">
        <f>'T7-T10'!AF13</f>
        <v>42437.896786885307</v>
      </c>
      <c r="DO16" s="11">
        <v>504</v>
      </c>
      <c r="DP16" s="49">
        <f>'T7-T10'!AG13</f>
        <v>43965.689668014325</v>
      </c>
      <c r="DQ16" s="11">
        <v>504.03910000000002</v>
      </c>
      <c r="DR16" s="49">
        <f>'T7-T10'!AH13</f>
        <v>41612.967277624601</v>
      </c>
      <c r="DS16" s="118">
        <f>'[2]Table 8 &amp; 15'!$G$206</f>
        <v>485.97630000000004</v>
      </c>
      <c r="DT16" s="49">
        <f>'T7-T10'!AI13</f>
        <v>45754.632085751509</v>
      </c>
      <c r="DV16" s="64" t="s">
        <v>264</v>
      </c>
      <c r="DW16" s="65">
        <v>2.2363771863164919E-2</v>
      </c>
      <c r="DX16" s="65">
        <v>2.1875381913432464E-2</v>
      </c>
      <c r="DY16" s="65">
        <v>2.3460542838792377E-2</v>
      </c>
      <c r="DZ16" s="65">
        <v>2.0227876496471817E-2</v>
      </c>
      <c r="EA16" s="65">
        <v>2.0750808393712142E-2</v>
      </c>
      <c r="EB16" s="65">
        <v>2.2052140913816749E-2</v>
      </c>
      <c r="EC16" s="65">
        <v>3.0335129215231422E-2</v>
      </c>
      <c r="ED16" s="65">
        <v>1.8635736050297544E-2</v>
      </c>
      <c r="EE16" s="65">
        <v>2.2489961156848693E-2</v>
      </c>
      <c r="EF16" s="65">
        <v>2.6773878553808386E-2</v>
      </c>
      <c r="EG16" s="65">
        <v>2.7039074817830581E-2</v>
      </c>
      <c r="EH16" s="65">
        <v>2.4521188980178993E-2</v>
      </c>
      <c r="EI16" s="65">
        <v>3.026490132450213E-2</v>
      </c>
      <c r="EJ16" s="65">
        <v>3.0472152904800633E-2</v>
      </c>
      <c r="EK16" s="65">
        <v>2.6239999999999999E-2</v>
      </c>
      <c r="EL16" s="65">
        <v>2.6974000000000001E-2</v>
      </c>
      <c r="EM16" s="116">
        <f>'[2]Table 9-10-14-16'!$H$11</f>
        <v>2.4872860602469186E-2</v>
      </c>
      <c r="EO16" s="155" t="s">
        <v>432</v>
      </c>
      <c r="EP16" s="11">
        <v>825.26009999999997</v>
      </c>
      <c r="EQ16" s="11">
        <v>331.69299999999998</v>
      </c>
      <c r="ER16" s="11">
        <v>493.56709999999998</v>
      </c>
      <c r="ES16" s="11">
        <v>647.64599999999996</v>
      </c>
      <c r="ET16" s="11">
        <v>133.84263000000001</v>
      </c>
      <c r="EU16" s="195">
        <v>356.93288000000001</v>
      </c>
      <c r="EW16" s="202" t="s">
        <v>97</v>
      </c>
      <c r="EX16" s="70">
        <v>6613.5339000000004</v>
      </c>
      <c r="EY16" s="70">
        <v>6734.0207499999997</v>
      </c>
      <c r="EZ16" s="70">
        <v>6724</v>
      </c>
      <c r="FA16" s="70">
        <v>6750.6749499999996</v>
      </c>
      <c r="FB16" s="70">
        <v>6807.7605999999996</v>
      </c>
      <c r="FC16" s="70">
        <v>6686.4</v>
      </c>
      <c r="FD16" s="70">
        <v>6500.4844000000003</v>
      </c>
      <c r="FE16" s="70">
        <v>6420.4902000000002</v>
      </c>
      <c r="FF16" s="70">
        <v>6507.7312499999998</v>
      </c>
      <c r="FG16" s="70">
        <v>6634.8530000000001</v>
      </c>
      <c r="FH16" s="70">
        <v>6602.0201999999999</v>
      </c>
      <c r="FI16" s="70">
        <v>6536.8504999999996</v>
      </c>
      <c r="FJ16" s="70">
        <v>6549.2876999999999</v>
      </c>
      <c r="FK16" s="70">
        <v>6616.9399000000003</v>
      </c>
      <c r="FL16" s="70">
        <f>6574464/1000</f>
        <v>6574.4639999999999</v>
      </c>
      <c r="FM16" s="70">
        <f>6497393/1000</f>
        <v>6497.393</v>
      </c>
      <c r="FN16" s="70">
        <f>'[2]Table S2'!$F$67/1000</f>
        <v>6572.3689000000004</v>
      </c>
      <c r="FP16" s="25" t="s">
        <v>299</v>
      </c>
      <c r="GH16" s="133"/>
      <c r="GI16" s="25" t="s">
        <v>187</v>
      </c>
      <c r="GJ16" s="65">
        <v>0.19031938820060368</v>
      </c>
      <c r="GK16" s="65">
        <v>0.18295331284654825</v>
      </c>
      <c r="GL16" s="65">
        <v>0.18270005484250842</v>
      </c>
      <c r="GM16" s="65">
        <v>0.19375961726218224</v>
      </c>
      <c r="GN16" s="65">
        <v>0.19225101456037461</v>
      </c>
      <c r="GO16" s="65">
        <v>0.18705737729944405</v>
      </c>
      <c r="GP16" s="65">
        <v>0.18343552566338503</v>
      </c>
      <c r="GQ16" s="65">
        <v>0.18142935181600509</v>
      </c>
      <c r="GR16" s="65">
        <v>0.17626184544197329</v>
      </c>
      <c r="GS16" s="65">
        <v>0.16875493147191889</v>
      </c>
      <c r="GT16" s="65">
        <v>0.16987087898296371</v>
      </c>
      <c r="GU16" s="65">
        <v>0.1622853138742513</v>
      </c>
      <c r="GV16" s="65">
        <v>0.15129115886216202</v>
      </c>
      <c r="GW16" s="65">
        <v>0.15287205370939932</v>
      </c>
      <c r="GX16" s="65">
        <v>0.15710499999999999</v>
      </c>
      <c r="GY16" s="65">
        <v>0.15895500000000001</v>
      </c>
      <c r="GZ16" s="116">
        <f>'[2]Table S4'!K9</f>
        <v>0.15328974684200583</v>
      </c>
    </row>
    <row r="17" spans="1:208">
      <c r="A17" s="24"/>
      <c r="B17" s="24"/>
      <c r="C17" s="24"/>
      <c r="T17" s="25" t="s">
        <v>180</v>
      </c>
      <c r="U17" s="23">
        <v>0.14993524360670754</v>
      </c>
      <c r="V17" s="23">
        <v>0.1512081311164119</v>
      </c>
      <c r="W17" s="23">
        <v>0.13266508763157794</v>
      </c>
      <c r="X17" s="23">
        <v>0.12228192191405117</v>
      </c>
      <c r="Y17" s="23">
        <v>0.12326841217210724</v>
      </c>
      <c r="Z17" s="23">
        <v>0.11640924007352563</v>
      </c>
      <c r="AA17" s="23">
        <v>0.11706186185940096</v>
      </c>
      <c r="AB17" s="23">
        <v>0.12315722003479534</v>
      </c>
      <c r="AC17" s="23">
        <v>0.11418576490110777</v>
      </c>
      <c r="AD17" s="23">
        <v>0.11364130591210586</v>
      </c>
      <c r="AE17" s="23">
        <v>0.12903509184304901</v>
      </c>
      <c r="AF17" s="23">
        <v>7.0527583986019979E-2</v>
      </c>
      <c r="AG17" s="23">
        <v>7.51107870312505E-2</v>
      </c>
      <c r="AH17" s="23">
        <v>0.11379297371862628</v>
      </c>
      <c r="AI17" s="23">
        <v>0.128</v>
      </c>
      <c r="AJ17" s="23">
        <v>7.6023999999999994E-2</v>
      </c>
      <c r="AK17" s="23">
        <f>'[2]Table 12'!E8</f>
        <v>0.10110773591126888</v>
      </c>
      <c r="AM17" s="27" t="s">
        <v>194</v>
      </c>
      <c r="AN17" s="56">
        <v>1</v>
      </c>
      <c r="AO17" s="56">
        <v>1</v>
      </c>
      <c r="AP17" s="56">
        <v>1</v>
      </c>
      <c r="AQ17" s="309">
        <v>1</v>
      </c>
      <c r="AR17" s="56">
        <v>1</v>
      </c>
      <c r="AS17" s="56">
        <v>1</v>
      </c>
      <c r="AT17" s="309">
        <v>1</v>
      </c>
      <c r="AU17" s="56">
        <v>1</v>
      </c>
      <c r="AV17" s="56">
        <v>1</v>
      </c>
      <c r="AW17" s="56">
        <v>1</v>
      </c>
      <c r="AX17" s="56">
        <v>1</v>
      </c>
      <c r="AY17" s="56">
        <v>1</v>
      </c>
      <c r="AZ17" s="56">
        <v>1</v>
      </c>
      <c r="BA17" s="56">
        <v>1</v>
      </c>
      <c r="BB17" s="56">
        <f>SUM(BB18:BB23)</f>
        <v>1.0000009999999999</v>
      </c>
      <c r="BC17" s="56">
        <f>SUM(BC18:BC23)</f>
        <v>1.0007252</v>
      </c>
      <c r="BD17" s="56">
        <f>SUM(BD18:BD23)</f>
        <v>1</v>
      </c>
      <c r="BF17" s="186" t="s">
        <v>218</v>
      </c>
      <c r="CM17" s="234"/>
      <c r="CN17" s="43"/>
      <c r="CS17" s="11"/>
      <c r="DR17" s="49"/>
      <c r="DS17" s="118"/>
      <c r="DT17" s="49"/>
      <c r="DV17" s="64" t="s">
        <v>265</v>
      </c>
      <c r="DW17" s="65">
        <v>2.6750839852921052E-2</v>
      </c>
      <c r="DX17" s="65">
        <v>2.5274366800078565E-2</v>
      </c>
      <c r="DY17" s="65">
        <v>2.3868706157643312E-2</v>
      </c>
      <c r="DZ17" s="65">
        <v>2.2078035708479375E-2</v>
      </c>
      <c r="EA17" s="65">
        <v>2.0962976742045194E-2</v>
      </c>
      <c r="EB17" s="65">
        <v>2.1136703790351822E-2</v>
      </c>
      <c r="EC17" s="65">
        <v>1.8996354752943232E-2</v>
      </c>
      <c r="ED17" s="65">
        <v>2.6517489556041714E-2</v>
      </c>
      <c r="EE17" s="65">
        <v>2.3882932511991764E-2</v>
      </c>
      <c r="EF17" s="65">
        <v>2.297850823356996E-2</v>
      </c>
      <c r="EG17" s="65">
        <v>2.2701994551357706E-2</v>
      </c>
      <c r="EH17" s="65">
        <v>2.5668916591360967E-2</v>
      </c>
      <c r="EI17" s="65">
        <v>2.5586746862574398E-2</v>
      </c>
      <c r="EJ17" s="65">
        <v>2.4015162397192938E-2</v>
      </c>
      <c r="EK17" s="65">
        <v>2.5004999999999999E-2</v>
      </c>
      <c r="EL17" s="65">
        <v>2.7910999999999998E-2</v>
      </c>
      <c r="EM17" s="116">
        <f>'[2]Table 9-10-14-16'!$H$15</f>
        <v>3.2276631030576403E-2</v>
      </c>
      <c r="EO17" s="155" t="s">
        <v>436</v>
      </c>
      <c r="EP17" s="11">
        <v>842.41819999999996</v>
      </c>
      <c r="EQ17" s="11">
        <v>339.57920000000001</v>
      </c>
      <c r="ER17" s="11">
        <v>502.83899999999994</v>
      </c>
      <c r="ES17" s="11">
        <v>667.45299999999997</v>
      </c>
      <c r="ET17" s="11">
        <v>134.22156000000001</v>
      </c>
      <c r="EU17" s="195">
        <v>358.28321999999997</v>
      </c>
      <c r="EW17" s="71" t="s">
        <v>283</v>
      </c>
      <c r="EX17" s="72">
        <v>6.4776064729932054E-2</v>
      </c>
      <c r="EY17" s="72">
        <v>6.7218748917576468E-2</v>
      </c>
      <c r="EZ17" s="72">
        <v>6.6066558265808345E-2</v>
      </c>
      <c r="FA17" s="72">
        <v>7.0686257823745477E-2</v>
      </c>
      <c r="FB17" s="72">
        <v>6.1341424701043611E-2</v>
      </c>
      <c r="FC17" s="72">
        <v>6.7369424250510984E-2</v>
      </c>
      <c r="FD17" s="72">
        <v>7.3844627640364757E-2</v>
      </c>
      <c r="FE17" s="72">
        <v>7.5071207179788241E-2</v>
      </c>
      <c r="FF17" s="72">
        <v>7.7320494757677646E-2</v>
      </c>
      <c r="FG17" s="72">
        <v>7.7047607535539978E-2</v>
      </c>
      <c r="FH17" s="72">
        <v>8.0419808470140686E-2</v>
      </c>
      <c r="FI17" s="72">
        <v>8.3873954284253552E-2</v>
      </c>
      <c r="FJ17" s="72">
        <v>8.6393120277797539E-2</v>
      </c>
      <c r="FK17" s="72">
        <v>9.1437070480268376E-2</v>
      </c>
      <c r="FL17" s="72">
        <v>9.3737000000000001E-2</v>
      </c>
      <c r="FM17" s="72">
        <v>8.7038000000000004E-2</v>
      </c>
      <c r="FN17" s="72">
        <f>'[2]Table S2'!$F$68</f>
        <v>7.5727063951020759E-2</v>
      </c>
      <c r="FP17" s="25" t="s">
        <v>303</v>
      </c>
      <c r="FQ17" s="11">
        <v>516.2048299999999</v>
      </c>
      <c r="FR17" s="11">
        <v>518.7011</v>
      </c>
      <c r="FS17" s="11">
        <v>492.27350000000001</v>
      </c>
      <c r="FT17" s="11">
        <v>500.40865500000001</v>
      </c>
      <c r="FU17" s="11">
        <v>527.60423500000002</v>
      </c>
      <c r="FV17" s="11">
        <v>547.29999999999995</v>
      </c>
      <c r="FW17" s="11">
        <v>521.54746499999999</v>
      </c>
      <c r="FX17" s="11">
        <v>479.31089000000003</v>
      </c>
      <c r="FY17" s="11">
        <v>481.81766500000003</v>
      </c>
      <c r="FZ17" s="11">
        <v>458.18044500000002</v>
      </c>
      <c r="GA17" s="11">
        <v>433.51671999999996</v>
      </c>
      <c r="GB17" s="11">
        <v>464.50299999999999</v>
      </c>
      <c r="GC17" s="11">
        <v>465.19726000000003</v>
      </c>
      <c r="GD17" s="11">
        <v>441.83102500000001</v>
      </c>
      <c r="GE17" s="11">
        <v>449</v>
      </c>
      <c r="GF17" s="11">
        <f>447456.2/1000</f>
        <v>447.45620000000002</v>
      </c>
      <c r="GG17" s="11">
        <f>'[2]Table S3'!$F$6/1000</f>
        <v>431.68042000000003</v>
      </c>
      <c r="GH17" s="139"/>
      <c r="GI17" s="25" t="s">
        <v>188</v>
      </c>
      <c r="GJ17" s="65">
        <v>7.1300652079236762E-2</v>
      </c>
      <c r="GK17" s="65">
        <v>6.4912046712028479E-2</v>
      </c>
      <c r="GL17" s="65">
        <v>7.0185660728577778E-2</v>
      </c>
      <c r="GM17" s="65">
        <v>7.546628578153261E-2</v>
      </c>
      <c r="GN17" s="65">
        <v>7.6782322666690758E-2</v>
      </c>
      <c r="GO17" s="65">
        <v>6.6114673847122551E-2</v>
      </c>
      <c r="GP17" s="65">
        <v>5.7859168551436718E-2</v>
      </c>
      <c r="GQ17" s="65">
        <v>6.6139380630856198E-2</v>
      </c>
      <c r="GR17" s="65">
        <v>6.9529602502055726E-2</v>
      </c>
      <c r="GS17" s="65">
        <v>6.1395069657618893E-2</v>
      </c>
      <c r="GT17" s="65">
        <v>5.3744294836465478E-2</v>
      </c>
      <c r="GU17" s="65">
        <v>5.5085740557749452E-2</v>
      </c>
      <c r="GV17" s="65">
        <v>5.624120524537856E-2</v>
      </c>
      <c r="GW17" s="65">
        <v>5.9177492817852874E-2</v>
      </c>
      <c r="GX17" s="65">
        <v>6.3131000000000007E-2</v>
      </c>
      <c r="GY17" s="65">
        <v>5.3656000000000002E-2</v>
      </c>
      <c r="GZ17" s="116">
        <f>'[2]Table S4'!K10</f>
        <v>4.8125587469308097E-2</v>
      </c>
    </row>
    <row r="18" spans="1:208">
      <c r="A18" s="186" t="s">
        <v>158</v>
      </c>
      <c r="B18" s="24"/>
      <c r="C18" s="24"/>
      <c r="T18" s="25" t="s">
        <v>181</v>
      </c>
      <c r="U18" s="23">
        <v>0.29643774645134646</v>
      </c>
      <c r="V18" s="23">
        <v>0.28242862758940557</v>
      </c>
      <c r="W18" s="23">
        <v>0.29643973404746271</v>
      </c>
      <c r="X18" s="23">
        <v>0.31250624595767856</v>
      </c>
      <c r="Y18" s="23">
        <v>0.29878772073226528</v>
      </c>
      <c r="Z18" s="23">
        <v>0.2998672772267103</v>
      </c>
      <c r="AA18" s="23">
        <v>0.30913125941851122</v>
      </c>
      <c r="AB18" s="23">
        <v>0.30917498397582638</v>
      </c>
      <c r="AC18" s="23">
        <v>0.30537740503206712</v>
      </c>
      <c r="AD18" s="23">
        <v>0.29741385407594034</v>
      </c>
      <c r="AE18" s="23">
        <v>0.29124272166483484</v>
      </c>
      <c r="AF18" s="23">
        <v>0.16521224513694036</v>
      </c>
      <c r="AG18" s="23">
        <v>0.20408038303592338</v>
      </c>
      <c r="AH18" s="23">
        <v>0.27608753291889854</v>
      </c>
      <c r="AI18" s="23">
        <v>0.28799999999999998</v>
      </c>
      <c r="AJ18" s="23">
        <v>0.175286</v>
      </c>
      <c r="AK18" s="23">
        <f>'[2]Table 12'!E9</f>
        <v>0.22987243323067424</v>
      </c>
      <c r="AM18" s="27" t="s">
        <v>195</v>
      </c>
      <c r="AN18" s="56">
        <v>0.55755531740528275</v>
      </c>
      <c r="AO18" s="56">
        <v>0.55359055964588788</v>
      </c>
      <c r="AP18" s="56">
        <v>0.5423008817448105</v>
      </c>
      <c r="AQ18" s="56">
        <v>0.53654677370880033</v>
      </c>
      <c r="AR18" s="56">
        <v>0.53004049065142311</v>
      </c>
      <c r="AS18" s="56">
        <v>0.53464670030327666</v>
      </c>
      <c r="AT18" s="56">
        <v>0.5316307544565152</v>
      </c>
      <c r="AU18" s="56">
        <v>0.52100149249185224</v>
      </c>
      <c r="AV18" s="56">
        <v>0.51535160118851109</v>
      </c>
      <c r="AW18" s="56">
        <v>0.49791261283574961</v>
      </c>
      <c r="AX18" s="56">
        <v>0.48705286028286088</v>
      </c>
      <c r="AY18" s="56">
        <v>0.49685911946825195</v>
      </c>
      <c r="AZ18" s="56">
        <v>0.50685018627330192</v>
      </c>
      <c r="BA18" s="56">
        <v>0.50186402062880731</v>
      </c>
      <c r="BB18" s="56">
        <v>0.50714300000000001</v>
      </c>
      <c r="BC18" s="56">
        <v>0.52158599999999999</v>
      </c>
      <c r="BD18" s="56">
        <f>'[2]Table 3 &amp; 13'!$F$8</f>
        <v>0.52135006950256446</v>
      </c>
      <c r="BF18" s="25" t="s">
        <v>219</v>
      </c>
      <c r="CM18" s="234"/>
      <c r="CN18" s="43" t="s">
        <v>244</v>
      </c>
      <c r="CO18" s="11">
        <v>330.19344999999998</v>
      </c>
      <c r="CP18" s="49">
        <f>'T7-T10'!T15</f>
        <v>53735.416324787599</v>
      </c>
      <c r="CQ18" s="11">
        <v>340.76044999999999</v>
      </c>
      <c r="CR18" s="49">
        <f>'T7-T10'!U15</f>
        <v>54862.464372950111</v>
      </c>
      <c r="CS18" s="11">
        <v>355.58190000000002</v>
      </c>
      <c r="CT18" s="49">
        <f>'T7-T10'!V15</f>
        <v>48982.014131307355</v>
      </c>
      <c r="CU18" s="11">
        <v>402.06555000000003</v>
      </c>
      <c r="CV18" s="49">
        <f>'T7-T10'!W15</f>
        <v>50913.641123784153</v>
      </c>
      <c r="CW18" s="11">
        <v>418.84545000000003</v>
      </c>
      <c r="CX18" s="49">
        <f>'T7-T10'!X15</f>
        <v>55716.577573304574</v>
      </c>
      <c r="CY18" s="11">
        <v>427.73009999999999</v>
      </c>
      <c r="CZ18" s="49">
        <f>'T7-T10'!Y15</f>
        <v>55814.207901578164</v>
      </c>
      <c r="DA18" s="11">
        <v>440.93819999999999</v>
      </c>
      <c r="DB18" s="49">
        <f>'T7-T10'!Z15</f>
        <v>52623.652050114513</v>
      </c>
      <c r="DC18" s="11">
        <v>451.07585</v>
      </c>
      <c r="DD18" s="49">
        <f>'T7-T10'!AA15</f>
        <v>54116.169373786848</v>
      </c>
      <c r="DE18" s="11">
        <v>460.33894999999995</v>
      </c>
      <c r="DF18" s="49">
        <f>'T7-T10'!AB15</f>
        <v>55756.255894659946</v>
      </c>
      <c r="DG18" s="11">
        <v>470.06135</v>
      </c>
      <c r="DH18" s="49">
        <f>'T7-T10'!AC15</f>
        <v>48464.659672237467</v>
      </c>
      <c r="DI18" s="11">
        <v>508.78275000000002</v>
      </c>
      <c r="DJ18" s="49">
        <f>'T7-T10'!AD15</f>
        <v>43619.904094989106</v>
      </c>
      <c r="DK18" s="11">
        <v>505.65640000000002</v>
      </c>
      <c r="DL18" s="49">
        <f>'T7-T10'!AE15</f>
        <v>43298.513105143866</v>
      </c>
      <c r="DM18" s="11">
        <v>487.41390000000001</v>
      </c>
      <c r="DN18" s="49">
        <f>'T7-T10'!AF15</f>
        <v>42720.25228513046</v>
      </c>
      <c r="DO18" s="11">
        <v>523</v>
      </c>
      <c r="DP18" s="49">
        <f>'T7-T10'!AG15</f>
        <v>42845.117584136227</v>
      </c>
      <c r="DQ18" s="11">
        <v>542.59799999999996</v>
      </c>
      <c r="DR18" s="49">
        <f>'T7-T10'!AH15</f>
        <v>41752.553782546987</v>
      </c>
      <c r="DS18" s="118">
        <f>'[2]Table 8 &amp; 15'!$G$258</f>
        <v>528.84010000000001</v>
      </c>
      <c r="DT18" s="49">
        <f>'T7-T10'!AI15</f>
        <v>41930.78096315416</v>
      </c>
      <c r="DV18" s="64" t="s">
        <v>266</v>
      </c>
      <c r="DW18" s="65">
        <v>0.90450094008560489</v>
      </c>
      <c r="DX18" s="65">
        <v>0.90048229908822131</v>
      </c>
      <c r="DY18" s="65">
        <v>0.90224988132172956</v>
      </c>
      <c r="DZ18" s="65">
        <v>0.90389374577962156</v>
      </c>
      <c r="EA18" s="65">
        <v>0.90577667928894612</v>
      </c>
      <c r="EB18" s="65">
        <v>0.90646294215646428</v>
      </c>
      <c r="EC18" s="65">
        <v>0.89726808981726025</v>
      </c>
      <c r="ED18" s="65">
        <v>0.9028320201583846</v>
      </c>
      <c r="EE18" s="65">
        <v>0.89674594102167671</v>
      </c>
      <c r="EF18" s="65">
        <v>0.89378617946937766</v>
      </c>
      <c r="EG18" s="65">
        <v>0.89125647939351282</v>
      </c>
      <c r="EH18" s="65">
        <v>0.88338830293036152</v>
      </c>
      <c r="EI18" s="65">
        <v>0.87768365845573582</v>
      </c>
      <c r="EJ18" s="65">
        <v>0.87584027918201002</v>
      </c>
      <c r="EK18" s="65">
        <v>0.87530399999999997</v>
      </c>
      <c r="EL18" s="65">
        <v>0.88354500000000002</v>
      </c>
      <c r="EM18" s="116">
        <f>'[2]Table 9-10-14-16'!$H$19</f>
        <v>0.89201429828621781</v>
      </c>
      <c r="EO18" s="155" t="s">
        <v>439</v>
      </c>
      <c r="EP18" s="11">
        <v>926.05630000000008</v>
      </c>
      <c r="EQ18" s="11">
        <v>377.28167999999999</v>
      </c>
      <c r="ER18" s="11">
        <v>548.77463499999988</v>
      </c>
      <c r="ES18" s="11">
        <v>723.78359999999998</v>
      </c>
      <c r="ET18" s="11">
        <v>160.19743</v>
      </c>
      <c r="EU18" s="195">
        <v>381.56087000000002</v>
      </c>
      <c r="EW18" s="202" t="s">
        <v>98</v>
      </c>
      <c r="EX18" s="70">
        <v>1207.317</v>
      </c>
      <c r="EY18" s="70">
        <v>1180.0100400000001</v>
      </c>
      <c r="EZ18" s="70">
        <v>1221</v>
      </c>
      <c r="FA18" s="70">
        <v>1226.262095</v>
      </c>
      <c r="FB18" s="70">
        <v>1239.8397850000001</v>
      </c>
      <c r="FC18" s="70">
        <v>1227.9000000000001</v>
      </c>
      <c r="FD18" s="70">
        <v>1208.74029</v>
      </c>
      <c r="FE18" s="70">
        <v>1193.34618</v>
      </c>
      <c r="FF18" s="70">
        <v>1204.75919</v>
      </c>
      <c r="FG18" s="70">
        <v>1211.8666099999998</v>
      </c>
      <c r="FH18" s="70">
        <v>1232.03252</v>
      </c>
      <c r="FI18" s="70">
        <v>1261.26973</v>
      </c>
      <c r="FJ18" s="70">
        <v>1273.34626</v>
      </c>
      <c r="FK18" s="70">
        <v>1291.6419699999999</v>
      </c>
      <c r="FL18" s="70">
        <v>1298</v>
      </c>
      <c r="FM18" s="70">
        <f>1289425/1000</f>
        <v>1289.425</v>
      </c>
      <c r="FN18" s="70">
        <f>'[2]Table S2'!$G$67/1000</f>
        <v>1314.0333500000002</v>
      </c>
      <c r="FP18" s="215" t="s">
        <v>301</v>
      </c>
      <c r="FQ18" s="23">
        <v>1</v>
      </c>
      <c r="FR18" s="23">
        <v>1</v>
      </c>
      <c r="FS18" s="23">
        <v>1</v>
      </c>
      <c r="FT18" s="23">
        <v>1</v>
      </c>
      <c r="FU18" s="23">
        <v>1</v>
      </c>
      <c r="FV18" s="23">
        <v>1</v>
      </c>
      <c r="FW18" s="23">
        <v>1</v>
      </c>
      <c r="FX18" s="23">
        <v>1</v>
      </c>
      <c r="FY18" s="23">
        <v>1</v>
      </c>
      <c r="FZ18" s="23">
        <v>1</v>
      </c>
      <c r="GA18" s="23">
        <v>1</v>
      </c>
      <c r="GB18" s="23">
        <v>1</v>
      </c>
      <c r="GC18" s="23">
        <v>1</v>
      </c>
      <c r="GD18" s="23">
        <v>1</v>
      </c>
      <c r="GE18" s="23">
        <f>SUM(GE19:GE21)</f>
        <v>0.99417700000000009</v>
      </c>
      <c r="GF18" s="23">
        <f>SUM(GF19:GF21)</f>
        <v>0.99840400000000007</v>
      </c>
      <c r="GG18" s="23">
        <f>SUM(GG19:GG21)</f>
        <v>0.99999999999999978</v>
      </c>
      <c r="GH18" s="218"/>
      <c r="GI18" s="25" t="s">
        <v>189</v>
      </c>
      <c r="GJ18" s="65">
        <v>2.0762893645753691E-2</v>
      </c>
      <c r="GK18" s="65">
        <v>1.8530224326169506E-2</v>
      </c>
      <c r="GL18" s="65">
        <v>1.7020849749228507E-2</v>
      </c>
      <c r="GM18" s="65">
        <v>1.5512827164391346E-2</v>
      </c>
      <c r="GN18" s="65">
        <v>1.4507481727301527E-2</v>
      </c>
      <c r="GO18" s="65">
        <v>1.4409963477622611E-2</v>
      </c>
      <c r="GP18" s="65">
        <v>1.3278273347763506E-2</v>
      </c>
      <c r="GQ18" s="65">
        <v>1.6296104420583827E-2</v>
      </c>
      <c r="GR18" s="65">
        <v>2.1093498675314671E-2</v>
      </c>
      <c r="GS18" s="65">
        <v>1.8735602608674316E-2</v>
      </c>
      <c r="GT18" s="65">
        <v>1.440845914499614E-2</v>
      </c>
      <c r="GU18" s="65">
        <v>1.7128758418980268E-2</v>
      </c>
      <c r="GV18" s="65">
        <v>2.1343825968776011E-2</v>
      </c>
      <c r="GW18" s="65">
        <v>1.547549481817851E-2</v>
      </c>
      <c r="GX18" s="65">
        <v>1.2723999999999999E-2</v>
      </c>
      <c r="GY18" s="65">
        <v>2.0097E-2</v>
      </c>
      <c r="GZ18" s="116">
        <f>'[2]Table S4'!K11</f>
        <v>2.4063738141509996E-2</v>
      </c>
    </row>
    <row r="19" spans="1:208">
      <c r="A19" s="25" t="s">
        <v>159</v>
      </c>
      <c r="B19" s="23">
        <v>0.48230228066113018</v>
      </c>
      <c r="C19" s="23">
        <v>0.48446263153909191</v>
      </c>
      <c r="D19" s="23">
        <v>0.48647374474338806</v>
      </c>
      <c r="E19" s="23">
        <v>0.48715260841156471</v>
      </c>
      <c r="F19" s="23">
        <v>0.48994760128117831</v>
      </c>
      <c r="G19" s="23">
        <v>0.49031718526192974</v>
      </c>
      <c r="H19" s="23">
        <v>0.48717547518824733</v>
      </c>
      <c r="I19" s="23">
        <v>0.48480525533745944</v>
      </c>
      <c r="J19" s="23">
        <v>0.48783459874075197</v>
      </c>
      <c r="K19" s="23">
        <v>0.49161071601427947</v>
      </c>
      <c r="L19" s="23">
        <v>0.48617061266447553</v>
      </c>
      <c r="M19" s="23">
        <v>0.48150080438791365</v>
      </c>
      <c r="N19" s="23">
        <v>0.48509992729229284</v>
      </c>
      <c r="O19" s="23">
        <v>0.48880527961672454</v>
      </c>
      <c r="P19" s="23">
        <v>0.49</v>
      </c>
      <c r="Q19" s="23">
        <v>0.48783399999999999</v>
      </c>
      <c r="R19" s="23">
        <f>'[2]Table 11'!$E$28</f>
        <v>0.48937181976138749</v>
      </c>
      <c r="T19" s="25" t="s">
        <v>182</v>
      </c>
      <c r="U19" s="23">
        <v>0.43339707838968144</v>
      </c>
      <c r="V19" s="23">
        <v>0.44766255927975507</v>
      </c>
      <c r="W19" s="23">
        <v>0.44872841636769251</v>
      </c>
      <c r="X19" s="23">
        <v>0.43262513868143321</v>
      </c>
      <c r="Y19" s="23">
        <v>0.43142332787990695</v>
      </c>
      <c r="Z19" s="23">
        <v>0.44039717637870518</v>
      </c>
      <c r="AA19" s="23">
        <v>0.44069375379568565</v>
      </c>
      <c r="AB19" s="23">
        <v>0.43256112077648567</v>
      </c>
      <c r="AC19" s="23">
        <v>0.44593443064089339</v>
      </c>
      <c r="AD19" s="23">
        <v>0.44889060768696337</v>
      </c>
      <c r="AE19" s="23">
        <v>0.42768636084847356</v>
      </c>
      <c r="AF19" s="23">
        <v>0.31794105327634425</v>
      </c>
      <c r="AG19" s="23">
        <v>0.3295052903881393</v>
      </c>
      <c r="AH19" s="23">
        <v>0.39887336749135599</v>
      </c>
      <c r="AI19" s="23">
        <v>0.43</v>
      </c>
      <c r="AJ19" s="23">
        <v>0.322214</v>
      </c>
      <c r="AK19" s="23">
        <f>'[2]Table 12'!E10</f>
        <v>0.35052742856541536</v>
      </c>
      <c r="AM19" s="27" t="s">
        <v>196</v>
      </c>
      <c r="AN19" s="56">
        <v>2.2473680892643257E-2</v>
      </c>
      <c r="AO19" s="56">
        <v>2.3818734459133264E-2</v>
      </c>
      <c r="AP19" s="56">
        <v>1.7729207358184083E-2</v>
      </c>
      <c r="AQ19" s="56">
        <v>1.5328708101985207E-2</v>
      </c>
      <c r="AR19" s="56">
        <v>2.0185780635941408E-2</v>
      </c>
      <c r="AS19" s="56">
        <v>1.8964892963591273E-2</v>
      </c>
      <c r="AT19" s="56">
        <v>1.6355560890702839E-2</v>
      </c>
      <c r="AU19" s="56">
        <v>1.6112820200420333E-2</v>
      </c>
      <c r="AV19" s="56">
        <v>1.3865962363816441E-2</v>
      </c>
      <c r="AW19" s="56">
        <v>1.6556952576418212E-2</v>
      </c>
      <c r="AX19" s="56">
        <v>1.9659274951465661E-2</v>
      </c>
      <c r="AY19" s="56">
        <v>1.7742890328060052E-2</v>
      </c>
      <c r="AZ19" s="56">
        <v>1.7566811321195711E-2</v>
      </c>
      <c r="BA19" s="56">
        <v>1.7583220148043002E-2</v>
      </c>
      <c r="BB19" s="56">
        <v>2.1068E-2</v>
      </c>
      <c r="BC19" s="56">
        <v>2.4101000000000001E-2</v>
      </c>
      <c r="BD19" s="56">
        <f>'[2]Table 3 &amp; 13'!$F$10</f>
        <v>2.3035444144284729E-2</v>
      </c>
      <c r="BF19" s="25" t="s">
        <v>220</v>
      </c>
      <c r="BG19" s="11">
        <f>V6*V17</f>
        <v>346.55391570570447</v>
      </c>
      <c r="BH19" s="49">
        <f>'[2]Table 14-7'!$L$257</f>
        <v>36654.725445161246</v>
      </c>
      <c r="BI19" s="11">
        <f>W6*W17</f>
        <v>299.69043295973455</v>
      </c>
      <c r="BJ19" s="49">
        <f>'[2]Table 14-7'!$L$258</f>
        <v>32364.74059060897</v>
      </c>
      <c r="BK19" s="11">
        <f>X6*X17</f>
        <v>274.33949181417381</v>
      </c>
      <c r="BL19" s="49">
        <f>'[2]Table 14-7'!$L$259</f>
        <v>32724.637394177153</v>
      </c>
      <c r="BM19" s="11">
        <f>Y6*Y17</f>
        <v>279.58508564755641</v>
      </c>
      <c r="BN19" s="49">
        <f>'[2]Table 14-7'!$L$260</f>
        <v>35186.716214486732</v>
      </c>
      <c r="BO19" s="11">
        <f>Z6*Z17</f>
        <v>267.2988970568295</v>
      </c>
      <c r="BP19" s="49">
        <f>'[2]Table 14-7'!$L$261</f>
        <v>35362.405129698818</v>
      </c>
      <c r="BQ19" s="11">
        <f>AA6*AA17</f>
        <v>262.96776648095835</v>
      </c>
      <c r="BR19" s="49">
        <f>'[2]Table 14-7'!$L$262</f>
        <v>32532.060006830368</v>
      </c>
      <c r="BS19" s="11">
        <f>AB6*AB17</f>
        <v>269.46799743613224</v>
      </c>
      <c r="BT19" s="49">
        <f>'[2]Table 14-7'!$L$263</f>
        <v>31995.418638738589</v>
      </c>
      <c r="BU19" s="11">
        <f>AC6*AC17</f>
        <v>254.90830156523299</v>
      </c>
      <c r="BV19" s="49">
        <f>'[2]Table 14-7'!$L$264</f>
        <v>33566.607910477731</v>
      </c>
      <c r="BW19" s="11">
        <f>AD6*AD17</f>
        <v>252.01095999068593</v>
      </c>
      <c r="BX19" s="49">
        <f>'[2]Table 14-7'!$L$265</f>
        <v>31619.316178337896</v>
      </c>
      <c r="BY19" s="11">
        <f>AE6*AE17</f>
        <v>280.74164932292172</v>
      </c>
      <c r="BZ19" s="49">
        <f>'[2]Table 14-7'!$L$266</f>
        <v>34434.906592394967</v>
      </c>
      <c r="CA19" s="11">
        <f>AF6*AF17</f>
        <v>156.59239472416016</v>
      </c>
      <c r="CB19" s="49">
        <f>'[2]Table 14-7'!$L$267</f>
        <v>38445.058286972926</v>
      </c>
      <c r="CC19" s="11">
        <f>AG6*AG17</f>
        <v>166.56568132050111</v>
      </c>
      <c r="CD19" s="49">
        <f>'[2]Table 14-7'!$L$268</f>
        <v>36248.609587944593</v>
      </c>
      <c r="CE19" s="11">
        <f>AH6*AH17</f>
        <v>254.23626188215479</v>
      </c>
      <c r="CF19" s="49">
        <f>'[2]Table 14-7'!$L$269</f>
        <v>39277.893099334178</v>
      </c>
      <c r="CG19" s="11">
        <f>AI6*AI17</f>
        <v>294.91814399999998</v>
      </c>
      <c r="CH19" s="49">
        <f>'[2]Table 14-7'!$L$270</f>
        <v>39670.611278532349</v>
      </c>
      <c r="CI19" s="11">
        <f>AJ6*AJ17</f>
        <v>175.93074041711998</v>
      </c>
      <c r="CJ19" s="49">
        <f>'[2]Table 14-7'!$L$271</f>
        <v>36114.035823700484</v>
      </c>
      <c r="CK19" s="118">
        <f>AK6*AK17</f>
        <v>230.59520000000001</v>
      </c>
      <c r="CL19" s="49">
        <f>'[2]Table 14-7'!$L$272</f>
        <v>39140.25149269744</v>
      </c>
      <c r="CM19" s="235"/>
      <c r="CN19" s="43"/>
      <c r="CO19" s="11"/>
      <c r="CQ19" s="11"/>
      <c r="CS19" s="11"/>
      <c r="DV19" s="61"/>
      <c r="DW19" s="293"/>
      <c r="DX19" s="64"/>
      <c r="EM19" s="2"/>
      <c r="EO19" s="155" t="s">
        <v>485</v>
      </c>
      <c r="EP19" s="11">
        <v>924.96030000000007</v>
      </c>
      <c r="EQ19" s="11">
        <v>389.84972999999997</v>
      </c>
      <c r="ER19" s="11">
        <v>535.11052500000005</v>
      </c>
      <c r="ES19" s="11">
        <v>693.73350000000005</v>
      </c>
      <c r="ET19" s="11">
        <v>178.49371000000002</v>
      </c>
      <c r="EU19" s="195">
        <v>381.38079999999997</v>
      </c>
      <c r="EW19" s="71" t="s">
        <v>283</v>
      </c>
      <c r="EX19" s="72">
        <v>0.1757142490331868</v>
      </c>
      <c r="EY19" s="72">
        <v>0.18047774407071993</v>
      </c>
      <c r="EZ19" s="72">
        <v>0.19318437376594946</v>
      </c>
      <c r="FA19" s="72">
        <v>0.16317160158163416</v>
      </c>
      <c r="FB19" s="72">
        <v>0.147454339767667</v>
      </c>
      <c r="FC19" s="72">
        <v>0.18365744363468961</v>
      </c>
      <c r="FD19" s="72">
        <v>0.20445492058513245</v>
      </c>
      <c r="FE19" s="72">
        <v>0.18230749270090263</v>
      </c>
      <c r="FF19" s="72">
        <v>0.192058464397354</v>
      </c>
      <c r="FG19" s="72">
        <v>0.22914044145502124</v>
      </c>
      <c r="FH19" s="72">
        <v>0.26545845559336373</v>
      </c>
      <c r="FI19" s="72">
        <v>0.22521439565508322</v>
      </c>
      <c r="FJ19" s="72">
        <v>0.20566479694219228</v>
      </c>
      <c r="FK19" s="72">
        <v>0.22711936187703782</v>
      </c>
      <c r="FL19" s="72">
        <v>0.21911700000000001</v>
      </c>
      <c r="FM19" s="72">
        <v>0.19978399999999999</v>
      </c>
      <c r="FN19" s="72">
        <f>'[2]Table S2'!$G$68</f>
        <v>0.15733291700701507</v>
      </c>
      <c r="FP19" s="25" t="s">
        <v>302</v>
      </c>
      <c r="FQ19" s="23">
        <v>0.54034103090434094</v>
      </c>
      <c r="FR19" s="23">
        <v>0.55761921461126651</v>
      </c>
      <c r="FS19" s="23">
        <v>0.53204895246240147</v>
      </c>
      <c r="FT19" s="23">
        <v>0.50071496065550658</v>
      </c>
      <c r="FU19" s="23">
        <v>0.5445259851359624</v>
      </c>
      <c r="FV19" s="23">
        <v>0.54814544125708031</v>
      </c>
      <c r="FW19" s="23">
        <v>0.59071747189874646</v>
      </c>
      <c r="FX19" s="23">
        <v>0.56902608659694753</v>
      </c>
      <c r="FY19" s="23">
        <v>0.50762761054018224</v>
      </c>
      <c r="FZ19" s="23">
        <v>0.53825463895561931</v>
      </c>
      <c r="GA19" s="23">
        <v>0.56611322857397517</v>
      </c>
      <c r="GB19" s="23">
        <v>0.58927972478111013</v>
      </c>
      <c r="GC19" s="23">
        <v>0.55485279513469188</v>
      </c>
      <c r="GD19" s="23">
        <v>0.5164474359852842</v>
      </c>
      <c r="GE19" s="23">
        <v>0.54275799999999996</v>
      </c>
      <c r="GF19" s="23">
        <v>0.59216100000000005</v>
      </c>
      <c r="GG19" s="23">
        <f>'[2]Table S3'!$F$10</f>
        <v>0.60734165334624157</v>
      </c>
      <c r="GH19" s="23"/>
      <c r="GI19" s="64"/>
      <c r="GJ19" s="64"/>
      <c r="GK19" s="64"/>
    </row>
    <row r="20" spans="1:208">
      <c r="A20" s="25" t="s">
        <v>160</v>
      </c>
      <c r="B20" s="23">
        <v>0.51769766052301758</v>
      </c>
      <c r="C20" s="23">
        <v>0.51553730989529811</v>
      </c>
      <c r="D20" s="23">
        <v>0.51352625525661189</v>
      </c>
      <c r="E20" s="23">
        <v>0.51284739158843529</v>
      </c>
      <c r="F20" s="23">
        <v>0.51005239871882169</v>
      </c>
      <c r="G20" s="23">
        <v>0.5096828147380702</v>
      </c>
      <c r="H20" s="23">
        <v>0.51282444929927717</v>
      </c>
      <c r="I20" s="23">
        <v>0.51519474466254056</v>
      </c>
      <c r="J20" s="23">
        <v>0.51216540125924803</v>
      </c>
      <c r="K20" s="23">
        <v>0.50838928398572047</v>
      </c>
      <c r="L20" s="23">
        <v>0.5138293873355243</v>
      </c>
      <c r="M20" s="23">
        <v>0.51849931070550659</v>
      </c>
      <c r="N20" s="23">
        <v>0.51490007270770721</v>
      </c>
      <c r="O20" s="23">
        <v>0.51119483281506028</v>
      </c>
      <c r="P20" s="23">
        <v>0.51</v>
      </c>
      <c r="Q20" s="23">
        <v>0.51216600000000001</v>
      </c>
      <c r="R20" s="23">
        <f>'[2]Table 11'!$E$29</f>
        <v>0.51062818023861256</v>
      </c>
      <c r="T20" s="25" t="s">
        <v>183</v>
      </c>
      <c r="U20" s="23">
        <v>0.12022997666766717</v>
      </c>
      <c r="V20" s="23">
        <v>0.11870061656617452</v>
      </c>
      <c r="W20" s="23">
        <v>0.12216674424611701</v>
      </c>
      <c r="X20" s="23">
        <v>0.13258674247844057</v>
      </c>
      <c r="Y20" s="23">
        <v>0.14652053921572053</v>
      </c>
      <c r="Z20" s="23">
        <v>0.14332632810281495</v>
      </c>
      <c r="AA20" s="23">
        <v>0.13311312492640223</v>
      </c>
      <c r="AB20" s="23">
        <v>0.13515245856606539</v>
      </c>
      <c r="AC20" s="23">
        <v>0.13454724850876801</v>
      </c>
      <c r="AD20" s="23">
        <v>0.14005423232499037</v>
      </c>
      <c r="AE20" s="23">
        <v>0.15157389543885708</v>
      </c>
      <c r="AF20" s="23">
        <v>0.44631925271696293</v>
      </c>
      <c r="AG20" s="23">
        <v>0.39130344929967614</v>
      </c>
      <c r="AH20" s="23">
        <v>0.21124599150826778</v>
      </c>
      <c r="AI20" s="23">
        <v>0.154</v>
      </c>
      <c r="AJ20" s="218">
        <v>0.42637599999999998</v>
      </c>
      <c r="AK20" s="23">
        <f>'[2]Table 12'!E11</f>
        <v>0.31849231459980498</v>
      </c>
      <c r="AM20" s="27" t="s">
        <v>197</v>
      </c>
      <c r="AN20" s="56">
        <v>2.7422303473491772E-2</v>
      </c>
      <c r="AO20" s="56">
        <v>2.647975320665483E-2</v>
      </c>
      <c r="AP20" s="56">
        <v>2.8847061566909103E-2</v>
      </c>
      <c r="AQ20" s="56">
        <v>3.1080454301651208E-2</v>
      </c>
      <c r="AR20" s="56">
        <v>2.8015958080266763E-2</v>
      </c>
      <c r="AS20" s="56">
        <v>2.0102679842503191E-2</v>
      </c>
      <c r="AT20" s="56">
        <v>1.9806734289658484E-2</v>
      </c>
      <c r="AU20" s="56">
        <v>2.4580427035423836E-2</v>
      </c>
      <c r="AV20" s="56">
        <v>2.7521834388787178E-2</v>
      </c>
      <c r="AW20" s="56">
        <v>2.7189860191822641E-2</v>
      </c>
      <c r="AX20" s="56">
        <v>2.6251338807175773E-2</v>
      </c>
      <c r="AY20" s="56">
        <v>2.6578656462592654E-2</v>
      </c>
      <c r="AZ20" s="56">
        <v>2.6986460365938859E-2</v>
      </c>
      <c r="BA20" s="56">
        <v>2.7421905869845303E-2</v>
      </c>
      <c r="BB20" s="56">
        <v>2.9208000000000001E-2</v>
      </c>
      <c r="BC20" s="56">
        <v>2.98082E-2</v>
      </c>
      <c r="BD20" s="56">
        <f>'[2]Table 3 &amp; 13'!$F$12</f>
        <v>2.4111827222343073E-2</v>
      </c>
      <c r="BF20" s="25" t="s">
        <v>221</v>
      </c>
      <c r="CM20" s="234"/>
      <c r="CN20" s="188" t="s">
        <v>245</v>
      </c>
      <c r="CS20" s="11"/>
      <c r="DV20" s="201" t="s">
        <v>128</v>
      </c>
      <c r="DW20" s="63">
        <v>289.06018999999998</v>
      </c>
      <c r="DX20" s="217">
        <f>BG13</f>
        <v>281.39375000000001</v>
      </c>
      <c r="DY20" s="63">
        <f>BI13</f>
        <v>289.38595000000004</v>
      </c>
      <c r="DZ20" s="63">
        <f>BK13</f>
        <v>285.73320000000001</v>
      </c>
      <c r="EA20" s="63">
        <f>BM13</f>
        <v>289.44805000000002</v>
      </c>
      <c r="EB20" s="63">
        <f>BO13</f>
        <v>293.33295000000004</v>
      </c>
      <c r="EC20" s="63">
        <f>BQ13</f>
        <v>285.88650000000001</v>
      </c>
      <c r="ED20" s="63">
        <f>BS13</f>
        <v>272.536</v>
      </c>
      <c r="EE20" s="63">
        <f>BU13</f>
        <v>283.35950000000003</v>
      </c>
      <c r="EF20" s="63">
        <f>BW13</f>
        <v>296.34780000000001</v>
      </c>
      <c r="EG20" s="63">
        <f>BY13</f>
        <v>296.34780000000001</v>
      </c>
      <c r="EH20" s="63">
        <f>CA13</f>
        <v>302.03495000000004</v>
      </c>
      <c r="EI20" s="63">
        <f>CC13</f>
        <v>304.62515000000002</v>
      </c>
      <c r="EJ20" s="63">
        <f>CE13</f>
        <v>301.02190000000002</v>
      </c>
      <c r="EK20" s="63">
        <f>CG13</f>
        <v>291</v>
      </c>
      <c r="EL20" s="63">
        <f>CI13</f>
        <v>294.3861</v>
      </c>
      <c r="EM20" s="63">
        <f>'[2]Table 9-10-14-16'!$I$6/1000</f>
        <v>316.18847999999997</v>
      </c>
      <c r="EO20" s="155" t="s">
        <v>491</v>
      </c>
      <c r="EP20" s="11">
        <v>904</v>
      </c>
      <c r="EQ20" s="11">
        <v>393</v>
      </c>
      <c r="ER20" s="11">
        <v>511</v>
      </c>
      <c r="ES20" s="11">
        <v>661</v>
      </c>
      <c r="ET20" s="11">
        <v>192</v>
      </c>
      <c r="EU20" s="195">
        <v>392</v>
      </c>
      <c r="EW20" s="202" t="s">
        <v>285</v>
      </c>
      <c r="EX20" s="70">
        <v>955.90698500000008</v>
      </c>
      <c r="EY20" s="70">
        <v>1053.039055</v>
      </c>
      <c r="EZ20" s="70">
        <v>1141</v>
      </c>
      <c r="FA20" s="70">
        <v>1223.42634</v>
      </c>
      <c r="FB20" s="70">
        <v>1398.571385</v>
      </c>
      <c r="FC20" s="70">
        <v>1449</v>
      </c>
      <c r="FD20" s="70">
        <v>1421.3472399999998</v>
      </c>
      <c r="FE20" s="70">
        <v>1490.3231749999998</v>
      </c>
      <c r="FF20" s="70">
        <v>1602.0201350000002</v>
      </c>
      <c r="FG20" s="70">
        <v>1722.2387000000001</v>
      </c>
      <c r="FH20" s="70">
        <v>1732.6890350000001</v>
      </c>
      <c r="FI20" s="70">
        <v>1748.1242999999999</v>
      </c>
      <c r="FJ20" s="70">
        <v>1758.154</v>
      </c>
      <c r="FK20" s="70">
        <v>1686.1759</v>
      </c>
      <c r="FL20" s="70">
        <v>1644</v>
      </c>
      <c r="FM20" s="70">
        <f>1598982/1000</f>
        <v>1598.982</v>
      </c>
      <c r="FN20" s="70">
        <f>'[2]Table S2'!$F$97/1000</f>
        <v>1644.4459999999999</v>
      </c>
      <c r="FP20" s="25" t="s">
        <v>295</v>
      </c>
      <c r="FQ20" s="23">
        <v>3.998428298317163E-2</v>
      </c>
      <c r="FR20" s="23">
        <v>4.2761322464903204E-2</v>
      </c>
      <c r="FS20" s="23">
        <v>3.7211864949057795E-2</v>
      </c>
      <c r="FT20" s="23">
        <v>4.5883448998299194E-2</v>
      </c>
      <c r="FU20" s="23">
        <v>3.5193023632969944E-2</v>
      </c>
      <c r="FV20" s="23">
        <v>4.0014617211766856E-2</v>
      </c>
      <c r="FW20" s="23">
        <v>3.6410521140199575E-2</v>
      </c>
      <c r="FX20" s="23">
        <v>3.4956831462769393E-2</v>
      </c>
      <c r="FY20" s="23">
        <v>4.7613478430683934E-2</v>
      </c>
      <c r="FZ20" s="23">
        <v>6.0423126526056782E-2</v>
      </c>
      <c r="GA20" s="23">
        <v>7.7557723725165673E-2</v>
      </c>
      <c r="GB20" s="23">
        <v>7.3931686124739771E-2</v>
      </c>
      <c r="GC20" s="23">
        <v>6.6426358573135183E-2</v>
      </c>
      <c r="GD20" s="23">
        <v>6.4840467008852529E-2</v>
      </c>
      <c r="GE20" s="23">
        <v>4.6896E-2</v>
      </c>
      <c r="GF20" s="23">
        <v>3.1262999999999999E-2</v>
      </c>
      <c r="GG20" s="23">
        <f>'[2]Table S3'!$F$11</f>
        <v>2.5363253677338431E-2</v>
      </c>
      <c r="GH20" s="23"/>
      <c r="GI20" s="201" t="s">
        <v>128</v>
      </c>
      <c r="GJ20" s="63">
        <f>DW20</f>
        <v>289.06018999999998</v>
      </c>
      <c r="GK20" s="63">
        <v>281.39371999999997</v>
      </c>
      <c r="GL20" s="63">
        <v>289.38594000000001</v>
      </c>
      <c r="GM20" s="63">
        <v>285.73323000000005</v>
      </c>
      <c r="GN20" s="63">
        <v>289.44804999999997</v>
      </c>
      <c r="GO20" s="63">
        <v>293.33293999999995</v>
      </c>
      <c r="GP20" s="63">
        <v>285.88653500000004</v>
      </c>
      <c r="GQ20" s="63">
        <v>272.53605500000003</v>
      </c>
      <c r="GR20" s="63">
        <v>283.35953000000001</v>
      </c>
      <c r="GS20" s="63">
        <v>296.34779499999996</v>
      </c>
      <c r="GT20" s="63">
        <v>296.19405999999998</v>
      </c>
      <c r="GU20" s="63">
        <v>302.03496000000001</v>
      </c>
      <c r="GV20" s="63">
        <v>304.62516000000005</v>
      </c>
      <c r="GW20" s="63">
        <v>301.02199999999999</v>
      </c>
      <c r="GX20" s="63">
        <f>CG13</f>
        <v>291</v>
      </c>
      <c r="GY20" s="63">
        <f>CI13</f>
        <v>294.3861</v>
      </c>
      <c r="GZ20" s="294">
        <f>CK13</f>
        <v>316.18847999999997</v>
      </c>
    </row>
    <row r="21" spans="1:208">
      <c r="A21" s="24"/>
      <c r="B21" s="24"/>
      <c r="C21" s="24"/>
      <c r="T21" s="24"/>
      <c r="U21" s="24"/>
      <c r="V21" s="24"/>
      <c r="AJ21" s="133"/>
      <c r="AK21" s="133"/>
      <c r="AM21" s="27" t="s">
        <v>198</v>
      </c>
      <c r="AN21" s="56">
        <v>6.3291937212381008E-2</v>
      </c>
      <c r="AO21" s="56">
        <v>6.0229686725475247E-2</v>
      </c>
      <c r="AP21" s="56">
        <v>6.2724028569241988E-2</v>
      </c>
      <c r="AQ21" s="56">
        <v>6.1031975019291453E-2</v>
      </c>
      <c r="AR21" s="56">
        <v>5.153626295105395E-2</v>
      </c>
      <c r="AS21" s="56">
        <v>5.9408378747491719E-2</v>
      </c>
      <c r="AT21" s="56">
        <v>5.9210131444691193E-2</v>
      </c>
      <c r="AU21" s="56">
        <v>5.7719837958027473E-2</v>
      </c>
      <c r="AV21" s="56">
        <v>6.1016236981902221E-2</v>
      </c>
      <c r="AW21" s="56">
        <v>5.7312124174450911E-2</v>
      </c>
      <c r="AX21" s="56">
        <v>6.6085322835281762E-2</v>
      </c>
      <c r="AY21" s="56">
        <v>7.0305234194413924E-2</v>
      </c>
      <c r="AZ21" s="56">
        <v>6.3291682526306098E-2</v>
      </c>
      <c r="BA21" s="56">
        <v>5.839140022301844E-2</v>
      </c>
      <c r="BB21" s="56">
        <v>5.9149E-2</v>
      </c>
      <c r="BC21" s="56">
        <v>6.6014000000000003E-2</v>
      </c>
      <c r="BD21" s="56">
        <f>'[2]Table 3 &amp; 13'!$F$14</f>
        <v>6.2331197159068319E-2</v>
      </c>
      <c r="BF21" s="25" t="s">
        <v>220</v>
      </c>
      <c r="BG21" s="11">
        <f>V6*V18</f>
        <v>647.29817157215859</v>
      </c>
      <c r="BH21" s="49">
        <f>'[2]Table 14-7'!$L$312</f>
        <v>72384.539878179348</v>
      </c>
      <c r="BI21" s="11">
        <f>W6*W18</f>
        <v>669.65735921321823</v>
      </c>
      <c r="BJ21" s="49">
        <f>'[2]Table 14-7'!$L$313</f>
        <v>72132.173956020313</v>
      </c>
      <c r="BK21" s="11">
        <f>X6*X18</f>
        <v>701.10776280605182</v>
      </c>
      <c r="BL21" s="49">
        <f>'[2]Table 14-7'!$L$314</f>
        <v>71107.001950760678</v>
      </c>
      <c r="BM21" s="11">
        <f>Y6*Y18</f>
        <v>677.6804293928509</v>
      </c>
      <c r="BN21" s="49">
        <f>'[2]Table 14-7'!$L$315</f>
        <v>73647.675559766882</v>
      </c>
      <c r="BO21" s="11">
        <f>Z6*Z18</f>
        <v>688.55524196797217</v>
      </c>
      <c r="BP21" s="49">
        <f>'[2]Table 14-7'!$L$316</f>
        <v>72405.596156222717</v>
      </c>
      <c r="BQ21" s="11">
        <f>AA6*AA18</f>
        <v>694.43246115774366</v>
      </c>
      <c r="BR21" s="49">
        <f>'[2]Table 14-7'!$L$317</f>
        <v>64326.332042539812</v>
      </c>
      <c r="BS21" s="11">
        <f>AB6*AB18</f>
        <v>676.4748649391081</v>
      </c>
      <c r="BT21" s="49">
        <f>'[2]Table 14-7'!$L$318</f>
        <v>67120.393645041011</v>
      </c>
      <c r="BU21" s="11">
        <f>AC6*AC18</f>
        <v>681.72451899358668</v>
      </c>
      <c r="BV21" s="49">
        <f>'[2]Table 14-7'!$L$319</f>
        <v>69234.416359717012</v>
      </c>
      <c r="BW21" s="11">
        <f>AD6*AD18</f>
        <v>659.54496279880527</v>
      </c>
      <c r="BX21" s="49">
        <f>'[2]Table 14-7'!$L$320</f>
        <v>63795.210573731078</v>
      </c>
      <c r="BY21" s="11">
        <f>AE6*AE18</f>
        <v>633.65678952618111</v>
      </c>
      <c r="BZ21" s="49">
        <f>'[2]Table 14-7'!$L$321</f>
        <v>61677.235237976769</v>
      </c>
      <c r="CA21" s="11">
        <f>AF6*AF18</f>
        <v>366.82074787754868</v>
      </c>
      <c r="CB21" s="49">
        <f>'[2]Table 14-7'!$L$322</f>
        <v>62065.878426931595</v>
      </c>
      <c r="CC21" s="11">
        <f>AG6*AG18</f>
        <v>452.56865742046369</v>
      </c>
      <c r="CD21" s="49">
        <f>'[2]Table 14-7'!$L$323</f>
        <v>64920.839556093662</v>
      </c>
      <c r="CE21" s="11">
        <f>AH6*AH18</f>
        <v>616.83476604740304</v>
      </c>
      <c r="CF21" s="49">
        <f>'[2]Table 14-7'!$L$324</f>
        <v>65943.622335061547</v>
      </c>
      <c r="CG21" s="11">
        <f>AI6*AI18</f>
        <v>663.56582399999991</v>
      </c>
      <c r="CH21" s="49">
        <f>'[2]Table 14-7'!$L$325</f>
        <v>65100.897045587328</v>
      </c>
      <c r="CI21" s="11">
        <f>AJ6*AJ18</f>
        <v>405.63763765067995</v>
      </c>
      <c r="CJ21" s="49">
        <f>'[2]Table 14-7'!$L$326</f>
        <v>65747.40922914035</v>
      </c>
      <c r="CK21" s="11">
        <f>AK6*AK18</f>
        <v>524.26729999999998</v>
      </c>
      <c r="CL21" s="49">
        <f>'[2]Table 14-7'!$L$327</f>
        <v>63923.20425062078</v>
      </c>
      <c r="CM21" s="235"/>
      <c r="CN21" s="24" t="s">
        <v>246</v>
      </c>
      <c r="CO21" s="11">
        <v>2147.5639999999999</v>
      </c>
      <c r="CP21" s="49">
        <f>'T7-T10'!T22</f>
        <v>95004.734160023625</v>
      </c>
      <c r="CQ21" s="11">
        <v>2164.3519999999999</v>
      </c>
      <c r="CR21" s="49">
        <f>'T7-T10'!U22</f>
        <v>95798.820083386585</v>
      </c>
      <c r="CS21" s="11">
        <v>2233.3159999999998</v>
      </c>
      <c r="CT21" s="49">
        <f>'T7-T10'!V18</f>
        <v>86789.897983429299</v>
      </c>
      <c r="CU21" s="11">
        <v>2242.6174999999998</v>
      </c>
      <c r="CV21" s="49">
        <f>'T7-T10'!W22</f>
        <v>98091.832308650948</v>
      </c>
      <c r="CW21" s="11">
        <v>2199.8760000000002</v>
      </c>
      <c r="CX21" s="49">
        <f>'T7-T10'!X22</f>
        <v>103697.20697728818</v>
      </c>
      <c r="CY21" s="11">
        <v>2196.8339999999998</v>
      </c>
      <c r="CZ21" s="49">
        <f>'T7-T10'!Y22</f>
        <v>99934.706621335004</v>
      </c>
      <c r="DA21" s="11">
        <v>2177.123</v>
      </c>
      <c r="DB21" s="49">
        <f>'T7-T10'!Z22</f>
        <v>95487.38309041693</v>
      </c>
      <c r="DC21" s="11">
        <v>2178.3175000000001</v>
      </c>
      <c r="DD21" s="49">
        <f>'T7-T10'!AA22</f>
        <v>93729.559451252775</v>
      </c>
      <c r="DE21" s="11">
        <v>2146.4295000000002</v>
      </c>
      <c r="DF21" s="49">
        <f>'T7-T10'!AB22</f>
        <v>91098.601151491079</v>
      </c>
      <c r="DG21" s="11">
        <v>2071.8184999999999</v>
      </c>
      <c r="DH21" s="49">
        <f>'T7-T10'!AC22</f>
        <v>91919.163642407017</v>
      </c>
      <c r="DI21" s="11">
        <v>2108.7525000000001</v>
      </c>
      <c r="DJ21" s="49">
        <f>'T7-T10'!AD22</f>
        <v>91664.044573483639</v>
      </c>
      <c r="DK21" s="11">
        <v>2172.8969999999999</v>
      </c>
      <c r="DL21" s="49">
        <f>'T7-T10'!AE22</f>
        <v>86488.638445886056</v>
      </c>
      <c r="DM21" s="11">
        <v>2127.8784999999998</v>
      </c>
      <c r="DN21" s="49">
        <f>'T7-T10'!AF22</f>
        <v>86030.647425628587</v>
      </c>
      <c r="DO21" s="11">
        <v>2081</v>
      </c>
      <c r="DP21" s="49">
        <f>'T7-T10'!AG22</f>
        <v>89408.461363060982</v>
      </c>
      <c r="DQ21" s="11">
        <v>2109.5880000000002</v>
      </c>
      <c r="DR21" s="49">
        <f>'T7-T10'!AH22</f>
        <v>90538.172184992596</v>
      </c>
      <c r="DS21" s="118">
        <f>'[2]Table 8 &amp; 15'!$G$325</f>
        <v>1328.41435</v>
      </c>
      <c r="DT21" s="49">
        <f>'T7-T10'!AI22</f>
        <v>91527.626271710906</v>
      </c>
      <c r="DV21" s="64" t="s">
        <v>262</v>
      </c>
      <c r="DW21" s="65">
        <v>1</v>
      </c>
      <c r="DX21" s="65">
        <f t="shared" ref="DX21:EL21" si="5">SUM(DX22:DX25)</f>
        <v>1.0000000000000002</v>
      </c>
      <c r="DY21" s="65">
        <f t="shared" si="5"/>
        <v>0.99999999999999989</v>
      </c>
      <c r="DZ21" s="65">
        <f t="shared" si="5"/>
        <v>1</v>
      </c>
      <c r="EA21" s="65">
        <f t="shared" si="5"/>
        <v>1</v>
      </c>
      <c r="EB21" s="65">
        <f t="shared" si="5"/>
        <v>1.0000000000000002</v>
      </c>
      <c r="EC21" s="65">
        <f t="shared" si="5"/>
        <v>1</v>
      </c>
      <c r="ED21" s="65">
        <f t="shared" si="5"/>
        <v>1</v>
      </c>
      <c r="EE21" s="65">
        <f t="shared" si="5"/>
        <v>1</v>
      </c>
      <c r="EF21" s="65">
        <f t="shared" si="5"/>
        <v>1</v>
      </c>
      <c r="EG21" s="65">
        <f t="shared" si="5"/>
        <v>1</v>
      </c>
      <c r="EH21" s="65">
        <f t="shared" si="5"/>
        <v>1</v>
      </c>
      <c r="EI21" s="65">
        <f t="shared" si="5"/>
        <v>1</v>
      </c>
      <c r="EJ21" s="65">
        <f t="shared" si="5"/>
        <v>0.99999999999999978</v>
      </c>
      <c r="EK21" s="65">
        <f t="shared" si="5"/>
        <v>1</v>
      </c>
      <c r="EL21" s="65">
        <f t="shared" si="5"/>
        <v>0.99970000000000003</v>
      </c>
      <c r="EM21" s="65">
        <f t="shared" ref="EM21" si="6">SUM(EM22:EM25)</f>
        <v>1</v>
      </c>
      <c r="EO21" s="155" t="s">
        <v>496</v>
      </c>
      <c r="EP21" s="11">
        <f>961561.4/1000</f>
        <v>961.56140000000005</v>
      </c>
      <c r="EQ21" s="11">
        <f>420369.2/1000</f>
        <v>420.36920000000003</v>
      </c>
      <c r="ER21" s="11">
        <f>541192.2/1000</f>
        <v>541.19219999999996</v>
      </c>
      <c r="ES21" s="11">
        <f>717722.9/1000</f>
        <v>717.72289999999998</v>
      </c>
      <c r="ET21" s="11">
        <f>193512.48/1000</f>
        <v>193.51248000000001</v>
      </c>
      <c r="EU21" s="195">
        <f>432254/1000</f>
        <v>432.25400000000002</v>
      </c>
      <c r="EW21" s="71" t="s">
        <v>283</v>
      </c>
      <c r="EX21" s="72">
        <v>0.16081365908211248</v>
      </c>
      <c r="EY21" s="72">
        <v>0.16887065978763727</v>
      </c>
      <c r="EZ21" s="72">
        <v>0.16314028505231551</v>
      </c>
      <c r="FA21" s="72">
        <v>0.18528504135361348</v>
      </c>
      <c r="FB21" s="72">
        <v>0.13749071528278781</v>
      </c>
      <c r="FC21" s="72">
        <v>0.15624005964884419</v>
      </c>
      <c r="FD21" s="72">
        <v>0.16574032254074664</v>
      </c>
      <c r="FE21" s="72">
        <v>0.17025746781398607</v>
      </c>
      <c r="FF21" s="72">
        <v>0.17907874172879854</v>
      </c>
      <c r="FG21" s="72">
        <v>0.18616687686788133</v>
      </c>
      <c r="FH21" s="72">
        <v>0.21487234147586096</v>
      </c>
      <c r="FI21" s="72">
        <v>0.21470252429990247</v>
      </c>
      <c r="FJ21" s="72">
        <v>0.21697581668045007</v>
      </c>
      <c r="FK21" s="72">
        <v>0.23715141462999206</v>
      </c>
      <c r="FL21" s="72">
        <v>0.228989</v>
      </c>
      <c r="FM21" s="72">
        <v>0.19436</v>
      </c>
      <c r="FN21" s="72">
        <f>'[2]Table S2'!$F$98</f>
        <v>0.14745780645883172</v>
      </c>
      <c r="FP21" s="54" t="s">
        <v>296</v>
      </c>
      <c r="FQ21" s="52">
        <v>0.41967468611248754</v>
      </c>
      <c r="FR21" s="52">
        <v>0.39961983886288271</v>
      </c>
      <c r="FS21" s="52">
        <v>0.43073972090717866</v>
      </c>
      <c r="FT21" s="52">
        <v>0.45340173023186414</v>
      </c>
      <c r="FU21" s="52">
        <v>0.4202809912310676</v>
      </c>
      <c r="FV21" s="52">
        <v>0.411839941531153</v>
      </c>
      <c r="FW21" s="52">
        <v>0.37287200696105394</v>
      </c>
      <c r="FX21" s="52">
        <v>0.39601708194028301</v>
      </c>
      <c r="FY21" s="52">
        <v>0.44475891102913379</v>
      </c>
      <c r="FZ21" s="52">
        <v>0.40132223451832388</v>
      </c>
      <c r="GA21" s="52">
        <v>0.35632904770085921</v>
      </c>
      <c r="GB21" s="52">
        <v>0.33678835228190135</v>
      </c>
      <c r="GC21" s="52">
        <v>0.3787208462921729</v>
      </c>
      <c r="GD21" s="52">
        <v>0.41871209700586326</v>
      </c>
      <c r="GE21" s="52">
        <v>0.40452300000000002</v>
      </c>
      <c r="GF21" s="52">
        <v>0.37497999999999998</v>
      </c>
      <c r="GG21" s="97">
        <f>'[2]Table S3'!$F$12</f>
        <v>0.36729509297641988</v>
      </c>
      <c r="GH21" s="23"/>
      <c r="GI21" s="25" t="s">
        <v>185</v>
      </c>
      <c r="GJ21" s="65">
        <v>0.50289791756321445</v>
      </c>
      <c r="GK21" s="65">
        <v>0.51679547077312182</v>
      </c>
      <c r="GL21" s="65">
        <v>0.5106711473266462</v>
      </c>
      <c r="GM21" s="65">
        <v>0.48550408365173348</v>
      </c>
      <c r="GN21" s="65">
        <v>0.4661518707761203</v>
      </c>
      <c r="GO21" s="65">
        <v>0.46338743954224854</v>
      </c>
      <c r="GP21" s="65">
        <v>0.45536807111254818</v>
      </c>
      <c r="GQ21" s="65">
        <v>0.45645079877596373</v>
      </c>
      <c r="GR21" s="65">
        <v>0.49247681911386565</v>
      </c>
      <c r="GS21" s="65">
        <v>0.52535028985115284</v>
      </c>
      <c r="GT21" s="65">
        <v>0.51007336203838805</v>
      </c>
      <c r="GU21" s="65">
        <v>0.50260473158471453</v>
      </c>
      <c r="GV21" s="65">
        <v>0.47467878227786564</v>
      </c>
      <c r="GW21" s="65">
        <v>0.47712027692328141</v>
      </c>
      <c r="GX21" s="65">
        <v>0.52780700000000003</v>
      </c>
      <c r="GY21" s="65">
        <v>0.53564800000000001</v>
      </c>
      <c r="GZ21" s="116">
        <f>'[2]Table S4'!L12</f>
        <v>0.55412517631690483</v>
      </c>
    </row>
    <row r="22" spans="1:208">
      <c r="A22" s="186" t="s">
        <v>161</v>
      </c>
      <c r="B22" s="24"/>
      <c r="C22" s="24"/>
      <c r="T22" s="186" t="s">
        <v>184</v>
      </c>
      <c r="U22" s="24"/>
      <c r="V22" s="24"/>
      <c r="AM22" s="27" t="s">
        <v>199</v>
      </c>
      <c r="AN22" s="56">
        <v>1.9384731765744186E-2</v>
      </c>
      <c r="AO22" s="56">
        <v>1.9336996264166382E-2</v>
      </c>
      <c r="AP22" s="56">
        <v>1.7363540113332576E-2</v>
      </c>
      <c r="AQ22" s="56">
        <v>1.8192210357357165E-2</v>
      </c>
      <c r="AR22" s="56">
        <v>1.7833750148862688E-2</v>
      </c>
      <c r="AS22" s="56">
        <v>1.8027841716675846E-2</v>
      </c>
      <c r="AT22" s="56">
        <v>1.8006122081507713E-2</v>
      </c>
      <c r="AU22" s="56">
        <v>2.1047181017940363E-2</v>
      </c>
      <c r="AV22" s="56">
        <v>2.5090789039286892E-2</v>
      </c>
      <c r="AW22" s="56">
        <v>2.0743424542914911E-2</v>
      </c>
      <c r="AX22" s="56">
        <v>1.8482527546933466E-2</v>
      </c>
      <c r="AY22" s="56">
        <v>2.0144583439498345E-2</v>
      </c>
      <c r="AZ22" s="56">
        <v>1.6867397140781677E-2</v>
      </c>
      <c r="BA22" s="56">
        <v>1.5209647989777447E-2</v>
      </c>
      <c r="BB22" s="56">
        <v>1.7406999999999999E-2</v>
      </c>
      <c r="BC22" s="56">
        <v>1.7016E-2</v>
      </c>
      <c r="BD22" s="56">
        <f>'[2]Table 3 &amp; 13'!$F$16</f>
        <v>1.5818306980703419E-2</v>
      </c>
      <c r="BF22" s="25" t="s">
        <v>222</v>
      </c>
      <c r="BP22" s="49"/>
      <c r="BR22" s="49"/>
      <c r="BT22" s="49"/>
      <c r="BV22" s="49"/>
      <c r="BW22" s="11"/>
      <c r="BX22" s="49"/>
      <c r="BY22" s="11"/>
      <c r="BZ22" s="49"/>
      <c r="CA22" s="11"/>
      <c r="CB22" s="49"/>
      <c r="CC22" s="11"/>
      <c r="CD22" s="49"/>
      <c r="CE22" s="11"/>
      <c r="CF22" s="49"/>
      <c r="CG22" s="11"/>
      <c r="CH22" s="49"/>
      <c r="CI22" s="11"/>
      <c r="CJ22" s="49"/>
      <c r="CK22" s="118"/>
      <c r="CL22" s="49"/>
      <c r="CM22" s="235"/>
      <c r="CN22" s="24" t="s">
        <v>247</v>
      </c>
      <c r="CO22" s="11">
        <v>1054.0495000000001</v>
      </c>
      <c r="CP22" s="49">
        <f>'T7-T10'!T23</f>
        <v>44969.128401964597</v>
      </c>
      <c r="CQ22" s="11">
        <v>1054.0495000000001</v>
      </c>
      <c r="CR22" s="49">
        <f>'T7-T10'!U23</f>
        <v>45757.771448891377</v>
      </c>
      <c r="CS22" s="11">
        <v>979.84175000000005</v>
      </c>
      <c r="CT22" s="49">
        <f>'T7-T10'!V19</f>
        <v>59813.856612452801</v>
      </c>
      <c r="CU22" s="11">
        <v>945.54015000000004</v>
      </c>
      <c r="CV22" s="49">
        <f>'T7-T10'!W23</f>
        <v>43125.514984782509</v>
      </c>
      <c r="CW22" s="11">
        <v>976.673</v>
      </c>
      <c r="CX22" s="49">
        <f>'T7-T10'!X23</f>
        <v>47501.21930905676</v>
      </c>
      <c r="CY22" s="11">
        <v>1016.8011</v>
      </c>
      <c r="CZ22" s="49">
        <f>'T7-T10'!Y23</f>
        <v>45911.955656150436</v>
      </c>
      <c r="DA22" s="11">
        <v>1026.0545</v>
      </c>
      <c r="DB22" s="49">
        <f>'T7-T10'!Z23</f>
        <v>44837.205276425229</v>
      </c>
      <c r="DC22" s="11">
        <v>1021.039</v>
      </c>
      <c r="DD22" s="49">
        <f>'T7-T10'!AA23</f>
        <v>46010.246998888542</v>
      </c>
      <c r="DE22" s="11">
        <v>1057.0395000000001</v>
      </c>
      <c r="DF22" s="49">
        <f>'T7-T10'!AB23</f>
        <v>44574.159675408198</v>
      </c>
      <c r="DG22" s="11">
        <v>1116.2325000000001</v>
      </c>
      <c r="DH22" s="49">
        <f>'T7-T10'!AC23</f>
        <v>41219.65839020686</v>
      </c>
      <c r="DI22" s="11">
        <v>1124.6115</v>
      </c>
      <c r="DJ22" s="49">
        <f>'T7-T10'!AD23</f>
        <v>36709.960914282419</v>
      </c>
      <c r="DK22" s="11">
        <v>1121.2180000000001</v>
      </c>
      <c r="DL22" s="49">
        <f>'T7-T10'!AE23</f>
        <v>34129.068391066656</v>
      </c>
      <c r="DM22" s="11">
        <v>1186.2545</v>
      </c>
      <c r="DN22" s="49">
        <f>'T7-T10'!AF23</f>
        <v>37354.434496433751</v>
      </c>
      <c r="DO22" s="11">
        <v>1282</v>
      </c>
      <c r="DP22" s="49">
        <f>'T7-T10'!AG23</f>
        <v>42838.42822059249</v>
      </c>
      <c r="DQ22" s="11">
        <v>1309.8630000000001</v>
      </c>
      <c r="DR22" s="49">
        <f>'T7-T10'!AH23</f>
        <v>42773.355712105389</v>
      </c>
      <c r="DS22" s="118">
        <f>'[2]Table 8 &amp; 15'!$G$377</f>
        <v>1244.97</v>
      </c>
      <c r="DT22" s="49">
        <f>'T7-T10'!AI23</f>
        <v>40180.197258634784</v>
      </c>
      <c r="DV22" s="64" t="s">
        <v>263</v>
      </c>
      <c r="DW22" s="65">
        <v>0.12953205351452926</v>
      </c>
      <c r="DX22" s="65">
        <v>0.13405878425431814</v>
      </c>
      <c r="DY22" s="65">
        <v>0.15127763813534401</v>
      </c>
      <c r="DZ22" s="65">
        <v>0.12989624972916172</v>
      </c>
      <c r="EA22" s="65">
        <v>9.658627360317644E-2</v>
      </c>
      <c r="EB22" s="65">
        <v>0.14976519258687432</v>
      </c>
      <c r="EC22" s="65">
        <v>0.17443193670271134</v>
      </c>
      <c r="ED22" s="65">
        <v>0.15090301565108891</v>
      </c>
      <c r="EE22" s="65">
        <v>0.17064804344375639</v>
      </c>
      <c r="EF22" s="65">
        <v>0.1989124805197218</v>
      </c>
      <c r="EG22" s="65">
        <v>0.23073804929372244</v>
      </c>
      <c r="EH22" s="65">
        <v>0.18760067336578101</v>
      </c>
      <c r="EI22" s="65">
        <v>0.16578419964443519</v>
      </c>
      <c r="EJ22" s="65">
        <v>0.18204005030996248</v>
      </c>
      <c r="EK22" s="65">
        <v>0.15351799999999999</v>
      </c>
      <c r="EL22" s="65">
        <v>0.13689999999999999</v>
      </c>
      <c r="EM22" s="116">
        <f>'T7-T10'!BT17</f>
        <v>0.11970338071772887</v>
      </c>
      <c r="EO22" s="155" t="s">
        <v>567</v>
      </c>
      <c r="EP22" s="11">
        <f>'[2]Table S1'!$D$14/1000</f>
        <v>937.13919999999996</v>
      </c>
      <c r="EQ22" s="11">
        <f>'[2]Table S1'!$D$10/1000</f>
        <v>414.5367</v>
      </c>
      <c r="ER22" s="11">
        <f>'[2]Table S1'!$F$14/1000</f>
        <v>522.60249999999996</v>
      </c>
      <c r="ES22" s="11">
        <f>'[2]Table S1'!$G$7/1000</f>
        <v>729.28660000000002</v>
      </c>
      <c r="ET22" s="11">
        <f>'[2]Table S1'!$H$7/1000</f>
        <v>158.36222999999998</v>
      </c>
      <c r="EU22" s="195">
        <f>'[2]Table S1'!$F$23/1000</f>
        <v>415.27909999999997</v>
      </c>
      <c r="EW22" s="68"/>
      <c r="EX22" s="71"/>
      <c r="EY22" s="71"/>
      <c r="FP22" s="2"/>
      <c r="FQ22" s="2"/>
      <c r="FR22" s="2"/>
      <c r="FS22" s="2"/>
      <c r="FT22" s="2"/>
      <c r="FU22" s="2"/>
      <c r="FV22" s="2"/>
      <c r="GG22" s="161"/>
      <c r="GH22" s="97"/>
      <c r="GI22" s="25" t="s">
        <v>186</v>
      </c>
      <c r="GJ22" s="65">
        <v>0.18979084128699783</v>
      </c>
      <c r="GK22" s="65">
        <v>0.23375288901259064</v>
      </c>
      <c r="GL22" s="65">
        <v>0.24780106801318683</v>
      </c>
      <c r="GM22" s="65">
        <v>0.25680077532459211</v>
      </c>
      <c r="GN22" s="65">
        <v>0.26962019609391052</v>
      </c>
      <c r="GO22" s="65">
        <v>0.26031619565126241</v>
      </c>
      <c r="GP22" s="65">
        <v>0.23640373618855459</v>
      </c>
      <c r="GQ22" s="65">
        <v>0.24106927797131281</v>
      </c>
      <c r="GR22" s="65">
        <v>0.22672493139722524</v>
      </c>
      <c r="GS22" s="65">
        <v>0.22827595190981598</v>
      </c>
      <c r="GT22" s="65">
        <v>0.26093877439675872</v>
      </c>
      <c r="GU22" s="65">
        <v>0.24609442562543088</v>
      </c>
      <c r="GV22" s="65">
        <v>0.26880859085966502</v>
      </c>
      <c r="GW22" s="65">
        <v>0.26090215997501842</v>
      </c>
      <c r="GX22" s="65">
        <v>0.184474</v>
      </c>
      <c r="GY22" s="65">
        <v>0.21254700000000001</v>
      </c>
      <c r="GZ22" s="116">
        <f>'[2]Table S4'!L13</f>
        <v>0.2137142660334389</v>
      </c>
    </row>
    <row r="23" spans="1:208">
      <c r="A23" s="25" t="s">
        <v>97</v>
      </c>
      <c r="B23" s="23">
        <v>0.78864711717923408</v>
      </c>
      <c r="C23" s="23">
        <v>0.7887640354680362</v>
      </c>
      <c r="D23" s="23">
        <v>0.78266699776219539</v>
      </c>
      <c r="E23" s="23">
        <v>0.78297668104260076</v>
      </c>
      <c r="F23" s="23">
        <v>0.78295435838049399</v>
      </c>
      <c r="G23" s="23">
        <v>0.76920524182222816</v>
      </c>
      <c r="H23" s="23">
        <v>0.75518104310645373</v>
      </c>
      <c r="I23" s="23">
        <v>0.75181022246788853</v>
      </c>
      <c r="J23" s="23">
        <v>0.75653358212707367</v>
      </c>
      <c r="K23" s="23">
        <v>0.76476716271781797</v>
      </c>
      <c r="L23" s="23">
        <v>0.76220206442746341</v>
      </c>
      <c r="M23" s="23">
        <v>0.75234853878544672</v>
      </c>
      <c r="N23" s="23">
        <v>0.74531806862200967</v>
      </c>
      <c r="O23" s="23">
        <v>0.74395437428226363</v>
      </c>
      <c r="P23" s="23">
        <v>0.73499999999999999</v>
      </c>
      <c r="Q23" s="23">
        <v>0.73032600000000003</v>
      </c>
      <c r="R23" s="23">
        <f>'[2]Table 11'!$E$34</f>
        <v>0.73537662271400728</v>
      </c>
      <c r="T23" s="25" t="s">
        <v>175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v>1</v>
      </c>
      <c r="AB23" s="23">
        <v>1</v>
      </c>
      <c r="AC23" s="23">
        <v>1</v>
      </c>
      <c r="AD23" s="23">
        <v>1</v>
      </c>
      <c r="AE23" s="23">
        <v>1</v>
      </c>
      <c r="AF23" s="23">
        <v>1</v>
      </c>
      <c r="AG23" s="23">
        <v>1</v>
      </c>
      <c r="AH23" s="23">
        <v>1</v>
      </c>
      <c r="AI23" s="23">
        <f>SUM(AI24:AI28)</f>
        <v>1</v>
      </c>
      <c r="AJ23" s="23">
        <f>SUM(AJ24:AJ28)</f>
        <v>1</v>
      </c>
      <c r="AK23" s="23">
        <f>SUM(AK24:AK28)</f>
        <v>0.9999997983064759</v>
      </c>
      <c r="AM23" s="27" t="s">
        <v>200</v>
      </c>
      <c r="AN23" s="56">
        <v>0.30984050936140706</v>
      </c>
      <c r="AO23" s="56">
        <v>0.31654426969868238</v>
      </c>
      <c r="AP23" s="56">
        <v>0.33103528064752175</v>
      </c>
      <c r="AQ23" s="56">
        <v>0.33781987851091461</v>
      </c>
      <c r="AR23" s="56">
        <v>0.35238775753245205</v>
      </c>
      <c r="AS23" s="56">
        <v>0.34884950642646134</v>
      </c>
      <c r="AT23" s="56">
        <v>0.35496068663345537</v>
      </c>
      <c r="AU23" s="56">
        <v>0.35953824129633577</v>
      </c>
      <c r="AV23" s="56">
        <v>0.35715357603769621</v>
      </c>
      <c r="AW23" s="56">
        <v>0.38028502567864381</v>
      </c>
      <c r="AX23" s="56">
        <v>0.38246867557628245</v>
      </c>
      <c r="AY23" s="56">
        <v>0.3683695161071831</v>
      </c>
      <c r="AZ23" s="56">
        <v>0.36843746237247582</v>
      </c>
      <c r="BA23" s="56">
        <v>0.37952980514050866</v>
      </c>
      <c r="BB23" s="56">
        <v>0.36602600000000002</v>
      </c>
      <c r="BC23" s="56">
        <v>0.3422</v>
      </c>
      <c r="BD23" s="56">
        <f>'[2]Table 3 &amp; 13'!$F$18</f>
        <v>0.35335315499103598</v>
      </c>
      <c r="BF23" s="25" t="s">
        <v>223</v>
      </c>
      <c r="BG23" s="11">
        <f>V6*V19</f>
        <v>1025.9978196132706</v>
      </c>
      <c r="BH23" s="49">
        <f>'[2]Table 14-7'!$L$380</f>
        <v>116900.52523350844</v>
      </c>
      <c r="BI23" s="11">
        <f>W6*W19</f>
        <v>1013.6774925746174</v>
      </c>
      <c r="BJ23" s="49">
        <f>'[2]Table 14-7'!$L$381</f>
        <v>117451.08881576576</v>
      </c>
      <c r="BK23" s="11">
        <f>X6*X19</f>
        <v>970.59449863179543</v>
      </c>
      <c r="BL23" s="49">
        <f>'[2]Table 14-7'!$L$382</f>
        <v>120031.48392017937</v>
      </c>
      <c r="BM23" s="11">
        <f>Y6*Y19</f>
        <v>978.51124996441695</v>
      </c>
      <c r="BN23" s="49">
        <f>'[2]Table 14-7'!$L$383</f>
        <v>118956.57264128119</v>
      </c>
      <c r="BO23" s="11">
        <f>Z6*Z19</f>
        <v>1011.2399964007827</v>
      </c>
      <c r="BP23" s="49">
        <f>'[2]Table 14-7'!$L$384</f>
        <v>118257.57757111132</v>
      </c>
      <c r="BQ23" s="11">
        <f>AA6*AA19</f>
        <v>989.97444852662829</v>
      </c>
      <c r="BR23" s="49">
        <f>'[2]Table 14-7'!$L$385</f>
        <v>120402.30212823881</v>
      </c>
      <c r="BS23" s="11">
        <f>AB6*AB19</f>
        <v>946.4437322589506</v>
      </c>
      <c r="BT23" s="49">
        <f>'[2]Table 14-7'!$L$386</f>
        <v>119293.74631804557</v>
      </c>
      <c r="BU23" s="11">
        <f>AC6*AC19</f>
        <v>995.50402296273046</v>
      </c>
      <c r="BV23" s="49">
        <f>'[2]Table 14-7'!$L$387</f>
        <v>111793.17657228885</v>
      </c>
      <c r="BW23" s="11">
        <f>AD6*AD19</f>
        <v>995.45981160660995</v>
      </c>
      <c r="BX23" s="49">
        <f>'[2]Table 14-7'!$L$388</f>
        <v>107374.94835492107</v>
      </c>
      <c r="BY23" s="11">
        <f>AE6*AE19</f>
        <v>930.51721529802387</v>
      </c>
      <c r="BZ23" s="49">
        <f>'[2]Table 14-7'!$L$389</f>
        <v>109089.30962965799</v>
      </c>
      <c r="CA23" s="11">
        <f>AF6*AF19</f>
        <v>705.92452058946719</v>
      </c>
      <c r="CB23" s="49">
        <f>'[2]Table 14-7'!$L$390</f>
        <v>109537.24910064085</v>
      </c>
      <c r="CC23" s="11">
        <f>AG6*AG19</f>
        <v>730.71093196473771</v>
      </c>
      <c r="CD23" s="49">
        <f>'[2]Table 14-7'!$L$391</f>
        <v>110437.31961232248</v>
      </c>
      <c r="CE23" s="11">
        <f>AH6*AH19</f>
        <v>891.16287764918752</v>
      </c>
      <c r="CF23" s="49">
        <f>'[2]Table 14-7'!$L$392</f>
        <v>106897.50384362591</v>
      </c>
      <c r="CG23" s="11">
        <f>AI6*AI19</f>
        <v>990.74063999999987</v>
      </c>
      <c r="CH23" s="49">
        <f>'[2]Table 14-7'!$L$393</f>
        <v>109650.6750557272</v>
      </c>
      <c r="CI23" s="11">
        <f>AJ6*AJ19</f>
        <v>745.65068389931992</v>
      </c>
      <c r="CJ23" s="49">
        <f>'[2]Table 14-7'!$L$394</f>
        <v>113306.14461594183</v>
      </c>
      <c r="CK23" s="11">
        <f>AK6*AK19</f>
        <v>799.44370000000004</v>
      </c>
      <c r="CL23" s="49">
        <f>'[2]Table 14-7'!$L$395</f>
        <v>112872.87938382207</v>
      </c>
      <c r="CM23" s="235"/>
      <c r="CN23" s="43"/>
      <c r="CS23" s="11"/>
      <c r="DV23" s="64" t="s">
        <v>264</v>
      </c>
      <c r="DW23" s="65">
        <v>5.1450903886255367E-2</v>
      </c>
      <c r="DX23" s="65">
        <v>4.177035294177852E-2</v>
      </c>
      <c r="DY23" s="65">
        <v>3.8523832171107969E-2</v>
      </c>
      <c r="DZ23" s="65">
        <v>4.2038442641060693E-2</v>
      </c>
      <c r="EA23" s="65">
        <v>4.3845534085708952E-2</v>
      </c>
      <c r="EB23" s="65">
        <v>4.3944774085979341E-2</v>
      </c>
      <c r="EC23" s="65">
        <v>4.7011262284355197E-2</v>
      </c>
      <c r="ED23" s="65">
        <v>5.4674073633579442E-2</v>
      </c>
      <c r="EE23" s="65">
        <v>6.5084271489421697E-2</v>
      </c>
      <c r="EF23" s="65">
        <v>5.6191442220786564E-2</v>
      </c>
      <c r="EG23" s="65">
        <v>5.5897179317596489E-2</v>
      </c>
      <c r="EH23" s="65">
        <v>7.5699683099588314E-2</v>
      </c>
      <c r="EI23" s="65">
        <v>4.6356674991761188E-2</v>
      </c>
      <c r="EJ23" s="65">
        <v>1.5233211112985832E-2</v>
      </c>
      <c r="EK23" s="65">
        <v>3.1336999999999997E-2</v>
      </c>
      <c r="EL23" s="65">
        <v>4.9799999999999997E-2</v>
      </c>
      <c r="EM23" s="116">
        <f>'[2]Table 9-10-14-16'!$I$12</f>
        <v>5.0127854120428424E-2</v>
      </c>
      <c r="EW23" s="214" t="s">
        <v>286</v>
      </c>
      <c r="EX23" s="71"/>
      <c r="EY23" s="71"/>
      <c r="FP23" s="18" t="s">
        <v>572</v>
      </c>
      <c r="GI23" s="25" t="s">
        <v>187</v>
      </c>
      <c r="GJ23" s="65">
        <v>0.20582733030085035</v>
      </c>
      <c r="GK23" s="65">
        <v>0.16909615111524168</v>
      </c>
      <c r="GL23" s="65">
        <v>0.16418031574028785</v>
      </c>
      <c r="GM23" s="65">
        <v>0.1807639944433484</v>
      </c>
      <c r="GN23" s="65">
        <v>0.17536129540344114</v>
      </c>
      <c r="GO23" s="65">
        <v>0.15166414654965107</v>
      </c>
      <c r="GP23" s="65">
        <v>0.14716752924372598</v>
      </c>
      <c r="GQ23" s="65">
        <v>0.13285082592099601</v>
      </c>
      <c r="GR23" s="65">
        <v>0.1497239566991094</v>
      </c>
      <c r="GS23" s="65">
        <v>0.16729275815937825</v>
      </c>
      <c r="GT23" s="65">
        <v>0.17040993327145051</v>
      </c>
      <c r="GU23" s="65">
        <v>0.16216112863226165</v>
      </c>
      <c r="GV23" s="65">
        <v>0.1727845460959298</v>
      </c>
      <c r="GW23" s="65">
        <v>0.19139126043943633</v>
      </c>
      <c r="GX23" s="65">
        <v>0.18126100000000001</v>
      </c>
      <c r="GY23" s="65">
        <v>0.150148</v>
      </c>
      <c r="GZ23" s="116">
        <f>'[2]Table S4'!L14</f>
        <v>0.15567334781340947</v>
      </c>
    </row>
    <row r="24" spans="1:208">
      <c r="A24" s="25" t="s">
        <v>98</v>
      </c>
      <c r="B24" s="23">
        <v>0.14387004425716432</v>
      </c>
      <c r="C24" s="23">
        <v>0.13821601070157677</v>
      </c>
      <c r="D24" s="23">
        <v>0.1420896810687596</v>
      </c>
      <c r="E24" s="23">
        <v>0.1422279328879944</v>
      </c>
      <c r="F24" s="23">
        <v>0.14259287348526312</v>
      </c>
      <c r="G24" s="23">
        <v>0.14126101719208614</v>
      </c>
      <c r="H24" s="23">
        <v>0.14042305794822163</v>
      </c>
      <c r="I24" s="23">
        <v>0.13973544507951163</v>
      </c>
      <c r="J24" s="23">
        <v>0.1400551160053515</v>
      </c>
      <c r="K24" s="23">
        <v>0.13968594402886886</v>
      </c>
      <c r="L24" s="23">
        <v>0.14223792775889274</v>
      </c>
      <c r="M24" s="23">
        <v>0.14516387806818917</v>
      </c>
      <c r="N24" s="23">
        <v>0.14490854294505931</v>
      </c>
      <c r="O24" s="23">
        <v>0.14522161541538711</v>
      </c>
      <c r="P24" s="23">
        <v>0.14499999999999999</v>
      </c>
      <c r="Q24" s="23">
        <v>0.14493500000000001</v>
      </c>
      <c r="R24" s="23">
        <f>'[2]Table 11'!$E$35</f>
        <v>0.14702600381609052</v>
      </c>
      <c r="T24" s="25" t="s">
        <v>398</v>
      </c>
      <c r="U24" s="23">
        <v>0.52935599808106115</v>
      </c>
      <c r="V24" s="23">
        <v>0.52972201509062178</v>
      </c>
      <c r="W24" s="23">
        <v>0.52015770873022249</v>
      </c>
      <c r="X24" s="23">
        <v>0.50758318322976526</v>
      </c>
      <c r="Y24" s="23">
        <v>0.50135049446227598</v>
      </c>
      <c r="Z24" s="23">
        <v>0.51171231211290447</v>
      </c>
      <c r="AA24" s="23">
        <v>0.52114043597442061</v>
      </c>
      <c r="AB24" s="23">
        <v>0.52934186471663625</v>
      </c>
      <c r="AC24" s="23">
        <v>0.53816520336857199</v>
      </c>
      <c r="AD24" s="23">
        <v>0.54923620741121637</v>
      </c>
      <c r="AE24" s="23">
        <v>0.55297235859574134</v>
      </c>
      <c r="AF24" s="23">
        <v>0.55863055158964292</v>
      </c>
      <c r="AG24" s="23">
        <v>0.55569724766091533</v>
      </c>
      <c r="AH24" s="23">
        <v>0.56104575959094849</v>
      </c>
      <c r="AI24" s="23">
        <v>0.57499999999999996</v>
      </c>
      <c r="AJ24" s="23">
        <v>0.57938900000000004</v>
      </c>
      <c r="AK24" s="23">
        <f>'[2]Table 12'!E44</f>
        <v>0.58587145633247506</v>
      </c>
      <c r="AM24" s="200" t="s">
        <v>203</v>
      </c>
      <c r="AN24" s="55">
        <v>3501.2</v>
      </c>
      <c r="AO24" s="55">
        <v>3571.58824</v>
      </c>
      <c r="AP24" s="55">
        <v>3537</v>
      </c>
      <c r="AQ24" s="55">
        <v>3540</v>
      </c>
      <c r="AR24" s="55">
        <v>3562.1</v>
      </c>
      <c r="AS24" s="55">
        <v>3579</v>
      </c>
      <c r="AT24" s="55">
        <v>3579.9</v>
      </c>
      <c r="AU24" s="55">
        <v>3579.6</v>
      </c>
      <c r="AV24" s="55">
        <v>3598.7</v>
      </c>
      <c r="AW24" s="55">
        <v>3608.7</v>
      </c>
      <c r="AX24" s="55">
        <v>3645.3</v>
      </c>
      <c r="AY24" s="55">
        <v>3686.2</v>
      </c>
      <c r="AZ24" s="55">
        <v>3699.3981600000002</v>
      </c>
      <c r="BA24" s="55">
        <v>3727.326</v>
      </c>
      <c r="BB24" s="55">
        <f>'T1-T6'!Q67/1000</f>
        <v>3753.5568900000003</v>
      </c>
      <c r="BC24" s="55">
        <f>'T1-T6'!Q64/1000</f>
        <v>3751.663</v>
      </c>
      <c r="BD24" s="55">
        <f>'[2]Table 3 &amp; 13'!$G$7/1000</f>
        <v>3750.3102699999999</v>
      </c>
      <c r="BF24" s="25" t="s">
        <v>224</v>
      </c>
      <c r="BP24" s="49"/>
      <c r="BR24" s="49"/>
      <c r="BT24" s="49"/>
      <c r="BV24" s="49"/>
      <c r="BW24" s="11"/>
      <c r="BX24" s="49"/>
      <c r="BY24" s="11"/>
      <c r="BZ24" s="49"/>
      <c r="CA24" s="11"/>
      <c r="CB24" s="49"/>
      <c r="CC24" s="11"/>
      <c r="CD24" s="49"/>
      <c r="CE24" s="11"/>
      <c r="CF24" s="49"/>
      <c r="CG24" s="11"/>
      <c r="CH24" s="49"/>
      <c r="CI24" s="11"/>
      <c r="CJ24" s="49"/>
      <c r="CK24" s="11"/>
      <c r="CL24" s="49"/>
      <c r="CM24" s="235"/>
      <c r="CN24" s="188" t="s">
        <v>248</v>
      </c>
      <c r="CS24" s="11"/>
      <c r="DV24" s="64" t="s">
        <v>265</v>
      </c>
      <c r="DW24" s="65">
        <v>4.0209132565847371E-2</v>
      </c>
      <c r="DX24" s="65">
        <v>6.0540992172817505E-2</v>
      </c>
      <c r="DY24" s="65">
        <v>5.1865531264771565E-2</v>
      </c>
      <c r="DZ24" s="65">
        <v>4.4209156211897374E-2</v>
      </c>
      <c r="EA24" s="65">
        <v>3.407053351695407E-2</v>
      </c>
      <c r="EB24" s="65">
        <v>3.4350829566723237E-2</v>
      </c>
      <c r="EC24" s="65">
        <v>3.7686022909196884E-2</v>
      </c>
      <c r="ED24" s="65">
        <v>4.6276850776697201E-2</v>
      </c>
      <c r="EE24" s="65">
        <v>2.8674495532573951E-2</v>
      </c>
      <c r="EF24" s="65">
        <v>3.5158554157624158E-2</v>
      </c>
      <c r="EG24" s="65">
        <v>4.800750507846873E-2</v>
      </c>
      <c r="EH24" s="65">
        <v>6.6407347891361573E-2</v>
      </c>
      <c r="EI24" s="65">
        <v>6.9401422082095182E-2</v>
      </c>
      <c r="EJ24" s="65">
        <v>4.4246018121805022E-2</v>
      </c>
      <c r="EK24" s="65">
        <v>3.4666000000000002E-2</v>
      </c>
      <c r="EL24" s="65">
        <v>4.4999999999999998E-2</v>
      </c>
      <c r="EM24" s="116">
        <f>'[2]Table 9-10-14-16'!$I$16</f>
        <v>5.4446006382016202E-2</v>
      </c>
      <c r="EO24" s="18" t="s">
        <v>533</v>
      </c>
      <c r="EP24" s="18" t="s">
        <v>534</v>
      </c>
      <c r="EW24" s="202" t="s">
        <v>287</v>
      </c>
      <c r="EX24" s="70">
        <v>2031.1946</v>
      </c>
      <c r="EY24" s="70">
        <v>2016.754815</v>
      </c>
      <c r="EZ24" s="70">
        <v>2155</v>
      </c>
      <c r="FA24" s="70">
        <v>2182.325065</v>
      </c>
      <c r="FB24" s="70">
        <v>2189.5105700000004</v>
      </c>
      <c r="FC24" s="70">
        <v>2129.6899699999999</v>
      </c>
      <c r="FD24" s="70">
        <v>2089.5123399999998</v>
      </c>
      <c r="FE24" s="70">
        <v>2067.9279999999999</v>
      </c>
      <c r="FF24" s="70">
        <v>2057.89039</v>
      </c>
      <c r="FG24" s="70">
        <v>2061.0378999999998</v>
      </c>
      <c r="FH24" s="70">
        <v>2040.421145</v>
      </c>
      <c r="FI24" s="70">
        <v>2030.47318</v>
      </c>
      <c r="FJ24" s="70">
        <v>2048.5477900000001</v>
      </c>
      <c r="FK24" s="70">
        <v>2038.40993</v>
      </c>
      <c r="FL24" s="70">
        <v>2001</v>
      </c>
      <c r="FM24" s="70">
        <f>1983652/1000</f>
        <v>1983.652</v>
      </c>
      <c r="FN24" s="70">
        <f>'[2]Table S2'!$F$52/1000</f>
        <v>2007.9792399999999</v>
      </c>
      <c r="FP24" s="18" t="s">
        <v>573</v>
      </c>
      <c r="GH24" s="207"/>
      <c r="GI24" s="25" t="s">
        <v>188</v>
      </c>
      <c r="GJ24" s="65">
        <v>8.6673550700891291E-2</v>
      </c>
      <c r="GK24" s="65">
        <v>6.4520256528823747E-2</v>
      </c>
      <c r="GL24" s="65">
        <v>4.9541867859924357E-2</v>
      </c>
      <c r="GM24" s="65">
        <v>4.6706503125310266E-2</v>
      </c>
      <c r="GN24" s="65">
        <v>6.7095874371929626E-2</v>
      </c>
      <c r="GO24" s="65">
        <v>8.1882621160787483E-2</v>
      </c>
      <c r="GP24" s="65">
        <v>0.11536980921469421</v>
      </c>
      <c r="GQ24" s="65">
        <v>0.12498698566690558</v>
      </c>
      <c r="GR24" s="65">
        <v>9.4499944999202945E-2</v>
      </c>
      <c r="GS24" s="65">
        <v>6.9403114674769228E-2</v>
      </c>
      <c r="GT24" s="65">
        <v>4.9289459079631781E-2</v>
      </c>
      <c r="GU24" s="65">
        <v>6.085775633390253E-2</v>
      </c>
      <c r="GV24" s="65">
        <v>6.4717996372985073E-2</v>
      </c>
      <c r="GW24" s="65">
        <v>5.6924145079097203E-2</v>
      </c>
      <c r="GX24" s="65">
        <v>6.9074999999999998E-2</v>
      </c>
      <c r="GY24" s="65">
        <v>7.1539000000000005E-2</v>
      </c>
      <c r="GZ24" s="116">
        <f>'[2]Table S4'!L15</f>
        <v>5.8771052336077323E-2</v>
      </c>
    </row>
    <row r="25" spans="1:208">
      <c r="A25" s="25" t="s">
        <v>419</v>
      </c>
      <c r="B25" s="23">
        <v>6.7482803274090272E-2</v>
      </c>
      <c r="C25" s="23">
        <v>7.3019936260704105E-2</v>
      </c>
      <c r="D25" s="23">
        <v>7.5243349103047905E-2</v>
      </c>
      <c r="E25" s="23">
        <v>7.4795386069404918E-2</v>
      </c>
      <c r="F25" s="23">
        <v>7.4452768134242994E-2</v>
      </c>
      <c r="G25" s="23">
        <v>8.9533740985685631E-2</v>
      </c>
      <c r="H25" s="23">
        <v>0.10439589720272922</v>
      </c>
      <c r="I25" s="23">
        <v>0.10845436758123483</v>
      </c>
      <c r="J25" s="23">
        <v>0.10341132511787758</v>
      </c>
      <c r="K25" s="23">
        <v>9.55468759635444E-2</v>
      </c>
      <c r="L25" s="23">
        <v>9.5560019358625459E-2</v>
      </c>
      <c r="M25" s="23">
        <v>0.10248764069307416</v>
      </c>
      <c r="N25" s="23">
        <v>0.10977339981306984</v>
      </c>
      <c r="O25" s="23">
        <v>0.11082410024777717</v>
      </c>
      <c r="P25" s="23">
        <v>0.105</v>
      </c>
      <c r="Q25" s="23">
        <v>0.111854</v>
      </c>
      <c r="R25" s="23">
        <f>'[2]Table 11'!$E$36</f>
        <v>0.10365699538088122</v>
      </c>
      <c r="T25" s="25" t="s">
        <v>399</v>
      </c>
      <c r="U25" s="23">
        <v>0.18384643725767524</v>
      </c>
      <c r="V25" s="23">
        <v>0.20258594773651581</v>
      </c>
      <c r="W25" s="23">
        <v>0.20891895858054174</v>
      </c>
      <c r="X25" s="23">
        <v>0.20454092823957376</v>
      </c>
      <c r="Y25" s="23">
        <v>0.21029286935233624</v>
      </c>
      <c r="Z25" s="23">
        <v>0.21230075848460572</v>
      </c>
      <c r="AA25" s="23">
        <v>0.21129321644490365</v>
      </c>
      <c r="AB25" s="23">
        <v>0.19547531992687386</v>
      </c>
      <c r="AC25" s="23">
        <v>0.18728722451173624</v>
      </c>
      <c r="AD25" s="23">
        <v>0.19834465513384078</v>
      </c>
      <c r="AE25" s="23">
        <v>0.2048828753749127</v>
      </c>
      <c r="AF25" s="23">
        <v>0.19663074075241746</v>
      </c>
      <c r="AG25" s="23">
        <v>0.20523096389361487</v>
      </c>
      <c r="AH25" s="23">
        <v>0.20330478972286797</v>
      </c>
      <c r="AI25" s="23">
        <v>0.183</v>
      </c>
      <c r="AJ25" s="23">
        <v>0.18157699999999999</v>
      </c>
      <c r="AK25" s="23">
        <f>'[2]Table 12'!E45</f>
        <v>0.17570912812274192</v>
      </c>
      <c r="AM25" s="27" t="s">
        <v>194</v>
      </c>
      <c r="AN25" s="56">
        <v>1</v>
      </c>
      <c r="AO25" s="56">
        <v>1</v>
      </c>
      <c r="AP25" s="56">
        <v>1</v>
      </c>
      <c r="AQ25" s="309">
        <v>1</v>
      </c>
      <c r="AR25" s="56">
        <v>1</v>
      </c>
      <c r="AS25" s="56">
        <v>1</v>
      </c>
      <c r="AT25" s="309">
        <v>1</v>
      </c>
      <c r="AU25" s="56">
        <v>1</v>
      </c>
      <c r="AV25" s="56">
        <v>1</v>
      </c>
      <c r="AW25" s="56">
        <v>1</v>
      </c>
      <c r="AX25" s="56">
        <v>1</v>
      </c>
      <c r="AY25" s="56">
        <v>1</v>
      </c>
      <c r="AZ25" s="56">
        <v>1</v>
      </c>
      <c r="BA25" s="56">
        <v>1</v>
      </c>
      <c r="BB25" s="56">
        <f>SUM(BB26:BB31)</f>
        <v>1</v>
      </c>
      <c r="BC25" s="56">
        <f>SUM(BC26:BC31)</f>
        <v>0.99999899999999997</v>
      </c>
      <c r="BD25" s="56">
        <f>SUM(BD26:BD31)</f>
        <v>1</v>
      </c>
      <c r="BF25" s="25" t="s">
        <v>225</v>
      </c>
      <c r="BG25" s="11">
        <f>V6*V20</f>
        <v>272.04994310801538</v>
      </c>
      <c r="BH25" s="49">
        <f>'[2]Table 14-7'!$L$422</f>
        <v>136184.45644280524</v>
      </c>
      <c r="BI25" s="11">
        <f>W6*W20</f>
        <v>275.97467525197834</v>
      </c>
      <c r="BJ25" s="49">
        <f>'[2]Table 14-7'!$L$423</f>
        <v>133235.36673203006</v>
      </c>
      <c r="BK25" s="11">
        <f>X6*X20</f>
        <v>297.45835675038143</v>
      </c>
      <c r="BL25" s="49">
        <f>'[2]Table 14-7'!$L$424</f>
        <v>129113.00903349841</v>
      </c>
      <c r="BM25" s="11">
        <f>Y6*Y20</f>
        <v>332.32323499517571</v>
      </c>
      <c r="BN25" s="49">
        <f>'[2]Table 14-7'!$L$425</f>
        <v>125568.52455278866</v>
      </c>
      <c r="BO25" s="11">
        <f>Z6*Z20</f>
        <v>329.10591458968366</v>
      </c>
      <c r="BP25" s="49">
        <f>'[2]Table 14-7'!$L$426</f>
        <v>129795.0406665811</v>
      </c>
      <c r="BQ25" s="11">
        <f>AA6*AA20</f>
        <v>299.02532383466996</v>
      </c>
      <c r="BR25" s="49">
        <f>'[2]Table 14-7'!$L$427</f>
        <v>134783.10299858835</v>
      </c>
      <c r="BS25" s="11">
        <f>AB6*AB20</f>
        <v>295.7135793425511</v>
      </c>
      <c r="BT25" s="49">
        <f>'[2]Table 14-7'!$L$428</f>
        <v>139364.57963566261</v>
      </c>
      <c r="BU25" s="11">
        <f>AC6*AC20</f>
        <v>300.36327757097371</v>
      </c>
      <c r="BV25" s="49">
        <f>'[2]Table 14-7'!$L$429</f>
        <v>135538.47477337063</v>
      </c>
      <c r="BW25" s="11">
        <f>AD6*AD20</f>
        <v>310.58426560389864</v>
      </c>
      <c r="BX25" s="49">
        <f>'[2]Table 14-7'!$L$430</f>
        <v>126254.93338155581</v>
      </c>
      <c r="BY25" s="11">
        <f>AE6*AE20</f>
        <v>329.77932430632131</v>
      </c>
      <c r="BZ25" s="49">
        <f>'[2]Table 14-7'!$L$431</f>
        <v>119364.27831060017</v>
      </c>
      <c r="CA25" s="11">
        <f>AF6*AF20</f>
        <v>990.9626368074729</v>
      </c>
      <c r="CB25" s="49">
        <f>'[2]Table 14-7'!$L$432</f>
        <v>118409.48811839617</v>
      </c>
      <c r="CC25" s="11">
        <f>AG6*AG20</f>
        <v>867.75452916696179</v>
      </c>
      <c r="CD25" s="49">
        <f>'[2]Table 14-7'!$L$433</f>
        <v>124599.74368280478</v>
      </c>
      <c r="CE25" s="11">
        <f>AH6*AH20</f>
        <v>471.96579422777182</v>
      </c>
      <c r="CF25" s="49">
        <f>'[2]Table 14-7'!$L$434</f>
        <v>125002.32642926973</v>
      </c>
      <c r="CG25" s="11">
        <f>AI6*AI20</f>
        <v>354.82339199999996</v>
      </c>
      <c r="CH25" s="49">
        <f>'[2]Table 14-7'!$L$435</f>
        <v>122504.3366162631</v>
      </c>
      <c r="CI25" s="11">
        <f>AJ6*AJ20</f>
        <v>986.69690329487992</v>
      </c>
      <c r="CJ25" s="49">
        <f>'[2]Table 14-7'!$L$436</f>
        <v>130755.68885552797</v>
      </c>
      <c r="CK25" s="11">
        <f>AK6*AK20</f>
        <v>726.38160000000005</v>
      </c>
      <c r="CL25" s="49">
        <f>'[2]Table 14-7'!$L$437</f>
        <v>138580.99952599325</v>
      </c>
      <c r="CM25" s="235"/>
      <c r="CN25" s="24" t="s">
        <v>249</v>
      </c>
      <c r="CO25" s="11">
        <v>2498.4490000000001</v>
      </c>
      <c r="CP25" s="49">
        <f>'[2]Table 15'!$L$631</f>
        <v>88935.398883560323</v>
      </c>
      <c r="CQ25" s="11">
        <v>2515.4054999999998</v>
      </c>
      <c r="CR25" s="49">
        <f>'[2]Table 15'!$L$632</f>
        <v>90896.305141879246</v>
      </c>
      <c r="CS25" s="11">
        <v>2516.6889999999999</v>
      </c>
      <c r="CT25" s="49">
        <f>'[2]Table 15'!$L$633</f>
        <v>88474.287001435063</v>
      </c>
      <c r="CU25" s="11">
        <v>2494.2559999999999</v>
      </c>
      <c r="CV25" s="49">
        <f>'[2]Table 15'!$L$634</f>
        <v>91963.432699026045</v>
      </c>
      <c r="CW25" s="11">
        <v>2496.3674999999998</v>
      </c>
      <c r="CX25" s="49">
        <f>'[2]Table 15'!$L$635</f>
        <v>96347.581828111113</v>
      </c>
      <c r="CY25" s="11">
        <v>2506.7829999999999</v>
      </c>
      <c r="CZ25" s="49">
        <f>'[2]Table 15'!$L$636</f>
        <v>91395.033787664564</v>
      </c>
      <c r="DA25" s="11">
        <v>2489.6709999999998</v>
      </c>
      <c r="DB25" s="49">
        <f>'[2]Table 15'!$L$637</f>
        <v>86886.035919229718</v>
      </c>
      <c r="DC25" s="11">
        <v>2502.3485000000001</v>
      </c>
      <c r="DD25" s="49">
        <f>'[2]Table 15'!$L$638</f>
        <v>85979.066774358667</v>
      </c>
      <c r="DE25" s="11">
        <v>2502.3485000000001</v>
      </c>
      <c r="DF25" s="49">
        <f>'[2]Table 15'!$L$639</f>
        <v>83938.411355840479</v>
      </c>
      <c r="DG25" s="11">
        <v>2413.5484999999999</v>
      </c>
      <c r="DH25" s="49">
        <f>'[2]Table 15'!$L$640</f>
        <v>81212.391627132267</v>
      </c>
      <c r="DI25" s="11">
        <v>2433.2305000000001</v>
      </c>
      <c r="DJ25" s="49">
        <f>'[2]Table 15'!$L$641</f>
        <v>79905.281532541499</v>
      </c>
      <c r="DK25" s="11">
        <v>2502.4695000000002</v>
      </c>
      <c r="DL25" s="49">
        <f>'[2]Table 15'!$L$642</f>
        <v>76874.769223015202</v>
      </c>
      <c r="DM25" s="11">
        <v>2531.5445</v>
      </c>
      <c r="DN25" s="49">
        <f>'[2]Table 15'!$L$643</f>
        <v>74046.319179992672</v>
      </c>
      <c r="DO25" s="11">
        <v>2533</v>
      </c>
      <c r="DP25" s="49">
        <f>'[2]Table 15'!$L$644</f>
        <v>74023.419763973885</v>
      </c>
      <c r="DQ25" s="11">
        <v>2532.2370000000001</v>
      </c>
      <c r="DR25" s="49">
        <f>'[2]Table 15'!$L$645</f>
        <v>76205.233455361071</v>
      </c>
      <c r="DS25" s="118">
        <f>'[2]Table 15'!$G$660</f>
        <v>2466.1264999999999</v>
      </c>
      <c r="DT25" s="49">
        <f>'[2]Table 15'!$L$646</f>
        <v>79738.980676758045</v>
      </c>
      <c r="DV25" s="64" t="s">
        <v>266</v>
      </c>
      <c r="DW25" s="65">
        <v>0.77911956805794635</v>
      </c>
      <c r="DX25" s="65">
        <v>0.76362987063108601</v>
      </c>
      <c r="DY25" s="65">
        <v>0.75833299842877633</v>
      </c>
      <c r="DZ25" s="65">
        <v>0.78385615141788034</v>
      </c>
      <c r="EA25" s="65">
        <v>0.82549765879416059</v>
      </c>
      <c r="EB25" s="65">
        <v>0.77193920376042335</v>
      </c>
      <c r="EC25" s="65">
        <v>0.74087077810373669</v>
      </c>
      <c r="ED25" s="65">
        <v>0.74814605993863448</v>
      </c>
      <c r="EE25" s="65">
        <v>0.73559318953424802</v>
      </c>
      <c r="EF25" s="65">
        <v>0.70973752310186755</v>
      </c>
      <c r="EG25" s="65">
        <v>0.6653572663102123</v>
      </c>
      <c r="EH25" s="65">
        <v>0.67029229564326909</v>
      </c>
      <c r="EI25" s="65">
        <v>0.71845770328170855</v>
      </c>
      <c r="EJ25" s="65">
        <v>0.7584807204552465</v>
      </c>
      <c r="EK25" s="65">
        <v>0.78047900000000003</v>
      </c>
      <c r="EL25" s="65">
        <v>0.76800000000000002</v>
      </c>
      <c r="EM25" s="116">
        <f>'[2]Table 9-10-14-16'!$I$20</f>
        <v>0.77572275877982655</v>
      </c>
      <c r="EP25" s="18" t="s">
        <v>602</v>
      </c>
      <c r="EW25" s="71" t="s">
        <v>283</v>
      </c>
      <c r="EX25" s="72">
        <v>0.10973347900787053</v>
      </c>
      <c r="EY25" s="72">
        <v>0.10181934287336758</v>
      </c>
      <c r="EZ25" s="72">
        <v>0.10747053756229179</v>
      </c>
      <c r="FA25" s="72">
        <v>0.10080045064230611</v>
      </c>
      <c r="FB25" s="72">
        <v>0.10201697482702053</v>
      </c>
      <c r="FC25" s="72">
        <v>0.11535958447510557</v>
      </c>
      <c r="FD25" s="72">
        <v>0.11968378707923784</v>
      </c>
      <c r="FE25" s="72">
        <v>0.12580953011903703</v>
      </c>
      <c r="FF25" s="72">
        <v>0.13900886140004765</v>
      </c>
      <c r="FG25" s="72">
        <v>0.14059205315923592</v>
      </c>
      <c r="FH25" s="72">
        <v>0.16406801645843558</v>
      </c>
      <c r="FI25" s="72">
        <v>0.15541943774898814</v>
      </c>
      <c r="FJ25" s="72">
        <v>0.14814640960853542</v>
      </c>
      <c r="FK25" s="72">
        <v>0.16522314527775089</v>
      </c>
      <c r="FL25" s="72">
        <v>0.166544</v>
      </c>
      <c r="FM25" s="72">
        <v>0.15251700000000001</v>
      </c>
      <c r="FN25" s="72">
        <f>'[2]Table S2'!$F$53</f>
        <v>0.12603860386524712</v>
      </c>
      <c r="GI25" s="25" t="s">
        <v>189</v>
      </c>
      <c r="GJ25" s="65">
        <v>1.4810360148045999E-2</v>
      </c>
      <c r="GK25" s="65">
        <v>1.5835232570222253E-2</v>
      </c>
      <c r="GL25" s="65">
        <v>2.7805601059954745E-2</v>
      </c>
      <c r="GM25" s="65">
        <v>3.0224643455015715E-2</v>
      </c>
      <c r="GN25" s="65">
        <v>2.1770763354598519E-2</v>
      </c>
      <c r="GO25" s="65">
        <v>4.2749597096050668E-2</v>
      </c>
      <c r="GP25" s="65">
        <v>4.5690854240476905E-2</v>
      </c>
      <c r="GQ25" s="65">
        <v>4.4642111664821731E-2</v>
      </c>
      <c r="GR25" s="65">
        <v>3.657434779059663E-2</v>
      </c>
      <c r="GS25" s="65">
        <v>9.6778854048838129E-3</v>
      </c>
      <c r="GT25" s="65">
        <v>9.2884712137711357E-3</v>
      </c>
      <c r="GU25" s="65">
        <v>2.8281957823690338E-2</v>
      </c>
      <c r="GV25" s="65">
        <v>1.9010084393554359E-2</v>
      </c>
      <c r="GW25" s="65">
        <v>1.3661808771451921E-2</v>
      </c>
      <c r="GX25" s="65">
        <v>3.7383E-2</v>
      </c>
      <c r="GY25" s="65">
        <v>3.0117999999999999E-2</v>
      </c>
      <c r="GZ25" s="116">
        <f>'[2]Table S4'!L16</f>
        <v>1.7716157500169562E-2</v>
      </c>
    </row>
    <row r="26" spans="1:208">
      <c r="A26" s="24"/>
      <c r="B26" s="24"/>
      <c r="C26" s="24"/>
      <c r="D26" s="24"/>
      <c r="T26" s="25" t="s">
        <v>400</v>
      </c>
      <c r="U26" s="23">
        <v>0.19608742039640065</v>
      </c>
      <c r="V26" s="23">
        <v>0.18588019391881014</v>
      </c>
      <c r="W26" s="23">
        <v>0.18553483007444307</v>
      </c>
      <c r="X26" s="23">
        <v>0.19931852757203075</v>
      </c>
      <c r="Y26" s="23">
        <v>0.19928926741578182</v>
      </c>
      <c r="Z26" s="23">
        <v>0.19202432760599011</v>
      </c>
      <c r="AA26" s="23">
        <v>0.1865079157076843</v>
      </c>
      <c r="AB26" s="23">
        <v>0.18313528336380255</v>
      </c>
      <c r="AC26" s="23">
        <v>0.1804336140476617</v>
      </c>
      <c r="AD26" s="23">
        <v>0.17321410983617572</v>
      </c>
      <c r="AE26" s="23">
        <v>0.17627112089478053</v>
      </c>
      <c r="AF26" s="23">
        <v>0.17268503046871833</v>
      </c>
      <c r="AG26" s="23">
        <v>0.16360529048660266</v>
      </c>
      <c r="AH26" s="23">
        <v>0.16544358220819411</v>
      </c>
      <c r="AI26" s="23">
        <v>0.16600000000000001</v>
      </c>
      <c r="AJ26" s="23">
        <v>0.16616600000000001</v>
      </c>
      <c r="AK26" s="23">
        <f>'[2]Table 12'!E46</f>
        <v>0.16754904660348105</v>
      </c>
      <c r="AM26" s="27" t="s">
        <v>195</v>
      </c>
      <c r="AN26" s="56">
        <v>0.50522677938992344</v>
      </c>
      <c r="AO26" s="56">
        <v>0.50964329527526941</v>
      </c>
      <c r="AP26" s="56">
        <v>0.50101475636012338</v>
      </c>
      <c r="AQ26" s="56">
        <v>0.49788001161330109</v>
      </c>
      <c r="AR26" s="56">
        <v>0.49978945004351366</v>
      </c>
      <c r="AS26" s="56">
        <v>0.50499786162542815</v>
      </c>
      <c r="AT26" s="56">
        <v>0.49484622475488144</v>
      </c>
      <c r="AU26" s="56">
        <v>0.4778466867806459</v>
      </c>
      <c r="AV26" s="56">
        <v>0.47714452441159305</v>
      </c>
      <c r="AW26" s="56">
        <v>0.46962623043786567</v>
      </c>
      <c r="AX26" s="56">
        <v>0.44914304200310101</v>
      </c>
      <c r="AY26" s="56">
        <v>0.45131646302650469</v>
      </c>
      <c r="AZ26" s="56">
        <v>0.46989508152861276</v>
      </c>
      <c r="BA26" s="56">
        <v>0.47231925245204448</v>
      </c>
      <c r="BB26" s="56">
        <v>0.477551</v>
      </c>
      <c r="BC26" s="56">
        <v>0.48748900000000001</v>
      </c>
      <c r="BD26" s="56">
        <f>'[2]Table 3 &amp; 13'!$G$9</f>
        <v>0.49313066569289477</v>
      </c>
      <c r="BF26" s="2"/>
      <c r="CM26" s="234"/>
      <c r="CN26" s="24" t="s">
        <v>250</v>
      </c>
      <c r="CO26" s="11">
        <v>746.97370000000001</v>
      </c>
      <c r="CP26" s="49">
        <f>'[2]Table 15'!$L$566</f>
        <v>34608.258741741949</v>
      </c>
      <c r="CQ26" s="11">
        <v>702.99589999999989</v>
      </c>
      <c r="CR26" s="49">
        <f>'[2]Table 15'!$L$567</f>
        <v>31632.144322778371</v>
      </c>
      <c r="CS26" s="11">
        <v>696.46870000000001</v>
      </c>
      <c r="CT26" s="49">
        <f>'[2]Table 15'!$L$568</f>
        <v>31756.950603286514</v>
      </c>
      <c r="CU26" s="11">
        <v>693.90155000000004</v>
      </c>
      <c r="CV26" s="49">
        <f>'[2]Table 15'!$L$569</f>
        <v>32950.160711976889</v>
      </c>
      <c r="CW26" s="11">
        <v>680.18130000000008</v>
      </c>
      <c r="CX26" s="49">
        <f>'[2]Table 15'!$L$570</f>
        <v>34786.145747030954</v>
      </c>
      <c r="CY26" s="11">
        <v>706.85249999999996</v>
      </c>
      <c r="CZ26" s="49">
        <f>'[2]Table 15'!$L$571</f>
        <v>33406.221735067185</v>
      </c>
      <c r="DA26" s="11">
        <v>713.50689999999997</v>
      </c>
      <c r="DB26" s="49">
        <f>'[2]Table 15'!$L$572</f>
        <v>34249.148534795946</v>
      </c>
      <c r="DC26" s="11">
        <v>697.00840000000005</v>
      </c>
      <c r="DD26" s="49">
        <f>'[2]Table 15'!$L$573</f>
        <v>37586.030622995546</v>
      </c>
      <c r="DE26" s="11">
        <v>722.32389999999998</v>
      </c>
      <c r="DF26" s="49">
        <f>'[2]Table 15'!$L$574</f>
        <v>36672.180538636501</v>
      </c>
      <c r="DG26" s="11">
        <v>774.50244999999995</v>
      </c>
      <c r="DH26" s="49">
        <f>'[2]Table 15'!$L$575</f>
        <v>39878.608663297113</v>
      </c>
      <c r="DI26" s="11">
        <v>800.13330000000008</v>
      </c>
      <c r="DJ26" s="49">
        <f>'[2]Table 15'!$L$576</f>
        <v>45044.190924924194</v>
      </c>
      <c r="DK26" s="11">
        <v>791.64514999999994</v>
      </c>
      <c r="DL26" s="49">
        <f>'[2]Table 15'!$L$577</f>
        <v>42737.217354948647</v>
      </c>
      <c r="DM26" s="11">
        <v>782.58794999999998</v>
      </c>
      <c r="DN26" s="49">
        <f>'[2]Table 15'!$L$578</f>
        <v>43820.438049192293</v>
      </c>
      <c r="DO26" s="11">
        <v>830</v>
      </c>
      <c r="DP26" s="49">
        <f>'[2]Table 15'!$L$579</f>
        <v>48286.908773640251</v>
      </c>
      <c r="DQ26" s="11">
        <v>887.21429999999998</v>
      </c>
      <c r="DR26" s="49">
        <f>'[2]Table 15'!$L$580</f>
        <v>43152.763607122717</v>
      </c>
      <c r="DS26" s="118">
        <f>'[2]Table 15'!$G$607</f>
        <v>919.87839999999994</v>
      </c>
      <c r="DT26" s="49">
        <f>'[2]Table 15'!$L$581</f>
        <v>43118.670656287402</v>
      </c>
      <c r="DV26" s="61"/>
      <c r="DW26" s="293"/>
      <c r="DX26" s="64"/>
      <c r="EM26" s="2"/>
      <c r="EO26" s="18" t="s">
        <v>535</v>
      </c>
      <c r="EP26" s="18" t="s">
        <v>536</v>
      </c>
      <c r="EW26" s="202" t="s">
        <v>288</v>
      </c>
      <c r="EX26" s="70">
        <v>5206.6291500000007</v>
      </c>
      <c r="EY26" s="70">
        <v>5351.29025</v>
      </c>
      <c r="EZ26" s="70">
        <v>5361</v>
      </c>
      <c r="FA26" s="70">
        <v>5406.2710999999999</v>
      </c>
      <c r="FB26" s="70">
        <v>5444.8705500000005</v>
      </c>
      <c r="FC26" s="70">
        <v>5473.2073250000003</v>
      </c>
      <c r="FD26" s="70">
        <v>5410.8511750000007</v>
      </c>
      <c r="FE26" s="70">
        <v>5371.4039499999999</v>
      </c>
      <c r="FF26" s="70">
        <v>5465.3749000000007</v>
      </c>
      <c r="FG26" s="70">
        <v>5524.8954499999991</v>
      </c>
      <c r="FH26" s="70">
        <v>5456.7425000000003</v>
      </c>
      <c r="FI26" s="70">
        <v>5414.5913</v>
      </c>
      <c r="FJ26" s="70">
        <v>5496.6494000000002</v>
      </c>
      <c r="FK26" s="70">
        <v>5610.6515999999992</v>
      </c>
      <c r="FL26" s="70">
        <v>5638</v>
      </c>
      <c r="FM26" s="70">
        <f>5559318/1000</f>
        <v>5559.3180000000002</v>
      </c>
      <c r="FN26" s="70">
        <f>'[2]Table S2'!$G$52/1000</f>
        <v>5488.4940999999999</v>
      </c>
      <c r="GI26" s="25"/>
      <c r="GJ26" s="65"/>
      <c r="GK26" s="65"/>
    </row>
    <row r="27" spans="1:208">
      <c r="A27" s="25" t="s">
        <v>162</v>
      </c>
      <c r="B27" s="23">
        <v>0.11305240804156209</v>
      </c>
      <c r="C27" s="23">
        <v>0.12334372501993721</v>
      </c>
      <c r="D27" s="23">
        <v>0.13277735744216251</v>
      </c>
      <c r="E27" s="23">
        <v>0.14189905748892473</v>
      </c>
      <c r="F27" s="23">
        <v>0.16084844279697749</v>
      </c>
      <c r="G27" s="23">
        <v>0.16669708519902091</v>
      </c>
      <c r="H27" s="23">
        <v>0.16512225937416669</v>
      </c>
      <c r="I27" s="23">
        <v>0.17451010044857512</v>
      </c>
      <c r="J27" s="23">
        <v>0.18623730874954814</v>
      </c>
      <c r="K27" s="23">
        <v>0.19851409421609975</v>
      </c>
      <c r="L27" s="23">
        <v>0.20003862950906581</v>
      </c>
      <c r="M27" s="23">
        <v>0.20119757005563846</v>
      </c>
      <c r="N27" s="23">
        <v>0.20008036654061645</v>
      </c>
      <c r="O27" s="23">
        <v>0.18957977720967245</v>
      </c>
      <c r="P27" s="23">
        <v>0.184</v>
      </c>
      <c r="Q27" s="23">
        <v>0.17973</v>
      </c>
      <c r="R27" s="23">
        <f>'[2]Table 11'!$E$43</f>
        <v>0.18399562558273255</v>
      </c>
      <c r="T27" s="25" t="s">
        <v>401</v>
      </c>
      <c r="U27" s="23">
        <v>7.1505462584856141E-2</v>
      </c>
      <c r="V27" s="23">
        <v>6.4402106212042731E-2</v>
      </c>
      <c r="W27" s="23">
        <v>6.7979319819679238E-2</v>
      </c>
      <c r="X27" s="23">
        <v>7.2386426090875186E-2</v>
      </c>
      <c r="Y27" s="23">
        <v>7.4716156359934019E-2</v>
      </c>
      <c r="Z27" s="23">
        <v>6.6869682836204605E-2</v>
      </c>
      <c r="AA27" s="23">
        <v>6.3294011174581236E-2</v>
      </c>
      <c r="AB27" s="23">
        <v>7.1069469835466179E-2</v>
      </c>
      <c r="AC27" s="23">
        <v>7.1134205339544884E-2</v>
      </c>
      <c r="AD27" s="23">
        <v>6.2027138068710339E-2</v>
      </c>
      <c r="AE27" s="23">
        <v>5.2372401315198172E-2</v>
      </c>
      <c r="AF27" s="23">
        <v>5.4222968864708079E-2</v>
      </c>
      <c r="AG27" s="23">
        <v>5.5460284148786933E-2</v>
      </c>
      <c r="AH27" s="23">
        <v>5.5452900804836718E-2</v>
      </c>
      <c r="AI27" s="23">
        <v>6.0999999999999999E-2</v>
      </c>
      <c r="AJ27" s="23">
        <v>5.4011999999999998E-2</v>
      </c>
      <c r="AK27" s="23">
        <f>'[2]Table 12'!E47</f>
        <v>4.9786336403751852E-2</v>
      </c>
      <c r="AM27" s="27" t="s">
        <v>196</v>
      </c>
      <c r="AN27" s="56">
        <v>1.6480063978064664E-2</v>
      </c>
      <c r="AO27" s="56">
        <v>1.6948444482502833E-2</v>
      </c>
      <c r="AP27" s="56">
        <v>1.7188091888137955E-2</v>
      </c>
      <c r="AQ27" s="56">
        <v>1.894801852453731E-2</v>
      </c>
      <c r="AR27" s="56">
        <v>1.6675556553718312E-2</v>
      </c>
      <c r="AS27" s="56">
        <v>1.34778669301276E-2</v>
      </c>
      <c r="AT27" s="56">
        <v>1.262605100701137E-2</v>
      </c>
      <c r="AU27" s="56">
        <v>1.3381383394792714E-2</v>
      </c>
      <c r="AV27" s="56">
        <v>1.253230333175869E-2</v>
      </c>
      <c r="AW27" s="56">
        <v>1.2441792174818464E-2</v>
      </c>
      <c r="AX27" s="56">
        <v>1.954036228920876E-2</v>
      </c>
      <c r="AY27" s="56">
        <v>2.2225760879025572E-2</v>
      </c>
      <c r="AZ27" s="56">
        <v>1.5238192149611708E-2</v>
      </c>
      <c r="BA27" s="56">
        <v>1.267425640721195E-2</v>
      </c>
      <c r="BB27" s="56">
        <v>1.2463E-2</v>
      </c>
      <c r="BC27" s="56">
        <v>1.3483E-2</v>
      </c>
      <c r="BD27" s="56">
        <f>'[2]Table 3 &amp; 13'!$G$11</f>
        <v>1.4058620808459136E-2</v>
      </c>
      <c r="BF27" s="186" t="s">
        <v>226</v>
      </c>
      <c r="CM27" s="234"/>
      <c r="CN27" s="43"/>
      <c r="CS27" s="11"/>
      <c r="DV27" s="201" t="s">
        <v>129</v>
      </c>
      <c r="DW27" s="119">
        <v>235.21623</v>
      </c>
      <c r="DX27" s="217">
        <f>BG15</f>
        <v>260.25465000000003</v>
      </c>
      <c r="DY27" s="63">
        <f>BI15</f>
        <v>270.61765000000003</v>
      </c>
      <c r="DZ27" s="63">
        <f>BK15</f>
        <v>275.00625000000002</v>
      </c>
      <c r="EA27" s="63">
        <f>BM15</f>
        <v>319.46644999999995</v>
      </c>
      <c r="EB27" s="63">
        <f>BO15</f>
        <v>351.21365000000003</v>
      </c>
      <c r="EC27" s="63">
        <f>BQ15</f>
        <v>340.01620000000003</v>
      </c>
      <c r="ED27" s="63">
        <f>BS15</f>
        <v>332.89920000000001</v>
      </c>
      <c r="EE27" s="63">
        <f>BU15</f>
        <v>344.70205000000004</v>
      </c>
      <c r="EF27" s="63">
        <f>BW15</f>
        <v>359.1816</v>
      </c>
      <c r="EG27" s="63">
        <f>BY15</f>
        <v>371.63965000000002</v>
      </c>
      <c r="EH27" s="63">
        <f>CA15</f>
        <v>399.12234999999998</v>
      </c>
      <c r="EI27" s="63">
        <f>CC15</f>
        <v>389.32515000000001</v>
      </c>
      <c r="EJ27" s="63">
        <f>CE15</f>
        <v>374.56180000000001</v>
      </c>
      <c r="EK27" s="63">
        <f>CG15</f>
        <v>386</v>
      </c>
      <c r="EL27" s="63">
        <f>CI15</f>
        <v>387.30180000000001</v>
      </c>
      <c r="EM27" s="63">
        <f>'[2]Table 9-10-14-16'!$J$6/1000</f>
        <v>388.84209999999996</v>
      </c>
      <c r="EP27" s="18" t="s">
        <v>579</v>
      </c>
      <c r="EW27" s="71" t="s">
        <v>283</v>
      </c>
      <c r="EX27" s="72">
        <v>7.148179547222025E-2</v>
      </c>
      <c r="EY27" s="72">
        <v>7.2137238304350995E-2</v>
      </c>
      <c r="EZ27" s="72">
        <v>7.3029260347519234E-2</v>
      </c>
      <c r="FA27" s="72">
        <v>7.4939961852819412E-2</v>
      </c>
      <c r="FB27" s="72">
        <v>6.0522641435812354E-2</v>
      </c>
      <c r="FC27" s="72">
        <v>6.7141472664750554E-2</v>
      </c>
      <c r="FD27" s="72">
        <v>7.5167535909911612E-2</v>
      </c>
      <c r="FE27" s="72">
        <v>7.6782746901766716E-2</v>
      </c>
      <c r="FF27" s="72">
        <v>7.9610824135778857E-2</v>
      </c>
      <c r="FG27" s="72">
        <v>8.965411282126616E-2</v>
      </c>
      <c r="FH27" s="72">
        <v>0.10033613460778108</v>
      </c>
      <c r="FI27" s="72">
        <v>9.484272617214895E-2</v>
      </c>
      <c r="FJ27" s="72">
        <v>9.2106875144701783E-2</v>
      </c>
      <c r="FK27" s="72">
        <v>0.10294558300501142</v>
      </c>
      <c r="FL27" s="72">
        <v>0.104953</v>
      </c>
      <c r="FM27" s="72">
        <v>9.2190999999999995E-2</v>
      </c>
      <c r="FN27" s="72">
        <f>'[2]Table S2'!$G$53</f>
        <v>7.8645160609719891E-2</v>
      </c>
      <c r="GH27" s="11"/>
      <c r="GI27" s="201" t="s">
        <v>308</v>
      </c>
      <c r="GJ27" s="63">
        <f>DW27</f>
        <v>235.21623</v>
      </c>
      <c r="GK27" s="63">
        <f t="shared" ref="GK27:GZ27" si="7">DX27</f>
        <v>260.25465000000003</v>
      </c>
      <c r="GL27" s="63">
        <f t="shared" si="7"/>
        <v>270.61765000000003</v>
      </c>
      <c r="GM27" s="63">
        <f t="shared" si="7"/>
        <v>275.00625000000002</v>
      </c>
      <c r="GN27" s="63">
        <f t="shared" si="7"/>
        <v>319.46644999999995</v>
      </c>
      <c r="GO27" s="63">
        <f t="shared" si="7"/>
        <v>351.21365000000003</v>
      </c>
      <c r="GP27" s="63">
        <f t="shared" si="7"/>
        <v>340.01620000000003</v>
      </c>
      <c r="GQ27" s="63">
        <f t="shared" si="7"/>
        <v>332.89920000000001</v>
      </c>
      <c r="GR27" s="63">
        <f t="shared" si="7"/>
        <v>344.70205000000004</v>
      </c>
      <c r="GS27" s="63">
        <f t="shared" si="7"/>
        <v>359.1816</v>
      </c>
      <c r="GT27" s="63">
        <f t="shared" si="7"/>
        <v>371.63965000000002</v>
      </c>
      <c r="GU27" s="63">
        <f t="shared" si="7"/>
        <v>399.12234999999998</v>
      </c>
      <c r="GV27" s="63">
        <f t="shared" si="7"/>
        <v>389.32515000000001</v>
      </c>
      <c r="GW27" s="63">
        <f t="shared" si="7"/>
        <v>374.56180000000001</v>
      </c>
      <c r="GX27" s="63">
        <f t="shared" si="7"/>
        <v>386</v>
      </c>
      <c r="GY27" s="63">
        <f t="shared" si="7"/>
        <v>387.30180000000001</v>
      </c>
      <c r="GZ27" s="63">
        <f t="shared" si="7"/>
        <v>388.84209999999996</v>
      </c>
    </row>
    <row r="28" spans="1:208">
      <c r="A28" s="24"/>
      <c r="B28" s="24"/>
      <c r="C28" s="24"/>
      <c r="T28" s="25" t="s">
        <v>402</v>
      </c>
      <c r="U28" s="23">
        <v>1.9204771910822267E-2</v>
      </c>
      <c r="V28" s="23">
        <v>1.7409686865015598E-2</v>
      </c>
      <c r="W28" s="23">
        <v>1.7409207142444504E-2</v>
      </c>
      <c r="X28" s="23">
        <v>1.6170977213230867E-2</v>
      </c>
      <c r="Y28" s="23">
        <v>1.435121240967192E-2</v>
      </c>
      <c r="Z28" s="23">
        <v>1.7092918960295213E-2</v>
      </c>
      <c r="AA28" s="23">
        <v>1.7764420698410159E-2</v>
      </c>
      <c r="AB28" s="23">
        <v>2.1023765996343691E-2</v>
      </c>
      <c r="AC28" s="23">
        <v>2.2979752732485217E-2</v>
      </c>
      <c r="AD28" s="23">
        <v>1.717788955005688E-2</v>
      </c>
      <c r="AE28" s="23">
        <v>1.3501243819367266E-2</v>
      </c>
      <c r="AF28" s="23">
        <v>1.7830744355517923E-2</v>
      </c>
      <c r="AG28" s="23">
        <v>2.000623184726473E-2</v>
      </c>
      <c r="AH28" s="23">
        <v>1.475291396366195E-2</v>
      </c>
      <c r="AI28" s="23">
        <v>1.4999999999999999E-2</v>
      </c>
      <c r="AJ28" s="23">
        <v>1.8856000000000001E-2</v>
      </c>
      <c r="AK28" s="23">
        <f>'[2]Table 12'!E48</f>
        <v>2.1083830844026014E-2</v>
      </c>
      <c r="AM28" s="27" t="s">
        <v>197</v>
      </c>
      <c r="AN28" s="56">
        <v>9.7452302067862442E-2</v>
      </c>
      <c r="AO28" s="56">
        <v>9.1696096524273463E-2</v>
      </c>
      <c r="AP28" s="56">
        <v>9.2568977495595797E-2</v>
      </c>
      <c r="AQ28" s="56">
        <v>9.4435879055198388E-2</v>
      </c>
      <c r="AR28" s="56">
        <v>9.9491872771679632E-2</v>
      </c>
      <c r="AS28" s="56">
        <v>0.1018520414731242</v>
      </c>
      <c r="AT28" s="56">
        <v>0.10039386575043996</v>
      </c>
      <c r="AU28" s="56">
        <v>0.10291652698625545</v>
      </c>
      <c r="AV28" s="56">
        <v>0.10614944285436408</v>
      </c>
      <c r="AW28" s="56">
        <v>0.10054114100434913</v>
      </c>
      <c r="AX28" s="56">
        <v>9.5968622234037917E-2</v>
      </c>
      <c r="AY28" s="56">
        <v>9.8785304041548977E-2</v>
      </c>
      <c r="AZ28" s="56">
        <v>9.8774877478989706E-2</v>
      </c>
      <c r="BA28" s="56">
        <v>9.3070304688854785E-2</v>
      </c>
      <c r="BB28" s="56">
        <v>9.1170000000000001E-2</v>
      </c>
      <c r="BC28" s="56">
        <v>9.3597E-2</v>
      </c>
      <c r="BD28" s="56">
        <f>'[2]Table 3 &amp; 13'!$G$13</f>
        <v>8.3425764130176883E-2</v>
      </c>
      <c r="BF28" s="25" t="s">
        <v>227</v>
      </c>
      <c r="BG28" s="11">
        <f>'T1-T6'!J54/1000</f>
        <v>1777.3</v>
      </c>
      <c r="BH28" s="49">
        <f>'T7-T10'!B18</f>
        <v>105100.65423775678</v>
      </c>
      <c r="BI28" s="11">
        <f>'T1-T6'!J51/1000</f>
        <v>1727.2</v>
      </c>
      <c r="BJ28" s="49">
        <f>'T7-T10'!C18</f>
        <v>107584.45403061122</v>
      </c>
      <c r="BK28" s="11">
        <f>'T1-T6'!J48/1000</f>
        <v>1726.9</v>
      </c>
      <c r="BL28" s="49">
        <f>'T7-T10'!D18</f>
        <v>109232.3590308353</v>
      </c>
      <c r="BM28" s="11">
        <f>'T1-T6'!J45/1000</f>
        <v>1739.2</v>
      </c>
      <c r="BN28" s="49">
        <f>'T7-T10'!E18</f>
        <v>110506.58774699213</v>
      </c>
      <c r="BO28" s="11">
        <f>'T1-T6'!J42/1000</f>
        <v>1745.1</v>
      </c>
      <c r="BP28" s="49">
        <f>'T7-T10'!F18</f>
        <v>112447.08552899005</v>
      </c>
      <c r="BQ28" s="11">
        <f>'T1-T6'!J39/1000</f>
        <v>1698.6</v>
      </c>
      <c r="BR28" s="49">
        <f>'T7-T10'!G18</f>
        <v>112191.65123718925</v>
      </c>
      <c r="BS28" s="11">
        <f>'T1-T6'!J36/1000</f>
        <v>1642</v>
      </c>
      <c r="BT28" s="49">
        <f>'T7-T10'!H18</f>
        <v>112333.0067890377</v>
      </c>
      <c r="BU28" s="11">
        <f>'T1-T6'!J33/1000</f>
        <v>1653.8</v>
      </c>
      <c r="BV28" s="49">
        <f>'T7-T10'!I18</f>
        <v>113408.17438022332</v>
      </c>
      <c r="BW28" s="11">
        <f>'T1-T6'!J30/1000</f>
        <v>1629.9</v>
      </c>
      <c r="BX28" s="49">
        <f>'T7-T10'!J18</f>
        <v>110094.8375265029</v>
      </c>
      <c r="BY28" s="11">
        <f>'T1-T6'!J27/1000</f>
        <v>1577.2</v>
      </c>
      <c r="BZ28" s="49">
        <f>'T7-T10'!K18</f>
        <v>104438.9309589121</v>
      </c>
      <c r="CA28" s="11">
        <f>'T1-T6'!J24/1000</f>
        <v>1606.7</v>
      </c>
      <c r="CB28" s="49">
        <f>'T7-T10'!L18</f>
        <v>104146.55826484758</v>
      </c>
      <c r="CC28" s="11">
        <f>'T1-T6'!J21/1000</f>
        <v>1671.3</v>
      </c>
      <c r="CD28" s="49">
        <f>'T7-T10'!M18</f>
        <v>103264.60913036158</v>
      </c>
      <c r="CE28" s="11">
        <f>'T1-T6'!J18/1000</f>
        <v>1689.2</v>
      </c>
      <c r="CF28" s="49">
        <f>'T7-T10'!N18</f>
        <v>102920.99894773556</v>
      </c>
      <c r="CG28" s="11">
        <f>'T1-T6'!J15/1000</f>
        <v>1724.2439999999999</v>
      </c>
      <c r="CH28" s="49">
        <f>'T7-T10'!O18</f>
        <v>104620.69852116067</v>
      </c>
      <c r="CI28" s="11">
        <f>'T1-T6'!J12/1000</f>
        <v>1762.4939999999999</v>
      </c>
      <c r="CJ28" s="49">
        <f>'T7-T10'!P18</f>
        <v>103399.95225804916</v>
      </c>
      <c r="CK28" s="118">
        <f>'T1-T6'!J9/1000</f>
        <v>1768.3130000000001</v>
      </c>
      <c r="CL28" s="49">
        <f>'T7-T10'!Q18</f>
        <v>105501.3852680717</v>
      </c>
      <c r="CM28" s="235"/>
      <c r="CN28" s="24" t="s">
        <v>251</v>
      </c>
      <c r="CO28" s="11"/>
      <c r="CP28" s="49"/>
      <c r="CQ28" s="11"/>
      <c r="CR28" s="49"/>
      <c r="CS28" s="11"/>
      <c r="CT28" s="49"/>
      <c r="DV28" s="64" t="s">
        <v>262</v>
      </c>
      <c r="DW28" s="65">
        <v>0.99990000000000001</v>
      </c>
      <c r="DX28" s="65">
        <f>SUM(DX29:DX32)</f>
        <v>1</v>
      </c>
      <c r="DY28" s="65">
        <f t="shared" ref="DY28:EL28" si="8">SUM(DY29:DY32)</f>
        <v>1</v>
      </c>
      <c r="DZ28" s="65">
        <f t="shared" si="8"/>
        <v>1</v>
      </c>
      <c r="EA28" s="65">
        <f t="shared" si="8"/>
        <v>1</v>
      </c>
      <c r="EB28" s="65">
        <f t="shared" si="8"/>
        <v>1</v>
      </c>
      <c r="EC28" s="65">
        <f t="shared" si="8"/>
        <v>1</v>
      </c>
      <c r="ED28" s="65">
        <f t="shared" si="8"/>
        <v>1</v>
      </c>
      <c r="EE28" s="65">
        <f t="shared" si="8"/>
        <v>1</v>
      </c>
      <c r="EF28" s="65">
        <f t="shared" si="8"/>
        <v>1</v>
      </c>
      <c r="EG28" s="65">
        <f t="shared" si="8"/>
        <v>1</v>
      </c>
      <c r="EH28" s="65">
        <f t="shared" si="8"/>
        <v>1</v>
      </c>
      <c r="EI28" s="65">
        <f t="shared" si="8"/>
        <v>1</v>
      </c>
      <c r="EJ28" s="65">
        <f t="shared" si="8"/>
        <v>1</v>
      </c>
      <c r="EK28" s="65">
        <f t="shared" si="8"/>
        <v>1.0000009999999999</v>
      </c>
      <c r="EL28" s="65">
        <f t="shared" si="8"/>
        <v>0.99959999999999993</v>
      </c>
      <c r="EM28" s="65">
        <f t="shared" ref="EM28" si="9">SUM(EM29:EM32)</f>
        <v>1</v>
      </c>
      <c r="EW28" s="202" t="s">
        <v>289</v>
      </c>
      <c r="EX28" s="70">
        <v>1150.506515</v>
      </c>
      <c r="EY28" s="70">
        <v>1169.388455</v>
      </c>
      <c r="EZ28" s="70">
        <v>1076</v>
      </c>
      <c r="FA28" s="70">
        <v>1033.212475</v>
      </c>
      <c r="FB28" s="70">
        <v>1060.5833399999999</v>
      </c>
      <c r="FC28" s="70">
        <v>1089.7199950000002</v>
      </c>
      <c r="FD28" s="70">
        <v>1107.485655</v>
      </c>
      <c r="FE28" s="70">
        <v>1100.7095899999999</v>
      </c>
      <c r="FF28" s="70">
        <v>1078.77288</v>
      </c>
      <c r="FG28" s="70">
        <v>1089.7175550000002</v>
      </c>
      <c r="FH28" s="70">
        <v>1164.6083249999999</v>
      </c>
      <c r="FI28" s="70">
        <v>1243.5303899999999</v>
      </c>
      <c r="FJ28" s="70">
        <v>1242.0424699999999</v>
      </c>
      <c r="FK28" s="70">
        <v>1245.2219599999999</v>
      </c>
      <c r="FL28" s="70">
        <v>1302</v>
      </c>
      <c r="FM28" s="70">
        <f>1353590/1000</f>
        <v>1353.59</v>
      </c>
      <c r="FN28" s="70">
        <f>'[2]Table S2'!$H$52/1000</f>
        <v>1440.9466</v>
      </c>
      <c r="GI28" s="25" t="s">
        <v>185</v>
      </c>
      <c r="GJ28" s="65">
        <v>0.42043858407823831</v>
      </c>
      <c r="GK28" s="65">
        <v>0.40573371426531674</v>
      </c>
      <c r="GL28" s="65">
        <v>0.40289164542358763</v>
      </c>
      <c r="GM28" s="65">
        <v>0.40519823312305375</v>
      </c>
      <c r="GN28" s="65">
        <v>0.38361087918359865</v>
      </c>
      <c r="GO28" s="65">
        <v>0.37534890089544642</v>
      </c>
      <c r="GP28" s="65">
        <v>0.39083739566416553</v>
      </c>
      <c r="GQ28" s="65">
        <v>0.42129535082890784</v>
      </c>
      <c r="GR28" s="65">
        <v>0.42885838034833679</v>
      </c>
      <c r="GS28" s="65">
        <v>0.41674341522432273</v>
      </c>
      <c r="GT28" s="65">
        <v>0.39849084457900491</v>
      </c>
      <c r="GU28" s="65">
        <v>0.397547588673827</v>
      </c>
      <c r="GV28" s="65">
        <v>0.4087269670048056</v>
      </c>
      <c r="GW28" s="65">
        <v>0.43679684538207292</v>
      </c>
      <c r="GX28" s="65">
        <v>0.460065</v>
      </c>
      <c r="GY28" s="65">
        <v>0.47798600000000002</v>
      </c>
      <c r="GZ28" s="116">
        <f>'[2]Table S4'!M7</f>
        <v>0.49369868152243374</v>
      </c>
    </row>
    <row r="29" spans="1:208">
      <c r="A29" s="186" t="s">
        <v>163</v>
      </c>
      <c r="B29" s="24"/>
      <c r="C29" s="24"/>
      <c r="T29" s="24"/>
      <c r="U29" s="24"/>
      <c r="V29" s="24"/>
      <c r="X29" s="23"/>
      <c r="AM29" s="27" t="s">
        <v>198</v>
      </c>
      <c r="AN29" s="56">
        <v>8.7884154004341367E-2</v>
      </c>
      <c r="AO29" s="56">
        <v>8.9893159128556194E-2</v>
      </c>
      <c r="AP29" s="56">
        <v>9.2356599484200913E-2</v>
      </c>
      <c r="AQ29" s="56">
        <v>8.8802031897509279E-2</v>
      </c>
      <c r="AR29" s="56">
        <v>8.2563656270177699E-2</v>
      </c>
      <c r="AS29" s="56">
        <v>8.0603221139475739E-2</v>
      </c>
      <c r="AT29" s="56">
        <v>8.3996759686024755E-2</v>
      </c>
      <c r="AU29" s="56">
        <v>8.6713599284836296E-2</v>
      </c>
      <c r="AV29" s="56">
        <v>8.9143301747853398E-2</v>
      </c>
      <c r="AW29" s="56">
        <v>8.6031601441533351E-2</v>
      </c>
      <c r="AX29" s="56">
        <v>8.4075131540256073E-2</v>
      </c>
      <c r="AY29" s="56">
        <v>8.9688012953563725E-2</v>
      </c>
      <c r="AZ29" s="56">
        <v>9.0710349491010187E-2</v>
      </c>
      <c r="BA29" s="56">
        <v>8.5873832631065877E-2</v>
      </c>
      <c r="BB29" s="56">
        <v>8.2479999999999998E-2</v>
      </c>
      <c r="BC29" s="56">
        <v>8.7262999999999993E-2</v>
      </c>
      <c r="BD29" s="56">
        <f>'[2]Table 3 &amp; 13'!$G$15</f>
        <v>9.4676673244957946E-2</v>
      </c>
      <c r="BF29" s="25" t="s">
        <v>228</v>
      </c>
      <c r="CM29" s="234"/>
      <c r="CN29" s="188" t="s">
        <v>252</v>
      </c>
      <c r="CS29" s="11"/>
      <c r="DV29" s="64" t="s">
        <v>263</v>
      </c>
      <c r="DW29" s="65">
        <v>0.15025787123618128</v>
      </c>
      <c r="DX29" s="65">
        <v>0.1582470415707446</v>
      </c>
      <c r="DY29" s="65">
        <v>0.14740802091482325</v>
      </c>
      <c r="DZ29" s="65">
        <v>0.1657618446420481</v>
      </c>
      <c r="EA29" s="65">
        <v>0.16474632644851422</v>
      </c>
      <c r="EB29" s="65">
        <v>0.15366121819273898</v>
      </c>
      <c r="EC29" s="65">
        <v>0.13872248548823055</v>
      </c>
      <c r="ED29" s="65">
        <v>0.15685537837095573</v>
      </c>
      <c r="EE29" s="65">
        <v>0.15362200599427769</v>
      </c>
      <c r="EF29" s="65">
        <v>0.15110971299449324</v>
      </c>
      <c r="EG29" s="65">
        <v>0.17912216466257913</v>
      </c>
      <c r="EH29" s="65">
        <v>0.20356546289299696</v>
      </c>
      <c r="EI29" s="65">
        <v>0.21723012021826485</v>
      </c>
      <c r="EJ29" s="65">
        <v>0.22972239106396836</v>
      </c>
      <c r="EK29" s="65">
        <v>0.21346000000000001</v>
      </c>
      <c r="EL29" s="65">
        <v>0.17399999999999999</v>
      </c>
      <c r="EM29" s="116">
        <f>'T7-T10'!BT19</f>
        <v>0.13686298371498354</v>
      </c>
      <c r="EW29" s="71" t="s">
        <v>283</v>
      </c>
      <c r="EX29" s="72">
        <v>8.0367293704547163E-2</v>
      </c>
      <c r="EY29" s="72">
        <v>9.2139527749998174E-2</v>
      </c>
      <c r="EZ29" s="72">
        <v>9.2918995158678783E-2</v>
      </c>
      <c r="FA29" s="72">
        <v>9.5626240865897411E-2</v>
      </c>
      <c r="FB29" s="72">
        <v>6.775962527517343E-2</v>
      </c>
      <c r="FC29" s="72">
        <v>7.8540896186822723E-2</v>
      </c>
      <c r="FD29" s="72">
        <v>9.379334579281752E-2</v>
      </c>
      <c r="FE29" s="72">
        <v>9.1310615364039865E-2</v>
      </c>
      <c r="FF29" s="72">
        <v>8.3514553128180249E-2</v>
      </c>
      <c r="FG29" s="72">
        <v>8.9763044149545695E-2</v>
      </c>
      <c r="FH29" s="72">
        <v>7.4195863231528936E-2</v>
      </c>
      <c r="FI29" s="72">
        <v>6.3749153729970365E-2</v>
      </c>
      <c r="FJ29" s="72">
        <v>7.6912450505818866E-2</v>
      </c>
      <c r="FK29" s="72">
        <v>7.1262636582477237E-2</v>
      </c>
      <c r="FL29" s="72">
        <v>6.7032999999999995E-2</v>
      </c>
      <c r="FM29" s="72">
        <v>8.2310999999999995E-2</v>
      </c>
      <c r="FN29" s="72">
        <f>'[2]Table S2'!$H$53</f>
        <v>9.1578411025085862E-2</v>
      </c>
      <c r="GH29" s="24"/>
      <c r="GI29" s="25" t="s">
        <v>186</v>
      </c>
      <c r="GJ29" s="65">
        <v>0.22386366213779152</v>
      </c>
      <c r="GK29" s="65">
        <v>0.26341762108912659</v>
      </c>
      <c r="GL29" s="65">
        <v>0.28697970623117386</v>
      </c>
      <c r="GM29" s="65">
        <v>0.26396589297907841</v>
      </c>
      <c r="GN29" s="65">
        <v>0.25855860256492985</v>
      </c>
      <c r="GO29" s="65">
        <v>0.27633776627632589</v>
      </c>
      <c r="GP29" s="65">
        <v>0.26594585005226662</v>
      </c>
      <c r="GQ29" s="65">
        <v>0.21266011620603453</v>
      </c>
      <c r="GR29" s="65">
        <v>0.21185843355371109</v>
      </c>
      <c r="GS29" s="65">
        <v>0.23633980541762778</v>
      </c>
      <c r="GT29" s="65">
        <v>0.24516720369897022</v>
      </c>
      <c r="GU29" s="65">
        <v>0.25429424786809701</v>
      </c>
      <c r="GV29" s="65">
        <v>0.25720658499406585</v>
      </c>
      <c r="GW29" s="65">
        <v>0.22212167812004421</v>
      </c>
      <c r="GX29" s="65">
        <v>0.22262699999999999</v>
      </c>
      <c r="GY29" s="65">
        <v>0.25113799999999997</v>
      </c>
      <c r="GZ29" s="116">
        <f>'[2]Table S4'!M8</f>
        <v>0.21940652584024259</v>
      </c>
    </row>
    <row r="30" spans="1:208">
      <c r="A30" s="25" t="s">
        <v>164</v>
      </c>
      <c r="B30" s="23">
        <v>0.2522125494325182</v>
      </c>
      <c r="C30" s="23">
        <v>0.23622491466551393</v>
      </c>
      <c r="D30" s="23">
        <v>0.25085368931650676</v>
      </c>
      <c r="E30" s="23">
        <v>0.25311679098416534</v>
      </c>
      <c r="F30" s="23">
        <v>0.25181365051158638</v>
      </c>
      <c r="G30" s="23">
        <v>0.24499988007063236</v>
      </c>
      <c r="H30" s="23">
        <v>0.24274496027849191</v>
      </c>
      <c r="I30" s="23">
        <v>0.24214495913163889</v>
      </c>
      <c r="J30" s="23">
        <v>0.23923288648382587</v>
      </c>
      <c r="K30" s="23">
        <v>0.23756580341924774</v>
      </c>
      <c r="L30" s="23">
        <v>0.23556623286782424</v>
      </c>
      <c r="M30" s="23">
        <v>0.23369408214953996</v>
      </c>
      <c r="N30" s="23">
        <v>0.23312760697643481</v>
      </c>
      <c r="O30" s="23">
        <v>0.22918196207406061</v>
      </c>
      <c r="P30" s="23">
        <v>0.224</v>
      </c>
      <c r="Q30" s="23">
        <v>0.222968</v>
      </c>
      <c r="R30" s="23">
        <f>'[2]Table 11'!$E$48</f>
        <v>0.22467101520024965</v>
      </c>
      <c r="T30" s="186" t="s">
        <v>190</v>
      </c>
      <c r="U30" s="24"/>
      <c r="V30" s="24"/>
      <c r="AM30" s="27" t="s">
        <v>199</v>
      </c>
      <c r="AN30" s="56">
        <v>2.7419170570090256E-2</v>
      </c>
      <c r="AO30" s="56">
        <v>2.3317434542790404E-2</v>
      </c>
      <c r="AP30" s="56">
        <v>1.8879431183517557E-2</v>
      </c>
      <c r="AQ30" s="56">
        <v>2.4240756987071822E-2</v>
      </c>
      <c r="AR30" s="56">
        <v>2.8606720754611042E-2</v>
      </c>
      <c r="AS30" s="56">
        <v>2.650479556295704E-2</v>
      </c>
      <c r="AT30" s="56">
        <v>2.6816391519316182E-2</v>
      </c>
      <c r="AU30" s="56">
        <v>2.307520393340038E-2</v>
      </c>
      <c r="AV30" s="56">
        <v>1.9784922333064718E-2</v>
      </c>
      <c r="AW30" s="56">
        <v>2.1605793281248308E-2</v>
      </c>
      <c r="AX30" s="56">
        <v>2.1474410547369826E-2</v>
      </c>
      <c r="AY30" s="56">
        <v>2.3792951671862201E-2</v>
      </c>
      <c r="AZ30" s="56">
        <v>2.4678533115775784E-2</v>
      </c>
      <c r="BA30" s="56">
        <v>2.1254932449757367E-2</v>
      </c>
      <c r="BB30" s="56">
        <v>2.3407000000000001E-2</v>
      </c>
      <c r="BC30" s="56">
        <v>2.3605000000000001E-2</v>
      </c>
      <c r="BD30" s="56">
        <f>'[2]Table 3 &amp; 13'!$G$17</f>
        <v>1.8422923711855978E-2</v>
      </c>
      <c r="BF30" s="25" t="s">
        <v>102</v>
      </c>
      <c r="BG30" s="11">
        <v>1189.5925</v>
      </c>
      <c r="BH30" s="49">
        <f>'T7-T10'!B19</f>
        <v>127798.04344757731</v>
      </c>
      <c r="BI30" s="11">
        <v>1190.1945000000001</v>
      </c>
      <c r="BJ30" s="49">
        <f>'T7-T10'!C19</f>
        <v>125488.27767400866</v>
      </c>
      <c r="BK30" s="11">
        <v>1171.5785000000001</v>
      </c>
      <c r="BL30" s="49">
        <f>'T7-T10'!D19</f>
        <v>124400.04133434864</v>
      </c>
      <c r="BM30" s="11">
        <v>1202.317</v>
      </c>
      <c r="BN30" s="49">
        <f>'T7-T10'!E19</f>
        <v>124633.28916482357</v>
      </c>
      <c r="BO30" s="11">
        <v>1240.4475</v>
      </c>
      <c r="BP30" s="49">
        <f>'T7-T10'!F19</f>
        <v>127704.99348884451</v>
      </c>
      <c r="BQ30" s="11">
        <v>1196.5264999999999</v>
      </c>
      <c r="BR30" s="49">
        <f>'T7-T10'!G19</f>
        <v>129596.08956544157</v>
      </c>
      <c r="BS30" s="11">
        <v>1150.0815</v>
      </c>
      <c r="BT30" s="49">
        <f>'T7-T10'!H19</f>
        <v>129526.16785175171</v>
      </c>
      <c r="BU30" s="11">
        <v>1165.6824999999999</v>
      </c>
      <c r="BV30" s="49">
        <f>'T7-T10'!I19</f>
        <v>130157.53850218203</v>
      </c>
      <c r="BW30" s="11">
        <v>1154.635</v>
      </c>
      <c r="BX30" s="49">
        <f>'T7-T10'!J19</f>
        <v>120701.23072403089</v>
      </c>
      <c r="BY30" s="11">
        <v>1099.3195000000001</v>
      </c>
      <c r="BZ30" s="49">
        <f>'T7-T10'!K19</f>
        <v>115840.57922354396</v>
      </c>
      <c r="CA30" s="11">
        <v>1130.3630000000001</v>
      </c>
      <c r="CB30" s="49">
        <f>'T7-T10'!L19</f>
        <v>123121.68591446031</v>
      </c>
      <c r="CC30" s="11">
        <v>1157.191</v>
      </c>
      <c r="CD30" s="49">
        <f>'T7-T10'!M19</f>
        <v>123015.62225234663</v>
      </c>
      <c r="CE30" s="11">
        <v>1142.7494999999999</v>
      </c>
      <c r="CF30" s="49">
        <f>'T7-T10'!N19</f>
        <v>118813.81139061735</v>
      </c>
      <c r="CG30" s="11">
        <v>1193</v>
      </c>
      <c r="CH30" s="49">
        <f>'T7-T10'!O19</f>
        <v>121719.82202605534</v>
      </c>
      <c r="CI30" s="11">
        <v>1176.087</v>
      </c>
      <c r="CJ30" s="49">
        <f>'T7-T10'!P19</f>
        <v>127051.08147114601</v>
      </c>
      <c r="CK30" s="118">
        <f>'[2]Table 7-14'!$G$244</f>
        <v>1119.6969999999999</v>
      </c>
      <c r="CL30" s="49">
        <f>'T7-T10'!Q19</f>
        <v>125477.00721570634</v>
      </c>
      <c r="CM30" s="235"/>
      <c r="CN30" s="24" t="s">
        <v>253</v>
      </c>
      <c r="CO30" s="11">
        <v>464.24695000000003</v>
      </c>
      <c r="CP30" s="49">
        <f>'[2]Table 15'!$L$3</f>
        <v>32760.374445178197</v>
      </c>
      <c r="CQ30" s="11">
        <v>439.54865000000001</v>
      </c>
      <c r="CR30" s="49">
        <f>'[2]Table 15'!$L$4</f>
        <v>30733.789727328523</v>
      </c>
      <c r="CS30" s="11">
        <v>427.20620000000002</v>
      </c>
      <c r="CT30" s="49">
        <f>'[2]Table 15'!$L$5</f>
        <v>29317.206864477506</v>
      </c>
      <c r="CU30" s="11">
        <v>420.89625000000001</v>
      </c>
      <c r="CV30" s="49">
        <f>'[2]Table 15'!$L$6</f>
        <v>32664.862846097458</v>
      </c>
      <c r="CW30" s="11">
        <v>393.91415000000001</v>
      </c>
      <c r="CX30" s="49">
        <f>'[2]Table 15'!$L$7</f>
        <v>35945.594835739525</v>
      </c>
      <c r="CY30" s="11">
        <v>368.26884999999999</v>
      </c>
      <c r="CZ30" s="49">
        <f>'[2]Table 15'!$L$8</f>
        <v>33931.125752384047</v>
      </c>
      <c r="DA30" s="11">
        <v>366.2937</v>
      </c>
      <c r="DB30" s="49">
        <f>'[2]Table 15'!$L$9</f>
        <v>33110.752612463075</v>
      </c>
      <c r="DC30" s="11">
        <v>348.13555000000002</v>
      </c>
      <c r="DD30" s="49">
        <f>'[2]Table 15'!$L$10</f>
        <v>33606.870580766888</v>
      </c>
      <c r="DE30" s="11">
        <v>317.55599999999998</v>
      </c>
      <c r="DF30" s="49">
        <f>'[2]Table 15'!$L$11</f>
        <v>29763.015689730688</v>
      </c>
      <c r="DG30" s="11">
        <v>315.41149999999999</v>
      </c>
      <c r="DH30" s="49">
        <f>'[2]Table 15'!$L$12</f>
        <v>26528.708304321928</v>
      </c>
      <c r="DI30" s="11">
        <v>329.89299999999997</v>
      </c>
      <c r="DJ30" s="49">
        <f>'[2]Table 15'!$L$13</f>
        <v>26327.994563434942</v>
      </c>
      <c r="DK30" s="11">
        <v>325.70774999999998</v>
      </c>
      <c r="DL30" s="49">
        <f>'[2]Table 15'!$L$14</f>
        <v>27100.260879391426</v>
      </c>
      <c r="DM30" s="11">
        <v>302.74495000000002</v>
      </c>
      <c r="DN30" s="49">
        <f>'[2]Table 15'!$L$15</f>
        <v>27317.753022807228</v>
      </c>
      <c r="DO30" s="11">
        <v>281</v>
      </c>
      <c r="DP30" s="49">
        <f>'[2]Table 15'!$L$16</f>
        <v>28525.650150102563</v>
      </c>
      <c r="DQ30" s="11">
        <v>253.52</v>
      </c>
      <c r="DR30" s="49">
        <f>'[2]Table 15'!$L$17</f>
        <v>28953.113864441148</v>
      </c>
      <c r="DS30" s="118">
        <f>'[2]Table 15'!$G$43</f>
        <v>226.06915000000001</v>
      </c>
      <c r="DT30" s="49">
        <f>'[2]Table 15'!$L$18</f>
        <v>26882.687795774902</v>
      </c>
      <c r="DV30" s="64" t="s">
        <v>264</v>
      </c>
      <c r="DW30" s="65">
        <v>6.5780599355380859E-2</v>
      </c>
      <c r="DX30" s="65">
        <v>6.23129092097717E-2</v>
      </c>
      <c r="DY30" s="65">
        <v>7.5926906980766415E-2</v>
      </c>
      <c r="DZ30" s="65">
        <v>7.9976233263104629E-2</v>
      </c>
      <c r="EA30" s="65">
        <v>7.4733102991943801E-2</v>
      </c>
      <c r="EB30" s="65">
        <v>6.5028839213488954E-2</v>
      </c>
      <c r="EC30" s="65">
        <v>8.8008292427078222E-2</v>
      </c>
      <c r="ED30" s="65">
        <v>7.7293188308781222E-2</v>
      </c>
      <c r="EE30" s="65">
        <v>8.6617028826748002E-2</v>
      </c>
      <c r="EF30" s="65">
        <v>8.0515466813570996E-2</v>
      </c>
      <c r="EG30" s="65">
        <v>5.8500058241904934E-2</v>
      </c>
      <c r="EH30" s="65">
        <v>6.0829263967339141E-2</v>
      </c>
      <c r="EI30" s="65">
        <v>7.1765737229442128E-2</v>
      </c>
      <c r="EJ30" s="65">
        <v>6.2261022407010605E-2</v>
      </c>
      <c r="EK30" s="65">
        <v>6.2313E-2</v>
      </c>
      <c r="EL30" s="65">
        <v>8.6999999999999994E-2</v>
      </c>
      <c r="EM30" s="116">
        <f>'[2]Table 9-10-14-16'!$J$11</f>
        <v>8.7660955436666965E-2</v>
      </c>
      <c r="EW30" s="68"/>
      <c r="EX30" s="71"/>
      <c r="EY30" s="71"/>
      <c r="GH30" s="11"/>
      <c r="GI30" s="25" t="s">
        <v>187</v>
      </c>
      <c r="GJ30" s="65">
        <v>0.21350064490656248</v>
      </c>
      <c r="GK30" s="65">
        <v>0.20018502260583704</v>
      </c>
      <c r="GL30" s="65">
        <v>0.19846772687137257</v>
      </c>
      <c r="GM30" s="65">
        <v>0.22069574920574045</v>
      </c>
      <c r="GN30" s="65">
        <v>0.24738774200175362</v>
      </c>
      <c r="GO30" s="65">
        <v>0.24320815795218423</v>
      </c>
      <c r="GP30" s="65">
        <v>0.23969671916524216</v>
      </c>
      <c r="GQ30" s="65">
        <v>0.24412791155858318</v>
      </c>
      <c r="GR30" s="65">
        <v>0.2256834613269745</v>
      </c>
      <c r="GS30" s="65">
        <v>0.23939075547196798</v>
      </c>
      <c r="GT30" s="65">
        <v>0.2769045865140522</v>
      </c>
      <c r="GU30" s="65">
        <v>0.25530697008445635</v>
      </c>
      <c r="GV30" s="65">
        <v>0.23305733782746851</v>
      </c>
      <c r="GW30" s="65">
        <v>0.23772168559544213</v>
      </c>
      <c r="GX30" s="65">
        <v>0.204011</v>
      </c>
      <c r="GY30" s="65">
        <v>0.17205599999999999</v>
      </c>
      <c r="GZ30" s="116">
        <f>'[2]Table S4'!M9</f>
        <v>0.19338616515572965</v>
      </c>
    </row>
    <row r="31" spans="1:208">
      <c r="A31" s="25" t="s">
        <v>165</v>
      </c>
      <c r="B31" s="23">
        <v>0.61246070292354193</v>
      </c>
      <c r="C31" s="23">
        <v>0.62680318388424339</v>
      </c>
      <c r="D31" s="23">
        <v>0.62393476153294591</v>
      </c>
      <c r="E31" s="23">
        <v>0.6270460542008095</v>
      </c>
      <c r="F31" s="23">
        <v>0.62620964423829961</v>
      </c>
      <c r="G31" s="23">
        <v>0.62963861341403937</v>
      </c>
      <c r="H31" s="23">
        <v>0.62859500738346474</v>
      </c>
      <c r="I31" s="23">
        <v>0.62896696696380228</v>
      </c>
      <c r="J31" s="23">
        <v>0.63535817701815678</v>
      </c>
      <c r="K31" s="23">
        <v>0.63682777234815002</v>
      </c>
      <c r="L31" s="23">
        <v>0.62997992789466173</v>
      </c>
      <c r="M31" s="23">
        <v>0.62318391214965274</v>
      </c>
      <c r="N31" s="23">
        <v>0.62552628874667004</v>
      </c>
      <c r="O31" s="23">
        <v>0.63081550596214508</v>
      </c>
      <c r="P31" s="23">
        <v>0.63</v>
      </c>
      <c r="Q31" s="23">
        <v>0.624884</v>
      </c>
      <c r="R31" s="23">
        <f>'[2]Table 11'!$E$49</f>
        <v>0.61410279634422416</v>
      </c>
      <c r="T31" s="25" t="s">
        <v>175</v>
      </c>
      <c r="U31" s="23">
        <v>0.99999965544634062</v>
      </c>
      <c r="V31" s="23">
        <v>1</v>
      </c>
      <c r="W31" s="23">
        <v>1</v>
      </c>
      <c r="X31" s="23">
        <v>1</v>
      </c>
      <c r="Y31" s="23">
        <v>1</v>
      </c>
      <c r="Z31" s="23">
        <v>1</v>
      </c>
      <c r="AA31" s="23">
        <v>1</v>
      </c>
      <c r="AB31" s="23">
        <v>1</v>
      </c>
      <c r="AC31" s="23">
        <v>1</v>
      </c>
      <c r="AD31" s="23">
        <v>1</v>
      </c>
      <c r="AE31" s="23">
        <v>1</v>
      </c>
      <c r="AF31" s="23">
        <v>1</v>
      </c>
      <c r="AG31" s="23">
        <v>1</v>
      </c>
      <c r="AH31" s="23">
        <v>1</v>
      </c>
      <c r="AI31" s="23">
        <f>SUM(AI32:AI36)</f>
        <v>1</v>
      </c>
      <c r="AJ31" s="23">
        <f>SUM(AJ32:AJ36)</f>
        <v>0.99999899999999986</v>
      </c>
      <c r="AK31" s="23"/>
      <c r="AM31" s="27" t="s">
        <v>200</v>
      </c>
      <c r="AN31" s="56">
        <v>0.2655375299897178</v>
      </c>
      <c r="AO31" s="56">
        <v>0.26850157004660763</v>
      </c>
      <c r="AP31" s="56">
        <v>0.27799214358842433</v>
      </c>
      <c r="AQ31" s="56">
        <v>0.27569330192238217</v>
      </c>
      <c r="AR31" s="56">
        <v>0.27287274360629965</v>
      </c>
      <c r="AS31" s="56">
        <v>0.27256421326888736</v>
      </c>
      <c r="AT31" s="56">
        <v>0.28134864102349227</v>
      </c>
      <c r="AU31" s="56">
        <v>0.29606659962006926</v>
      </c>
      <c r="AV31" s="56">
        <v>0.29524550532136606</v>
      </c>
      <c r="AW31" s="56">
        <v>0.30975344166018498</v>
      </c>
      <c r="AX31" s="56">
        <v>0.32979843138602644</v>
      </c>
      <c r="AY31" s="56">
        <v>0.31419150742749485</v>
      </c>
      <c r="AZ31" s="56">
        <v>0.30070296623599985</v>
      </c>
      <c r="BA31" s="56">
        <v>0.31480742137106554</v>
      </c>
      <c r="BB31" s="56">
        <v>0.31292900000000001</v>
      </c>
      <c r="BC31" s="56">
        <v>0.29456199999999999</v>
      </c>
      <c r="BD31" s="56">
        <f>'[2]Table 3 &amp; 13'!$G$19</f>
        <v>0.29628535241165527</v>
      </c>
      <c r="BF31" s="25" t="s">
        <v>228</v>
      </c>
      <c r="CM31" s="234"/>
      <c r="CN31" s="24" t="s">
        <v>254</v>
      </c>
      <c r="CO31" s="11">
        <v>1044.059</v>
      </c>
      <c r="CP31" s="49">
        <f>'[2]Table 15'!$L$54</f>
        <v>58599.617329390458</v>
      </c>
      <c r="CQ31" s="11">
        <v>1063.4169999999999</v>
      </c>
      <c r="CR31" s="49">
        <f>'[2]Table 15'!$L$55</f>
        <v>55755.078247601094</v>
      </c>
      <c r="CS31" s="11">
        <v>1039.5645</v>
      </c>
      <c r="CT31" s="49">
        <f>'[2]Table 15'!$L$56</f>
        <v>54820.177439326682</v>
      </c>
      <c r="CU31" s="11">
        <v>975.21379999999999</v>
      </c>
      <c r="CV31" s="49">
        <f>'[2]Table 15'!$L$57</f>
        <v>58167.774929590858</v>
      </c>
      <c r="CW31" s="11">
        <v>949.74284999999998</v>
      </c>
      <c r="CX31" s="49">
        <f>'[2]Table 15'!$L$58</f>
        <v>61493.790722683894</v>
      </c>
      <c r="CY31" s="11">
        <v>991.79055000000005</v>
      </c>
      <c r="CZ31" s="49">
        <f>'[2]Table 15'!$L$59</f>
        <v>54863.660551081106</v>
      </c>
      <c r="DA31" s="11">
        <v>993.69994999999994</v>
      </c>
      <c r="DB31" s="49">
        <f>'[2]Table 15'!$L$60</f>
        <v>49899.107005071593</v>
      </c>
      <c r="DC31" s="11">
        <v>991.84444999999994</v>
      </c>
      <c r="DD31" s="49">
        <f>'[2]Table 15'!$L$61</f>
        <v>52569.212339154699</v>
      </c>
      <c r="DE31" s="11">
        <v>999.65234999999996</v>
      </c>
      <c r="DF31" s="49">
        <f>'[2]Table 15'!$L$62</f>
        <v>50194.772376913374</v>
      </c>
      <c r="DG31" s="11">
        <v>951.20384999999999</v>
      </c>
      <c r="DH31" s="49">
        <f>'[2]Table 15'!$L$63</f>
        <v>46574.313793461646</v>
      </c>
      <c r="DI31" s="11">
        <v>924.12860000000001</v>
      </c>
      <c r="DJ31" s="49">
        <f>'[2]Table 15'!$L$64</f>
        <v>47486.644843238093</v>
      </c>
      <c r="DK31" s="11">
        <v>926.8296499999999</v>
      </c>
      <c r="DL31" s="49">
        <f>'[2]Table 15'!$L$65</f>
        <v>49333.456510916818</v>
      </c>
      <c r="DM31" s="11">
        <v>956.25914999999986</v>
      </c>
      <c r="DN31" s="49">
        <f>'[2]Table 15'!$L$66</f>
        <v>48202.4546312905</v>
      </c>
      <c r="DO31" s="11">
        <v>1000</v>
      </c>
      <c r="DP31" s="49">
        <f>'[2]Table 15'!$L$67</f>
        <v>45862.31599931416</v>
      </c>
      <c r="DQ31" s="11">
        <v>1017.292</v>
      </c>
      <c r="DR31" s="49">
        <f>'[2]Table 15'!$L$68</f>
        <v>43855.326213676883</v>
      </c>
      <c r="DS31" s="118">
        <f>'[2]Table 15'!$G$95</f>
        <v>965.62815000000001</v>
      </c>
      <c r="DT31" s="49">
        <f>'[2]Table 15'!$L$69</f>
        <v>41199.507172096855</v>
      </c>
      <c r="DV31" s="64" t="s">
        <v>265</v>
      </c>
      <c r="DW31" s="65">
        <v>5.6402694036387466E-2</v>
      </c>
      <c r="DX31" s="65">
        <v>5.334891986179998E-2</v>
      </c>
      <c r="DY31" s="65">
        <v>6.3305242468769632E-2</v>
      </c>
      <c r="DZ31" s="65">
        <v>6.580526184500568E-2</v>
      </c>
      <c r="EA31" s="65">
        <v>5.3143508255383158E-2</v>
      </c>
      <c r="EB31" s="65">
        <v>5.8071364455995568E-2</v>
      </c>
      <c r="EC31" s="65">
        <v>6.1787795998164849E-2</v>
      </c>
      <c r="ED31" s="65">
        <v>5.8822920869095643E-2</v>
      </c>
      <c r="EE31" s="65">
        <v>6.0961149407627584E-2</v>
      </c>
      <c r="EF31" s="65">
        <v>5.5744098368510575E-2</v>
      </c>
      <c r="EG31" s="65">
        <v>5.751295953017712E-2</v>
      </c>
      <c r="EH31" s="65">
        <v>7.3950553059704466E-2</v>
      </c>
      <c r="EI31" s="65">
        <v>6.2562942239546782E-2</v>
      </c>
      <c r="EJ31" s="65">
        <v>5.7521243691194449E-2</v>
      </c>
      <c r="EK31" s="65">
        <v>5.8993999999999998E-2</v>
      </c>
      <c r="EL31" s="65">
        <v>5.3699999999999998E-2</v>
      </c>
      <c r="EM31" s="116">
        <f>'[2]Table 9-10-14-16'!$J$15</f>
        <v>6.674853365929255E-2</v>
      </c>
      <c r="EW31" s="214" t="s">
        <v>290</v>
      </c>
      <c r="EX31" s="71"/>
      <c r="EY31" s="71"/>
      <c r="GI31" s="25" t="s">
        <v>188</v>
      </c>
      <c r="GJ31" s="65">
        <v>0.12020460151466153</v>
      </c>
      <c r="GK31" s="65">
        <v>9.6420512084153254E-2</v>
      </c>
      <c r="GL31" s="65">
        <v>8.948364583154346E-2</v>
      </c>
      <c r="GM31" s="65">
        <v>9.2597879680029679E-2</v>
      </c>
      <c r="GN31" s="65">
        <v>8.8236452759113793E-2</v>
      </c>
      <c r="GO31" s="65">
        <v>7.7885331500374855E-2</v>
      </c>
      <c r="GP31" s="65">
        <v>7.9640055984389696E-2</v>
      </c>
      <c r="GQ31" s="65">
        <v>0.10009844270143788</v>
      </c>
      <c r="GR31" s="65">
        <v>0.10500827642379351</v>
      </c>
      <c r="GS31" s="65">
        <v>8.4136710693054506E-2</v>
      </c>
      <c r="GT31" s="65">
        <v>6.3409352804398661E-2</v>
      </c>
      <c r="GU31" s="65">
        <v>6.9434059156006034E-2</v>
      </c>
      <c r="GV31" s="65">
        <v>6.630883725527334E-2</v>
      </c>
      <c r="GW31" s="65">
        <v>8.2420613943752968E-2</v>
      </c>
      <c r="GX31" s="65">
        <v>9.2491000000000004E-2</v>
      </c>
      <c r="GY31" s="65">
        <v>7.1626999999999996E-2</v>
      </c>
      <c r="GZ31" s="116">
        <f>'[2]Table S4'!M10</f>
        <v>6.8936682732873789E-2</v>
      </c>
    </row>
    <row r="32" spans="1:208">
      <c r="A32" s="25" t="s">
        <v>166</v>
      </c>
      <c r="B32" s="23">
        <v>0.13532668882808768</v>
      </c>
      <c r="C32" s="23">
        <v>0.13697184288463271</v>
      </c>
      <c r="D32" s="23">
        <v>0.12521154915054733</v>
      </c>
      <c r="E32" s="23">
        <v>0.11983709682255179</v>
      </c>
      <c r="F32" s="23">
        <v>0.12197670525011405</v>
      </c>
      <c r="G32" s="23">
        <v>0.12536150651532826</v>
      </c>
      <c r="H32" s="23">
        <v>0.12865995682556777</v>
      </c>
      <c r="I32" s="23">
        <v>0.12888807390455889</v>
      </c>
      <c r="J32" s="23">
        <v>0.12540893649801729</v>
      </c>
      <c r="K32" s="23">
        <v>0.12560642423260227</v>
      </c>
      <c r="L32" s="23">
        <v>0.13445383923751397</v>
      </c>
      <c r="M32" s="23">
        <v>0.14312212079422745</v>
      </c>
      <c r="N32" s="23">
        <v>0.14134610427689517</v>
      </c>
      <c r="O32" s="23">
        <v>0.14000253196379428</v>
      </c>
      <c r="P32" s="23">
        <v>0.14599999999999999</v>
      </c>
      <c r="Q32" s="23">
        <v>0.15214800000000001</v>
      </c>
      <c r="R32" s="23">
        <f>'[2]Table 11'!$E$50</f>
        <v>0.16122618845552614</v>
      </c>
      <c r="T32" s="25" t="s">
        <v>398</v>
      </c>
      <c r="U32" s="23">
        <v>0.80363669888485756</v>
      </c>
      <c r="V32" s="23">
        <v>0.80629280588440877</v>
      </c>
      <c r="W32" s="23">
        <v>0.808143916631197</v>
      </c>
      <c r="X32" s="23">
        <v>0.80353504489289052</v>
      </c>
      <c r="Y32" s="23">
        <v>0.7973119619216017</v>
      </c>
      <c r="Z32" s="23">
        <v>0.79710433047865548</v>
      </c>
      <c r="AA32" s="23">
        <v>0.80037064237054334</v>
      </c>
      <c r="AB32" s="23">
        <v>0.80731261425959777</v>
      </c>
      <c r="AC32" s="23">
        <v>0.81316072388460847</v>
      </c>
      <c r="AD32" s="23">
        <v>0.82491082735517418</v>
      </c>
      <c r="AE32" s="23">
        <v>0.83405055422254837</v>
      </c>
      <c r="AF32" s="23">
        <v>0.82662285897014376</v>
      </c>
      <c r="AG32" s="23">
        <v>0.82447158940513821</v>
      </c>
      <c r="AH32" s="23">
        <v>0.83510156912277189</v>
      </c>
      <c r="AI32" s="23">
        <v>0.83699999999999997</v>
      </c>
      <c r="AJ32" s="23">
        <v>0.83591099999999996</v>
      </c>
      <c r="AK32" s="23">
        <f>'[2]Table 12'!E53</f>
        <v>0.83698866307009112</v>
      </c>
      <c r="AM32" s="27"/>
      <c r="AN32" s="27"/>
      <c r="AO32" s="27"/>
      <c r="BF32" s="21" t="s">
        <v>229</v>
      </c>
      <c r="BG32" s="11">
        <v>587.66610000000003</v>
      </c>
      <c r="BH32" s="49">
        <f>'T7-T10'!B20</f>
        <v>62803.743839352086</v>
      </c>
      <c r="BI32" s="11">
        <v>536.9769</v>
      </c>
      <c r="BJ32" s="49">
        <f>'T7-T10'!C20</f>
        <v>64367.468615989281</v>
      </c>
      <c r="BK32" s="11">
        <v>555.30250000000001</v>
      </c>
      <c r="BL32" s="49">
        <f>'T7-T10'!D20</f>
        <v>67396.133680967076</v>
      </c>
      <c r="BM32" s="11">
        <v>536.90724999999998</v>
      </c>
      <c r="BN32" s="49">
        <f>'T7-T10'!E20</f>
        <v>69345.835243648355</v>
      </c>
      <c r="BO32" s="11">
        <v>504.60840000000002</v>
      </c>
      <c r="BP32" s="49">
        <f>'T7-T10'!F20</f>
        <v>69166.104071533802</v>
      </c>
      <c r="BQ32" s="11">
        <v>500.96865000000003</v>
      </c>
      <c r="BR32" s="49">
        <f>'T7-T10'!G20</f>
        <v>66012.577686857607</v>
      </c>
      <c r="BS32" s="11">
        <v>489.38130000000001</v>
      </c>
      <c r="BT32" s="49">
        <f>'T7-T10'!H20</f>
        <v>70979.517321536187</v>
      </c>
      <c r="BU32" s="11">
        <v>486.72634999999997</v>
      </c>
      <c r="BV32" s="49">
        <f>'T7-T10'!I20</f>
        <v>75566.604364842438</v>
      </c>
      <c r="BW32" s="11">
        <v>475.23159999999996</v>
      </c>
      <c r="BX32" s="49">
        <f>'T7-T10'!J20</f>
        <v>66553.754759751784</v>
      </c>
      <c r="BY32" s="11">
        <v>477.86680000000001</v>
      </c>
      <c r="BZ32" s="49">
        <f>'T7-T10'!K20</f>
        <v>62580.938756592019</v>
      </c>
      <c r="CA32" s="11">
        <v>476.36399999999998</v>
      </c>
      <c r="CB32" s="49">
        <f>'T7-T10'!L20</f>
        <v>64377.427115360479</v>
      </c>
      <c r="CC32" s="11">
        <v>512.68164999999999</v>
      </c>
      <c r="CD32" s="49">
        <f>'T7-T10'!M20</f>
        <v>63683.397866760788</v>
      </c>
      <c r="CE32" s="11">
        <v>543.46849999999995</v>
      </c>
      <c r="CF32" s="49">
        <f>'T7-T10'!N20</f>
        <v>68835.795669861691</v>
      </c>
      <c r="CG32" s="11">
        <v>530</v>
      </c>
      <c r="CH32" s="49">
        <f>'T7-T10'!O20</f>
        <v>70050.317214786599</v>
      </c>
      <c r="CI32" s="11">
        <v>584.53269999999998</v>
      </c>
      <c r="CJ32" s="49">
        <f>'T7-T10'!P20</f>
        <v>68532.743558636779</v>
      </c>
      <c r="CK32" s="118">
        <f>'[2]Table 7-14'!$G$296</f>
        <v>599.59114999999986</v>
      </c>
      <c r="CL32" s="49">
        <f>'T7-T10'!Q20</f>
        <v>69878.589478972834</v>
      </c>
      <c r="CM32" s="235"/>
      <c r="CN32" s="24" t="s">
        <v>443</v>
      </c>
      <c r="CO32" s="11">
        <v>676.81735000000003</v>
      </c>
      <c r="CP32" s="49">
        <f>'[2]Table 15'!$L$111</f>
        <v>77449.884660409967</v>
      </c>
      <c r="CQ32" s="11">
        <v>638.32249999999999</v>
      </c>
      <c r="CR32" s="49">
        <f>'[2]Table 15'!$L$112</f>
        <v>77476.033319951806</v>
      </c>
      <c r="CS32" s="11">
        <v>626.68275000000006</v>
      </c>
      <c r="CT32" s="49">
        <f>'[2]Table 15'!$L$113</f>
        <v>74479.354907035711</v>
      </c>
      <c r="CU32" s="11">
        <v>641.8297</v>
      </c>
      <c r="CV32" s="49">
        <f>'[2]Table 15'!$L$114</f>
        <v>75421.771710845351</v>
      </c>
      <c r="CW32" s="11">
        <v>651.90724999999998</v>
      </c>
      <c r="CX32" s="49">
        <f>'[2]Table 15'!$L$115</f>
        <v>80692.873582340006</v>
      </c>
      <c r="CY32" s="11">
        <v>620.74400000000003</v>
      </c>
      <c r="CZ32" s="49">
        <f>'[2]Table 15'!$L$116</f>
        <v>75923.334275274479</v>
      </c>
      <c r="DA32" s="11">
        <v>611.8777</v>
      </c>
      <c r="DB32" s="49">
        <f>'[2]Table 15'!$L$117</f>
        <v>69317.013515331855</v>
      </c>
      <c r="DC32" s="11">
        <v>657.98074999999994</v>
      </c>
      <c r="DD32" s="49">
        <f>'[2]Table 15'!$L$118</f>
        <v>69370.916632771987</v>
      </c>
      <c r="DE32" s="11">
        <v>704.97219999999993</v>
      </c>
      <c r="DF32" s="49">
        <f>'[2]Table 15'!$L$119</f>
        <v>69159.909111679997</v>
      </c>
      <c r="DG32" s="11">
        <v>712.74884999999995</v>
      </c>
      <c r="DH32" s="49">
        <f>'[2]Table 15'!$L$120</f>
        <v>65315.849900998146</v>
      </c>
      <c r="DI32" s="11">
        <v>713.81344999999999</v>
      </c>
      <c r="DJ32" s="49">
        <f>'[2]Table 15'!$L$121</f>
        <v>65776.711465950575</v>
      </c>
      <c r="DK32" s="11">
        <v>782.0624499999999</v>
      </c>
      <c r="DL32" s="49">
        <f>'[2]Table 15'!$L$122</f>
        <v>60698.281029894555</v>
      </c>
      <c r="DM32" s="11">
        <v>784.66605000000004</v>
      </c>
      <c r="DN32" s="49">
        <f>'[2]Table 15'!$L$123</f>
        <v>55006.994536781509</v>
      </c>
      <c r="DO32" s="11">
        <v>738</v>
      </c>
      <c r="DP32" s="49">
        <f>'[2]Table 15'!$L$124</f>
        <v>58670.810333886504</v>
      </c>
      <c r="DQ32" s="11">
        <v>766.55029999999999</v>
      </c>
      <c r="DR32" s="49">
        <f>'[2]Table 15'!$L$125</f>
        <v>59293.621558351151</v>
      </c>
      <c r="DS32" s="118">
        <f>'[2]Table 15'!$G$146</f>
        <v>748.66469999999993</v>
      </c>
      <c r="DT32" s="49">
        <f>'[2]Table 15'!$L$126</f>
        <v>60554.689343831931</v>
      </c>
      <c r="DV32" s="64" t="s">
        <v>266</v>
      </c>
      <c r="DW32" s="65">
        <v>0.7291449078416059</v>
      </c>
      <c r="DX32" s="65">
        <v>0.72609112935768383</v>
      </c>
      <c r="DY32" s="65">
        <v>0.71335982963564071</v>
      </c>
      <c r="DZ32" s="65">
        <v>0.68845666024984165</v>
      </c>
      <c r="EA32" s="65">
        <v>0.70737706230415875</v>
      </c>
      <c r="EB32" s="65">
        <v>0.72323857813777648</v>
      </c>
      <c r="EC32" s="65">
        <v>0.71148142608652631</v>
      </c>
      <c r="ED32" s="65">
        <v>0.70702851245116738</v>
      </c>
      <c r="EE32" s="65">
        <v>0.69879981577134664</v>
      </c>
      <c r="EF32" s="65">
        <v>0.71263072182342524</v>
      </c>
      <c r="EG32" s="65">
        <v>0.70486481756533881</v>
      </c>
      <c r="EH32" s="65">
        <v>0.66165472007995951</v>
      </c>
      <c r="EI32" s="65">
        <v>0.64844120031274621</v>
      </c>
      <c r="EJ32" s="65">
        <v>0.65049534283782662</v>
      </c>
      <c r="EK32" s="65">
        <v>0.66523399999999999</v>
      </c>
      <c r="EL32" s="65">
        <v>0.68489999999999995</v>
      </c>
      <c r="EM32" s="116">
        <f>'[2]Table 9-10-14-16'!$J$19</f>
        <v>0.70872752718905696</v>
      </c>
      <c r="EW32" s="202" t="s">
        <v>291</v>
      </c>
      <c r="EX32" s="70">
        <v>3537.86544</v>
      </c>
      <c r="EY32" s="70">
        <v>3640.4726100000003</v>
      </c>
      <c r="EZ32" s="70">
        <v>3544</v>
      </c>
      <c r="FA32" s="70">
        <v>3525.4284699999998</v>
      </c>
      <c r="FB32" s="70">
        <v>3560.6305000000002</v>
      </c>
      <c r="FC32" s="70">
        <v>3614.8</v>
      </c>
      <c r="FD32" s="70">
        <v>3543.0390499999999</v>
      </c>
      <c r="FE32" s="70">
        <v>3421.04025</v>
      </c>
      <c r="FF32" s="70">
        <v>3434.1392500000002</v>
      </c>
      <c r="FG32" s="70">
        <v>3389.4690499999997</v>
      </c>
      <c r="FH32" s="70">
        <v>3274.5376499999998</v>
      </c>
      <c r="FI32" s="70">
        <v>3327.2922000000003</v>
      </c>
      <c r="FJ32" s="70">
        <v>3476.6568399999996</v>
      </c>
      <c r="FK32" s="70">
        <v>3520.9755399999999</v>
      </c>
      <c r="FL32" s="70">
        <v>3585</v>
      </c>
      <c r="FM32" s="70">
        <f>3657792/1000</f>
        <v>3657.7919999999999</v>
      </c>
      <c r="FN32" s="70">
        <f>'[2]Table S2'!$F$108/1000</f>
        <v>3698.7859500000004</v>
      </c>
      <c r="GI32" s="25" t="s">
        <v>189</v>
      </c>
      <c r="GJ32" s="65">
        <v>2.199250736274614E-2</v>
      </c>
      <c r="GK32" s="65">
        <v>3.4243129955566415E-2</v>
      </c>
      <c r="GL32" s="65">
        <v>2.2177589738729069E-2</v>
      </c>
      <c r="GM32" s="65">
        <v>1.7542554096111343E-2</v>
      </c>
      <c r="GN32" s="65">
        <v>2.2206323490603943E-2</v>
      </c>
      <c r="GO32" s="65">
        <v>2.7219843375668535E-2</v>
      </c>
      <c r="GP32" s="65">
        <v>2.3879979133936E-2</v>
      </c>
      <c r="GQ32" s="65">
        <v>2.1818178705036675E-2</v>
      </c>
      <c r="GR32" s="65">
        <v>2.8591448347184037E-2</v>
      </c>
      <c r="GS32" s="65">
        <v>2.3389313193026947E-2</v>
      </c>
      <c r="GT32" s="65">
        <v>1.6028012403574102E-2</v>
      </c>
      <c r="GU32" s="65">
        <v>2.3417134217613711E-2</v>
      </c>
      <c r="GV32" s="65">
        <v>3.4700272918386628E-2</v>
      </c>
      <c r="GW32" s="65">
        <v>2.0938749793091665E-2</v>
      </c>
      <c r="GX32" s="65">
        <v>2.0806999999999999E-2</v>
      </c>
      <c r="GY32" s="65">
        <v>2.7193999999999999E-2</v>
      </c>
      <c r="GZ32" s="116">
        <f>'[2]Table S4'!M11</f>
        <v>2.4571944748720393E-2</v>
      </c>
    </row>
    <row r="33" spans="1:208">
      <c r="A33" s="24"/>
      <c r="B33" s="24"/>
      <c r="C33" s="24"/>
      <c r="T33" s="25" t="s">
        <v>399</v>
      </c>
      <c r="U33" s="23">
        <v>0.1345992701725594</v>
      </c>
      <c r="V33" s="23">
        <v>0.14179558154481439</v>
      </c>
      <c r="W33" s="23">
        <v>0.13957886642810707</v>
      </c>
      <c r="X33" s="23">
        <v>0.13711520777587743</v>
      </c>
      <c r="Y33" s="23">
        <v>0.14151317023791962</v>
      </c>
      <c r="Z33" s="23">
        <v>0.14349698313684353</v>
      </c>
      <c r="AA33" s="23">
        <v>0.14195862760516659</v>
      </c>
      <c r="AB33" s="23">
        <v>0.13606032906764168</v>
      </c>
      <c r="AC33" s="23">
        <v>0.13393657050707758</v>
      </c>
      <c r="AD33" s="23">
        <v>0.1290393715308002</v>
      </c>
      <c r="AE33" s="23">
        <v>0.12516073770129291</v>
      </c>
      <c r="AF33" s="23">
        <v>0.12853736640379046</v>
      </c>
      <c r="AG33" s="23">
        <v>0.13119332660245731</v>
      </c>
      <c r="AH33" s="23">
        <v>0.12001273810088611</v>
      </c>
      <c r="AI33" s="23">
        <v>0.109</v>
      </c>
      <c r="AJ33" s="23">
        <v>0.11196</v>
      </c>
      <c r="AK33" s="23">
        <f>'[2]Table 12'!E54</f>
        <v>0.11822542145177244</v>
      </c>
      <c r="AM33" s="211" t="s">
        <v>204</v>
      </c>
      <c r="AN33" s="27"/>
      <c r="AO33" s="27"/>
      <c r="BF33" s="25" t="s">
        <v>230</v>
      </c>
      <c r="CM33" s="234"/>
      <c r="CN33" s="24" t="s">
        <v>444</v>
      </c>
      <c r="CO33" s="11">
        <v>1060.2995000000001</v>
      </c>
      <c r="CP33" s="49">
        <f>'[2]Table 15'!$L$178</f>
        <v>121830.90388211777</v>
      </c>
      <c r="CQ33" s="11">
        <v>1077.1134999999999</v>
      </c>
      <c r="CR33" s="49">
        <f>'[2]Table 15'!$L$179</f>
        <v>121258.76916579713</v>
      </c>
      <c r="CS33" s="11">
        <v>1119.7049999999999</v>
      </c>
      <c r="CT33" s="49">
        <f>'[2]Table 15'!$L$180</f>
        <v>122859.11864710828</v>
      </c>
      <c r="CU33" s="11">
        <v>1150.2180000000001</v>
      </c>
      <c r="CV33" s="49">
        <f>'[2]Table 15'!$L$181</f>
        <v>127048.41733687167</v>
      </c>
      <c r="CW33" s="11">
        <v>1180.9839999999999</v>
      </c>
      <c r="CX33" s="49">
        <f>'[2]Table 15'!$L$182</f>
        <v>127476.91144780857</v>
      </c>
      <c r="CY33" s="11">
        <v>1232.8315</v>
      </c>
      <c r="CZ33" s="49">
        <f>'[2]Table 15'!$L$183</f>
        <v>119642.33571590835</v>
      </c>
      <c r="DA33" s="11">
        <v>1231.306</v>
      </c>
      <c r="DB33" s="49">
        <f>'[2]Table 15'!$L$184</f>
        <v>116450.86762446526</v>
      </c>
      <c r="DC33" s="11">
        <v>1201.396</v>
      </c>
      <c r="DD33" s="49">
        <f>'[2]Table 15'!$L$185</f>
        <v>118019.89284571746</v>
      </c>
      <c r="DE33" s="11">
        <v>1181.289</v>
      </c>
      <c r="DF33" s="49">
        <f>'[2]Table 15'!$L$186</f>
        <v>116471.8107714818</v>
      </c>
      <c r="DG33" s="11">
        <v>1208.6869999999999</v>
      </c>
      <c r="DH33" s="49">
        <f>'[2]Table 15'!$L$187</f>
        <v>112932.57772787528</v>
      </c>
      <c r="DI33" s="11">
        <v>1265.529</v>
      </c>
      <c r="DJ33" s="49">
        <f>'[2]Table 15'!$L$188</f>
        <v>111073.6274348553</v>
      </c>
      <c r="DK33" s="11">
        <v>1259.5150000000001</v>
      </c>
      <c r="DL33" s="49">
        <f>'[2]Table 15'!$L$189</f>
        <v>109354.34053944345</v>
      </c>
      <c r="DM33" s="11">
        <v>1270.4625000000001</v>
      </c>
      <c r="DN33" s="49">
        <f>'[2]Table 15'!$L$190</f>
        <v>107415.16142767113</v>
      </c>
      <c r="DO33" s="11">
        <v>1344</v>
      </c>
      <c r="DP33" s="49">
        <f>'[2]Table 15'!$L$191</f>
        <v>110291.77942271778</v>
      </c>
      <c r="DQ33" s="11">
        <v>1382.088</v>
      </c>
      <c r="DR33" s="49">
        <f>'[2]Table 15'!$L$192</f>
        <v>109426.18059823767</v>
      </c>
      <c r="DS33" s="118">
        <f>'[2]Table 15'!$G$199</f>
        <v>1421.5730000000001</v>
      </c>
      <c r="DT33" s="49">
        <f>'[2]Table 15'!$L$193</f>
        <v>104038.14936572567</v>
      </c>
      <c r="DV33" s="64"/>
      <c r="DW33" s="293"/>
      <c r="DX33" s="64"/>
      <c r="EM33" s="2"/>
      <c r="EW33" s="71" t="s">
        <v>283</v>
      </c>
      <c r="EX33" s="72">
        <v>2.8746556850392818E-2</v>
      </c>
      <c r="EY33" s="72">
        <v>3.4431971732373501E-2</v>
      </c>
      <c r="EZ33" s="72">
        <v>3.6139230854518242E-2</v>
      </c>
      <c r="FA33" s="72">
        <v>3.6575341436441054E-2</v>
      </c>
      <c r="FB33" s="72">
        <v>2.8573155466930622E-2</v>
      </c>
      <c r="FC33" s="72">
        <v>3.0741871628730197E-2</v>
      </c>
      <c r="FD33" s="72">
        <v>2.8423011595088123E-2</v>
      </c>
      <c r="FE33" s="72">
        <v>2.9184818857363633E-2</v>
      </c>
      <c r="FF33" s="72">
        <v>3.1945792530107799E-2</v>
      </c>
      <c r="FG33" s="72">
        <v>2.9553375033768196E-2</v>
      </c>
      <c r="FH33" s="72">
        <v>3.5236791368088258E-2</v>
      </c>
      <c r="FI33" s="72">
        <v>3.9385900643171642E-2</v>
      </c>
      <c r="FJ33" s="72">
        <v>4.2146034752167258E-2</v>
      </c>
      <c r="FK33" s="72">
        <v>4.621608362550568E-2</v>
      </c>
      <c r="FL33" s="72">
        <v>4.4467E-2</v>
      </c>
      <c r="FM33" s="72">
        <v>4.3693999999999997E-2</v>
      </c>
      <c r="FN33" s="72">
        <f>'[2]Table S2'!$F$109</f>
        <v>3.7154975134476215E-2</v>
      </c>
      <c r="GI33" s="64"/>
      <c r="GJ33" s="64"/>
      <c r="GK33" s="64"/>
    </row>
    <row r="34" spans="1:208">
      <c r="A34" s="186" t="s">
        <v>167</v>
      </c>
      <c r="B34" s="24"/>
      <c r="C34" s="24"/>
      <c r="T34" s="25" t="s">
        <v>400</v>
      </c>
      <c r="U34" s="23">
        <v>5.3441343529626026E-2</v>
      </c>
      <c r="V34" s="23">
        <v>4.3819800016318432E-2</v>
      </c>
      <c r="W34" s="23">
        <v>4.4604412311869839E-2</v>
      </c>
      <c r="X34" s="23">
        <v>5.1631660330446263E-2</v>
      </c>
      <c r="Y34" s="23">
        <v>5.4850659141659791E-2</v>
      </c>
      <c r="Z34" s="23">
        <v>5.2897304801448046E-2</v>
      </c>
      <c r="AA34" s="23">
        <v>5.0575554134259744E-2</v>
      </c>
      <c r="AB34" s="23">
        <v>4.9405850091407681E-2</v>
      </c>
      <c r="AC34" s="23">
        <v>4.5735531266798066E-2</v>
      </c>
      <c r="AD34" s="23">
        <v>4.1593621922559935E-2</v>
      </c>
      <c r="AE34" s="23">
        <v>3.7340077398612226E-2</v>
      </c>
      <c r="AF34" s="23">
        <v>4.0381910634100647E-2</v>
      </c>
      <c r="AG34" s="23">
        <v>4.1362059954699611E-2</v>
      </c>
      <c r="AH34" s="23">
        <v>4.2249371375168855E-2</v>
      </c>
      <c r="AI34" s="23">
        <v>4.7E-2</v>
      </c>
      <c r="AJ34" s="23">
        <v>4.5768000000000003E-2</v>
      </c>
      <c r="AK34" s="23">
        <f>'[2]Table 12'!E55</f>
        <v>3.9899657471780446E-2</v>
      </c>
      <c r="AM34" s="200" t="s">
        <v>205</v>
      </c>
      <c r="AN34" s="55">
        <v>5288.0185250000004</v>
      </c>
      <c r="AO34" s="55">
        <v>5458.75533</v>
      </c>
      <c r="AP34" s="55">
        <v>5402</v>
      </c>
      <c r="AQ34" s="55">
        <v>5416</v>
      </c>
      <c r="AR34" s="55">
        <v>5484.770125</v>
      </c>
      <c r="AS34" s="55">
        <v>5430.4</v>
      </c>
      <c r="AT34" s="55">
        <v>5296.3</v>
      </c>
      <c r="AU34" s="55">
        <v>5217.1000000000004</v>
      </c>
      <c r="AV34" s="55">
        <v>5302.3</v>
      </c>
      <c r="AW34" s="55">
        <v>5432.4</v>
      </c>
      <c r="AX34" s="55">
        <v>5399</v>
      </c>
      <c r="AY34" s="55">
        <v>5356.8554999999997</v>
      </c>
      <c r="AZ34" s="55">
        <v>5375.0370800000001</v>
      </c>
      <c r="BA34" s="55">
        <v>5438.6227699999999</v>
      </c>
      <c r="BB34" s="55">
        <v>5431</v>
      </c>
      <c r="BC34" s="55">
        <f>5378764/1000</f>
        <v>5378.7640000000001</v>
      </c>
      <c r="BD34" s="55">
        <f>'[2]Table 3 &amp; 13'!$F$22/1000</f>
        <v>5475.4356799999996</v>
      </c>
      <c r="BF34" s="25" t="s">
        <v>231</v>
      </c>
      <c r="BG34" s="11">
        <f>'T1-T6'!L54/1000</f>
        <v>396.6</v>
      </c>
      <c r="BH34" s="49">
        <f>'T7-T10'!B22</f>
        <v>47236.972973428012</v>
      </c>
      <c r="BI34" s="11">
        <f>'T1-T6'!L51/1000</f>
        <v>403.3</v>
      </c>
      <c r="BJ34" s="49">
        <f>'T7-T10'!C22</f>
        <v>49931.802149981922</v>
      </c>
      <c r="BK34" s="11">
        <f>'T1-T6'!L48/1000</f>
        <v>369.9</v>
      </c>
      <c r="BL34" s="49">
        <f>'T7-T10'!D22</f>
        <v>51571.501779349877</v>
      </c>
      <c r="BM34" s="11">
        <f>'T1-T6'!L45/1000</f>
        <v>381.2</v>
      </c>
      <c r="BN34" s="49">
        <f>'T7-T10'!E22</f>
        <v>51056.810294020303</v>
      </c>
      <c r="BO34" s="11">
        <f>'T1-T6'!L42/1000</f>
        <v>411.8</v>
      </c>
      <c r="BP34" s="49">
        <f>'T7-T10'!F22</f>
        <v>47812.573981821559</v>
      </c>
      <c r="BQ34" s="11">
        <f>'T1-T6'!L39/1000</f>
        <v>420.4</v>
      </c>
      <c r="BR34" s="49">
        <f>'T7-T10'!G22</f>
        <v>43948.869444266857</v>
      </c>
      <c r="BS34" s="11">
        <f>'T1-T6'!L36/1000</f>
        <v>404.9</v>
      </c>
      <c r="BT34" s="49">
        <f>'T7-T10'!H22</f>
        <v>41471.775849283658</v>
      </c>
      <c r="BU34" s="11">
        <f>'T1-T6'!L33/1000</f>
        <v>402</v>
      </c>
      <c r="BV34" s="49">
        <f>'T7-T10'!I22</f>
        <v>42205.959983140769</v>
      </c>
      <c r="BW34" s="11">
        <f>'T1-T6'!L30/1000</f>
        <v>414.8</v>
      </c>
      <c r="BX34" s="49">
        <f>'T7-T10'!J22</f>
        <v>42354.450523001127</v>
      </c>
      <c r="BY34" s="11">
        <f>'T1-T6'!L27/1000</f>
        <v>429.9</v>
      </c>
      <c r="BZ34" s="49">
        <f>'T7-T10'!K22</f>
        <v>40514.54488668577</v>
      </c>
      <c r="CA34" s="11">
        <f>'T1-T6'!L24/1000</f>
        <v>437.2</v>
      </c>
      <c r="CB34" s="49">
        <f>'T7-T10'!L22</f>
        <v>39237.041604542144</v>
      </c>
      <c r="CC34" s="11">
        <f>'T1-T6'!L21/1000</f>
        <v>399.2</v>
      </c>
      <c r="CD34" s="49">
        <f>'T7-T10'!M22</f>
        <v>39177.786538365035</v>
      </c>
      <c r="CE34" s="11">
        <f>'T1-T6'!L18/1000</f>
        <v>404.7</v>
      </c>
      <c r="CF34" s="49">
        <f>'T7-T10'!N22</f>
        <v>40400.637308225632</v>
      </c>
      <c r="CG34" s="11">
        <f>'T1-T6'!L15/1000</f>
        <v>417.71100000000001</v>
      </c>
      <c r="CH34" s="49">
        <f>'T7-T10'!O22</f>
        <v>43129.087283311361</v>
      </c>
      <c r="CI34" s="11">
        <f>'T1-T6'!L12/1000</f>
        <v>394.18099999999998</v>
      </c>
      <c r="CJ34" s="49">
        <f>'T7-T10'!P22</f>
        <v>44334.448154629863</v>
      </c>
      <c r="CK34" s="11">
        <f>'T1-T6'!L9/1000</f>
        <v>373.24809999999997</v>
      </c>
      <c r="CL34" s="49">
        <f>'T7-T10'!Q22</f>
        <v>39392.177323713171</v>
      </c>
      <c r="CM34" s="235"/>
      <c r="CN34" s="24"/>
      <c r="DV34" s="216" t="s">
        <v>267</v>
      </c>
      <c r="DW34" s="293"/>
      <c r="DX34" s="64"/>
      <c r="EM34" s="2"/>
      <c r="EW34" s="202" t="s">
        <v>292</v>
      </c>
      <c r="EX34" s="70">
        <v>128.98307</v>
      </c>
      <c r="EY34" s="70">
        <v>138.85018500000001</v>
      </c>
      <c r="EZ34" s="70">
        <v>119</v>
      </c>
      <c r="FA34" s="70">
        <v>117.44365999999999</v>
      </c>
      <c r="FB34" s="70">
        <v>127.24462</v>
      </c>
      <c r="FC34" s="70">
        <v>112.3</v>
      </c>
      <c r="FD34" s="70">
        <v>99.65091000000001</v>
      </c>
      <c r="FE34" s="70">
        <v>100.73787</v>
      </c>
      <c r="FF34" s="70">
        <v>91.342169999999996</v>
      </c>
      <c r="FG34" s="70">
        <v>101.25309</v>
      </c>
      <c r="FH34" s="70">
        <v>137.31715000000003</v>
      </c>
      <c r="FI34" s="70">
        <v>141.33774</v>
      </c>
      <c r="FJ34" s="70">
        <v>116.62051</v>
      </c>
      <c r="FK34" s="70">
        <v>108.92124000000001</v>
      </c>
      <c r="FL34" s="70">
        <v>121</v>
      </c>
      <c r="FM34" s="70">
        <f>135091.2/1000</f>
        <v>135.09120000000001</v>
      </c>
      <c r="FN34" s="70">
        <f>'[2]Table S2'!$G$108/1000</f>
        <v>134.43817999999999</v>
      </c>
      <c r="GI34" s="216" t="s">
        <v>267</v>
      </c>
      <c r="GJ34" s="64"/>
      <c r="GK34" s="64"/>
    </row>
    <row r="35" spans="1:208">
      <c r="A35" s="25" t="s">
        <v>440</v>
      </c>
      <c r="B35" s="23">
        <v>0.21678787927622858</v>
      </c>
      <c r="C35" s="23">
        <v>0.19834192559157268</v>
      </c>
      <c r="D35" s="23">
        <v>0.20943216049900371</v>
      </c>
      <c r="E35" s="23">
        <v>0.20933421334978619</v>
      </c>
      <c r="F35" s="23">
        <v>0.22090566257806823</v>
      </c>
      <c r="G35" s="23">
        <v>0.2307697935810426</v>
      </c>
      <c r="H35" s="23">
        <v>0.22866356806450311</v>
      </c>
      <c r="I35" s="23">
        <v>0.22826142004110872</v>
      </c>
      <c r="J35" s="23">
        <v>0.22585256971356266</v>
      </c>
      <c r="K35" s="23">
        <v>0.2245128348293402</v>
      </c>
      <c r="L35" s="23">
        <v>0.22487257803599539</v>
      </c>
      <c r="M35" s="23">
        <v>0.22121266110489224</v>
      </c>
      <c r="N35" s="23">
        <v>0.22203242679526528</v>
      </c>
      <c r="O35" s="23">
        <v>0.21748647052117304</v>
      </c>
      <c r="P35" s="23">
        <v>0.21199999999999999</v>
      </c>
      <c r="Q35" s="23">
        <v>0.21244199999999999</v>
      </c>
      <c r="R35" s="23">
        <f>'[2]Table 11'!$E$55</f>
        <v>0.21012140082052772</v>
      </c>
      <c r="T35" s="109" t="s">
        <v>510</v>
      </c>
      <c r="U35" s="97">
        <v>8.3228836649808305E-3</v>
      </c>
      <c r="V35" s="97">
        <v>8.0919696302653651E-3</v>
      </c>
      <c r="W35" s="97">
        <v>7.6729263654813275E-3</v>
      </c>
      <c r="X35" s="97">
        <v>7.7181694630281648E-3</v>
      </c>
      <c r="Y35" s="97">
        <v>6.3242086988187212E-3</v>
      </c>
      <c r="Z35" s="97">
        <v>6.5013815830530465E-3</v>
      </c>
      <c r="AA35" s="97">
        <v>7.095191470346613E-3</v>
      </c>
      <c r="AB35" s="97">
        <v>7.2212065813528339E-3</v>
      </c>
      <c r="AC35" s="97">
        <v>7.2119691811503312E-3</v>
      </c>
      <c r="AD35" s="97">
        <v>4.4561791914655797E-3</v>
      </c>
      <c r="AE35" s="97">
        <v>3.4486306775464316E-3</v>
      </c>
      <c r="AF35" s="97">
        <v>4.4581612477536921E-3</v>
      </c>
      <c r="AG35" s="97">
        <v>2.9731999002543695E-3</v>
      </c>
      <c r="AH35" s="97">
        <v>2.6359969063333337E-3</v>
      </c>
      <c r="AI35" s="23">
        <v>6.0000000000000001E-3</v>
      </c>
      <c r="AJ35" s="23">
        <v>5.7860000000000003E-3</v>
      </c>
      <c r="AK35" s="23">
        <f>'[2]Table 12'!E56</f>
        <v>4.886025620339126E-3</v>
      </c>
      <c r="AM35" s="27" t="s">
        <v>194</v>
      </c>
      <c r="AN35" s="56">
        <v>1</v>
      </c>
      <c r="AO35" s="56">
        <v>1</v>
      </c>
      <c r="AP35" s="56">
        <v>1</v>
      </c>
      <c r="AQ35" s="309">
        <v>1</v>
      </c>
      <c r="AR35" s="56">
        <v>1</v>
      </c>
      <c r="AS35" s="56">
        <v>1</v>
      </c>
      <c r="AT35" s="309">
        <v>1</v>
      </c>
      <c r="AU35" s="56">
        <v>1</v>
      </c>
      <c r="AV35" s="56">
        <v>1</v>
      </c>
      <c r="AW35" s="56">
        <v>1</v>
      </c>
      <c r="AX35" s="56">
        <v>1</v>
      </c>
      <c r="AY35" s="56">
        <v>1</v>
      </c>
      <c r="AZ35" s="56">
        <v>1</v>
      </c>
      <c r="BA35" s="56">
        <v>0.99999999999999989</v>
      </c>
      <c r="BB35" s="56">
        <f>SUM(BB36:BB41)</f>
        <v>1.0000010000000001</v>
      </c>
      <c r="BC35" s="56">
        <f>SUM(BC36:BC41)</f>
        <v>1</v>
      </c>
      <c r="BD35" s="56">
        <f>SUM(BD36:BD41)</f>
        <v>1</v>
      </c>
      <c r="BF35" s="2"/>
      <c r="CM35" s="234"/>
      <c r="CN35" s="188" t="s">
        <v>255</v>
      </c>
      <c r="CS35" s="11"/>
      <c r="DV35" s="201" t="s">
        <v>227</v>
      </c>
      <c r="DW35" s="63">
        <v>1732.6483700000001</v>
      </c>
      <c r="DX35" s="217">
        <f>BG28</f>
        <v>1777.3</v>
      </c>
      <c r="DY35" s="63">
        <f>BI28</f>
        <v>1727.2</v>
      </c>
      <c r="DZ35" s="63">
        <f>BK28</f>
        <v>1726.9</v>
      </c>
      <c r="EA35" s="63">
        <f>BM28</f>
        <v>1739.2</v>
      </c>
      <c r="EB35" s="63">
        <f>BO28</f>
        <v>1745.1</v>
      </c>
      <c r="EC35" s="63">
        <f>BQ28</f>
        <v>1698.6</v>
      </c>
      <c r="ED35" s="63">
        <f>BS28</f>
        <v>1642</v>
      </c>
      <c r="EE35" s="63">
        <f>BU28</f>
        <v>1653.8</v>
      </c>
      <c r="EF35" s="63">
        <f>BW28</f>
        <v>1629.9</v>
      </c>
      <c r="EG35" s="63">
        <f>BY28</f>
        <v>1577.2</v>
      </c>
      <c r="EH35" s="63">
        <f>CA28</f>
        <v>1606.7</v>
      </c>
      <c r="EI35" s="63">
        <f>CC28</f>
        <v>1671.3</v>
      </c>
      <c r="EJ35" s="63">
        <f>CE28</f>
        <v>1689.2</v>
      </c>
      <c r="EK35" s="63">
        <f>CG28</f>
        <v>1724.2439999999999</v>
      </c>
      <c r="EL35" s="63">
        <f>CI28</f>
        <v>1762.4939999999999</v>
      </c>
      <c r="EM35" s="63">
        <f>'[2]Table 9-10-14-16'!$H$25/1000</f>
        <v>1768.3133500000001</v>
      </c>
      <c r="EW35" s="71" t="s">
        <v>283</v>
      </c>
      <c r="EX35" s="72">
        <v>0.10892437278783951</v>
      </c>
      <c r="EY35" s="72">
        <v>0.12715089288501849</v>
      </c>
      <c r="EZ35" s="72">
        <v>0.22011026121867006</v>
      </c>
      <c r="FA35" s="72">
        <v>0.2316974794552554</v>
      </c>
      <c r="FB35" s="72">
        <v>8.6662385631093783E-2</v>
      </c>
      <c r="FC35" s="72">
        <v>0.17222966257357594</v>
      </c>
      <c r="FD35" s="72">
        <v>0.22549944601609756</v>
      </c>
      <c r="FE35" s="72">
        <v>0.14678263497133701</v>
      </c>
      <c r="FF35" s="72">
        <v>0.12670128156578719</v>
      </c>
      <c r="FG35" s="72">
        <v>0.10746526352924142</v>
      </c>
      <c r="FH35" s="72">
        <v>0.16252197922837749</v>
      </c>
      <c r="FI35" s="72">
        <v>0.2122505284151282</v>
      </c>
      <c r="FJ35" s="72">
        <v>0.14471270962543384</v>
      </c>
      <c r="FK35" s="72">
        <v>0.1187333159262601</v>
      </c>
      <c r="FL35" s="72">
        <v>0.26434800000000003</v>
      </c>
      <c r="FM35" s="72">
        <v>0.235122</v>
      </c>
      <c r="FN35" s="72">
        <f>'[2]Table S2'!$G$110</f>
        <v>0.11739157730341188</v>
      </c>
      <c r="GI35" s="201" t="s">
        <v>227</v>
      </c>
      <c r="GJ35" s="63">
        <f>DW35</f>
        <v>1732.6483700000001</v>
      </c>
      <c r="GK35" s="63">
        <f t="shared" ref="GK35:GZ35" si="10">DX35</f>
        <v>1777.3</v>
      </c>
      <c r="GL35" s="63">
        <f t="shared" si="10"/>
        <v>1727.2</v>
      </c>
      <c r="GM35" s="63">
        <f t="shared" si="10"/>
        <v>1726.9</v>
      </c>
      <c r="GN35" s="63">
        <f t="shared" si="10"/>
        <v>1739.2</v>
      </c>
      <c r="GO35" s="63">
        <f t="shared" si="10"/>
        <v>1745.1</v>
      </c>
      <c r="GP35" s="63">
        <f t="shared" si="10"/>
        <v>1698.6</v>
      </c>
      <c r="GQ35" s="63">
        <f t="shared" si="10"/>
        <v>1642</v>
      </c>
      <c r="GR35" s="63">
        <f t="shared" si="10"/>
        <v>1653.8</v>
      </c>
      <c r="GS35" s="63">
        <f t="shared" si="10"/>
        <v>1629.9</v>
      </c>
      <c r="GT35" s="63">
        <f t="shared" si="10"/>
        <v>1577.2</v>
      </c>
      <c r="GU35" s="63">
        <f t="shared" si="10"/>
        <v>1606.7</v>
      </c>
      <c r="GV35" s="63">
        <f t="shared" si="10"/>
        <v>1671.3</v>
      </c>
      <c r="GW35" s="63">
        <f t="shared" si="10"/>
        <v>1689.2</v>
      </c>
      <c r="GX35" s="63">
        <f t="shared" si="10"/>
        <v>1724.2439999999999</v>
      </c>
      <c r="GY35" s="63">
        <f t="shared" si="10"/>
        <v>1762.4939999999999</v>
      </c>
      <c r="GZ35" s="63">
        <f t="shared" si="10"/>
        <v>1768.3133500000001</v>
      </c>
    </row>
    <row r="36" spans="1:208">
      <c r="A36" s="25" t="s">
        <v>168</v>
      </c>
      <c r="B36" s="23">
        <v>7.6984116014503751E-2</v>
      </c>
      <c r="C36" s="23">
        <v>7.6754144556440765E-2</v>
      </c>
      <c r="D36" s="23">
        <v>6.3455950026999969E-2</v>
      </c>
      <c r="E36" s="23">
        <v>5.6561394282881601E-2</v>
      </c>
      <c r="F36" s="23">
        <v>5.747728497464287E-2</v>
      </c>
      <c r="G36" s="23">
        <v>5.5542224319480853E-2</v>
      </c>
      <c r="H36" s="23">
        <v>5.2800530315984924E-2</v>
      </c>
      <c r="I36" s="23">
        <v>5.3229062177273974E-2</v>
      </c>
      <c r="J36" s="23">
        <v>4.7686597775631903E-2</v>
      </c>
      <c r="K36" s="23">
        <v>4.220052766069083E-2</v>
      </c>
      <c r="L36" s="23">
        <v>4.2268146748725324E-2</v>
      </c>
      <c r="M36" s="23">
        <v>4.436488803596992E-2</v>
      </c>
      <c r="N36" s="23">
        <v>4.2692363323678803E-2</v>
      </c>
      <c r="O36" s="23">
        <v>4.2187272676985056E-2</v>
      </c>
      <c r="P36" s="23">
        <v>4.1000000000000002E-2</v>
      </c>
      <c r="Q36" s="23">
        <v>3.7976999999999997E-2</v>
      </c>
      <c r="R36" s="23">
        <f>'[2]Table 11'!$E$56</f>
        <v>3.4609096876850015E-2</v>
      </c>
      <c r="T36" s="54" t="s">
        <v>506</v>
      </c>
      <c r="U36" s="8"/>
      <c r="V36" s="8"/>
      <c r="W36" s="8"/>
      <c r="X36" s="8"/>
      <c r="Y36" s="8"/>
      <c r="Z36" s="8"/>
      <c r="AA36" s="168"/>
      <c r="AB36" s="168"/>
      <c r="AC36" s="168"/>
      <c r="AD36" s="168"/>
      <c r="AE36" s="168"/>
      <c r="AF36" s="168"/>
      <c r="AG36" s="168"/>
      <c r="AH36" s="168"/>
      <c r="AI36" s="52">
        <v>1E-3</v>
      </c>
      <c r="AJ36" s="52">
        <v>5.7399999999999997E-4</v>
      </c>
      <c r="AK36" s="23"/>
      <c r="AM36" s="27" t="s">
        <v>195</v>
      </c>
      <c r="AN36" s="56">
        <v>0.56070350093941845</v>
      </c>
      <c r="AO36" s="56">
        <v>0.56211605292813149</v>
      </c>
      <c r="AP36" s="56">
        <v>0.54859976074626915</v>
      </c>
      <c r="AQ36" s="56">
        <v>0.54195485081870098</v>
      </c>
      <c r="AR36" s="56">
        <v>0.53896962545900684</v>
      </c>
      <c r="AS36" s="56">
        <v>0.53976785447666753</v>
      </c>
      <c r="AT36" s="56">
        <v>0.53044578290504696</v>
      </c>
      <c r="AU36" s="56">
        <v>0.52005903662954511</v>
      </c>
      <c r="AV36" s="56">
        <v>0.51888802972295045</v>
      </c>
      <c r="AW36" s="56">
        <v>0.50796321823495805</v>
      </c>
      <c r="AX36" s="56">
        <v>0.49587324143818651</v>
      </c>
      <c r="AY36" s="56">
        <v>0.49811927911813192</v>
      </c>
      <c r="AZ36" s="56">
        <v>0.50223895385666806</v>
      </c>
      <c r="BA36" s="56">
        <v>0.50379169798533385</v>
      </c>
      <c r="BB36" s="56">
        <v>0.51118699999999995</v>
      </c>
      <c r="BC36" s="56">
        <v>0.52312700000000001</v>
      </c>
      <c r="BD36" s="56">
        <f>'[2]Table 3 &amp; 13'!$F$23</f>
        <v>0.5227706373130111</v>
      </c>
      <c r="BF36" s="25" t="s">
        <v>509</v>
      </c>
      <c r="CM36" s="234"/>
      <c r="CN36" s="24" t="s">
        <v>256</v>
      </c>
      <c r="CO36" s="11">
        <v>789.73204999999996</v>
      </c>
      <c r="CP36" s="49">
        <f>'[2]Table 15'!$L$307</f>
        <v>30558.465038449245</v>
      </c>
      <c r="CQ36" s="11">
        <v>800.06865000000005</v>
      </c>
      <c r="CR36" s="49">
        <f>'[2]Table 15'!$L$308</f>
        <v>29712.639317287023</v>
      </c>
      <c r="CS36" s="11">
        <v>830.21540000000005</v>
      </c>
      <c r="CT36" s="49">
        <f>'[2]Table 15'!$L$309</f>
        <v>29970.80117050244</v>
      </c>
      <c r="CU36" s="11">
        <v>794.91975000000002</v>
      </c>
      <c r="CV36" s="49">
        <f>'[2]Table 15'!$L$310</f>
        <v>33652.740695913148</v>
      </c>
      <c r="CW36" s="11">
        <v>744.18790000000001</v>
      </c>
      <c r="CX36" s="49">
        <f>'[2]Table 15'!$L$311</f>
        <v>35132.324974171876</v>
      </c>
      <c r="CY36" s="11">
        <v>813.7546000000001</v>
      </c>
      <c r="CZ36" s="49">
        <f>'[2]Table 15'!$L$312</f>
        <v>32543.351956904153</v>
      </c>
      <c r="DA36" s="11">
        <v>861.47305000000006</v>
      </c>
      <c r="DB36" s="49">
        <f>'[2]Table 15'!$L$313</f>
        <v>33208.603661312962</v>
      </c>
      <c r="DC36" s="11">
        <v>861.47305000000006</v>
      </c>
      <c r="DD36" s="49">
        <f>'[2]Table 15'!$L$314</f>
        <v>34515.054736354767</v>
      </c>
      <c r="DE36" s="11">
        <v>827.88225</v>
      </c>
      <c r="DF36" s="49">
        <f>'[2]Table 15'!$L$315</f>
        <v>32272.239487715233</v>
      </c>
      <c r="DG36" s="11">
        <v>825.26009999999997</v>
      </c>
      <c r="DH36" s="49">
        <f>'[2]Table 15'!$L$316</f>
        <v>30309.401476101251</v>
      </c>
      <c r="DI36" s="11">
        <v>842.41824999999994</v>
      </c>
      <c r="DJ36" s="49">
        <f>'[2]Table 15'!$L$317</f>
        <v>28746.061777853574</v>
      </c>
      <c r="DK36" s="11">
        <v>926.05630000000008</v>
      </c>
      <c r="DL36" s="49">
        <f>'[2]Table 15'!$L$318</f>
        <v>28054.742795499151</v>
      </c>
      <c r="DM36" s="11">
        <v>924.96030000000007</v>
      </c>
      <c r="DN36" s="49">
        <f>'[2]Table 15'!$L$319</f>
        <v>30455.300155793055</v>
      </c>
      <c r="DO36" s="11">
        <v>904</v>
      </c>
      <c r="DP36" s="49">
        <f>'[2]Table 15'!$L$320</f>
        <v>32197.2476234571</v>
      </c>
      <c r="DQ36" s="11">
        <v>961.56140000000005</v>
      </c>
      <c r="DR36" s="49">
        <f>'[2]Table 15'!$L$321</f>
        <v>28630.562385976835</v>
      </c>
      <c r="DS36" s="118">
        <f>'[2]Table 15'!$G$352</f>
        <v>937.13914999999997</v>
      </c>
      <c r="DT36" s="49">
        <f>'[2]Table 15'!$L$322</f>
        <v>27713.853449635135</v>
      </c>
      <c r="DV36" s="64" t="s">
        <v>262</v>
      </c>
      <c r="DW36" s="65">
        <v>1</v>
      </c>
      <c r="DX36" s="65">
        <f t="shared" ref="DX36:EJ36" si="11">SUM(DX37:DX40)</f>
        <v>1.0001571275773797</v>
      </c>
      <c r="DY36" s="65">
        <f t="shared" si="11"/>
        <v>1</v>
      </c>
      <c r="DZ36" s="65">
        <f t="shared" si="11"/>
        <v>0.99999999999999989</v>
      </c>
      <c r="EA36" s="65">
        <f t="shared" si="11"/>
        <v>1</v>
      </c>
      <c r="EB36" s="65">
        <f t="shared" si="11"/>
        <v>1</v>
      </c>
      <c r="EC36" s="65">
        <f t="shared" si="11"/>
        <v>0.99999999999999989</v>
      </c>
      <c r="ED36" s="65">
        <f t="shared" si="11"/>
        <v>1</v>
      </c>
      <c r="EE36" s="65">
        <f t="shared" si="11"/>
        <v>1</v>
      </c>
      <c r="EF36" s="65">
        <f t="shared" si="11"/>
        <v>1</v>
      </c>
      <c r="EG36" s="65">
        <f t="shared" si="11"/>
        <v>1</v>
      </c>
      <c r="EH36" s="65">
        <f t="shared" si="11"/>
        <v>1</v>
      </c>
      <c r="EI36" s="65">
        <f t="shared" si="11"/>
        <v>1</v>
      </c>
      <c r="EJ36" s="65">
        <f t="shared" si="11"/>
        <v>0.99999999999999989</v>
      </c>
      <c r="EK36" s="65">
        <f>SUM(EK37:EK40)</f>
        <v>1</v>
      </c>
      <c r="EL36" s="65">
        <f>SUM(EL37:EL40)</f>
        <v>1</v>
      </c>
      <c r="EM36" s="65">
        <f>SUM(EM37:EM40)</f>
        <v>0.99999999999999989</v>
      </c>
      <c r="EW36" s="202" t="s">
        <v>197</v>
      </c>
      <c r="EX36" s="70">
        <v>428.11697499999997</v>
      </c>
      <c r="EY36" s="70">
        <v>414.56759499999998</v>
      </c>
      <c r="EZ36" s="70">
        <v>422</v>
      </c>
      <c r="FA36" s="70">
        <v>436.45312000000001</v>
      </c>
      <c r="FB36" s="70">
        <v>448.46065500000003</v>
      </c>
      <c r="FC36" s="70">
        <v>432.5</v>
      </c>
      <c r="FD36" s="70">
        <v>425.43172000000004</v>
      </c>
      <c r="FE36" s="70">
        <v>449.06258999999994</v>
      </c>
      <c r="FF36" s="70">
        <v>473.70764000000003</v>
      </c>
      <c r="FG36" s="70">
        <v>455.36713000000003</v>
      </c>
      <c r="FH36" s="70">
        <v>438.08217999999999</v>
      </c>
      <c r="FI36" s="70">
        <v>453.13713000000001</v>
      </c>
      <c r="FJ36" s="70">
        <v>457.96221000000003</v>
      </c>
      <c r="FK36" s="70">
        <v>443.09667000000002</v>
      </c>
      <c r="FL36" s="70">
        <f>445446/1000</f>
        <v>445.44600000000003</v>
      </c>
      <c r="FM36" s="70">
        <f>453118.7/1000</f>
        <v>453.11869999999999</v>
      </c>
      <c r="FN36" s="70">
        <f>'[2]Table S2'!$H$108/1000</f>
        <v>398.40468999999996</v>
      </c>
      <c r="GI36" s="25" t="s">
        <v>185</v>
      </c>
      <c r="GJ36" s="65">
        <v>0.5195009112813237</v>
      </c>
      <c r="GK36" s="65">
        <v>0.51904182470337423</v>
      </c>
      <c r="GL36" s="65">
        <v>0.51603397659415784</v>
      </c>
      <c r="GM36" s="65">
        <v>0.50558341824556319</v>
      </c>
      <c r="GN36" s="65">
        <v>0.49486295030929206</v>
      </c>
      <c r="GO36" s="65">
        <v>0.5052827649883942</v>
      </c>
      <c r="GP36" s="65">
        <v>0.52558979674748019</v>
      </c>
      <c r="GQ36" s="65">
        <v>0.53698433435380333</v>
      </c>
      <c r="GR36" s="65">
        <v>0.54030440142341563</v>
      </c>
      <c r="GS36" s="65">
        <v>0.55382712850453997</v>
      </c>
      <c r="GT36" s="65">
        <v>0.56127268674312703</v>
      </c>
      <c r="GU36" s="65">
        <v>0.56781499128829838</v>
      </c>
      <c r="GV36" s="65">
        <v>0.56824014016278324</v>
      </c>
      <c r="GW36" s="65">
        <v>0.55948878490508847</v>
      </c>
      <c r="GX36" s="65">
        <v>0.56376400000000004</v>
      </c>
      <c r="GY36" s="65">
        <v>0.57051700000000005</v>
      </c>
      <c r="GZ36" s="116">
        <f>'[2]Table S4'!G42</f>
        <v>0.58506667088914688</v>
      </c>
    </row>
    <row r="37" spans="1:208">
      <c r="A37" s="54" t="s">
        <v>169</v>
      </c>
      <c r="B37" s="52">
        <v>0.70622799294609717</v>
      </c>
      <c r="C37" s="52">
        <v>0.72490391872452065</v>
      </c>
      <c r="D37" s="52">
        <v>0.72711191100645689</v>
      </c>
      <c r="E37" s="52">
        <v>0.73410445151965509</v>
      </c>
      <c r="F37" s="52">
        <v>0.7216170524472888</v>
      </c>
      <c r="G37" s="52">
        <v>0.71368798209947648</v>
      </c>
      <c r="H37" s="52">
        <v>0.71853582610703637</v>
      </c>
      <c r="I37" s="52">
        <v>0.71850950607207242</v>
      </c>
      <c r="J37" s="52">
        <v>0.72646082669822964</v>
      </c>
      <c r="K37" s="52">
        <v>0.73328658564066262</v>
      </c>
      <c r="L37" s="52">
        <v>0.73446155128534896</v>
      </c>
      <c r="M37" s="52">
        <v>0.73442239331242776</v>
      </c>
      <c r="N37" s="52">
        <v>0.73527520988105588</v>
      </c>
      <c r="O37" s="52">
        <v>0.74032631301773433</v>
      </c>
      <c r="P37" s="52">
        <v>0.747</v>
      </c>
      <c r="Q37" s="52">
        <v>0.74958100000000005</v>
      </c>
      <c r="R37" s="97">
        <f>'[2]Table 11'!$E$57</f>
        <v>0.75526950230262224</v>
      </c>
      <c r="AM37" s="27" t="s">
        <v>196</v>
      </c>
      <c r="AN37" s="56">
        <v>1.224009138659362E-2</v>
      </c>
      <c r="AO37" s="56">
        <v>1.5059541970715146E-2</v>
      </c>
      <c r="AP37" s="56">
        <v>1.4036407690341864E-2</v>
      </c>
      <c r="AQ37" s="56">
        <v>1.4668417371963548E-2</v>
      </c>
      <c r="AR37" s="56">
        <v>1.6428295616126663E-2</v>
      </c>
      <c r="AS37" s="56">
        <v>1.4218674324027536E-2</v>
      </c>
      <c r="AT37" s="56">
        <v>1.2574816381247286E-2</v>
      </c>
      <c r="AU37" s="56">
        <v>1.3034061068409653E-2</v>
      </c>
      <c r="AV37" s="56">
        <v>1.0825490824736436E-2</v>
      </c>
      <c r="AW37" s="56">
        <v>1.2433831997710287E-2</v>
      </c>
      <c r="AX37" s="56">
        <v>1.7401008357491744E-2</v>
      </c>
      <c r="AY37" s="56">
        <v>1.5961024149335368E-2</v>
      </c>
      <c r="AZ37" s="56">
        <v>1.2482812490662855E-2</v>
      </c>
      <c r="BA37" s="56">
        <v>1.2999976830531309E-2</v>
      </c>
      <c r="BB37" s="56">
        <v>1.3032E-2</v>
      </c>
      <c r="BC37" s="56">
        <v>1.2605999999999999E-2</v>
      </c>
      <c r="BD37" s="56">
        <f>'[2]Table 3 &amp; 13'!$F$27</f>
        <v>1.3339827964155721E-2</v>
      </c>
      <c r="BF37" s="25" t="s">
        <v>406</v>
      </c>
      <c r="BG37" s="11">
        <v>292.72879999999998</v>
      </c>
      <c r="BH37" s="49">
        <f>'[2]Table 14-7'!$L$3</f>
        <v>41482.030384092708</v>
      </c>
      <c r="BI37" s="11">
        <v>268.92065000000002</v>
      </c>
      <c r="BJ37" s="49">
        <f>'[2]Table 14-7'!$L$4</f>
        <v>40002.517704050464</v>
      </c>
      <c r="BK37" s="11">
        <v>252.01665</v>
      </c>
      <c r="BL37" s="49">
        <f>'[2]Table 14-7'!$L$5</f>
        <v>37880.69679858267</v>
      </c>
      <c r="BM37" s="11">
        <v>266.97309999999999</v>
      </c>
      <c r="BN37" s="49">
        <f>'[2]Table 14-7'!$L$6</f>
        <v>41141.418399904564</v>
      </c>
      <c r="BO37" s="11">
        <v>268.77934999999997</v>
      </c>
      <c r="BP37" s="49">
        <f>'[2]Table 14-7'!$L$7</f>
        <v>43889.317206071202</v>
      </c>
      <c r="BQ37" s="11">
        <v>241.39329999999998</v>
      </c>
      <c r="BR37" s="49">
        <f>'[2]Table 14-7'!$L$8</f>
        <v>44102.991568196878</v>
      </c>
      <c r="BS37" s="11">
        <v>217.78479999999999</v>
      </c>
      <c r="BT37" s="49">
        <f>'[2]Table 14-7'!$L$9</f>
        <v>45775.888397349059</v>
      </c>
      <c r="BU37" s="11">
        <v>205.84125</v>
      </c>
      <c r="BV37" s="49">
        <f>'[2]Table 14-7'!$L$10</f>
        <v>45201.079859098885</v>
      </c>
      <c r="BW37" s="11">
        <v>189.61104999999998</v>
      </c>
      <c r="BX37" s="49">
        <f>'[2]Table 14-7'!$L$11</f>
        <v>39801.34901632792</v>
      </c>
      <c r="BY37" s="11">
        <v>183.07825</v>
      </c>
      <c r="BZ37" s="49">
        <f>'[2]Table 14-7'!$L$12</f>
        <v>34253.750745552868</v>
      </c>
      <c r="CA37" s="11">
        <v>201.42109999999997</v>
      </c>
      <c r="CB37" s="49">
        <f>'[2]Table 14-7'!$L$13</f>
        <v>35379.058872251931</v>
      </c>
      <c r="CC37" s="11">
        <v>207.41184999999999</v>
      </c>
      <c r="CD37" s="49">
        <f>'[2]Table 14-7'!$L$14</f>
        <v>39565.52748332583</v>
      </c>
      <c r="CE37" s="11">
        <v>195.30250000000001</v>
      </c>
      <c r="CF37" s="49">
        <f>'[2]Table 14-7'!$L$15</f>
        <v>37362.394784685843</v>
      </c>
      <c r="CG37" s="11">
        <v>187</v>
      </c>
      <c r="CH37" s="49">
        <f>'[2]Table 14-7'!$L$16</f>
        <v>29938.548481741749</v>
      </c>
      <c r="CI37" s="11">
        <v>157.96080000000001</v>
      </c>
      <c r="CJ37" s="49">
        <f>'[2]Table 14-7'!$L$17</f>
        <v>33722.336565260164</v>
      </c>
      <c r="CK37" s="118">
        <f>'[2]Table 14-7'!$G$41</f>
        <v>145.98349999999999</v>
      </c>
      <c r="CL37" s="49">
        <f>'[2]Table 14-7'!$L$18</f>
        <v>36064.034960373858</v>
      </c>
      <c r="CM37" s="235"/>
      <c r="CN37" s="24" t="s">
        <v>257</v>
      </c>
      <c r="CO37" s="11">
        <v>1022.00865</v>
      </c>
      <c r="CP37" s="49">
        <f>'[2]Table 15'!$L$374</f>
        <v>71706.861994230392</v>
      </c>
      <c r="CQ37" s="11">
        <v>993.2835</v>
      </c>
      <c r="CR37" s="49">
        <f>'[2]Table 15'!$L$375</f>
        <v>75387.861302738253</v>
      </c>
      <c r="CS37" s="11">
        <v>955.01445000000001</v>
      </c>
      <c r="CT37" s="49">
        <f>'[2]Table 15'!$L$376</f>
        <v>77676.816724337317</v>
      </c>
      <c r="CU37" s="11">
        <v>922.08894999999995</v>
      </c>
      <c r="CV37" s="49">
        <f>'[2]Table 15'!$L$377</f>
        <v>75530.662802449151</v>
      </c>
      <c r="CW37" s="11">
        <v>968.18934999999999</v>
      </c>
      <c r="CX37" s="49">
        <f>'[2]Table 15'!$L$378</f>
        <v>80537.709531882123</v>
      </c>
      <c r="CY37" s="11">
        <v>968.15840000000003</v>
      </c>
      <c r="CZ37" s="49">
        <f>'[2]Table 15'!$L$379</f>
        <v>80672.13697797824</v>
      </c>
      <c r="DA37" s="11">
        <v>920.52665000000002</v>
      </c>
      <c r="DB37" s="49">
        <f>'[2]Table 15'!$L$380</f>
        <v>80082.477345758234</v>
      </c>
      <c r="DC37" s="11">
        <v>920.52665000000002</v>
      </c>
      <c r="DD37" s="49">
        <f>'[2]Table 15'!$L$381</f>
        <v>79459.406071868696</v>
      </c>
      <c r="DE37" s="11">
        <v>970.14069999999992</v>
      </c>
      <c r="DF37" s="49">
        <f>'[2]Table 15'!$L$382</f>
        <v>73787.410379787412</v>
      </c>
      <c r="DG37" s="11">
        <v>955.99290000000008</v>
      </c>
      <c r="DH37" s="49">
        <f>'[2]Table 15'!$L$383</f>
        <v>69345.240163942304</v>
      </c>
      <c r="DI37" s="11">
        <v>961.56960000000004</v>
      </c>
      <c r="DJ37" s="49">
        <f>'[2]Table 15'!$L$384</f>
        <v>69570.538449305837</v>
      </c>
      <c r="DK37" s="11">
        <v>918.0071999999999</v>
      </c>
      <c r="DL37" s="49">
        <f>'[2]Table 15'!$L$385</f>
        <v>70675.359297074086</v>
      </c>
      <c r="DM37" s="11">
        <v>889.23355000000004</v>
      </c>
      <c r="DN37" s="49">
        <f>'[2]Table 15'!$L$386</f>
        <v>67150.072896844184</v>
      </c>
      <c r="DO37" s="11">
        <v>980</v>
      </c>
      <c r="DP37" s="49">
        <f>'[2]Table 15'!$L$387</f>
        <v>65457.144173147113</v>
      </c>
      <c r="DQ37" s="11">
        <v>1044.8789999999999</v>
      </c>
      <c r="DR37" s="49">
        <f>'[2]Table 15'!$L$388</f>
        <v>70682.157751123275</v>
      </c>
      <c r="DS37" s="118">
        <f>'[2]Table 15'!$G$405</f>
        <v>1051.617</v>
      </c>
      <c r="DT37" s="49">
        <f>'[2]Table 15'!$L$389</f>
        <v>76136.544794600442</v>
      </c>
      <c r="DV37" s="64" t="s">
        <v>263</v>
      </c>
      <c r="DW37" s="65">
        <v>2.7953643588975872E-2</v>
      </c>
      <c r="DX37" s="65">
        <v>2.7953643588975872E-2</v>
      </c>
      <c r="DY37" s="65">
        <v>3.3208869653773412E-2</v>
      </c>
      <c r="DZ37" s="65">
        <v>3.6361534766903104E-2</v>
      </c>
      <c r="EA37" s="65">
        <v>3.7006684524447268E-2</v>
      </c>
      <c r="EB37" s="65">
        <v>3.3100392736526089E-2</v>
      </c>
      <c r="EC37" s="65">
        <v>3.0862308968155918E-2</v>
      </c>
      <c r="ED37" s="65">
        <v>2.8638574351723164E-2</v>
      </c>
      <c r="EE37" s="65">
        <v>3.5142984918826982E-2</v>
      </c>
      <c r="EF37" s="65">
        <v>3.2216197267759719E-2</v>
      </c>
      <c r="EG37" s="65">
        <v>2.935471582210665E-2</v>
      </c>
      <c r="EH37" s="65">
        <v>3.4344648627166671E-2</v>
      </c>
      <c r="EI37" s="65">
        <v>3.9467895636353036E-2</v>
      </c>
      <c r="EJ37" s="65">
        <v>4.2197922349842473E-2</v>
      </c>
      <c r="EK37" s="65">
        <v>4.5538737208764342E-2</v>
      </c>
      <c r="EL37" s="65">
        <v>4.4452999999999999E-2</v>
      </c>
      <c r="EM37" s="289">
        <f>'T7-T10'!BT11</f>
        <v>3.8283412835174266E-2</v>
      </c>
      <c r="EW37" s="71" t="s">
        <v>283</v>
      </c>
      <c r="EX37" s="72">
        <v>0.12583500105315842</v>
      </c>
      <c r="EY37" s="72">
        <v>0.14910824132310679</v>
      </c>
      <c r="EZ37" s="72">
        <v>0.13586353520311495</v>
      </c>
      <c r="FA37" s="72">
        <v>0.12510705617134782</v>
      </c>
      <c r="FB37" s="72">
        <v>0.11737559027337925</v>
      </c>
      <c r="FC37" s="72">
        <v>0.14568763343943458</v>
      </c>
      <c r="FD37" s="72">
        <v>0.17435238491384705</v>
      </c>
      <c r="FE37" s="72">
        <v>0.14001226421466106</v>
      </c>
      <c r="FF37" s="72">
        <v>0.10799948255003866</v>
      </c>
      <c r="FG37" s="72">
        <v>0.10252894186719186</v>
      </c>
      <c r="FH37" s="72">
        <v>0.11283639749966547</v>
      </c>
      <c r="FI37" s="72">
        <v>0.11929064387197755</v>
      </c>
      <c r="FJ37" s="72">
        <v>9.8985874838886809E-2</v>
      </c>
      <c r="FK37" s="72">
        <v>9.7183375356894447E-2</v>
      </c>
      <c r="FL37" s="72">
        <v>0.12867300000000001</v>
      </c>
      <c r="FM37" s="72">
        <v>0.154666</v>
      </c>
      <c r="FN37" s="72">
        <f>'[2]Table S2'!$H$111</f>
        <v>0.17998892031115399</v>
      </c>
      <c r="GI37" s="25" t="s">
        <v>186</v>
      </c>
      <c r="GJ37" s="65">
        <v>0.17892010003230543</v>
      </c>
      <c r="GK37" s="65">
        <v>0.18952113499796944</v>
      </c>
      <c r="GL37" s="65">
        <v>0.1904547281889547</v>
      </c>
      <c r="GM37" s="65">
        <v>0.18872097281503786</v>
      </c>
      <c r="GN37" s="65">
        <v>0.19954758973563544</v>
      </c>
      <c r="GO37" s="65">
        <v>0.19895913246009214</v>
      </c>
      <c r="GP37" s="65">
        <v>0.19481298671334499</v>
      </c>
      <c r="GQ37" s="65">
        <v>0.17568685846632254</v>
      </c>
      <c r="GR37" s="65">
        <v>0.16732365912188665</v>
      </c>
      <c r="GS37" s="65">
        <v>0.1857968905455589</v>
      </c>
      <c r="GT37" s="65">
        <v>0.19298935355588714</v>
      </c>
      <c r="GU37" s="65">
        <v>0.17930901209063976</v>
      </c>
      <c r="GV37" s="65">
        <v>0.19046190925158399</v>
      </c>
      <c r="GW37" s="65">
        <v>0.20224515022922743</v>
      </c>
      <c r="GX37" s="65">
        <v>0.17904200000000001</v>
      </c>
      <c r="GY37" s="65">
        <v>0.17160400000000001</v>
      </c>
      <c r="GZ37" s="116">
        <f>'[2]Table S4'!G43</f>
        <v>0.16330926708111065</v>
      </c>
    </row>
    <row r="38" spans="1:20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69"/>
      <c r="T38" s="25" t="s">
        <v>572</v>
      </c>
      <c r="AM38" s="27" t="s">
        <v>197</v>
      </c>
      <c r="AN38" s="56">
        <v>6.739625595392558E-2</v>
      </c>
      <c r="AO38" s="56">
        <v>6.4466481592608774E-2</v>
      </c>
      <c r="AP38" s="56">
        <v>6.6489970879430552E-2</v>
      </c>
      <c r="AQ38" s="56">
        <v>6.9310318660684031E-2</v>
      </c>
      <c r="AR38" s="56">
        <v>6.9296696367926638E-2</v>
      </c>
      <c r="AS38" s="56">
        <v>6.5892504755252559E-2</v>
      </c>
      <c r="AT38" s="56">
        <v>6.5744009969223804E-2</v>
      </c>
      <c r="AU38" s="56">
        <v>6.9732226715991649E-2</v>
      </c>
      <c r="AV38" s="56">
        <v>7.2836316315561173E-2</v>
      </c>
      <c r="AW38" s="56">
        <v>7.0141657736309107E-2</v>
      </c>
      <c r="AX38" s="56">
        <v>6.8194754644843383E-2</v>
      </c>
      <c r="AY38" s="56">
        <v>7.1844349730919563E-2</v>
      </c>
      <c r="AZ38" s="56">
        <v>7.1081221266663344E-2</v>
      </c>
      <c r="BA38" s="56">
        <v>6.4603543003222477E-2</v>
      </c>
      <c r="BB38" s="56">
        <v>6.5706000000000001E-2</v>
      </c>
      <c r="BC38" s="56">
        <v>6.8590999999999999E-2</v>
      </c>
      <c r="BD38" s="56">
        <f>'[2]Table 3 &amp; 13'!$F$31</f>
        <v>5.8495564320098094E-2</v>
      </c>
      <c r="BF38" s="25" t="s">
        <v>403</v>
      </c>
      <c r="BG38" s="11">
        <v>725.91989999999998</v>
      </c>
      <c r="BH38" s="49">
        <f>'[2]Table 14-7'!$L$59</f>
        <v>74274.728416194906</v>
      </c>
      <c r="BI38" s="11">
        <v>732.0551999999999</v>
      </c>
      <c r="BJ38" s="49">
        <f>'[2]Table 14-7'!$L$60</f>
        <v>75737.620725655433</v>
      </c>
      <c r="BK38" s="11">
        <v>704.42460000000005</v>
      </c>
      <c r="BL38" s="49">
        <f>'[2]Table 14-7'!$L$61</f>
        <v>73950.281595444787</v>
      </c>
      <c r="BM38" s="11">
        <v>661.85635000000002</v>
      </c>
      <c r="BN38" s="49">
        <f>'[2]Table 14-7'!$L$62</f>
        <v>73826.363773388497</v>
      </c>
      <c r="BO38" s="11">
        <v>650.05819999999994</v>
      </c>
      <c r="BP38" s="49">
        <f>'[2]Table 14-7'!$L$63</f>
        <v>76909.925900576156</v>
      </c>
      <c r="BQ38" s="11">
        <v>658.85169999999994</v>
      </c>
      <c r="BR38" s="49">
        <f>'[2]Table 14-7'!$L$64</f>
        <v>72627.360937700345</v>
      </c>
      <c r="BS38" s="11">
        <v>647.49135000000001</v>
      </c>
      <c r="BT38" s="49">
        <f>'[2]Table 14-7'!$L$65</f>
        <v>65927.483190751038</v>
      </c>
      <c r="BU38" s="11">
        <v>662.73779999999999</v>
      </c>
      <c r="BV38" s="49">
        <f>'[2]Table 14-7'!$L$66</f>
        <v>64379.144358302467</v>
      </c>
      <c r="BW38" s="11">
        <v>657.82894999999996</v>
      </c>
      <c r="BX38" s="49">
        <f>'[2]Table 14-7'!$L$67</f>
        <v>61520.740228896153</v>
      </c>
      <c r="BY38" s="11">
        <v>625.87115000000006</v>
      </c>
      <c r="BZ38" s="49">
        <f>'[2]Table 14-7'!$L$68</f>
        <v>58785.084964063353</v>
      </c>
      <c r="CA38" s="11">
        <v>605.56449999999995</v>
      </c>
      <c r="CB38" s="49">
        <f>'[2]Table 14-7'!$L$69</f>
        <v>59453.410426466689</v>
      </c>
      <c r="CC38" s="11">
        <v>587.47235000000001</v>
      </c>
      <c r="CD38" s="49">
        <f>'[2]Table 14-7'!$L$70</f>
        <v>64897.158335574313</v>
      </c>
      <c r="CE38" s="11">
        <v>613.03949999999998</v>
      </c>
      <c r="CF38" s="49">
        <f>'[2]Table 14-7'!$L$71</f>
        <v>67182.731003865483</v>
      </c>
      <c r="CG38" s="11">
        <v>628</v>
      </c>
      <c r="CH38" s="49">
        <f>'[2]Table 14-7'!$L$72</f>
        <v>64635.522847586675</v>
      </c>
      <c r="CI38" s="11">
        <v>647.24310000000003</v>
      </c>
      <c r="CJ38" s="49">
        <f>'[2]Table 14-7'!$L$73</f>
        <v>62740.188973901131</v>
      </c>
      <c r="CK38" s="118">
        <f>'[2]Table 14-7'!$G$93</f>
        <v>600.27200000000005</v>
      </c>
      <c r="CL38" s="49">
        <f>'[2]Table 14-7'!$L$74</f>
        <v>63541.142385614978</v>
      </c>
      <c r="CM38" s="235"/>
      <c r="CN38" s="24" t="s">
        <v>258</v>
      </c>
      <c r="CO38" s="11">
        <v>569.20460000000003</v>
      </c>
      <c r="CP38" s="49">
        <f>'[2]Table 15'!$L$435</f>
        <v>94965.640093552604</v>
      </c>
      <c r="CQ38" s="11">
        <v>549.87990000000002</v>
      </c>
      <c r="CR38" s="49">
        <f>'[2]Table 15'!$L$436</f>
        <v>99430.339233426697</v>
      </c>
      <c r="CS38" s="11">
        <v>511.4563</v>
      </c>
      <c r="CT38" s="49">
        <f>'[2]Table 15'!$L$437</f>
        <v>94329.846975954046</v>
      </c>
      <c r="CU38" s="11">
        <v>539.05555000000004</v>
      </c>
      <c r="CV38" s="49">
        <f>'[2]Table 15'!$L$438</f>
        <v>96965.323869658867</v>
      </c>
      <c r="CW38" s="11">
        <v>530.5403</v>
      </c>
      <c r="CX38" s="49">
        <f>'[2]Table 15'!$L$439</f>
        <v>107768.65209482922</v>
      </c>
      <c r="CY38" s="11">
        <v>555.51765</v>
      </c>
      <c r="CZ38" s="49">
        <f>'[2]Table 15'!$L$440</f>
        <v>102182.79052094987</v>
      </c>
      <c r="DA38" s="11">
        <v>564.30274999999995</v>
      </c>
      <c r="DB38" s="49">
        <f>'[2]Table 15'!$L$441</f>
        <v>96543.402112906304</v>
      </c>
      <c r="DC38" s="11">
        <v>564.30274999999995</v>
      </c>
      <c r="DD38" s="49">
        <f>'[2]Table 15'!$L$442</f>
        <v>92515.419173282513</v>
      </c>
      <c r="DE38" s="11">
        <v>542.77149999999995</v>
      </c>
      <c r="DF38" s="49">
        <f>'[2]Table 15'!$L$443</f>
        <v>90204.705754354378</v>
      </c>
      <c r="DG38" s="11">
        <v>580.40389999999991</v>
      </c>
      <c r="DH38" s="49">
        <f>'[2]Table 15'!$L$444</f>
        <v>89449.097907895193</v>
      </c>
      <c r="DI38" s="11">
        <v>594.94114999999988</v>
      </c>
      <c r="DJ38" s="49">
        <f>'[2]Table 15'!$L$445</f>
        <v>89301.548855353729</v>
      </c>
      <c r="DK38" s="11">
        <v>607.15160000000003</v>
      </c>
      <c r="DL38" s="49">
        <f>'[2]Table 15'!$L$446</f>
        <v>85103.631532683445</v>
      </c>
      <c r="DM38" s="11">
        <v>633.40930000000003</v>
      </c>
      <c r="DN38" s="49">
        <f>'[2]Table 15'!$L$447</f>
        <v>87382.602603643289</v>
      </c>
      <c r="DO38" s="11">
        <v>569</v>
      </c>
      <c r="DP38" s="49">
        <f>'[2]Table 15'!$L$448</f>
        <v>96381.310016395873</v>
      </c>
      <c r="DQ38" s="11">
        <v>558.33429999999998</v>
      </c>
      <c r="DR38" s="49">
        <f>'[2]Table 15'!$L$449</f>
        <v>93498.232431401033</v>
      </c>
      <c r="DS38" s="118">
        <f>'[2]Table 15'!$G$458</f>
        <v>593.31319999999994</v>
      </c>
      <c r="DT38" s="49">
        <f>'[2]Table 15'!$L$450</f>
        <v>93022.999021273106</v>
      </c>
      <c r="DV38" s="64" t="s">
        <v>264</v>
      </c>
      <c r="DW38" s="65">
        <v>1.5585351662836523E-2</v>
      </c>
      <c r="DX38" s="65">
        <v>1.5585351662836523E-2</v>
      </c>
      <c r="DY38" s="65">
        <v>1.7248602415818711E-2</v>
      </c>
      <c r="DZ38" s="65">
        <v>1.6849585231859952E-2</v>
      </c>
      <c r="EA38" s="65">
        <v>1.6169348551503766E-2</v>
      </c>
      <c r="EB38" s="65">
        <v>1.5639840935316153E-2</v>
      </c>
      <c r="EC38" s="65">
        <v>1.3039413523315979E-2</v>
      </c>
      <c r="ED38" s="65">
        <v>2.0384451517299264E-2</v>
      </c>
      <c r="EE38" s="65">
        <v>2.0646736282268704E-2</v>
      </c>
      <c r="EF38" s="65">
        <v>2.1039395666490351E-2</v>
      </c>
      <c r="EG38" s="65">
        <v>2.1249484006787306E-2</v>
      </c>
      <c r="EH38" s="65">
        <v>2.0986669503364117E-2</v>
      </c>
      <c r="EI38" s="65">
        <v>1.5450845968590893E-2</v>
      </c>
      <c r="EJ38" s="65">
        <v>1.689049049178417E-2</v>
      </c>
      <c r="EK38" s="65">
        <v>1.9869399846081409E-2</v>
      </c>
      <c r="EL38" s="65">
        <v>1.5105E-2</v>
      </c>
      <c r="EM38" s="289">
        <f>'[2]Table 9-10-14-16'!$H$29</f>
        <v>2.0886315199735387E-2</v>
      </c>
      <c r="EW38" s="202" t="s">
        <v>198</v>
      </c>
      <c r="EX38" s="70">
        <v>508.54772499999996</v>
      </c>
      <c r="EY38" s="70">
        <v>519.09979500000009</v>
      </c>
      <c r="EZ38" s="70">
        <v>532</v>
      </c>
      <c r="FA38" s="70">
        <v>514.90634</v>
      </c>
      <c r="FB38" s="70">
        <v>467.16934499999996</v>
      </c>
      <c r="FC38" s="70">
        <v>489.3</v>
      </c>
      <c r="FD38" s="70">
        <v>497.99360000000001</v>
      </c>
      <c r="FE38" s="70">
        <v>499.85995499999996</v>
      </c>
      <c r="FF38" s="70">
        <v>524.08542499999999</v>
      </c>
      <c r="FG38" s="70">
        <v>505.53332499999999</v>
      </c>
      <c r="FH38" s="70">
        <v>528.63194999999996</v>
      </c>
      <c r="FI38" s="70">
        <v>566.01328000000001</v>
      </c>
      <c r="FJ38" s="70">
        <v>552.64328</v>
      </c>
      <c r="FK38" s="70">
        <v>524.91088999999999</v>
      </c>
      <c r="FL38" s="70">
        <v>519</v>
      </c>
      <c r="FM38" s="70">
        <f>558856.4/1000</f>
        <v>558.85640000000001</v>
      </c>
      <c r="FN38" s="70">
        <f>'[2]Table S2'!$I$108/1000</f>
        <v>576.17538999999999</v>
      </c>
      <c r="GI38" s="25" t="s">
        <v>187</v>
      </c>
      <c r="GJ38" s="65">
        <v>0.20829698002293898</v>
      </c>
      <c r="GK38" s="65">
        <v>0.20352430328213766</v>
      </c>
      <c r="GL38" s="65">
        <v>0.19953020295293802</v>
      </c>
      <c r="GM38" s="65">
        <v>0.21140252728444783</v>
      </c>
      <c r="GN38" s="65">
        <v>0.21261071094696227</v>
      </c>
      <c r="GO38" s="65">
        <v>0.2106557494383017</v>
      </c>
      <c r="GP38" s="65">
        <v>0.20225549702422776</v>
      </c>
      <c r="GQ38" s="65">
        <v>0.19556634989767913</v>
      </c>
      <c r="GR38" s="65">
        <v>0.1936454820832518</v>
      </c>
      <c r="GS38" s="65">
        <v>0.17693499974862975</v>
      </c>
      <c r="GT38" s="65">
        <v>0.17696968536483379</v>
      </c>
      <c r="GU38" s="65">
        <v>0.18383507684051476</v>
      </c>
      <c r="GV38" s="65">
        <v>0.16435376558599971</v>
      </c>
      <c r="GW38" s="65">
        <v>0.16721165413177738</v>
      </c>
      <c r="GX38" s="65">
        <v>0.18190500000000001</v>
      </c>
      <c r="GY38" s="65">
        <v>0.18538499999999999</v>
      </c>
      <c r="GZ38" s="116">
        <f>'[2]Table S4'!G44</f>
        <v>0.17818519685146239</v>
      </c>
    </row>
    <row r="39" spans="1:208">
      <c r="A39" s="25" t="s">
        <v>572</v>
      </c>
      <c r="T39" s="27" t="s">
        <v>573</v>
      </c>
      <c r="AM39" s="27" t="s">
        <v>198</v>
      </c>
      <c r="AN39" s="56">
        <v>7.8602627436899913E-2</v>
      </c>
      <c r="AO39" s="56">
        <v>7.7729935552909274E-2</v>
      </c>
      <c r="AP39" s="56">
        <v>7.9699663746810576E-2</v>
      </c>
      <c r="AQ39" s="56">
        <v>7.6847431216195181E-2</v>
      </c>
      <c r="AR39" s="56">
        <v>7.0102418376194034E-2</v>
      </c>
      <c r="AS39" s="56">
        <v>7.3322258002010435E-2</v>
      </c>
      <c r="AT39" s="56">
        <v>7.5694352661291847E-2</v>
      </c>
      <c r="AU39" s="56">
        <v>7.8472714726572232E-2</v>
      </c>
      <c r="AV39" s="56">
        <v>7.9229768213794016E-2</v>
      </c>
      <c r="AW39" s="56">
        <v>7.2247219872415558E-2</v>
      </c>
      <c r="AX39" s="56">
        <v>7.524016690897592E-2</v>
      </c>
      <c r="AY39" s="56">
        <v>8.2287696578711142E-2</v>
      </c>
      <c r="AZ39" s="56">
        <v>8.2830572770671934E-2</v>
      </c>
      <c r="BA39" s="56">
        <v>7.7182738673379242E-2</v>
      </c>
      <c r="BB39" s="56">
        <v>7.6754000000000003E-2</v>
      </c>
      <c r="BC39" s="56">
        <v>8.5581000000000004E-2</v>
      </c>
      <c r="BD39" s="56">
        <f>'[2]Table 3 &amp; 13'!$F$35</f>
        <v>8.413715856123434E-2</v>
      </c>
      <c r="BF39" s="25" t="s">
        <v>405</v>
      </c>
      <c r="BG39" s="11">
        <v>470.7244</v>
      </c>
      <c r="BH39" s="49">
        <f>'[2]Table 14-7'!$L$115</f>
        <v>100700.23404499504</v>
      </c>
      <c r="BI39" s="11">
        <v>458.07145000000003</v>
      </c>
      <c r="BJ39" s="49">
        <f>'[2]Table 14-7'!$L$116</f>
        <v>91199.311395080964</v>
      </c>
      <c r="BK39" s="11">
        <v>458.00425000000001</v>
      </c>
      <c r="BL39" s="49">
        <f>'[2]Table 14-7'!$L$117</f>
        <v>88984.147397736029</v>
      </c>
      <c r="BM39" s="11">
        <v>479.27090000000004</v>
      </c>
      <c r="BN39" s="49">
        <f>'[2]Table 14-7'!$L$118</f>
        <v>88956.479897405981</v>
      </c>
      <c r="BO39" s="11">
        <v>485.89784999999995</v>
      </c>
      <c r="BP39" s="49">
        <f>'[2]Table 14-7'!$L$119</f>
        <v>89696.633490609209</v>
      </c>
      <c r="BQ39" s="11">
        <v>449.61159999999995</v>
      </c>
      <c r="BR39" s="49">
        <f>'[2]Table 14-7'!$L$120</f>
        <v>86948.448030258369</v>
      </c>
      <c r="BS39" s="11">
        <v>433.69974999999999</v>
      </c>
      <c r="BT39" s="49">
        <f>'[2]Table 14-7'!$L$121</f>
        <v>85857.026991063118</v>
      </c>
      <c r="BU39" s="11">
        <v>467.06319999999994</v>
      </c>
      <c r="BV39" s="49">
        <f>'[2]Table 14-7'!$L$122</f>
        <v>83614.843334843186</v>
      </c>
      <c r="BW39" s="11">
        <v>501.01994999999994</v>
      </c>
      <c r="BX39" s="49">
        <f>'[2]Table 14-7'!$L$123</f>
        <v>82563.784168266866</v>
      </c>
      <c r="BY39" s="11">
        <v>483.29849999999999</v>
      </c>
      <c r="BZ39" s="49">
        <f>'[2]Table 14-7'!$L$124</f>
        <v>82450.277619729808</v>
      </c>
      <c r="CA39" s="11">
        <v>461.2022</v>
      </c>
      <c r="CB39" s="49">
        <f>'[2]Table 14-7'!$L$125</f>
        <v>82413.79027336021</v>
      </c>
      <c r="CC39" s="11">
        <v>471</v>
      </c>
      <c r="CD39" s="49">
        <f>'[2]Table 14-7'!$L$126</f>
        <v>78099.442342723341</v>
      </c>
      <c r="CE39" s="11">
        <v>478.50915000000003</v>
      </c>
      <c r="CF39" s="49">
        <f>'[2]Table 14-7'!$L$127</f>
        <v>73345.2533461813</v>
      </c>
      <c r="CG39" s="11">
        <v>480</v>
      </c>
      <c r="CH39" s="49">
        <f>'[2]Table 14-7'!$L$128</f>
        <v>73161.334887561839</v>
      </c>
      <c r="CI39" s="11">
        <v>497.37509999999997</v>
      </c>
      <c r="CJ39" s="49">
        <f>'[2]Table 14-7'!$L$129</f>
        <v>75435.076567630487</v>
      </c>
      <c r="CK39" s="118">
        <f>'[2]Table 14-7'!$G$143</f>
        <v>522.06174999999996</v>
      </c>
      <c r="CL39" s="49">
        <f>'[2]Table 14-7'!$L$130</f>
        <v>78227.792156537689</v>
      </c>
      <c r="CM39" s="235"/>
      <c r="CN39" s="24" t="s">
        <v>259</v>
      </c>
      <c r="CO39" s="11">
        <v>540.35630000000003</v>
      </c>
      <c r="CP39" s="49">
        <f>'[2]Table 15'!$L$488</f>
        <v>110987.06792451808</v>
      </c>
      <c r="CQ39" s="11">
        <v>546.06419999999991</v>
      </c>
      <c r="CR39" s="49">
        <f>'[2]Table 15'!$L$489</f>
        <v>109406.12205002808</v>
      </c>
      <c r="CS39" s="11">
        <v>570.72555</v>
      </c>
      <c r="CT39" s="49">
        <f>'[2]Table 15'!$L$490</f>
        <v>111120.28886431889</v>
      </c>
      <c r="CU39" s="11">
        <v>577.88874999999996</v>
      </c>
      <c r="CV39" s="49">
        <f>'[2]Table 15'!$L$491</f>
        <v>113364.51086009994</v>
      </c>
      <c r="CW39" s="11">
        <v>592.81844999999998</v>
      </c>
      <c r="CX39" s="49">
        <f>'[2]Table 15'!$L$492</f>
        <v>115236.44182387163</v>
      </c>
      <c r="CY39" s="11">
        <v>559.56275000000005</v>
      </c>
      <c r="CZ39" s="49">
        <f>'[2]Table 15'!$L$493</f>
        <v>114170.20048387386</v>
      </c>
      <c r="DA39" s="11">
        <v>513.42939999999999</v>
      </c>
      <c r="DB39" s="49">
        <f>'[2]Table 15'!$L$494</f>
        <v>117003.17823126982</v>
      </c>
      <c r="DC39" s="11">
        <v>513.42939999999999</v>
      </c>
      <c r="DD39" s="49">
        <f>'[2]Table 15'!$L$495</f>
        <v>114501.88230739567</v>
      </c>
      <c r="DE39" s="11">
        <v>508.22155000000004</v>
      </c>
      <c r="DF39" s="49">
        <f>'[2]Table 15'!$L$496</f>
        <v>112304.22137316773</v>
      </c>
      <c r="DG39" s="11">
        <v>504.95370000000003</v>
      </c>
      <c r="DH39" s="49">
        <f>'[2]Table 15'!$L$497</f>
        <v>113019.29755113334</v>
      </c>
      <c r="DI39" s="11">
        <v>514.17425000000003</v>
      </c>
      <c r="DJ39" s="49">
        <f>'[2]Table 15'!$L$498</f>
        <v>111391.56416164292</v>
      </c>
      <c r="DK39" s="11">
        <v>517.49665000000005</v>
      </c>
      <c r="DL39" s="49">
        <f>'[2]Table 15'!$L$499</f>
        <v>112770.16490899195</v>
      </c>
      <c r="DM39" s="11">
        <v>532.88669999999991</v>
      </c>
      <c r="DN39" s="49">
        <f>'[2]Table 15'!$L$500</f>
        <v>107353.31248665744</v>
      </c>
      <c r="DO39" s="11">
        <v>552</v>
      </c>
      <c r="DP39" s="49">
        <f>'[2]Table 15'!$L$501</f>
        <v>103640.86151742953</v>
      </c>
      <c r="DQ39" s="11">
        <v>516.38599999999997</v>
      </c>
      <c r="DR39" s="49">
        <f>'[2]Table 15'!$L$502</f>
        <v>109009.53911202378</v>
      </c>
      <c r="DS39" s="118">
        <f>'[2]Table 15'!$G$508</f>
        <v>466.51069999999993</v>
      </c>
      <c r="DT39" s="49">
        <f>'[2]Table 15'!$L$503</f>
        <v>113691.32161706792</v>
      </c>
      <c r="DV39" s="64" t="s">
        <v>265</v>
      </c>
      <c r="DW39" s="65">
        <v>2.3944847769189242E-2</v>
      </c>
      <c r="DX39" s="65">
        <v>2.3944847769189242E-2</v>
      </c>
      <c r="DY39" s="65">
        <v>2.2111462074508537E-2</v>
      </c>
      <c r="DZ39" s="65">
        <v>2.0259631469911939E-2</v>
      </c>
      <c r="EA39" s="65">
        <v>1.9320705929717484E-2</v>
      </c>
      <c r="EB39" s="65">
        <v>1.4975536252354951E-2</v>
      </c>
      <c r="EC39" s="65">
        <v>1.5323156532413085E-2</v>
      </c>
      <c r="ED39" s="65">
        <v>1.4151037535523965E-2</v>
      </c>
      <c r="EE39" s="65">
        <v>1.6524787269268426E-2</v>
      </c>
      <c r="EF39" s="65">
        <v>1.4200102944825961E-2</v>
      </c>
      <c r="EG39" s="65">
        <v>1.6804331324334312E-2</v>
      </c>
      <c r="EH39" s="65">
        <v>1.8162652864998644E-2</v>
      </c>
      <c r="EI39" s="65">
        <v>1.9283606820277879E-2</v>
      </c>
      <c r="EJ39" s="65">
        <v>2.0353705455307285E-2</v>
      </c>
      <c r="EK39" s="65">
        <v>1.7812096180672074E-2</v>
      </c>
      <c r="EL39" s="65">
        <v>1.7465999999999999E-2</v>
      </c>
      <c r="EM39" s="289">
        <f>'[2]Table 9-10-14-16'!$H$32</f>
        <v>2.3173341987154032E-2</v>
      </c>
      <c r="EW39" s="71" t="s">
        <v>283</v>
      </c>
      <c r="EX39" s="72">
        <v>0.13644981894275507</v>
      </c>
      <c r="EY39" s="72">
        <v>0.13087994958657226</v>
      </c>
      <c r="EZ39" s="72">
        <v>0.12579486768011933</v>
      </c>
      <c r="FA39" s="72">
        <v>0.12747395963312477</v>
      </c>
      <c r="FB39" s="72">
        <v>9.5159594715866005E-2</v>
      </c>
      <c r="FC39" s="72">
        <v>9.7931657425674917E-2</v>
      </c>
      <c r="FD39" s="72">
        <v>0.10468412646266939</v>
      </c>
      <c r="FE39" s="72">
        <v>0.12021606131661419</v>
      </c>
      <c r="FF39" s="72">
        <v>0.13809575032543597</v>
      </c>
      <c r="FG39" s="72">
        <v>0.13429151282954491</v>
      </c>
      <c r="FH39" s="72">
        <v>0.12469077020410893</v>
      </c>
      <c r="FI39" s="72">
        <v>0.12952079498912111</v>
      </c>
      <c r="FJ39" s="72">
        <v>0.14280325637905159</v>
      </c>
      <c r="FK39" s="72">
        <v>0.15577811692952304</v>
      </c>
      <c r="FL39" s="72">
        <v>0.137298</v>
      </c>
      <c r="FM39" s="72">
        <v>0.120431</v>
      </c>
      <c r="FN39" s="72">
        <f>'[2]Table S2'!$I$112</f>
        <v>0.13641137987514532</v>
      </c>
      <c r="GH39" s="23"/>
      <c r="GI39" s="25" t="s">
        <v>188</v>
      </c>
      <c r="GJ39" s="65">
        <v>7.2132903651200383E-2</v>
      </c>
      <c r="GK39" s="65">
        <v>6.8095046004309198E-2</v>
      </c>
      <c r="GL39" s="65">
        <v>7.5187647131826268E-2</v>
      </c>
      <c r="GM39" s="65">
        <v>7.7722949326218843E-2</v>
      </c>
      <c r="GN39" s="65">
        <v>7.7791195284272877E-2</v>
      </c>
      <c r="GO39" s="65">
        <v>6.6895468893471408E-2</v>
      </c>
      <c r="GP39" s="65">
        <v>5.8552908870794507E-2</v>
      </c>
      <c r="GQ39" s="65">
        <v>6.9081290580812763E-2</v>
      </c>
      <c r="GR39" s="65">
        <v>7.4278737441954956E-2</v>
      </c>
      <c r="GS39" s="65">
        <v>6.4903731202250153E-2</v>
      </c>
      <c r="GT39" s="65">
        <v>5.35837675097625E-2</v>
      </c>
      <c r="GU39" s="65">
        <v>5.3473913546074413E-2</v>
      </c>
      <c r="GV39" s="65">
        <v>5.7183890106465581E-2</v>
      </c>
      <c r="GW39" s="65">
        <v>5.5753478668586369E-2</v>
      </c>
      <c r="GX39" s="65">
        <v>6.1601000000000003E-2</v>
      </c>
      <c r="GY39" s="65">
        <v>5.2484999999999997E-2</v>
      </c>
      <c r="GZ39" s="116">
        <f>'[2]Table S4'!G45</f>
        <v>4.9680509050151193E-2</v>
      </c>
    </row>
    <row r="40" spans="1:208">
      <c r="A40" s="27" t="s">
        <v>573</v>
      </c>
      <c r="AM40" s="27" t="s">
        <v>199</v>
      </c>
      <c r="AN40" s="56">
        <v>1.9402427301443689E-2</v>
      </c>
      <c r="AO40" s="56">
        <v>1.7279309897188594E-2</v>
      </c>
      <c r="AP40" s="56">
        <v>1.5400453088650309E-2</v>
      </c>
      <c r="AQ40" s="56">
        <v>2.0219936477001883E-2</v>
      </c>
      <c r="AR40" s="56">
        <v>2.1451145138010684E-2</v>
      </c>
      <c r="AS40" s="56">
        <v>1.9191353186866534E-2</v>
      </c>
      <c r="AT40" s="56">
        <v>1.973075543303816E-2</v>
      </c>
      <c r="AU40" s="56">
        <v>2.0375304287822738E-2</v>
      </c>
      <c r="AV40" s="56">
        <v>1.9934745299209775E-2</v>
      </c>
      <c r="AW40" s="56">
        <v>1.8395894120608009E-2</v>
      </c>
      <c r="AX40" s="56">
        <v>1.8331519722999873E-2</v>
      </c>
      <c r="AY40" s="56">
        <v>2.0920388836323849E-2</v>
      </c>
      <c r="AZ40" s="56">
        <v>2.1060115179707746E-2</v>
      </c>
      <c r="BA40" s="56">
        <v>1.8548206828472497E-2</v>
      </c>
      <c r="BB40" s="56">
        <v>1.7357999999999998E-2</v>
      </c>
      <c r="BC40" s="56">
        <v>1.7228E-2</v>
      </c>
      <c r="BD40" s="56">
        <f>'[2]Table 3 &amp; 13'!$F$39</f>
        <v>1.6849985168668806E-2</v>
      </c>
      <c r="BF40" s="54" t="s">
        <v>404</v>
      </c>
      <c r="BG40" s="51">
        <v>802.51379999999995</v>
      </c>
      <c r="BH40" s="179">
        <f>'[2]Table 14-7'!$L$176</f>
        <v>137730.19286053197</v>
      </c>
      <c r="BI40" s="51">
        <v>799.92724999999996</v>
      </c>
      <c r="BJ40" s="179">
        <f>'[2]Table 14-7'!$L$177</f>
        <v>136062.47936317453</v>
      </c>
      <c r="BK40" s="51">
        <v>829.00564999999995</v>
      </c>
      <c r="BL40" s="179">
        <f>'[2]Table 14-7'!$L$178</f>
        <v>132685.90597116738</v>
      </c>
      <c r="BM40" s="51">
        <v>860.01189999999997</v>
      </c>
      <c r="BN40" s="179">
        <f>'[2]Table 14-7'!$L$179</f>
        <v>140953.42540877027</v>
      </c>
      <c r="BO40" s="51">
        <v>891.50740000000008</v>
      </c>
      <c r="BP40" s="179">
        <f>'[2]Table 14-7'!$L$180</f>
        <v>149116.58618707588</v>
      </c>
      <c r="BQ40" s="51">
        <v>896.56785000000013</v>
      </c>
      <c r="BR40" s="179">
        <f>'[2]Table 14-7'!$L$181</f>
        <v>142775.30051140147</v>
      </c>
      <c r="BS40" s="51">
        <v>889.04510000000005</v>
      </c>
      <c r="BT40" s="179">
        <f>'[2]Table 14-7'!$L$182</f>
        <v>137283.11165900072</v>
      </c>
      <c r="BU40" s="51">
        <v>896.76185000000009</v>
      </c>
      <c r="BV40" s="179">
        <f>'[2]Table 14-7'!$L$183</f>
        <v>138096.15422964247</v>
      </c>
      <c r="BW40" s="51">
        <v>869.18795</v>
      </c>
      <c r="BX40" s="179">
        <f>'[2]Table 14-7'!$L$184</f>
        <v>139852.79145551298</v>
      </c>
      <c r="BY40" s="51">
        <v>883.48239999999998</v>
      </c>
      <c r="BZ40" s="179">
        <f>'[2]Table 14-7'!$L$185</f>
        <v>132786.41595894701</v>
      </c>
      <c r="CA40" s="51">
        <v>952.12265000000002</v>
      </c>
      <c r="CB40" s="179">
        <f>'[2]Table 14-7'!$L$186</f>
        <v>128638.8178480677</v>
      </c>
      <c r="CC40" s="51">
        <v>951.89364999999998</v>
      </c>
      <c r="CD40" s="179">
        <f>'[2]Table 14-7'!$L$187</f>
        <v>127800.87870480359</v>
      </c>
      <c r="CE40" s="51">
        <v>947.3904</v>
      </c>
      <c r="CF40" s="179">
        <f>'[2]Table 14-7'!$L$188</f>
        <v>124197.18491615598</v>
      </c>
      <c r="CG40" s="51">
        <v>963</v>
      </c>
      <c r="CH40" s="179">
        <f>'[2]Table 14-7'!$L$189</f>
        <v>123742.55782437007</v>
      </c>
      <c r="CI40" s="51">
        <v>1011.569</v>
      </c>
      <c r="CJ40" s="179">
        <f>'[2]Table 14-7'!$L$190</f>
        <v>128679.10887195251</v>
      </c>
      <c r="CK40" s="141">
        <f>'[2]Table 14-7'!$G$195</f>
        <v>1012.3705</v>
      </c>
      <c r="CL40" s="44">
        <f>'[2]Table 14-7'!$L$191</f>
        <v>128204.67195712098</v>
      </c>
      <c r="CM40" s="235"/>
      <c r="CN40" s="183" t="s">
        <v>499</v>
      </c>
      <c r="CO40" s="51">
        <v>324.12144999999998</v>
      </c>
      <c r="CP40" s="179">
        <f>'[2]Table 15'!$L$534</f>
        <v>116265.10581138288</v>
      </c>
      <c r="CQ40" s="51">
        <v>329.1053</v>
      </c>
      <c r="CR40" s="179">
        <f>'[2]Table 15'!$L$535</f>
        <v>114505.88658743873</v>
      </c>
      <c r="CS40" s="51">
        <v>345.74619999999999</v>
      </c>
      <c r="CT40" s="179">
        <f>'[2]Table 15'!$L$536</f>
        <v>112505.00087671573</v>
      </c>
      <c r="CU40" s="51">
        <v>354.20465000000002</v>
      </c>
      <c r="CV40" s="179">
        <f>'[2]Table 15'!$L$537</f>
        <v>114745.44449362124</v>
      </c>
      <c r="CW40" s="51">
        <v>340.81265000000002</v>
      </c>
      <c r="CX40" s="179">
        <f>'[2]Table 15'!$L$538</f>
        <v>111234.59437040694</v>
      </c>
      <c r="CY40" s="51">
        <v>316.64180000000005</v>
      </c>
      <c r="CZ40" s="179">
        <f>'[2]Table 15'!$L$539</f>
        <v>109756.05142207345</v>
      </c>
      <c r="DA40" s="51">
        <v>343.44569999999999</v>
      </c>
      <c r="DB40" s="179">
        <f>'[2]Table 15'!$L$540</f>
        <v>106975.24472346799</v>
      </c>
      <c r="DC40" s="51">
        <v>343.44569999999999</v>
      </c>
      <c r="DD40" s="179">
        <f>'[2]Table 15'!$L$541</f>
        <v>108911.4979088033</v>
      </c>
      <c r="DE40" s="51">
        <v>343.44569999999999</v>
      </c>
      <c r="DF40" s="179">
        <f>'[2]Table 15'!$L$542</f>
        <v>115027.29988337457</v>
      </c>
      <c r="DG40" s="51">
        <v>321.44045</v>
      </c>
      <c r="DH40" s="179">
        <f>'[2]Table 15'!$L$543</f>
        <v>112089.10907968646</v>
      </c>
      <c r="DI40" s="51">
        <v>320.26080000000007</v>
      </c>
      <c r="DJ40" s="179">
        <f>'[2]Table 15'!$L$544</f>
        <v>105356.03423693037</v>
      </c>
      <c r="DK40" s="51">
        <v>325.40309999999999</v>
      </c>
      <c r="DL40" s="179">
        <f>'[2]Table 15'!$L$545</f>
        <v>106373.3877795466</v>
      </c>
      <c r="DM40" s="51">
        <v>333.64279999999997</v>
      </c>
      <c r="DN40" s="179">
        <f>'[2]Table 15'!$L$546</f>
        <v>107157.28429712731</v>
      </c>
      <c r="DO40" s="51">
        <v>357</v>
      </c>
      <c r="DP40" s="179">
        <f>'[2]Table 15'!$L$547</f>
        <v>103925.9210473898</v>
      </c>
      <c r="DQ40" s="51">
        <v>338.29039999999998</v>
      </c>
      <c r="DR40" s="179">
        <f>'[2]Table 15'!$L$548</f>
        <v>101884.60276442938</v>
      </c>
      <c r="DS40" s="141">
        <f>'[2]Table 15'!$G$555</f>
        <v>337.42470000000003</v>
      </c>
      <c r="DT40" s="44">
        <f>'[2]Table 15'!$L$549</f>
        <v>100253.2876128386</v>
      </c>
      <c r="DV40" s="64" t="s">
        <v>266</v>
      </c>
      <c r="DW40" s="65">
        <v>0.9326732845563781</v>
      </c>
      <c r="DX40" s="65">
        <v>0.9326732845563781</v>
      </c>
      <c r="DY40" s="65">
        <v>0.92743106585589941</v>
      </c>
      <c r="DZ40" s="65">
        <v>0.9265292485313249</v>
      </c>
      <c r="EA40" s="65">
        <v>0.92750326099433145</v>
      </c>
      <c r="EB40" s="65">
        <v>0.93628423007580275</v>
      </c>
      <c r="EC40" s="65">
        <v>0.94077512097611493</v>
      </c>
      <c r="ED40" s="65">
        <v>0.93682593659545366</v>
      </c>
      <c r="EE40" s="65">
        <v>0.92768549152963597</v>
      </c>
      <c r="EF40" s="65">
        <v>0.93254430412092393</v>
      </c>
      <c r="EG40" s="65">
        <v>0.93259146884677169</v>
      </c>
      <c r="EH40" s="65">
        <v>0.92650602900447065</v>
      </c>
      <c r="EI40" s="65">
        <v>0.92579765157477822</v>
      </c>
      <c r="EJ40" s="65">
        <v>0.92055788170306596</v>
      </c>
      <c r="EK40" s="65">
        <v>0.91677976676448225</v>
      </c>
      <c r="EL40" s="65">
        <v>0.92297600000000002</v>
      </c>
      <c r="EM40" s="289">
        <f>'[2]Table 9-10-14-16'!$H$35</f>
        <v>0.91765692997793624</v>
      </c>
      <c r="EW40" s="202" t="s">
        <v>199</v>
      </c>
      <c r="EX40" s="70">
        <v>157.49680499999999</v>
      </c>
      <c r="EY40" s="70">
        <v>146.86139</v>
      </c>
      <c r="EZ40" s="70">
        <v>124</v>
      </c>
      <c r="FA40" s="70">
        <v>145.58975000000001</v>
      </c>
      <c r="FB40" s="70">
        <v>161.85511499999998</v>
      </c>
      <c r="FC40" s="70">
        <v>155.80000000000001</v>
      </c>
      <c r="FD40" s="70">
        <v>156.03086499999998</v>
      </c>
      <c r="FE40" s="70">
        <v>151.74312</v>
      </c>
      <c r="FF40" s="70">
        <v>154.77045500000003</v>
      </c>
      <c r="FG40" s="70">
        <v>148.57253</v>
      </c>
      <c r="FH40" s="70">
        <v>140.41161499999998</v>
      </c>
      <c r="FI40" s="70">
        <v>155.15636999999998</v>
      </c>
      <c r="FJ40" s="70">
        <v>149.14528999999999</v>
      </c>
      <c r="FK40" s="70">
        <v>132.57796999999999</v>
      </c>
      <c r="FL40" s="70">
        <v>149</v>
      </c>
      <c r="FM40" s="70">
        <f>148223.6/1000</f>
        <v>148.2236</v>
      </c>
      <c r="FN40" s="70">
        <f>'[2]Table S2'!$J$108/1000</f>
        <v>125.20420000000001</v>
      </c>
      <c r="GH40" s="23"/>
      <c r="GI40" s="25" t="s">
        <v>189</v>
      </c>
      <c r="GJ40" s="65">
        <v>2.1149105012231394E-2</v>
      </c>
      <c r="GK40" s="65">
        <v>1.9817691012209589E-2</v>
      </c>
      <c r="GL40" s="65">
        <v>1.879344513212311E-2</v>
      </c>
      <c r="GM40" s="65">
        <v>1.6570132328732286E-2</v>
      </c>
      <c r="GN40" s="65">
        <v>1.5187553723837484E-2</v>
      </c>
      <c r="GO40" s="65">
        <v>1.820688421974068E-2</v>
      </c>
      <c r="GP40" s="65">
        <v>1.8788810644152627E-2</v>
      </c>
      <c r="GQ40" s="65">
        <v>2.2681166701382299E-2</v>
      </c>
      <c r="GR40" s="65">
        <v>2.4447719929491022E-2</v>
      </c>
      <c r="GS40" s="65">
        <v>1.8537249999021396E-2</v>
      </c>
      <c r="GT40" s="65">
        <v>1.5184506826389506E-2</v>
      </c>
      <c r="GU40" s="65">
        <v>1.5567006234472776E-2</v>
      </c>
      <c r="GV40" s="65">
        <v>1.9760294893167593E-2</v>
      </c>
      <c r="GW40" s="65">
        <v>1.5301062308187776E-2</v>
      </c>
      <c r="GX40" s="65">
        <v>1.3687E-2</v>
      </c>
      <c r="GY40" s="65">
        <v>2.001E-2</v>
      </c>
      <c r="GZ40" s="116">
        <f>'[2]Table S4'!G46</f>
        <v>2.3758537091566934E-2</v>
      </c>
    </row>
    <row r="41" spans="1:208">
      <c r="AM41" s="27" t="s">
        <v>200</v>
      </c>
      <c r="AN41" s="56">
        <v>0.26165509698171868</v>
      </c>
      <c r="AO41" s="56">
        <v>0.26334867805844669</v>
      </c>
      <c r="AP41" s="56">
        <v>0.27577374384849768</v>
      </c>
      <c r="AQ41" s="56">
        <v>0.27699904545545445</v>
      </c>
      <c r="AR41" s="56">
        <v>0.28375181904273516</v>
      </c>
      <c r="AS41" s="56">
        <v>0.28760735525517545</v>
      </c>
      <c r="AT41" s="56">
        <v>0.29581028265015197</v>
      </c>
      <c r="AU41" s="56">
        <v>0.29832665657165858</v>
      </c>
      <c r="AV41" s="56">
        <v>0.29828564962374821</v>
      </c>
      <c r="AW41" s="56">
        <v>0.31881817803799906</v>
      </c>
      <c r="AX41" s="56">
        <v>0.32495930892750252</v>
      </c>
      <c r="AY41" s="56">
        <v>0.31086726158657818</v>
      </c>
      <c r="AZ41" s="56">
        <v>0.310306324435626</v>
      </c>
      <c r="BA41" s="56">
        <v>0.32287383667906056</v>
      </c>
      <c r="BB41" s="56">
        <v>0.31596400000000002</v>
      </c>
      <c r="BC41" s="56">
        <v>0.29286699999999999</v>
      </c>
      <c r="BD41" s="56">
        <f>'[2]Table 3 &amp; 13'!$F$42</f>
        <v>0.30440682667283203</v>
      </c>
      <c r="BP41" s="2"/>
      <c r="BR41" s="2"/>
      <c r="BS41" s="60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71"/>
      <c r="CL41" s="269"/>
      <c r="CM41" s="233"/>
      <c r="CN41" s="24"/>
      <c r="CS41" s="2"/>
      <c r="CT41" s="2"/>
      <c r="CU41" s="2"/>
      <c r="CV41" s="2"/>
      <c r="CW41" s="2"/>
      <c r="CX41" s="2"/>
      <c r="CY41" s="2"/>
      <c r="DS41" s="272"/>
      <c r="DT41" s="161"/>
      <c r="DV41" s="61"/>
      <c r="DW41" s="293"/>
      <c r="DX41" s="64"/>
      <c r="EM41" s="2"/>
      <c r="EW41" s="71" t="s">
        <v>283</v>
      </c>
      <c r="EX41" s="72">
        <v>0.16483048656129884</v>
      </c>
      <c r="EY41" s="72">
        <v>0.16159059913568841</v>
      </c>
      <c r="EZ41" s="72">
        <v>0.12722971590556251</v>
      </c>
      <c r="FA41" s="72">
        <v>0.16746663140777426</v>
      </c>
      <c r="FB41" s="72">
        <v>0.22060816726663776</v>
      </c>
      <c r="FC41" s="72">
        <v>0.20859960648226003</v>
      </c>
      <c r="FD41" s="72">
        <v>0.22092747483006006</v>
      </c>
      <c r="FE41" s="72">
        <v>0.19026286002291243</v>
      </c>
      <c r="FF41" s="72">
        <v>0.16262254317208022</v>
      </c>
      <c r="FG41" s="72">
        <v>0.19001382691672544</v>
      </c>
      <c r="FH41" s="72">
        <v>0.18554095400156181</v>
      </c>
      <c r="FI41" s="72">
        <v>0.19009474119560801</v>
      </c>
      <c r="FJ41" s="72">
        <v>0.24796679801286386</v>
      </c>
      <c r="FK41" s="72">
        <v>0.3021281740850309</v>
      </c>
      <c r="FL41" s="72">
        <v>0.26522800000000002</v>
      </c>
      <c r="FM41" s="72">
        <v>0.204813</v>
      </c>
      <c r="FN41" s="72">
        <f>'[2]Table S2'!$J$113</f>
        <v>0.15190616608708013</v>
      </c>
      <c r="GH41" s="97"/>
      <c r="GI41" s="64"/>
      <c r="GJ41" s="64"/>
      <c r="GK41" s="64"/>
    </row>
    <row r="42" spans="1:208">
      <c r="AM42" s="200" t="s">
        <v>206</v>
      </c>
      <c r="AN42" s="55">
        <v>933.53686500000003</v>
      </c>
      <c r="AO42" s="55">
        <v>915.40251499999999</v>
      </c>
      <c r="AP42" s="55">
        <v>913</v>
      </c>
      <c r="AQ42" s="55">
        <v>919</v>
      </c>
      <c r="AR42" s="55">
        <v>941.34612000000004</v>
      </c>
      <c r="AS42" s="55">
        <v>939.6</v>
      </c>
      <c r="AT42" s="55">
        <v>925.3</v>
      </c>
      <c r="AU42" s="55">
        <v>914.3</v>
      </c>
      <c r="AV42" s="55">
        <v>924</v>
      </c>
      <c r="AW42" s="55">
        <v>936</v>
      </c>
      <c r="AX42" s="55">
        <v>971.6</v>
      </c>
      <c r="AY42" s="55">
        <v>1003.86648</v>
      </c>
      <c r="AZ42" s="55">
        <v>1002.67809</v>
      </c>
      <c r="BA42" s="55">
        <v>1010.041375</v>
      </c>
      <c r="BB42" s="55">
        <v>1019</v>
      </c>
      <c r="BC42" s="55">
        <f>1021051/1000</f>
        <v>1021.051</v>
      </c>
      <c r="BD42" s="55">
        <f>'[2]Table 3 &amp; 13'!$G$22/1000</f>
        <v>1046.93922</v>
      </c>
      <c r="BF42" s="25" t="s">
        <v>232</v>
      </c>
      <c r="BG42" s="25"/>
      <c r="BH42" s="25"/>
      <c r="CN42" s="25" t="s">
        <v>232</v>
      </c>
      <c r="DA42" s="60" t="s">
        <v>58</v>
      </c>
      <c r="DV42" s="201" t="s">
        <v>268</v>
      </c>
      <c r="DW42" s="63">
        <v>361.59475500000002</v>
      </c>
      <c r="DX42" s="217">
        <f>BG34</f>
        <v>396.6</v>
      </c>
      <c r="DY42" s="63">
        <f>BI34</f>
        <v>403.3</v>
      </c>
      <c r="DZ42" s="63">
        <f>BK34</f>
        <v>369.9</v>
      </c>
      <c r="EA42" s="63">
        <f>BM34</f>
        <v>381.2</v>
      </c>
      <c r="EB42" s="63">
        <f>BO34</f>
        <v>411.8</v>
      </c>
      <c r="EC42" s="63">
        <f>BQ34</f>
        <v>420.4</v>
      </c>
      <c r="ED42" s="63">
        <f>BS34</f>
        <v>404.9</v>
      </c>
      <c r="EE42" s="63">
        <f>BU34</f>
        <v>402</v>
      </c>
      <c r="EF42" s="63">
        <f>BW34</f>
        <v>414.8</v>
      </c>
      <c r="EG42" s="63">
        <f>BY34</f>
        <v>429.9</v>
      </c>
      <c r="EH42" s="63">
        <f>CA34</f>
        <v>437.2</v>
      </c>
      <c r="EI42" s="63">
        <f>CC34</f>
        <v>399.2</v>
      </c>
      <c r="EJ42" s="63">
        <f>CE34</f>
        <v>404.7</v>
      </c>
      <c r="EK42" s="63">
        <f>CG34</f>
        <v>417.71100000000001</v>
      </c>
      <c r="EL42" s="63">
        <f>CI34</f>
        <v>394.18099999999998</v>
      </c>
      <c r="EM42" s="63">
        <f>'[2]Table 9-10-14-16'!$I$25/1000</f>
        <v>373.24811999999997</v>
      </c>
      <c r="EW42" s="202" t="s">
        <v>200</v>
      </c>
      <c r="EX42" s="70">
        <v>3627.3208499999996</v>
      </c>
      <c r="EY42" s="70">
        <v>3677.58205</v>
      </c>
      <c r="EZ42" s="70">
        <v>3852</v>
      </c>
      <c r="FA42" s="70">
        <v>3881.98675</v>
      </c>
      <c r="FB42" s="70">
        <v>3929.60385</v>
      </c>
      <c r="FC42" s="70">
        <v>3887.9</v>
      </c>
      <c r="FD42" s="70">
        <v>3885.7030499999996</v>
      </c>
      <c r="FE42" s="70">
        <v>3917.5978499999997</v>
      </c>
      <c r="FF42" s="70">
        <v>3923.9936499999999</v>
      </c>
      <c r="FG42" s="70">
        <v>4075.4558999999999</v>
      </c>
      <c r="FH42" s="70">
        <v>4142.7914000000001</v>
      </c>
      <c r="FI42" s="70">
        <v>4045.6578999999997</v>
      </c>
      <c r="FJ42" s="70">
        <v>4034.2112000000002</v>
      </c>
      <c r="FK42" s="70">
        <v>4163.8002000000006</v>
      </c>
      <c r="FL42" s="70">
        <v>4121</v>
      </c>
      <c r="FM42" s="70">
        <f>3943478/1000</f>
        <v>3943.4780000000001</v>
      </c>
      <c r="FN42" s="70">
        <f>'[2]Table S2'!$K$108/1000</f>
        <v>4004.4114</v>
      </c>
      <c r="GI42" s="201" t="s">
        <v>268</v>
      </c>
      <c r="GJ42" s="63">
        <f>DW42</f>
        <v>361.59475500000002</v>
      </c>
      <c r="GK42" s="63">
        <f t="shared" ref="GK42:GZ42" si="12">DX42</f>
        <v>396.6</v>
      </c>
      <c r="GL42" s="63">
        <f t="shared" si="12"/>
        <v>403.3</v>
      </c>
      <c r="GM42" s="63">
        <f t="shared" si="12"/>
        <v>369.9</v>
      </c>
      <c r="GN42" s="63">
        <f t="shared" si="12"/>
        <v>381.2</v>
      </c>
      <c r="GO42" s="63">
        <f t="shared" si="12"/>
        <v>411.8</v>
      </c>
      <c r="GP42" s="63">
        <f t="shared" si="12"/>
        <v>420.4</v>
      </c>
      <c r="GQ42" s="63">
        <f t="shared" si="12"/>
        <v>404.9</v>
      </c>
      <c r="GR42" s="63">
        <f t="shared" si="12"/>
        <v>402</v>
      </c>
      <c r="GS42" s="63">
        <f t="shared" si="12"/>
        <v>414.8</v>
      </c>
      <c r="GT42" s="63">
        <f t="shared" si="12"/>
        <v>429.9</v>
      </c>
      <c r="GU42" s="63">
        <f t="shared" si="12"/>
        <v>437.2</v>
      </c>
      <c r="GV42" s="63">
        <f t="shared" si="12"/>
        <v>399.2</v>
      </c>
      <c r="GW42" s="63">
        <f t="shared" si="12"/>
        <v>404.7</v>
      </c>
      <c r="GX42" s="63">
        <f t="shared" si="12"/>
        <v>417.71100000000001</v>
      </c>
      <c r="GY42" s="63">
        <f t="shared" si="12"/>
        <v>394.18099999999998</v>
      </c>
      <c r="GZ42" s="63">
        <f t="shared" si="12"/>
        <v>373.24811999999997</v>
      </c>
    </row>
    <row r="43" spans="1:208">
      <c r="AM43" s="27" t="s">
        <v>194</v>
      </c>
      <c r="AN43" s="56">
        <v>1</v>
      </c>
      <c r="AO43" s="56">
        <v>1</v>
      </c>
      <c r="AP43" s="56">
        <v>1</v>
      </c>
      <c r="AQ43" s="56">
        <v>1</v>
      </c>
      <c r="AR43" s="56">
        <v>1</v>
      </c>
      <c r="AS43" s="56">
        <v>1</v>
      </c>
      <c r="AT43" s="56">
        <v>1</v>
      </c>
      <c r="AU43" s="56">
        <v>1</v>
      </c>
      <c r="AV43" s="56">
        <v>1</v>
      </c>
      <c r="AW43" s="56">
        <v>1</v>
      </c>
      <c r="AX43" s="56">
        <v>1</v>
      </c>
      <c r="AY43" s="56">
        <v>1</v>
      </c>
      <c r="AZ43" s="56">
        <v>1</v>
      </c>
      <c r="BA43" s="56">
        <v>1</v>
      </c>
      <c r="BB43" s="56">
        <f>SUM(BB44:BB49)</f>
        <v>1</v>
      </c>
      <c r="BC43" s="56">
        <f>SUM(BC44:BC49)</f>
        <v>1</v>
      </c>
      <c r="BD43" s="56">
        <f>SUM(BD44:BD49)</f>
        <v>1</v>
      </c>
      <c r="BF43" s="25" t="s">
        <v>233</v>
      </c>
      <c r="BG43" s="25"/>
      <c r="BH43" s="25"/>
      <c r="CN43" s="25" t="s">
        <v>233</v>
      </c>
      <c r="DV43" s="64" t="s">
        <v>262</v>
      </c>
      <c r="DW43" s="65">
        <v>1</v>
      </c>
      <c r="DX43" s="65">
        <v>1</v>
      </c>
      <c r="DY43" s="65">
        <f t="shared" ref="DY43:EJ43" si="13">SUM(DY44:DY47)</f>
        <v>1</v>
      </c>
      <c r="DZ43" s="65">
        <f t="shared" si="13"/>
        <v>1</v>
      </c>
      <c r="EA43" s="65">
        <f t="shared" si="13"/>
        <v>1</v>
      </c>
      <c r="EB43" s="65">
        <f t="shared" si="13"/>
        <v>1</v>
      </c>
      <c r="EC43" s="65">
        <f t="shared" si="13"/>
        <v>1</v>
      </c>
      <c r="ED43" s="65">
        <f t="shared" si="13"/>
        <v>0.99999999999999978</v>
      </c>
      <c r="EE43" s="65">
        <f t="shared" si="13"/>
        <v>1</v>
      </c>
      <c r="EF43" s="65">
        <f t="shared" si="13"/>
        <v>1</v>
      </c>
      <c r="EG43" s="65">
        <f t="shared" si="13"/>
        <v>1</v>
      </c>
      <c r="EH43" s="65">
        <f t="shared" si="13"/>
        <v>1</v>
      </c>
      <c r="EI43" s="65">
        <f t="shared" si="13"/>
        <v>1</v>
      </c>
      <c r="EJ43" s="65">
        <f t="shared" si="13"/>
        <v>1</v>
      </c>
      <c r="EK43" s="65">
        <f>SUM(EK44:EK47)</f>
        <v>1</v>
      </c>
      <c r="EL43" s="65">
        <f>SUM(EL44:EL47)</f>
        <v>0.99999899999999997</v>
      </c>
      <c r="EM43" s="65">
        <f t="shared" ref="EM43" si="14">SUM(EM44:EM47)</f>
        <v>1</v>
      </c>
      <c r="EW43" s="71" t="s">
        <v>283</v>
      </c>
      <c r="EX43" s="72">
        <v>0.11649311364336576</v>
      </c>
      <c r="EY43" s="72">
        <v>0.10948190809230211</v>
      </c>
      <c r="EZ43" s="72">
        <v>0.11136230614145219</v>
      </c>
      <c r="FA43" s="72">
        <v>0.10900352763955209</v>
      </c>
      <c r="FB43" s="72">
        <v>9.6362707567893474E-2</v>
      </c>
      <c r="FC43" s="72">
        <v>0.10927401713654028</v>
      </c>
      <c r="FD43" s="72">
        <v>0.12268624078208962</v>
      </c>
      <c r="FE43" s="72">
        <v>0.12932343221497328</v>
      </c>
      <c r="FF43" s="72">
        <v>0.13794071761558535</v>
      </c>
      <c r="FG43" s="72">
        <v>0.15435133281653227</v>
      </c>
      <c r="FH43" s="72">
        <v>0.16645416904167562</v>
      </c>
      <c r="FI43" s="72">
        <v>0.14595309702286</v>
      </c>
      <c r="FJ43" s="72">
        <v>0.14393267263746629</v>
      </c>
      <c r="FK43" s="72">
        <v>0.15912795239310473</v>
      </c>
      <c r="FL43" s="72">
        <v>0.15836700000000001</v>
      </c>
      <c r="FM43" s="72">
        <v>0.143818</v>
      </c>
      <c r="FN43" s="72">
        <f>'[2]Table S2'!$K$114</f>
        <v>0.12340170642806582</v>
      </c>
      <c r="GI43" s="25" t="s">
        <v>185</v>
      </c>
      <c r="GJ43" s="65">
        <v>0.52688213668595196</v>
      </c>
      <c r="GK43" s="65">
        <v>0.52539990610402165</v>
      </c>
      <c r="GL43" s="65">
        <v>0.48990895274924284</v>
      </c>
      <c r="GM43" s="65">
        <v>0.47303192073288558</v>
      </c>
      <c r="GN43" s="65">
        <v>0.49540263218962916</v>
      </c>
      <c r="GO43" s="65">
        <v>0.47496246793523311</v>
      </c>
      <c r="GP43" s="65">
        <v>0.43104199283724154</v>
      </c>
      <c r="GQ43" s="65">
        <v>0.4507549472965422</v>
      </c>
      <c r="GR43" s="65">
        <v>0.48316164848058629</v>
      </c>
      <c r="GS43" s="65">
        <v>0.47215042527036688</v>
      </c>
      <c r="GT43" s="65">
        <v>0.4660437087911074</v>
      </c>
      <c r="GU43" s="65">
        <v>0.4662811935966486</v>
      </c>
      <c r="GV43" s="65">
        <v>0.47419844257495053</v>
      </c>
      <c r="GW43" s="65">
        <v>0.51730938889287026</v>
      </c>
      <c r="GX43" s="65">
        <v>0.56307399999999996</v>
      </c>
      <c r="GY43" s="65">
        <v>0.56911400000000001</v>
      </c>
      <c r="GZ43" s="116">
        <f>'[2]Table S4'!I52</f>
        <v>0.53545530681739895</v>
      </c>
    </row>
    <row r="44" spans="1:208">
      <c r="AM44" s="27" t="s">
        <v>195</v>
      </c>
      <c r="AN44" s="56">
        <v>0.32516053878600709</v>
      </c>
      <c r="AO44" s="56">
        <v>0.29600737987922177</v>
      </c>
      <c r="AP44" s="56">
        <v>0.29336156645937222</v>
      </c>
      <c r="AQ44" s="56">
        <v>0.30312807422718058</v>
      </c>
      <c r="AR44" s="56">
        <v>0.31155713479755986</v>
      </c>
      <c r="AS44" s="56">
        <v>0.32283942024146728</v>
      </c>
      <c r="AT44" s="56">
        <v>0.31892359234842754</v>
      </c>
      <c r="AU44" s="56">
        <v>0.29257355353822595</v>
      </c>
      <c r="AV44" s="56">
        <v>0.29080086580086578</v>
      </c>
      <c r="AW44" s="56">
        <v>0.27566808751679517</v>
      </c>
      <c r="AX44" s="56">
        <v>0.2386604709950681</v>
      </c>
      <c r="AY44" s="56">
        <v>0.25540727288752585</v>
      </c>
      <c r="AZ44" s="56">
        <v>0.32293804285680561</v>
      </c>
      <c r="BA44" s="56">
        <v>0.32157078713730908</v>
      </c>
      <c r="BB44" s="56">
        <v>0.31426300000000001</v>
      </c>
      <c r="BC44" s="56">
        <v>0.32605699999999999</v>
      </c>
      <c r="BD44" s="56">
        <f>'[2]Table 3 &amp; 13'!$G$24</f>
        <v>0.33868594587563544</v>
      </c>
      <c r="BF44" s="25" t="s">
        <v>572</v>
      </c>
      <c r="BG44" s="25"/>
      <c r="BH44" s="25"/>
      <c r="CN44" s="25" t="s">
        <v>572</v>
      </c>
      <c r="DV44" s="64" t="s">
        <v>263</v>
      </c>
      <c r="DW44" s="65">
        <v>0.22976847382645249</v>
      </c>
      <c r="DX44" s="65">
        <v>0.22976847382645249</v>
      </c>
      <c r="DY44" s="65">
        <v>0.18078357970910777</v>
      </c>
      <c r="DZ44" s="65">
        <v>0.17318135081830818</v>
      </c>
      <c r="EA44" s="65">
        <v>0.18099301707144166</v>
      </c>
      <c r="EB44" s="65">
        <v>0.1672821397448877</v>
      </c>
      <c r="EC44" s="65">
        <v>0.18431291703990083</v>
      </c>
      <c r="ED44" s="65">
        <v>0.20508699738744404</v>
      </c>
      <c r="EE44" s="65">
        <v>0.17953717574563541</v>
      </c>
      <c r="EF44" s="65">
        <v>0.21014058496519944</v>
      </c>
      <c r="EG44" s="65">
        <v>0.25335271336728954</v>
      </c>
      <c r="EH44" s="65">
        <v>0.27495698578563232</v>
      </c>
      <c r="EI44" s="65">
        <v>0.24626015857941744</v>
      </c>
      <c r="EJ44" s="65">
        <v>0.23051416003866462</v>
      </c>
      <c r="EK44" s="65">
        <v>0.24492497618978187</v>
      </c>
      <c r="EL44" s="65">
        <v>0.23619799999999999</v>
      </c>
      <c r="EM44" s="65">
        <f>'T7-T10'!BT13</f>
        <v>0.18732391739843191</v>
      </c>
      <c r="EW44" s="68"/>
      <c r="EX44" s="71"/>
      <c r="EY44" s="71"/>
      <c r="GI44" s="25" t="s">
        <v>186</v>
      </c>
      <c r="GJ44" s="65">
        <v>0.20700662846480825</v>
      </c>
      <c r="GK44" s="65">
        <v>0.25580817936928313</v>
      </c>
      <c r="GL44" s="65">
        <v>0.28009709759277179</v>
      </c>
      <c r="GM44" s="65">
        <v>0.26722805108542519</v>
      </c>
      <c r="GN44" s="65">
        <v>0.2491865570895278</v>
      </c>
      <c r="GO44" s="65">
        <v>0.27973841869927429</v>
      </c>
      <c r="GP44" s="65">
        <v>0.29831209288230331</v>
      </c>
      <c r="GQ44" s="65">
        <v>0.27485252604745009</v>
      </c>
      <c r="GR44" s="65">
        <v>0.26064579205313826</v>
      </c>
      <c r="GS44" s="65">
        <v>0.26497631857826415</v>
      </c>
      <c r="GT44" s="65">
        <v>0.27374233436788942</v>
      </c>
      <c r="GU44" s="65">
        <v>0.28465427033745927</v>
      </c>
      <c r="GV44" s="65">
        <v>0.27233914356289612</v>
      </c>
      <c r="GW44" s="65">
        <v>0.23586444388979363</v>
      </c>
      <c r="GX44" s="65">
        <v>0.220386</v>
      </c>
      <c r="GY44" s="65">
        <v>0.23455899999999999</v>
      </c>
      <c r="GZ44" s="116">
        <f>'[2]Table S4'!I53</f>
        <v>0.24665931025591567</v>
      </c>
    </row>
    <row r="45" spans="1:208">
      <c r="AM45" s="27" t="s">
        <v>196</v>
      </c>
      <c r="AN45" s="56">
        <v>3.9746234338587143E-2</v>
      </c>
      <c r="AO45" s="56">
        <v>3.4399397515310515E-2</v>
      </c>
      <c r="AP45" s="56">
        <v>2.8583624782881005E-2</v>
      </c>
      <c r="AQ45" s="56">
        <v>2.3969877289611842E-2</v>
      </c>
      <c r="AR45" s="56">
        <v>2.2574294989392424E-2</v>
      </c>
      <c r="AS45" s="56">
        <v>1.9459792821874586E-2</v>
      </c>
      <c r="AT45" s="56">
        <v>1.7291689181886956E-2</v>
      </c>
      <c r="AU45" s="56">
        <v>1.0499835940063436E-2</v>
      </c>
      <c r="AV45" s="56">
        <v>8.3333333333333332E-3</v>
      </c>
      <c r="AW45" s="56">
        <v>1.5732525322546539E-2</v>
      </c>
      <c r="AX45" s="56">
        <v>2.3968243001661105E-2</v>
      </c>
      <c r="AY45" s="56">
        <v>2.6755669738071142E-2</v>
      </c>
      <c r="AZ45" s="56">
        <v>1.7189794184093523E-2</v>
      </c>
      <c r="BA45" s="56">
        <v>9.6313826747938917E-3</v>
      </c>
      <c r="BB45" s="56">
        <v>1.9613999999999999E-2</v>
      </c>
      <c r="BC45" s="56">
        <v>3.8746999999999997E-2</v>
      </c>
      <c r="BD45" s="56">
        <f>'[2]Table 3 &amp; 13'!$G$28</f>
        <v>3.3981132161616794E-2</v>
      </c>
      <c r="BF45" s="27" t="s">
        <v>573</v>
      </c>
      <c r="BG45" s="25"/>
      <c r="BH45" s="25"/>
      <c r="CN45" s="27" t="s">
        <v>573</v>
      </c>
      <c r="DV45" s="64" t="s">
        <v>264</v>
      </c>
      <c r="DW45" s="65">
        <v>6.7098851516049843E-2</v>
      </c>
      <c r="DX45" s="65">
        <v>6.7098851516049843E-2</v>
      </c>
      <c r="DY45" s="65">
        <v>5.158716410128935E-2</v>
      </c>
      <c r="DZ45" s="65">
        <v>4.7674736855339565E-2</v>
      </c>
      <c r="EA45" s="65">
        <v>4.4067506274837985E-2</v>
      </c>
      <c r="EB45" s="65">
        <v>6.0369983709697345E-2</v>
      </c>
      <c r="EC45" s="65">
        <v>7.2569351980392244E-2</v>
      </c>
      <c r="ED45" s="65">
        <v>7.2672536384244937E-2</v>
      </c>
      <c r="EE45" s="65">
        <v>4.8351547480182819E-2</v>
      </c>
      <c r="EF45" s="65">
        <v>5.1533167404232312E-2</v>
      </c>
      <c r="EG45" s="65">
        <v>5.6887030472369836E-2</v>
      </c>
      <c r="EH45" s="65">
        <v>6.4172568946377087E-2</v>
      </c>
      <c r="EI45" s="65">
        <v>7.6069478223394188E-2</v>
      </c>
      <c r="EJ45" s="65">
        <v>8.0561910912748752E-2</v>
      </c>
      <c r="EK45" s="65">
        <v>5.4044771612190234E-2</v>
      </c>
      <c r="EL45" s="65">
        <v>5.4287000000000002E-2</v>
      </c>
      <c r="EM45" s="65">
        <f>'[2]Table 9-10-14-16'!$I$31</f>
        <v>6.7644814929007549E-2</v>
      </c>
      <c r="EW45" s="214" t="s">
        <v>293</v>
      </c>
      <c r="EX45" s="71"/>
      <c r="EY45" s="71"/>
      <c r="FP45" s="133"/>
      <c r="GI45" s="25" t="s">
        <v>187</v>
      </c>
      <c r="GJ45" s="65">
        <v>0.17191403240387462</v>
      </c>
      <c r="GK45" s="65">
        <v>0.14733318413159729</v>
      </c>
      <c r="GL45" s="65">
        <v>0.15848840964037939</v>
      </c>
      <c r="GM45" s="65">
        <v>0.17895929597982754</v>
      </c>
      <c r="GN45" s="65">
        <v>0.17677413341847456</v>
      </c>
      <c r="GO45" s="65">
        <v>0.15694110639569164</v>
      </c>
      <c r="GP45" s="65">
        <v>0.16473039765712713</v>
      </c>
      <c r="GQ45" s="65">
        <v>0.16634289295630161</v>
      </c>
      <c r="GR45" s="65">
        <v>0.16068929504981724</v>
      </c>
      <c r="GS45" s="65">
        <v>0.18690320893318021</v>
      </c>
      <c r="GT45" s="65">
        <v>0.19330721020711808</v>
      </c>
      <c r="GU45" s="65">
        <v>0.17009745674666171</v>
      </c>
      <c r="GV45" s="65">
        <v>0.16369284965611244</v>
      </c>
      <c r="GW45" s="65">
        <v>0.1626418292933062</v>
      </c>
      <c r="GX45" s="65">
        <v>0.13002</v>
      </c>
      <c r="GY45" s="65">
        <v>0.11394</v>
      </c>
      <c r="GZ45" s="116">
        <f>'[2]Table S4'!I54</f>
        <v>0.14145409885426222</v>
      </c>
    </row>
    <row r="46" spans="1:208">
      <c r="AM46" s="27" t="s">
        <v>197</v>
      </c>
      <c r="AN46" s="56">
        <v>5.6495846042459177E-2</v>
      </c>
      <c r="AO46" s="56">
        <v>5.2012458147987495E-2</v>
      </c>
      <c r="AP46" s="56">
        <v>5.5909354765762101E-2</v>
      </c>
      <c r="AQ46" s="56">
        <v>5.6425160100779928E-2</v>
      </c>
      <c r="AR46" s="56">
        <v>5.7795813722586978E-2</v>
      </c>
      <c r="AS46" s="56">
        <v>6.2731797310314835E-2</v>
      </c>
      <c r="AT46" s="56">
        <v>6.2898519399113798E-2</v>
      </c>
      <c r="AU46" s="56">
        <v>6.9233293229793283E-2</v>
      </c>
      <c r="AV46" s="56">
        <v>6.9264069264069264E-2</v>
      </c>
      <c r="AW46" s="56">
        <v>5.569096173964351E-2</v>
      </c>
      <c r="AX46" s="56">
        <v>5.0668679912558627E-2</v>
      </c>
      <c r="AY46" s="56">
        <v>4.9086647459331445E-2</v>
      </c>
      <c r="AZ46" s="56">
        <v>5.6888796682492582E-2</v>
      </c>
      <c r="BA46" s="56">
        <v>6.209341671770624E-2</v>
      </c>
      <c r="BB46" s="56">
        <v>5.8495999999999999E-2</v>
      </c>
      <c r="BC46" s="56">
        <v>5.9563999999999999E-2</v>
      </c>
      <c r="BD46" s="56">
        <f>'[2]Table 3 &amp; 13'!$G$32</f>
        <v>5.413732613818785E-2</v>
      </c>
      <c r="DV46" s="64" t="s">
        <v>265</v>
      </c>
      <c r="DW46" s="65">
        <v>6.5505814303635002E-2</v>
      </c>
      <c r="DX46" s="65">
        <v>6.5505814303635002E-2</v>
      </c>
      <c r="DY46" s="65">
        <v>6.3654236348570176E-2</v>
      </c>
      <c r="DZ46" s="65">
        <v>5.0646691079311634E-2</v>
      </c>
      <c r="EA46" s="65">
        <v>4.4474068301663505E-2</v>
      </c>
      <c r="EB46" s="65">
        <v>4.8394277289326063E-2</v>
      </c>
      <c r="EC46" s="65">
        <v>5.1692806385345187E-2</v>
      </c>
      <c r="ED46" s="65">
        <v>5.1394209561785871E-2</v>
      </c>
      <c r="EE46" s="65">
        <v>7.3527453294127368E-2</v>
      </c>
      <c r="EF46" s="65">
        <v>6.4292296039239749E-2</v>
      </c>
      <c r="EG46" s="65">
        <v>5.3010489262359489E-2</v>
      </c>
      <c r="EH46" s="65">
        <v>4.9205252226771808E-2</v>
      </c>
      <c r="EI46" s="65">
        <v>6.3705410426025594E-2</v>
      </c>
      <c r="EJ46" s="65">
        <v>6.542274322414933E-2</v>
      </c>
      <c r="EK46" s="65">
        <v>5.7655918006851208E-2</v>
      </c>
      <c r="EL46" s="65">
        <v>6.1282999999999997E-2</v>
      </c>
      <c r="EM46" s="65">
        <f>'[2]Table 9-10-14-16'!$I$34</f>
        <v>6.4051012500746143E-2</v>
      </c>
      <c r="EW46" s="202" t="s">
        <v>294</v>
      </c>
      <c r="EX46" s="70">
        <v>4051.6986849999994</v>
      </c>
      <c r="EY46" s="70">
        <v>4143.7425499999999</v>
      </c>
      <c r="EZ46" s="70">
        <v>4179</v>
      </c>
      <c r="FA46" s="70">
        <v>4214.6928950000001</v>
      </c>
      <c r="FB46" s="70">
        <v>4308.487904999999</v>
      </c>
      <c r="FC46" s="70">
        <v>4349.2</v>
      </c>
      <c r="FD46" s="70">
        <v>4290.4629450000002</v>
      </c>
      <c r="FE46" s="70">
        <v>4144.5175499999996</v>
      </c>
      <c r="FF46" s="70">
        <v>4087.3973600000004</v>
      </c>
      <c r="FG46" s="70">
        <v>4119.5234249999994</v>
      </c>
      <c r="FH46" s="70">
        <v>4087.6576249999998</v>
      </c>
      <c r="FI46" s="70">
        <v>4128.3193000000001</v>
      </c>
      <c r="FJ46" s="70">
        <v>4173.7343000000001</v>
      </c>
      <c r="FK46" s="70">
        <v>4222.7064099999998</v>
      </c>
      <c r="FL46" s="70">
        <v>4327</v>
      </c>
      <c r="FM46" s="70">
        <f>4333284/1000</f>
        <v>4333.2839999999997</v>
      </c>
      <c r="FN46" s="70">
        <f>'[2]Table S2'!$F$135/1000</f>
        <v>4285.7834199999998</v>
      </c>
      <c r="FP46" s="133"/>
      <c r="GI46" s="25" t="s">
        <v>188</v>
      </c>
      <c r="GJ46" s="65">
        <v>8.0635676903152348E-2</v>
      </c>
      <c r="GK46" s="65">
        <v>5.9658063258838004E-2</v>
      </c>
      <c r="GL46" s="65">
        <v>5.447561952212774E-2</v>
      </c>
      <c r="GM46" s="65">
        <v>6.006021947295815E-2</v>
      </c>
      <c r="GN46" s="65">
        <v>6.438597095708555E-2</v>
      </c>
      <c r="GO46" s="65">
        <v>7.5128168909402757E-2</v>
      </c>
      <c r="GP46" s="65">
        <v>9.1931200688334214E-2</v>
      </c>
      <c r="GQ46" s="65">
        <v>8.8473133960911637E-2</v>
      </c>
      <c r="GR46" s="65">
        <v>6.8478602821023735E-2</v>
      </c>
      <c r="GS46" s="65">
        <v>5.6969012840612399E-2</v>
      </c>
      <c r="GT46" s="65">
        <v>5.430822507457457E-2</v>
      </c>
      <c r="GU46" s="65">
        <v>6.0729194893458904E-2</v>
      </c>
      <c r="GV46" s="65">
        <v>6.8685094320520113E-2</v>
      </c>
      <c r="GW46" s="65">
        <v>7.0039218205946246E-2</v>
      </c>
      <c r="GX46" s="65">
        <v>6.7443000000000003E-2</v>
      </c>
      <c r="GY46" s="65">
        <v>6.9802000000000003E-2</v>
      </c>
      <c r="GZ46" s="116">
        <f>'[2]Table S4'!I55</f>
        <v>6.4615592396313176E-2</v>
      </c>
    </row>
    <row r="47" spans="1:208">
      <c r="AM47" s="27" t="s">
        <v>198</v>
      </c>
      <c r="AN47" s="56">
        <v>7.8907681915700231E-2</v>
      </c>
      <c r="AO47" s="56">
        <v>8.5357363257845098E-2</v>
      </c>
      <c r="AP47" s="56">
        <v>9.2097697410782678E-2</v>
      </c>
      <c r="AQ47" s="56">
        <v>8.2689561033593498E-2</v>
      </c>
      <c r="AR47" s="56">
        <v>6.6179079805417373E-2</v>
      </c>
      <c r="AS47" s="56">
        <v>7.656942888788848E-2</v>
      </c>
      <c r="AT47" s="56">
        <v>8.4080838646925324E-2</v>
      </c>
      <c r="AU47" s="56">
        <v>7.5795690692332926E-2</v>
      </c>
      <c r="AV47" s="56">
        <v>8.4632034632034628E-2</v>
      </c>
      <c r="AW47" s="56">
        <v>9.6353303403498042E-2</v>
      </c>
      <c r="AX47" s="56">
        <v>0.10773047567694555</v>
      </c>
      <c r="AY47" s="56">
        <v>0.1022436768682624</v>
      </c>
      <c r="AZ47" s="56">
        <v>8.334163360446023E-2</v>
      </c>
      <c r="BA47" s="56">
        <v>8.0385667369319402E-2</v>
      </c>
      <c r="BB47" s="56">
        <v>7.5412999999999994E-2</v>
      </c>
      <c r="BC47" s="56">
        <v>7.1459999999999996E-2</v>
      </c>
      <c r="BD47" s="56">
        <f>'[2]Table 3 &amp; 13'!$G$36</f>
        <v>8.5037916527761756E-2</v>
      </c>
      <c r="DV47" s="64" t="s">
        <v>266</v>
      </c>
      <c r="DW47" s="65">
        <v>0.6720644814444442</v>
      </c>
      <c r="DX47" s="65">
        <v>0.6720644814444442</v>
      </c>
      <c r="DY47" s="65">
        <v>0.70397501984103272</v>
      </c>
      <c r="DZ47" s="65">
        <v>0.72849722124704064</v>
      </c>
      <c r="EA47" s="65">
        <v>0.73046540835205687</v>
      </c>
      <c r="EB47" s="65">
        <v>0.72395359925608893</v>
      </c>
      <c r="EC47" s="65">
        <v>0.69142492459436167</v>
      </c>
      <c r="ED47" s="65">
        <v>0.67084625666652498</v>
      </c>
      <c r="EE47" s="65">
        <v>0.69858382348005443</v>
      </c>
      <c r="EF47" s="65">
        <v>0.67403395159132862</v>
      </c>
      <c r="EG47" s="65">
        <v>0.63674976689798113</v>
      </c>
      <c r="EH47" s="65">
        <v>0.61166519304121891</v>
      </c>
      <c r="EI47" s="65">
        <v>0.61396495277116281</v>
      </c>
      <c r="EJ47" s="65">
        <v>0.62350118582443725</v>
      </c>
      <c r="EK47" s="65">
        <v>0.64337433419117662</v>
      </c>
      <c r="EL47" s="65">
        <v>0.648231</v>
      </c>
      <c r="EM47" s="65">
        <f>'[2]Table 9-10-14-16'!$I$37</f>
        <v>0.68098025517181437</v>
      </c>
      <c r="EW47" s="71" t="s">
        <v>283</v>
      </c>
      <c r="EX47" s="72">
        <v>3.5635226413683829E-2</v>
      </c>
      <c r="EY47" s="72">
        <v>3.5578911629053793E-2</v>
      </c>
      <c r="EZ47" s="72">
        <v>3.6835918955506149E-2</v>
      </c>
      <c r="FA47" s="72">
        <v>3.9566512710293218E-2</v>
      </c>
      <c r="FB47" s="72">
        <v>2.7092720025985915E-2</v>
      </c>
      <c r="FC47" s="72">
        <v>3.0849445540429114E-2</v>
      </c>
      <c r="FD47" s="72">
        <v>3.5883528647979036E-2</v>
      </c>
      <c r="FE47" s="72">
        <v>3.6667126671957269E-2</v>
      </c>
      <c r="FF47" s="72">
        <v>3.8145704042828861E-2</v>
      </c>
      <c r="FG47" s="72">
        <v>4.5664893870581647E-2</v>
      </c>
      <c r="FH47" s="72">
        <v>4.9047894513914919E-2</v>
      </c>
      <c r="FI47" s="72">
        <v>4.3722417498084518E-2</v>
      </c>
      <c r="FJ47" s="72">
        <v>4.4346713685152403E-2</v>
      </c>
      <c r="FK47" s="72">
        <v>4.5538567290544833E-2</v>
      </c>
      <c r="FL47" s="72">
        <v>4.5543E-2</v>
      </c>
      <c r="FM47" s="72">
        <v>4.3461E-2</v>
      </c>
      <c r="FN47" s="72">
        <f>'[2]Table S2'!$F$137</f>
        <v>3.2080552497914139E-2</v>
      </c>
      <c r="FP47" s="133"/>
      <c r="GI47" s="25" t="s">
        <v>189</v>
      </c>
      <c r="GJ47" s="65">
        <v>1.3561525542212715E-2</v>
      </c>
      <c r="GK47" s="65">
        <v>1.180066713626003E-2</v>
      </c>
      <c r="GL47" s="65">
        <v>1.7029920495478086E-2</v>
      </c>
      <c r="GM47" s="65">
        <v>2.0720512728903566E-2</v>
      </c>
      <c r="GN47" s="65">
        <v>1.4250706345282938E-2</v>
      </c>
      <c r="GO47" s="65">
        <v>1.3229838060398116E-2</v>
      </c>
      <c r="GP47" s="65">
        <v>1.3984315934993824E-2</v>
      </c>
      <c r="GQ47" s="65">
        <v>1.9576499738794436E-2</v>
      </c>
      <c r="GR47" s="65">
        <v>2.702466159543437E-2</v>
      </c>
      <c r="GS47" s="65">
        <v>1.9001034377576359E-2</v>
      </c>
      <c r="GT47" s="65">
        <v>1.259852155931061E-2</v>
      </c>
      <c r="GU47" s="65">
        <v>1.8237884425771487E-2</v>
      </c>
      <c r="GV47" s="65">
        <v>2.1084469885520794E-2</v>
      </c>
      <c r="GW47" s="65">
        <v>1.4143093320548908E-2</v>
      </c>
      <c r="GX47" s="65">
        <v>1.9075999999999999E-2</v>
      </c>
      <c r="GY47" s="65">
        <v>1.2585000000000001E-2</v>
      </c>
      <c r="GZ47" s="116">
        <f>'[2]Table S4'!I56</f>
        <v>1.1815691676110004E-2</v>
      </c>
    </row>
    <row r="48" spans="1:208">
      <c r="AM48" s="27" t="s">
        <v>199</v>
      </c>
      <c r="AN48" s="56">
        <v>5.1174738557325211E-2</v>
      </c>
      <c r="AO48" s="56">
        <v>5.0927039456517116E-2</v>
      </c>
      <c r="AP48" s="56">
        <v>4.0629020024253983E-2</v>
      </c>
      <c r="AQ48" s="56">
        <v>3.6368856827320745E-2</v>
      </c>
      <c r="AR48" s="56">
        <v>4.2048996813201935E-2</v>
      </c>
      <c r="AS48" s="56">
        <v>4.4849308936827023E-2</v>
      </c>
      <c r="AT48" s="56">
        <v>4.4418026585972117E-2</v>
      </c>
      <c r="AU48" s="56">
        <v>3.8827518320026247E-2</v>
      </c>
      <c r="AV48" s="56">
        <v>3.7987012987012986E-2</v>
      </c>
      <c r="AW48" s="56">
        <v>3.7603663162007007E-2</v>
      </c>
      <c r="AX48" s="56">
        <v>3.1309447395652605E-2</v>
      </c>
      <c r="AY48" s="56">
        <v>3.4408978373299204E-2</v>
      </c>
      <c r="AZ48" s="56">
        <v>3.3951953612549761E-2</v>
      </c>
      <c r="BA48" s="56">
        <v>2.9093174524657466E-2</v>
      </c>
      <c r="BB48" s="56">
        <v>3.7645999999999999E-2</v>
      </c>
      <c r="BC48" s="56">
        <v>3.3536999999999997E-2</v>
      </c>
      <c r="BD48" s="56">
        <f>'[2]Table 3 &amp; 13'!$G$40</f>
        <v>2.0592523031088661E-2</v>
      </c>
      <c r="DV48" s="61"/>
      <c r="DW48" s="293"/>
      <c r="DX48" s="64"/>
      <c r="EM48" s="2"/>
      <c r="EW48" s="202" t="s">
        <v>295</v>
      </c>
      <c r="EX48" s="70">
        <v>220.16773999999998</v>
      </c>
      <c r="EY48" s="70">
        <v>280.15138999999999</v>
      </c>
      <c r="EZ48" s="70">
        <v>265.03352999999998</v>
      </c>
      <c r="FA48" s="70">
        <v>235.560845</v>
      </c>
      <c r="FB48" s="70">
        <v>239.70218499999999</v>
      </c>
      <c r="FC48" s="70">
        <v>254.5</v>
      </c>
      <c r="FD48" s="70">
        <v>235.73407500000002</v>
      </c>
      <c r="FE48" s="70">
        <v>298.07625999999999</v>
      </c>
      <c r="FF48" s="70">
        <v>429.69727500000005</v>
      </c>
      <c r="FG48" s="70">
        <v>489.31422499999996</v>
      </c>
      <c r="FH48" s="70">
        <v>453.46714500000002</v>
      </c>
      <c r="FI48" s="70">
        <v>423.43768999999992</v>
      </c>
      <c r="FJ48" s="70">
        <v>382.74801000000002</v>
      </c>
      <c r="FK48" s="70">
        <v>319.84512000000001</v>
      </c>
      <c r="FL48" s="70">
        <v>297</v>
      </c>
      <c r="FM48" s="70">
        <f>232957.3/1000</f>
        <v>232.95729999999998</v>
      </c>
      <c r="FN48" s="70">
        <f>'[2]Table S2'!$G$135/1000</f>
        <v>188.92243999999999</v>
      </c>
      <c r="FP48" s="133"/>
      <c r="GI48" s="64"/>
      <c r="GJ48" s="64"/>
      <c r="GK48" s="64"/>
    </row>
    <row r="49" spans="39:208">
      <c r="AM49" s="219" t="s">
        <v>200</v>
      </c>
      <c r="AN49" s="57">
        <v>0.44851496035992106</v>
      </c>
      <c r="AO49" s="57">
        <v>0.48129636174311796</v>
      </c>
      <c r="AP49" s="57">
        <v>0.48941873655694795</v>
      </c>
      <c r="AQ49" s="57">
        <v>0.49741847052151339</v>
      </c>
      <c r="AR49" s="57">
        <v>0.49984467987184139</v>
      </c>
      <c r="AS49" s="57">
        <v>0.47355025180162774</v>
      </c>
      <c r="AT49" s="57">
        <v>0.47249540689506109</v>
      </c>
      <c r="AU49" s="57">
        <v>0.51307010827955812</v>
      </c>
      <c r="AV49" s="57">
        <v>0.50898268398268398</v>
      </c>
      <c r="AW49" s="57">
        <v>0.51895145885550964</v>
      </c>
      <c r="AX49" s="57">
        <v>0.54766268301811394</v>
      </c>
      <c r="AY49" s="57">
        <v>0.53209775467350995</v>
      </c>
      <c r="AZ49" s="57">
        <v>0.48568977905959826</v>
      </c>
      <c r="BA49" s="57">
        <v>0.49722557157621394</v>
      </c>
      <c r="BB49" s="57">
        <v>0.49456800000000001</v>
      </c>
      <c r="BC49" s="57">
        <v>0.47063500000000003</v>
      </c>
      <c r="BD49" s="57">
        <f>'[2]Table 3 &amp; 13'!$G$43</f>
        <v>0.46756515626570949</v>
      </c>
      <c r="DV49" s="216" t="s">
        <v>269</v>
      </c>
      <c r="DW49" s="293"/>
      <c r="DX49" s="64"/>
      <c r="EM49" s="2"/>
      <c r="EW49" s="71" t="s">
        <v>283</v>
      </c>
      <c r="EX49" s="72">
        <v>0.12997744356189514</v>
      </c>
      <c r="EY49" s="72">
        <v>0.1281744666696103</v>
      </c>
      <c r="EZ49" s="72">
        <v>0.12491523242361069</v>
      </c>
      <c r="FA49" s="72">
        <v>0.10681197887535172</v>
      </c>
      <c r="FB49" s="72">
        <v>0.13553294525030671</v>
      </c>
      <c r="FC49" s="72">
        <v>0.14653481295299181</v>
      </c>
      <c r="FD49" s="72">
        <v>0.14619362941059749</v>
      </c>
      <c r="FE49" s="72">
        <v>0.11997183204056572</v>
      </c>
      <c r="FF49" s="72">
        <v>0.12961191108321551</v>
      </c>
      <c r="FG49" s="72">
        <v>0.17245301830332033</v>
      </c>
      <c r="FH49" s="72">
        <v>0.18842791796966898</v>
      </c>
      <c r="FI49" s="72">
        <v>0.16893498545205082</v>
      </c>
      <c r="FJ49" s="72">
        <v>0.17299107577332667</v>
      </c>
      <c r="FK49" s="72">
        <v>0.21494053121710907</v>
      </c>
      <c r="FL49" s="72">
        <v>0.22492799999999999</v>
      </c>
      <c r="FM49" s="72">
        <v>0.19228700000000001</v>
      </c>
      <c r="FN49" s="72">
        <f>'[2]Table S2'!$G$138</f>
        <v>0.17966706337267294</v>
      </c>
      <c r="FP49" s="133"/>
      <c r="GI49" s="201" t="s">
        <v>309</v>
      </c>
      <c r="GJ49" s="63">
        <v>124.955125</v>
      </c>
      <c r="GK49" s="63">
        <v>118.05123999999999</v>
      </c>
      <c r="GL49" s="63">
        <v>128.54497499999999</v>
      </c>
      <c r="GM49" s="63">
        <v>146.68787499999999</v>
      </c>
      <c r="GN49" s="63">
        <v>147.670165</v>
      </c>
      <c r="GO49" s="63">
        <v>139.40908500000003</v>
      </c>
      <c r="GP49" s="63">
        <v>127.40547500000001</v>
      </c>
      <c r="GQ49" s="63">
        <v>141.14557500000001</v>
      </c>
      <c r="GR49" s="63">
        <v>176.62554999999998</v>
      </c>
      <c r="GS49" s="63">
        <v>173.000485</v>
      </c>
      <c r="GT49" s="63">
        <v>167.83759999999998</v>
      </c>
      <c r="GU49" s="63">
        <v>176.76382749999999</v>
      </c>
      <c r="GV49" s="63">
        <v>147.12986999999998</v>
      </c>
      <c r="GW49" s="63">
        <v>140.43100000000001</v>
      </c>
      <c r="GX49" s="63">
        <v>162</v>
      </c>
      <c r="GY49" s="63">
        <f>157472.2/1000</f>
        <v>157.47220000000002</v>
      </c>
      <c r="GZ49" s="2">
        <f>'[2]Table S4'!$H$41/1000</f>
        <v>139.12694999999999</v>
      </c>
    </row>
    <row r="50" spans="39:208">
      <c r="AM50" s="58"/>
      <c r="AN50" s="27"/>
      <c r="AO50" s="27"/>
      <c r="DV50" s="201" t="s">
        <v>270</v>
      </c>
      <c r="DW50" s="63">
        <v>1173.337585</v>
      </c>
      <c r="DX50" s="63">
        <v>1214.06313</v>
      </c>
      <c r="DY50" s="63">
        <v>1175</v>
      </c>
      <c r="DZ50" s="63">
        <v>1138.7381250000001</v>
      </c>
      <c r="EA50" s="63">
        <v>1137</v>
      </c>
      <c r="EB50" s="63">
        <v>1175.0158249999999</v>
      </c>
      <c r="EC50" s="63">
        <v>1170.7</v>
      </c>
      <c r="ED50" s="63">
        <v>1163.52657</v>
      </c>
      <c r="EE50" s="63">
        <v>1201.4276150000001</v>
      </c>
      <c r="EF50" s="63">
        <v>1218.012385</v>
      </c>
      <c r="EG50" s="63">
        <v>1203.1185150000001</v>
      </c>
      <c r="EH50" s="63">
        <v>1240.3336399999998</v>
      </c>
      <c r="EI50" s="63">
        <v>1232.33689</v>
      </c>
      <c r="EJ50" s="63">
        <v>1253.5120200000001</v>
      </c>
      <c r="EK50" s="63">
        <v>1326</v>
      </c>
      <c r="EL50" s="63">
        <f>1340792/1000</f>
        <v>1340.7919999999999</v>
      </c>
      <c r="EM50" s="118">
        <f>'[2]Table 9-10-14-16'!$H$40/1000</f>
        <v>1336.1907900000001</v>
      </c>
      <c r="EW50" s="202" t="s">
        <v>296</v>
      </c>
      <c r="EX50" s="70">
        <v>2379.7657000000004</v>
      </c>
      <c r="EY50" s="70">
        <v>2420.2085000000002</v>
      </c>
      <c r="EZ50" s="70">
        <v>2347.92335</v>
      </c>
      <c r="FA50" s="70">
        <v>2366.71524</v>
      </c>
      <c r="FB50" s="70">
        <v>2368.5824000000002</v>
      </c>
      <c r="FC50" s="70">
        <v>2346.4</v>
      </c>
      <c r="FD50" s="70">
        <v>2373.475015</v>
      </c>
      <c r="FE50" s="70">
        <v>2408.314625</v>
      </c>
      <c r="FF50" s="70">
        <v>2402.6657500000001</v>
      </c>
      <c r="FG50" s="70">
        <v>2395.7795000000001</v>
      </c>
      <c r="FH50" s="70">
        <v>2455.8008899999995</v>
      </c>
      <c r="FI50" s="70">
        <v>2470.5329999999999</v>
      </c>
      <c r="FJ50" s="70">
        <v>2560.7737999999999</v>
      </c>
      <c r="FK50" s="70">
        <v>2674.5153999999998</v>
      </c>
      <c r="FL50" s="70">
        <v>2641</v>
      </c>
      <c r="FM50" s="70">
        <f>2676871/1000</f>
        <v>2676.8710000000001</v>
      </c>
      <c r="FN50" s="70">
        <f>'[2]Table S2'!$H$135/1000</f>
        <v>2816.1134999999999</v>
      </c>
      <c r="FP50" s="133"/>
      <c r="GI50" s="25" t="s">
        <v>185</v>
      </c>
      <c r="GJ50" s="65">
        <v>0.67311404794321161</v>
      </c>
      <c r="GK50" s="65">
        <v>0.70503228089768477</v>
      </c>
      <c r="GL50" s="65">
        <v>0.67045841348524116</v>
      </c>
      <c r="GM50" s="65">
        <v>0.61824850895140449</v>
      </c>
      <c r="GN50" s="65">
        <v>0.59311574548589419</v>
      </c>
      <c r="GO50" s="65">
        <v>0.70074514871107574</v>
      </c>
      <c r="GP50" s="65">
        <v>0.75912730594976396</v>
      </c>
      <c r="GQ50" s="65">
        <v>0.66571180145038189</v>
      </c>
      <c r="GR50" s="65">
        <v>0.64345475498873184</v>
      </c>
      <c r="GS50" s="65">
        <v>0.69080239861755299</v>
      </c>
      <c r="GT50" s="65">
        <v>0.69805097308350461</v>
      </c>
      <c r="GU50" s="65">
        <v>0.66399416475636119</v>
      </c>
      <c r="GV50" s="65">
        <v>0.63433570627092917</v>
      </c>
      <c r="GW50" s="65">
        <v>0.70579928933070335</v>
      </c>
      <c r="GX50" s="65">
        <v>0.73048500000000005</v>
      </c>
      <c r="GY50" s="65">
        <v>0.70441799999999999</v>
      </c>
      <c r="GZ50" s="116">
        <f>'[2]Table S4'!H47</f>
        <v>0.73136225583900183</v>
      </c>
    </row>
    <row r="51" spans="39:208">
      <c r="AM51" s="200" t="s">
        <v>207</v>
      </c>
      <c r="AN51" s="134">
        <v>708.61203999999998</v>
      </c>
      <c r="AO51" s="134">
        <v>792.87687500000004</v>
      </c>
      <c r="AP51" s="134">
        <v>849</v>
      </c>
      <c r="AQ51" s="134">
        <v>914</v>
      </c>
      <c r="AR51" s="134">
        <v>1046.3358350000001</v>
      </c>
      <c r="AS51" s="134">
        <v>1073.4000000000001</v>
      </c>
      <c r="AT51" s="134">
        <v>1065</v>
      </c>
      <c r="AU51" s="134">
        <v>1124.2</v>
      </c>
      <c r="AV51" s="134">
        <v>1182.5</v>
      </c>
      <c r="AW51" s="134">
        <v>1261.0999999999999</v>
      </c>
      <c r="AX51" s="134">
        <v>1271.4000000000001</v>
      </c>
      <c r="AY51" s="134">
        <v>1271.9779799999999</v>
      </c>
      <c r="AZ51" s="134">
        <v>1277.9868799999999</v>
      </c>
      <c r="BA51" s="134">
        <v>1250.9140899999998</v>
      </c>
      <c r="BB51" s="134">
        <v>1239</v>
      </c>
      <c r="BC51" s="134">
        <f>1227883/1000</f>
        <v>1227.883</v>
      </c>
      <c r="BD51" s="134">
        <f>'[2]Table 3 &amp; 13'!$H$22/1000</f>
        <v>1273.80351</v>
      </c>
      <c r="DV51" s="64" t="s">
        <v>262</v>
      </c>
      <c r="DW51" s="65">
        <v>1</v>
      </c>
      <c r="DX51" s="65">
        <f t="shared" ref="DX51:EL51" si="15">SUM(DX52:DX55)</f>
        <v>1</v>
      </c>
      <c r="DY51" s="65">
        <f t="shared" si="15"/>
        <v>1</v>
      </c>
      <c r="DZ51" s="65">
        <f t="shared" si="15"/>
        <v>1</v>
      </c>
      <c r="EA51" s="65">
        <f t="shared" si="15"/>
        <v>0.99999999999999989</v>
      </c>
      <c r="EB51" s="65">
        <f t="shared" si="15"/>
        <v>1</v>
      </c>
      <c r="EC51" s="65">
        <f t="shared" si="15"/>
        <v>0.99999999999999989</v>
      </c>
      <c r="ED51" s="65">
        <f t="shared" si="15"/>
        <v>1</v>
      </c>
      <c r="EE51" s="65">
        <f t="shared" si="15"/>
        <v>0.99999999999999978</v>
      </c>
      <c r="EF51" s="65">
        <f t="shared" si="15"/>
        <v>1</v>
      </c>
      <c r="EG51" s="65">
        <f t="shared" si="15"/>
        <v>0.99999999999999978</v>
      </c>
      <c r="EH51" s="65">
        <f t="shared" si="15"/>
        <v>1</v>
      </c>
      <c r="EI51" s="65">
        <f t="shared" si="15"/>
        <v>1</v>
      </c>
      <c r="EJ51" s="65">
        <f t="shared" si="15"/>
        <v>1</v>
      </c>
      <c r="EK51" s="65">
        <f t="shared" si="15"/>
        <v>1</v>
      </c>
      <c r="EL51" s="65">
        <f t="shared" si="15"/>
        <v>1</v>
      </c>
      <c r="EM51" s="65">
        <f t="shared" ref="EM51" si="16">SUM(EM52:EM55)</f>
        <v>0.99999999999999989</v>
      </c>
      <c r="EW51" s="71" t="s">
        <v>283</v>
      </c>
      <c r="EX51" s="73">
        <v>0.13729351591209168</v>
      </c>
      <c r="EY51" s="73">
        <v>0.14139806549724951</v>
      </c>
      <c r="EZ51" s="73">
        <v>0.14529995197671172</v>
      </c>
      <c r="FA51" s="73">
        <v>0.14631096895290202</v>
      </c>
      <c r="FB51" s="73">
        <v>0.12016878209748416</v>
      </c>
      <c r="FC51" s="73">
        <v>0.13438061637912674</v>
      </c>
      <c r="FD51" s="73">
        <v>0.15409572364931762</v>
      </c>
      <c r="FE51" s="73">
        <v>0.15765392364380132</v>
      </c>
      <c r="FF51" s="73">
        <v>0.15227769405711136</v>
      </c>
      <c r="FG51" s="73">
        <v>0.15261569355610563</v>
      </c>
      <c r="FH51" s="73">
        <v>0.15772764867757663</v>
      </c>
      <c r="FI51" s="73">
        <v>0.1493606845162562</v>
      </c>
      <c r="FJ51" s="73">
        <v>0.15240729188966243</v>
      </c>
      <c r="FK51" s="73">
        <v>0.17102788041527076</v>
      </c>
      <c r="FL51" s="73">
        <v>0.176597</v>
      </c>
      <c r="FM51" s="73">
        <v>0.16261600000000001</v>
      </c>
      <c r="FN51" s="275">
        <f>'[2]Table S2'!$H$139</f>
        <v>0.15071888970384184</v>
      </c>
      <c r="GI51" s="25" t="s">
        <v>186</v>
      </c>
      <c r="GJ51" s="65">
        <v>0.18562792042343201</v>
      </c>
      <c r="GK51" s="65">
        <v>0.2204842151594511</v>
      </c>
      <c r="GL51" s="65">
        <v>0.23371769297088432</v>
      </c>
      <c r="GM51" s="65">
        <v>0.23271156528786033</v>
      </c>
      <c r="GN51" s="65">
        <v>0.23644159942531381</v>
      </c>
      <c r="GO51" s="65">
        <v>0.18011096622576639</v>
      </c>
      <c r="GP51" s="65">
        <v>0.14386716897370383</v>
      </c>
      <c r="GQ51" s="65">
        <v>0.19819912880726157</v>
      </c>
      <c r="GR51" s="65">
        <v>0.20724561084169305</v>
      </c>
      <c r="GS51" s="65">
        <v>0.1568056008629109</v>
      </c>
      <c r="GT51" s="65">
        <v>0.1399395904135903</v>
      </c>
      <c r="GU51" s="65">
        <v>0.17392149986116362</v>
      </c>
      <c r="GV51" s="65">
        <v>0.19092492911194714</v>
      </c>
      <c r="GW51" s="65">
        <v>0.12222821171963456</v>
      </c>
      <c r="GX51" s="65">
        <v>0.13014200000000001</v>
      </c>
      <c r="GY51" s="65">
        <v>0.160578</v>
      </c>
      <c r="GZ51" s="116">
        <f>'[2]Table S4'!H48</f>
        <v>0.14296741213690087</v>
      </c>
    </row>
    <row r="52" spans="39:208">
      <c r="AM52" s="27" t="s">
        <v>194</v>
      </c>
      <c r="AN52" s="56">
        <v>1</v>
      </c>
      <c r="AO52" s="56">
        <v>1</v>
      </c>
      <c r="AP52" s="56">
        <v>1</v>
      </c>
      <c r="AQ52" s="309">
        <v>1</v>
      </c>
      <c r="AR52" s="56">
        <v>1</v>
      </c>
      <c r="AS52" s="56">
        <v>1</v>
      </c>
      <c r="AT52" s="309">
        <v>1</v>
      </c>
      <c r="AU52" s="56">
        <v>1</v>
      </c>
      <c r="AV52" s="56">
        <v>1</v>
      </c>
      <c r="AW52" s="56">
        <v>1</v>
      </c>
      <c r="AX52" s="56">
        <v>1</v>
      </c>
      <c r="AY52" s="56">
        <v>1</v>
      </c>
      <c r="AZ52" s="56">
        <v>1</v>
      </c>
      <c r="BA52" s="56">
        <v>1.0000000000000002</v>
      </c>
      <c r="BB52" s="56">
        <f>SUM(BB53:BB58)</f>
        <v>1</v>
      </c>
      <c r="BC52" s="56">
        <f>SUM(BC53:BC58)</f>
        <v>1</v>
      </c>
      <c r="BD52" s="56">
        <f>SUM(BD53:BD58)</f>
        <v>1</v>
      </c>
      <c r="DV52" s="64" t="s">
        <v>263</v>
      </c>
      <c r="DW52" s="65">
        <v>3.9213313873347033E-2</v>
      </c>
      <c r="DX52" s="65">
        <v>4.5875765125986491E-2</v>
      </c>
      <c r="DY52" s="65">
        <v>4.7844606071883206E-2</v>
      </c>
      <c r="DZ52" s="65">
        <v>5.0440104479684472E-2</v>
      </c>
      <c r="EA52" s="65">
        <v>4.3039796130458947E-2</v>
      </c>
      <c r="EB52" s="65">
        <v>3.9344308405378288E-2</v>
      </c>
      <c r="EC52" s="65">
        <v>3.7606678034313376E-2</v>
      </c>
      <c r="ED52" s="65">
        <v>3.020497417605169E-2</v>
      </c>
      <c r="EE52" s="65">
        <v>4.0294408415108715E-2</v>
      </c>
      <c r="EF52" s="65">
        <v>5.136902199890192E-2</v>
      </c>
      <c r="EG52" s="65">
        <v>5.0329995960539255E-2</v>
      </c>
      <c r="EH52" s="65">
        <v>4.4288019149428218E-2</v>
      </c>
      <c r="EI52" s="65">
        <v>3.8050390587593304E-2</v>
      </c>
      <c r="EJ52" s="65">
        <v>4.3165880451629016E-2</v>
      </c>
      <c r="EK52" s="65">
        <v>5.1963000000000002E-2</v>
      </c>
      <c r="EL52" s="65">
        <v>4.7827000000000001E-2</v>
      </c>
      <c r="EM52" s="116">
        <f>'T7-T10'!BT23</f>
        <v>4.1266554456643123E-2</v>
      </c>
      <c r="EW52" s="69"/>
      <c r="EX52" s="2"/>
      <c r="EY52" s="2"/>
      <c r="EZ52" s="2"/>
      <c r="FA52" s="2"/>
      <c r="FB52" s="2"/>
      <c r="FC52" s="2"/>
      <c r="FN52" s="161"/>
      <c r="GI52" s="25" t="s">
        <v>187</v>
      </c>
      <c r="GJ52" s="65">
        <v>9.6225064798262566E-2</v>
      </c>
      <c r="GK52" s="65">
        <v>4.9741790090472582E-2</v>
      </c>
      <c r="GL52" s="65">
        <v>8.233538494989788E-2</v>
      </c>
      <c r="GM52" s="65">
        <v>0.10839648471286396</v>
      </c>
      <c r="GN52" s="65">
        <v>0.10051597084624372</v>
      </c>
      <c r="GO52" s="65">
        <v>6.2431476399117017E-2</v>
      </c>
      <c r="GP52" s="65">
        <v>4.8417856453971078E-2</v>
      </c>
      <c r="GQ52" s="65">
        <v>8.648740847879928E-2</v>
      </c>
      <c r="GR52" s="65">
        <v>0.10180551454758388</v>
      </c>
      <c r="GS52" s="65">
        <v>0.1053387220272822</v>
      </c>
      <c r="GT52" s="65">
        <v>0.12598836613488279</v>
      </c>
      <c r="GU52" s="65">
        <v>0.13520964859170639</v>
      </c>
      <c r="GV52" s="65">
        <v>0.15486488229752396</v>
      </c>
      <c r="GW52" s="65">
        <v>0.15224950331479517</v>
      </c>
      <c r="GX52" s="65">
        <v>8.4740999999999997E-2</v>
      </c>
      <c r="GY52" s="65">
        <v>8.1790000000000002E-2</v>
      </c>
      <c r="GZ52" s="116">
        <f>'[2]Table S4'!H49</f>
        <v>0.10236995779753673</v>
      </c>
    </row>
    <row r="53" spans="39:208">
      <c r="AM53" s="27" t="s">
        <v>195</v>
      </c>
      <c r="AN53" s="56">
        <v>0.43935493955197263</v>
      </c>
      <c r="AO53" s="56">
        <v>0.45946087152560733</v>
      </c>
      <c r="AP53" s="56">
        <v>0.45827042628794029</v>
      </c>
      <c r="AQ53" s="56">
        <v>0.40975647603654214</v>
      </c>
      <c r="AR53" s="56">
        <v>0.39873235346087521</v>
      </c>
      <c r="AS53" s="56">
        <v>0.42298030065240927</v>
      </c>
      <c r="AT53" s="56">
        <v>0.42535702711720247</v>
      </c>
      <c r="AU53" s="56">
        <v>0.39574808752890944</v>
      </c>
      <c r="AV53" s="56">
        <v>0.36160676532769553</v>
      </c>
      <c r="AW53" s="56">
        <v>0.35790016541356395</v>
      </c>
      <c r="AX53" s="56">
        <v>0.37015312128408812</v>
      </c>
      <c r="AY53" s="56">
        <v>0.40180719166223305</v>
      </c>
      <c r="AZ53" s="56">
        <v>0.42362743191854996</v>
      </c>
      <c r="BA53" s="56">
        <v>0.41462495637889901</v>
      </c>
      <c r="BB53" s="56">
        <v>0.40623300000000001</v>
      </c>
      <c r="BC53" s="56">
        <v>0.41605399999999998</v>
      </c>
      <c r="BD53" s="56">
        <f>'[2]Table 3 &amp; 13'!$H$25</f>
        <v>0.40842319550524714</v>
      </c>
      <c r="DV53" s="64" t="s">
        <v>264</v>
      </c>
      <c r="DW53" s="65">
        <v>2.5078622987625268E-2</v>
      </c>
      <c r="DX53" s="65">
        <v>2.6080806028595895E-2</v>
      </c>
      <c r="DY53" s="65">
        <v>2.148506830409468E-2</v>
      </c>
      <c r="DZ53" s="65">
        <v>1.556097895642161E-2</v>
      </c>
      <c r="EA53" s="65">
        <v>1.3516531927805114E-2</v>
      </c>
      <c r="EB53" s="65">
        <v>1.2395267102040943E-2</v>
      </c>
      <c r="EC53" s="65">
        <v>2.1773386712789167E-2</v>
      </c>
      <c r="ED53" s="65">
        <v>1.4971149305167996E-2</v>
      </c>
      <c r="EE53" s="65">
        <v>1.7813782314301141E-2</v>
      </c>
      <c r="EF53" s="65">
        <v>1.9129563284366765E-2</v>
      </c>
      <c r="EG53" s="65">
        <v>2.1896861923033407E-2</v>
      </c>
      <c r="EH53" s="65">
        <v>2.8057861915282731E-2</v>
      </c>
      <c r="EI53" s="65">
        <v>2.3322648403392356E-2</v>
      </c>
      <c r="EJ53" s="65">
        <v>1.6078728945893954E-2</v>
      </c>
      <c r="EK53" s="65">
        <v>1.8665999999999999E-2</v>
      </c>
      <c r="EL53" s="65">
        <v>1.9165000000000001E-2</v>
      </c>
      <c r="EM53" s="116">
        <f>'[2]Table 9-10-14-16'!$H$46</f>
        <v>1.6071911407202558E-2</v>
      </c>
      <c r="EW53" s="220" t="s">
        <v>572</v>
      </c>
      <c r="GI53" s="25" t="s">
        <v>188</v>
      </c>
      <c r="GJ53" s="65">
        <v>3.6578411649782268E-2</v>
      </c>
      <c r="GK53" s="65">
        <v>2.4741713852391555E-2</v>
      </c>
      <c r="GL53" s="65">
        <v>1.3488508593976545E-2</v>
      </c>
      <c r="GM53" s="65">
        <v>4.0643441047871202E-2</v>
      </c>
      <c r="GN53" s="65">
        <v>6.5166277832763311E-2</v>
      </c>
      <c r="GO53" s="65">
        <v>4.2153099276133969E-2</v>
      </c>
      <c r="GP53" s="65">
        <v>3.2007180225182633E-2</v>
      </c>
      <c r="GQ53" s="65">
        <v>4.4034961776166198E-2</v>
      </c>
      <c r="GR53" s="65">
        <v>4.7494119621991265E-2</v>
      </c>
      <c r="GS53" s="65">
        <v>4.7053278492253943E-2</v>
      </c>
      <c r="GT53" s="65">
        <v>3.6021070368022427E-2</v>
      </c>
      <c r="GU53" s="65">
        <v>2.2542621170612526E-2</v>
      </c>
      <c r="GV53" s="65">
        <v>0</v>
      </c>
      <c r="GW53" s="65">
        <v>9.8061325490810432E-3</v>
      </c>
      <c r="GX53" s="65">
        <v>3.9167E-2</v>
      </c>
      <c r="GY53" s="65">
        <v>3.1571000000000002E-2</v>
      </c>
      <c r="GZ53" s="116">
        <f>'[2]Table S4'!H50</f>
        <v>1.1347801414463555E-2</v>
      </c>
    </row>
    <row r="54" spans="39:208">
      <c r="AM54" s="27" t="s">
        <v>196</v>
      </c>
      <c r="AN54" s="56">
        <v>3.7376044302041493E-2</v>
      </c>
      <c r="AO54" s="56">
        <v>5.0588012167715198E-2</v>
      </c>
      <c r="AP54" s="56">
        <v>4.2397717806880356E-2</v>
      </c>
      <c r="AQ54" s="56">
        <v>3.6540863888577191E-2</v>
      </c>
      <c r="AR54" s="56">
        <v>4.2584563683609279E-2</v>
      </c>
      <c r="AS54" s="56">
        <v>4.6429854532989805E-2</v>
      </c>
      <c r="AT54" s="56">
        <v>4.1701186052207448E-2</v>
      </c>
      <c r="AU54" s="56">
        <v>3.6915139654865682E-2</v>
      </c>
      <c r="AV54" s="56">
        <v>3.382663847780127E-2</v>
      </c>
      <c r="AW54" s="56">
        <v>3.3590057177596444E-2</v>
      </c>
      <c r="AX54" s="56">
        <v>4.4470701090127247E-2</v>
      </c>
      <c r="AY54" s="56">
        <v>4.329548220638222E-2</v>
      </c>
      <c r="AZ54" s="56">
        <v>2.8110421603076242E-2</v>
      </c>
      <c r="BA54" s="56">
        <v>2.4362512376849162E-2</v>
      </c>
      <c r="BB54" s="56">
        <v>2.5881000000000001E-2</v>
      </c>
      <c r="BC54" s="56">
        <v>2.9850999999999999E-2</v>
      </c>
      <c r="BD54" s="56">
        <f>'[2]Table 3 &amp; 13'!$H$29</f>
        <v>3.5549085588561458E-2</v>
      </c>
      <c r="DV54" s="64" t="s">
        <v>265</v>
      </c>
      <c r="DW54" s="65">
        <v>3.3007016483413698E-2</v>
      </c>
      <c r="DX54" s="65">
        <v>2.9960806074392523E-2</v>
      </c>
      <c r="DY54" s="65">
        <v>2.2711278072912358E-2</v>
      </c>
      <c r="DZ54" s="65">
        <v>2.3978888912672528E-2</v>
      </c>
      <c r="EA54" s="65">
        <v>2.3573211554266487E-2</v>
      </c>
      <c r="EB54" s="65">
        <v>1.7637639050520876E-2</v>
      </c>
      <c r="EC54" s="65">
        <v>1.494930078654136E-2</v>
      </c>
      <c r="ED54" s="65">
        <v>1.7782963048278304E-2</v>
      </c>
      <c r="EE54" s="65">
        <v>1.7931858508179872E-2</v>
      </c>
      <c r="EF54" s="65">
        <v>2.2786907047747301E-2</v>
      </c>
      <c r="EG54" s="65">
        <v>2.1507893592677359E-2</v>
      </c>
      <c r="EH54" s="65">
        <v>2.0611881493434302E-2</v>
      </c>
      <c r="EI54" s="65">
        <v>1.9230642361116042E-2</v>
      </c>
      <c r="EJ54" s="65">
        <v>1.8973244468768635E-2</v>
      </c>
      <c r="EK54" s="65">
        <v>2.1777000000000001E-2</v>
      </c>
      <c r="EL54" s="65">
        <v>2.4152E-2</v>
      </c>
      <c r="EM54" s="116">
        <f>'[2]Table 9-10-14-16'!$H$51</f>
        <v>2.9832311596759323E-2</v>
      </c>
      <c r="EW54" s="18" t="s">
        <v>573</v>
      </c>
      <c r="GI54" s="54" t="s">
        <v>189</v>
      </c>
      <c r="GJ54" s="74">
        <v>8.4545551853115273E-3</v>
      </c>
      <c r="GK54" s="74">
        <v>0</v>
      </c>
      <c r="GL54" s="74">
        <v>0</v>
      </c>
      <c r="GM54" s="74">
        <v>0</v>
      </c>
      <c r="GN54" s="74">
        <v>4.7604064097849421E-3</v>
      </c>
      <c r="GO54" s="74">
        <v>1.4559309387906819E-2</v>
      </c>
      <c r="GP54" s="74">
        <v>1.6580488397378527E-2</v>
      </c>
      <c r="GQ54" s="74">
        <v>5.5666994873909432E-3</v>
      </c>
      <c r="GR54" s="74">
        <v>0</v>
      </c>
      <c r="GS54" s="74">
        <v>0</v>
      </c>
      <c r="GT54" s="74">
        <v>0</v>
      </c>
      <c r="GU54" s="74">
        <v>4.3320656201563642E-3</v>
      </c>
      <c r="GV54" s="74">
        <v>1.9874482319599686E-2</v>
      </c>
      <c r="GW54" s="74">
        <v>9.9167918764375383E-3</v>
      </c>
      <c r="GX54" s="74">
        <v>1.5465E-2</v>
      </c>
      <c r="GY54" s="74">
        <v>2.1642999999999999E-2</v>
      </c>
      <c r="GZ54" s="116">
        <f>'[2]Table S4'!H51</f>
        <v>1.1952572812097155E-2</v>
      </c>
    </row>
    <row r="55" spans="39:208">
      <c r="AM55" s="27" t="s">
        <v>197</v>
      </c>
      <c r="AN55" s="56">
        <v>4.6829644610610906E-2</v>
      </c>
      <c r="AO55" s="56">
        <v>3.6362146392527848E-2</v>
      </c>
      <c r="AP55" s="56">
        <v>3.4245528899054037E-2</v>
      </c>
      <c r="AQ55" s="56">
        <v>3.9464879554992637E-2</v>
      </c>
      <c r="AR55" s="56">
        <v>3.2081960568616091E-2</v>
      </c>
      <c r="AS55" s="56">
        <v>2.8575999370987707E-2</v>
      </c>
      <c r="AT55" s="56">
        <v>2.6555618740356311E-2</v>
      </c>
      <c r="AU55" s="56">
        <v>2.6062978117772639E-2</v>
      </c>
      <c r="AV55" s="56">
        <v>2.9682875264270613E-2</v>
      </c>
      <c r="AW55" s="56">
        <v>2.1273743717594266E-2</v>
      </c>
      <c r="AX55" s="56">
        <v>2.0747948564263284E-2</v>
      </c>
      <c r="AY55" s="56">
        <v>2.2574148649963266E-2</v>
      </c>
      <c r="AZ55" s="56">
        <v>1.9637869834782655E-2</v>
      </c>
      <c r="BA55" s="56">
        <v>2.5873231630159355E-2</v>
      </c>
      <c r="BB55" s="56">
        <v>3.0359000000000001E-2</v>
      </c>
      <c r="BC55" s="56">
        <v>3.3492000000000001E-2</v>
      </c>
      <c r="BD55" s="56">
        <f>'[2]Table 3 &amp; 13'!$H$33</f>
        <v>2.9887089885629221E-2</v>
      </c>
      <c r="DV55" s="64" t="s">
        <v>266</v>
      </c>
      <c r="DW55" s="65">
        <v>0.90335371398817066</v>
      </c>
      <c r="DX55" s="65">
        <v>0.89808262277102513</v>
      </c>
      <c r="DY55" s="65">
        <v>0.90795904755110979</v>
      </c>
      <c r="DZ55" s="65">
        <v>0.91002002765122136</v>
      </c>
      <c r="EA55" s="65">
        <v>0.91987046038746934</v>
      </c>
      <c r="EB55" s="65">
        <v>0.9306227854420599</v>
      </c>
      <c r="EC55" s="65">
        <v>0.925670634466356</v>
      </c>
      <c r="ED55" s="65">
        <v>0.937040913470502</v>
      </c>
      <c r="EE55" s="65">
        <v>0.92395995076241011</v>
      </c>
      <c r="EF55" s="65">
        <v>0.90671450766898398</v>
      </c>
      <c r="EG55" s="65">
        <v>0.90626524852374979</v>
      </c>
      <c r="EH55" s="65">
        <v>0.90704223744185486</v>
      </c>
      <c r="EI55" s="65">
        <v>0.91939631864789839</v>
      </c>
      <c r="EJ55" s="65">
        <v>0.92178214613370835</v>
      </c>
      <c r="EK55" s="65">
        <v>0.90759400000000001</v>
      </c>
      <c r="EL55" s="65">
        <v>0.908856</v>
      </c>
      <c r="EM55" s="116">
        <f>'[2]Table 9-10-14-16'!$H$56</f>
        <v>0.91282922253939491</v>
      </c>
      <c r="GI55" s="64"/>
      <c r="GJ55" s="64"/>
      <c r="GK55" s="64"/>
      <c r="GL55" s="64"/>
      <c r="GM55" s="64"/>
      <c r="GN55" s="64"/>
      <c r="GO55" s="64"/>
      <c r="GZ55" s="269"/>
    </row>
    <row r="56" spans="39:208">
      <c r="AM56" s="27" t="s">
        <v>198</v>
      </c>
      <c r="AN56" s="56">
        <v>7.7445494716685867E-2</v>
      </c>
      <c r="AO56" s="56">
        <v>6.7128688801776443E-2</v>
      </c>
      <c r="AP56" s="56">
        <v>6.689475437703446E-2</v>
      </c>
      <c r="AQ56" s="56">
        <v>8.0327690528135057E-2</v>
      </c>
      <c r="AR56" s="56">
        <v>8.1018676952796895E-2</v>
      </c>
      <c r="AS56" s="56">
        <v>7.7701691388144492E-2</v>
      </c>
      <c r="AT56" s="56">
        <v>7.9574564055781311E-2</v>
      </c>
      <c r="AU56" s="56">
        <v>8.8507383027930972E-2</v>
      </c>
      <c r="AV56" s="56">
        <v>9.5391120507399577E-2</v>
      </c>
      <c r="AW56" s="56">
        <v>7.4858131487477692E-2</v>
      </c>
      <c r="AX56" s="56">
        <v>6.5169759433884603E-2</v>
      </c>
      <c r="AY56" s="56">
        <v>6.555836760633231E-2</v>
      </c>
      <c r="AZ56" s="56">
        <v>7.2877203559398043E-2</v>
      </c>
      <c r="BA56" s="56">
        <v>7.5314604538509938E-2</v>
      </c>
      <c r="BB56" s="56">
        <v>6.8746000000000002E-2</v>
      </c>
      <c r="BC56" s="56">
        <v>8.4136000000000002E-2</v>
      </c>
      <c r="BD56" s="56">
        <f>'[2]Table 3 &amp; 13'!$H$37</f>
        <v>9.4389361511494033E-2</v>
      </c>
      <c r="DV56" s="61"/>
      <c r="DW56" s="293"/>
      <c r="DX56" s="64"/>
      <c r="EM56" s="2"/>
      <c r="GI56" s="64" t="s">
        <v>572</v>
      </c>
    </row>
    <row r="57" spans="39:208">
      <c r="AM57" s="27" t="s">
        <v>199</v>
      </c>
      <c r="AN57" s="56">
        <v>4.976441692974902E-2</v>
      </c>
      <c r="AO57" s="56">
        <v>4.1805759563866708E-2</v>
      </c>
      <c r="AP57" s="56">
        <v>3.7866478916102078E-2</v>
      </c>
      <c r="AQ57" s="56">
        <v>5.5280562308449729E-2</v>
      </c>
      <c r="AR57" s="56">
        <v>5.454757267297454E-2</v>
      </c>
      <c r="AS57" s="56">
        <v>4.3175750011214056E-2</v>
      </c>
      <c r="AT57" s="56">
        <v>4.2644656197248249E-2</v>
      </c>
      <c r="AU57" s="56">
        <v>4.5454545454545456E-2</v>
      </c>
      <c r="AV57" s="56">
        <v>4.7272727272727272E-2</v>
      </c>
      <c r="AW57" s="56">
        <v>3.8096084506568144E-2</v>
      </c>
      <c r="AX57" s="56">
        <v>3.7577077750901834E-2</v>
      </c>
      <c r="AY57" s="56">
        <v>4.9296104953011843E-2</v>
      </c>
      <c r="AZ57" s="56">
        <v>4.083561483823684E-2</v>
      </c>
      <c r="BA57" s="56">
        <v>3.0916743451182976E-2</v>
      </c>
      <c r="BB57" s="56">
        <v>4.6018999999999997E-2</v>
      </c>
      <c r="BC57" s="56">
        <v>4.8446999999999997E-2</v>
      </c>
      <c r="BD57" s="56">
        <f>'[2]Table 3 &amp; 13'!$H$41</f>
        <v>3.9023271336408864E-2</v>
      </c>
      <c r="DV57" s="201" t="s">
        <v>271</v>
      </c>
      <c r="DW57" s="63">
        <v>842.13771999999994</v>
      </c>
      <c r="DX57" s="63">
        <v>890.32047</v>
      </c>
      <c r="DY57" s="63">
        <v>891</v>
      </c>
      <c r="DZ57" s="63">
        <v>906.03888500000005</v>
      </c>
      <c r="EA57" s="63">
        <v>929</v>
      </c>
      <c r="EB57" s="63">
        <v>928.428405</v>
      </c>
      <c r="EC57" s="63">
        <v>893.63</v>
      </c>
      <c r="ED57" s="63">
        <v>806.73003000000006</v>
      </c>
      <c r="EE57" s="63">
        <v>820.92367499999989</v>
      </c>
      <c r="EF57" s="63">
        <v>823.98660500000005</v>
      </c>
      <c r="EG57" s="63">
        <v>829.28821500000004</v>
      </c>
      <c r="EH57" s="63">
        <v>819.99545000000012</v>
      </c>
      <c r="EI57" s="63">
        <v>817.94641000000001</v>
      </c>
      <c r="EJ57" s="63">
        <v>823.87304000000006</v>
      </c>
      <c r="EK57" s="63">
        <v>804</v>
      </c>
      <c r="EL57" s="63">
        <f>804728.6/1000</f>
        <v>804.72860000000003</v>
      </c>
      <c r="EM57" s="125">
        <f>'[2]Table 9-10-14-16'!$I$40/1000</f>
        <v>782.86473500000011</v>
      </c>
      <c r="GI57" s="2" t="s">
        <v>573</v>
      </c>
    </row>
    <row r="58" spans="39:208">
      <c r="AM58" s="221" t="s">
        <v>200</v>
      </c>
      <c r="AN58" s="59">
        <v>0.34922945988894005</v>
      </c>
      <c r="AO58" s="59">
        <v>0.34465452154850645</v>
      </c>
      <c r="AP58" s="59">
        <v>0.36032509371298876</v>
      </c>
      <c r="AQ58" s="59">
        <v>0.37862952768330327</v>
      </c>
      <c r="AR58" s="59">
        <v>0.39103487266112796</v>
      </c>
      <c r="AS58" s="59">
        <v>0.38113640404425453</v>
      </c>
      <c r="AT58" s="59">
        <v>0.38416694783720434</v>
      </c>
      <c r="AU58" s="59">
        <v>0.40722291407222916</v>
      </c>
      <c r="AV58" s="59">
        <v>0.43221987315010568</v>
      </c>
      <c r="AW58" s="59">
        <v>0.4742818176971994</v>
      </c>
      <c r="AX58" s="59">
        <v>0.46188139187673488</v>
      </c>
      <c r="AY58" s="59">
        <v>0.41746870492207733</v>
      </c>
      <c r="AZ58" s="59">
        <v>0.41491145824595638</v>
      </c>
      <c r="BA58" s="59">
        <v>0.42890795162439982</v>
      </c>
      <c r="BB58" s="59">
        <v>0.42276200000000003</v>
      </c>
      <c r="BC58" s="59">
        <v>0.38801999999999998</v>
      </c>
      <c r="BD58" s="57">
        <f>'[2]Table 3 &amp; 13'!$H$45</f>
        <v>0.3927279961726593</v>
      </c>
      <c r="DV58" s="64" t="s">
        <v>262</v>
      </c>
      <c r="DW58" s="65">
        <v>1</v>
      </c>
      <c r="DX58" s="65">
        <f t="shared" ref="DX58:EL58" si="17">SUM(DX59:DX62)</f>
        <v>1</v>
      </c>
      <c r="DY58" s="65">
        <f t="shared" si="17"/>
        <v>1</v>
      </c>
      <c r="DZ58" s="65">
        <f t="shared" si="17"/>
        <v>1</v>
      </c>
      <c r="EA58" s="65">
        <f t="shared" si="17"/>
        <v>1</v>
      </c>
      <c r="EB58" s="65">
        <f t="shared" si="17"/>
        <v>1</v>
      </c>
      <c r="EC58" s="65">
        <f t="shared" si="17"/>
        <v>1</v>
      </c>
      <c r="ED58" s="65">
        <f t="shared" si="17"/>
        <v>1</v>
      </c>
      <c r="EE58" s="65">
        <f t="shared" si="17"/>
        <v>1</v>
      </c>
      <c r="EF58" s="65">
        <f t="shared" si="17"/>
        <v>0.99999999999999989</v>
      </c>
      <c r="EG58" s="65">
        <f t="shared" si="17"/>
        <v>1</v>
      </c>
      <c r="EH58" s="65">
        <f t="shared" si="17"/>
        <v>1</v>
      </c>
      <c r="EI58" s="65">
        <f t="shared" si="17"/>
        <v>0.99999999999999989</v>
      </c>
      <c r="EJ58" s="65">
        <f t="shared" si="17"/>
        <v>1</v>
      </c>
      <c r="EK58" s="65">
        <f t="shared" si="17"/>
        <v>1</v>
      </c>
      <c r="EL58" s="65">
        <f t="shared" si="17"/>
        <v>1</v>
      </c>
      <c r="EM58" s="65">
        <f t="shared" ref="EM58" si="18">SUM(EM59:EM62)</f>
        <v>0.99999999999999989</v>
      </c>
    </row>
    <row r="59" spans="39:208">
      <c r="AN59" s="2"/>
      <c r="AO59" s="2"/>
      <c r="AP59" s="2"/>
      <c r="AQ59" s="2"/>
      <c r="AR59" s="2"/>
      <c r="AS59" s="2"/>
      <c r="BD59" s="161"/>
      <c r="DV59" s="64" t="s">
        <v>263</v>
      </c>
      <c r="DW59" s="65">
        <v>7.314452082730602E-2</v>
      </c>
      <c r="DX59" s="65">
        <v>7.383623898931585E-2</v>
      </c>
      <c r="DY59" s="65">
        <v>7.0300624760818844E-2</v>
      </c>
      <c r="DZ59" s="65">
        <v>7.040017382918394E-2</v>
      </c>
      <c r="EA59" s="65">
        <v>6.6440613616187513E-2</v>
      </c>
      <c r="EB59" s="65">
        <v>6.7143055581113983E-2</v>
      </c>
      <c r="EC59" s="65">
        <v>8.0730801472210914E-2</v>
      </c>
      <c r="ED59" s="65">
        <v>8.490208304257621E-2</v>
      </c>
      <c r="EE59" s="65">
        <v>8.5504678617046831E-2</v>
      </c>
      <c r="EF59" s="65">
        <v>9.5377041960530401E-2</v>
      </c>
      <c r="EG59" s="65">
        <v>0.12243683578694049</v>
      </c>
      <c r="EH59" s="65">
        <v>0.12428625061273205</v>
      </c>
      <c r="EI59" s="65">
        <v>0.12337841301852527</v>
      </c>
      <c r="EJ59" s="65">
        <v>0.12644166630334208</v>
      </c>
      <c r="EK59" s="65">
        <v>0.104363</v>
      </c>
      <c r="EL59" s="65">
        <v>8.1656000000000006E-2</v>
      </c>
      <c r="EM59" s="2">
        <f>'[2]Table 9-10-14-16'!$I$42</f>
        <v>8.0090783499144322E-2</v>
      </c>
    </row>
    <row r="60" spans="39:208">
      <c r="AM60" s="27" t="s">
        <v>572</v>
      </c>
      <c r="DV60" s="64" t="s">
        <v>264</v>
      </c>
      <c r="DW60" s="65">
        <v>1.9545345223249262E-2</v>
      </c>
      <c r="DX60" s="65">
        <v>1.673358133616764E-2</v>
      </c>
      <c r="DY60" s="65">
        <v>2.2333308269579747E-2</v>
      </c>
      <c r="DZ60" s="65">
        <v>2.473072665087658E-2</v>
      </c>
      <c r="EA60" s="65">
        <v>2.7642874466039621E-2</v>
      </c>
      <c r="EB60" s="65">
        <v>3.3635975409433971E-2</v>
      </c>
      <c r="EC60" s="65">
        <v>3.6834569059003626E-2</v>
      </c>
      <c r="ED60" s="65">
        <v>4.096302204096703E-2</v>
      </c>
      <c r="EE60" s="65">
        <v>4.1997850774616777E-2</v>
      </c>
      <c r="EF60" s="65">
        <v>3.7779770703918178E-2</v>
      </c>
      <c r="EG60" s="65">
        <v>3.6231932947461451E-2</v>
      </c>
      <c r="EH60" s="65">
        <v>3.3371453463552747E-2</v>
      </c>
      <c r="EI60" s="65">
        <v>3.8646321584808956E-2</v>
      </c>
      <c r="EJ60" s="65">
        <v>4.0402390154677233E-2</v>
      </c>
      <c r="EK60" s="65">
        <v>3.0567E-2</v>
      </c>
      <c r="EL60" s="65">
        <v>3.0799E-2</v>
      </c>
      <c r="EM60" s="2">
        <f>'[2]Table 9-10-14-16'!$I$47</f>
        <v>3.5148147272210439E-2</v>
      </c>
    </row>
    <row r="61" spans="39:208">
      <c r="AM61" s="27" t="s">
        <v>573</v>
      </c>
      <c r="DV61" s="64" t="s">
        <v>265</v>
      </c>
      <c r="DW61" s="65">
        <v>2.7026290089055105E-2</v>
      </c>
      <c r="DX61" s="65">
        <v>2.5236592617038221E-2</v>
      </c>
      <c r="DY61" s="65">
        <v>3.0524750830751207E-2</v>
      </c>
      <c r="DZ61" s="65">
        <v>2.5474833787073058E-2</v>
      </c>
      <c r="EA61" s="65">
        <v>2.0451558545890373E-2</v>
      </c>
      <c r="EB61" s="65">
        <v>2.6397770542145361E-2</v>
      </c>
      <c r="EC61" s="65">
        <v>2.5057520722975637E-2</v>
      </c>
      <c r="ED61" s="65">
        <v>3.3818463408384583E-2</v>
      </c>
      <c r="EE61" s="65">
        <v>3.1232964501846046E-2</v>
      </c>
      <c r="EF61" s="65">
        <v>2.7452903800541755E-2</v>
      </c>
      <c r="EG61" s="65">
        <v>2.9283094297921499E-2</v>
      </c>
      <c r="EH61" s="65">
        <v>4.0631627895008432E-2</v>
      </c>
      <c r="EI61" s="65">
        <v>3.7935199202109096E-2</v>
      </c>
      <c r="EJ61" s="65">
        <v>2.8040631114716413E-2</v>
      </c>
      <c r="EK61" s="65">
        <v>2.8341000000000002E-2</v>
      </c>
      <c r="EL61" s="65">
        <v>3.7414999999999997E-2</v>
      </c>
      <c r="EM61" s="2">
        <f>'[2]Table 9-10-14-16'!$I$52</f>
        <v>4.0670295360794348E-2</v>
      </c>
    </row>
    <row r="62" spans="39:208">
      <c r="DV62" s="64" t="s">
        <v>266</v>
      </c>
      <c r="DW62" s="65">
        <v>0.85518409775786863</v>
      </c>
      <c r="DX62" s="65">
        <v>0.8841935870574783</v>
      </c>
      <c r="DY62" s="65">
        <v>0.87684131613885019</v>
      </c>
      <c r="DZ62" s="65">
        <v>0.87939426573286639</v>
      </c>
      <c r="EA62" s="65">
        <v>0.88546495337188247</v>
      </c>
      <c r="EB62" s="65">
        <v>0.87282319846730672</v>
      </c>
      <c r="EC62" s="65">
        <v>0.85737710874580986</v>
      </c>
      <c r="ED62" s="65">
        <v>0.84031643150807211</v>
      </c>
      <c r="EE62" s="65">
        <v>0.8412645061064904</v>
      </c>
      <c r="EF62" s="65">
        <v>0.83939028353500955</v>
      </c>
      <c r="EG62" s="65">
        <v>0.81204813696767653</v>
      </c>
      <c r="EH62" s="65">
        <v>0.80171066802870672</v>
      </c>
      <c r="EI62" s="65">
        <v>0.80004006619455659</v>
      </c>
      <c r="EJ62" s="65">
        <v>0.80511531242726431</v>
      </c>
      <c r="EK62" s="65">
        <v>0.83672899999999995</v>
      </c>
      <c r="EL62" s="65">
        <v>0.85013000000000005</v>
      </c>
      <c r="EM62" s="2">
        <f>'[2]Table 9-10-14-16'!$I$57</f>
        <v>0.84409077386785081</v>
      </c>
    </row>
    <row r="63" spans="39:208">
      <c r="DV63" s="61"/>
      <c r="DY63" s="64"/>
      <c r="ED63" s="138"/>
      <c r="EF63" s="138"/>
      <c r="EG63" s="138"/>
      <c r="EH63" s="138"/>
      <c r="EI63" s="138"/>
      <c r="EJ63" s="138" t="s">
        <v>272</v>
      </c>
      <c r="EK63" s="138"/>
      <c r="EL63" s="138"/>
      <c r="EM63" s="138"/>
    </row>
    <row r="64" spans="39:208">
      <c r="DV64" s="201" t="s">
        <v>594</v>
      </c>
      <c r="DX64" s="64"/>
      <c r="DY64" s="64"/>
      <c r="DZ64" s="64"/>
      <c r="EA64" s="64"/>
      <c r="EB64" s="64"/>
      <c r="EM64" s="2"/>
    </row>
    <row r="65" spans="126:171">
      <c r="DV65" s="61"/>
      <c r="DX65" s="64"/>
      <c r="DY65" s="64"/>
      <c r="DZ65" s="64"/>
      <c r="EA65" s="64"/>
      <c r="EB65" s="64"/>
      <c r="EM65" s="2"/>
      <c r="FO65" s="133"/>
    </row>
    <row r="66" spans="126:171">
      <c r="DV66" s="204" t="s">
        <v>92</v>
      </c>
      <c r="DW66" s="137" t="s">
        <v>94</v>
      </c>
      <c r="DX66" s="137" t="s">
        <v>146</v>
      </c>
      <c r="DY66" s="137" t="s">
        <v>277</v>
      </c>
      <c r="DZ66" s="137" t="s">
        <v>279</v>
      </c>
      <c r="EA66" s="137" t="s">
        <v>382</v>
      </c>
      <c r="EB66" s="137" t="s">
        <v>381</v>
      </c>
      <c r="EC66" s="137" t="s">
        <v>396</v>
      </c>
      <c r="ED66" s="137" t="s">
        <v>418</v>
      </c>
      <c r="EE66" s="137" t="s">
        <v>429</v>
      </c>
      <c r="EF66" s="137" t="s">
        <v>430</v>
      </c>
      <c r="EG66" s="137" t="s">
        <v>432</v>
      </c>
      <c r="EH66" s="137" t="s">
        <v>436</v>
      </c>
      <c r="EI66" s="137" t="s">
        <v>439</v>
      </c>
      <c r="EJ66" s="137" t="s">
        <v>485</v>
      </c>
      <c r="EK66" s="137" t="s">
        <v>491</v>
      </c>
      <c r="EL66" s="291" t="s">
        <v>496</v>
      </c>
      <c r="EM66" s="291" t="s">
        <v>567</v>
      </c>
      <c r="FO66" s="133"/>
    </row>
    <row r="67" spans="126:171">
      <c r="DV67" s="62"/>
      <c r="DX67" s="64"/>
      <c r="EM67" s="2"/>
      <c r="FO67" s="133"/>
    </row>
    <row r="68" spans="126:171">
      <c r="DV68" s="201" t="s">
        <v>273</v>
      </c>
      <c r="DW68" s="63">
        <v>201.06261499999999</v>
      </c>
      <c r="DX68" s="63">
        <v>187.503355</v>
      </c>
      <c r="DY68" s="63">
        <v>206</v>
      </c>
      <c r="DZ68" s="63">
        <v>211.73184000000001</v>
      </c>
      <c r="EA68" s="63">
        <v>202</v>
      </c>
      <c r="EB68" s="63">
        <v>192.79850500000001</v>
      </c>
      <c r="EC68" s="63">
        <v>182.09100000000001</v>
      </c>
      <c r="ED68" s="63">
        <v>216.71353000000002</v>
      </c>
      <c r="EE68" s="63">
        <v>210.05283000000003</v>
      </c>
      <c r="EF68" s="63">
        <v>175.64884000000001</v>
      </c>
      <c r="EG68" s="63">
        <v>143.32323499999998</v>
      </c>
      <c r="EH68" s="63">
        <v>159.98162500000001</v>
      </c>
      <c r="EI68" s="63">
        <v>167.357685</v>
      </c>
      <c r="EJ68" s="63">
        <v>156.856765</v>
      </c>
      <c r="EK68" s="63">
        <v>175</v>
      </c>
      <c r="EL68" s="63">
        <f>168626.7/1000</f>
        <v>168.6267</v>
      </c>
      <c r="EM68" s="125">
        <f>'[2]Table 9-10-14-16'!$J$40/1000</f>
        <v>161.63276000000002</v>
      </c>
      <c r="FO68" s="133"/>
    </row>
    <row r="69" spans="126:171">
      <c r="DV69" s="64" t="s">
        <v>262</v>
      </c>
      <c r="DW69" s="65">
        <v>1</v>
      </c>
      <c r="DX69" s="65">
        <f t="shared" ref="DX69:EL69" si="19">SUM(DX70:DX73)</f>
        <v>1.0000000000000002</v>
      </c>
      <c r="DY69" s="65">
        <f t="shared" si="19"/>
        <v>1</v>
      </c>
      <c r="DZ69" s="65">
        <f t="shared" si="19"/>
        <v>1</v>
      </c>
      <c r="EA69" s="65">
        <f t="shared" si="19"/>
        <v>1</v>
      </c>
      <c r="EB69" s="65">
        <f t="shared" si="19"/>
        <v>1</v>
      </c>
      <c r="EC69" s="65">
        <f t="shared" si="19"/>
        <v>1</v>
      </c>
      <c r="ED69" s="65">
        <f t="shared" si="19"/>
        <v>1</v>
      </c>
      <c r="EE69" s="65">
        <f t="shared" si="19"/>
        <v>0.99999999999999989</v>
      </c>
      <c r="EF69" s="65">
        <f t="shared" si="19"/>
        <v>0.99999999999999989</v>
      </c>
      <c r="EG69" s="65">
        <f t="shared" si="19"/>
        <v>1</v>
      </c>
      <c r="EH69" s="65">
        <f t="shared" si="19"/>
        <v>1</v>
      </c>
      <c r="EI69" s="65">
        <f t="shared" si="19"/>
        <v>1</v>
      </c>
      <c r="EJ69" s="65">
        <f t="shared" si="19"/>
        <v>1</v>
      </c>
      <c r="EK69" s="65">
        <f t="shared" si="19"/>
        <v>0.99999999999999989</v>
      </c>
      <c r="EL69" s="65">
        <f t="shared" si="19"/>
        <v>1</v>
      </c>
      <c r="EM69" s="65">
        <f t="shared" ref="EM69" si="20">SUM(EM70:EM73)</f>
        <v>1</v>
      </c>
      <c r="FO69" s="133"/>
    </row>
    <row r="70" spans="126:171">
      <c r="DV70" s="64" t="s">
        <v>263</v>
      </c>
      <c r="DW70" s="65">
        <v>0.11743595396886687</v>
      </c>
      <c r="DX70" s="65">
        <v>0.1069532062506295</v>
      </c>
      <c r="DY70" s="65">
        <v>0.12494440045144367</v>
      </c>
      <c r="DZ70" s="65">
        <v>0.11135833420235708</v>
      </c>
      <c r="EA70" s="65">
        <v>0.10137948349709533</v>
      </c>
      <c r="EB70" s="65">
        <v>0.16519277470538477</v>
      </c>
      <c r="EC70" s="65">
        <v>0.1781905735119412</v>
      </c>
      <c r="ED70" s="65">
        <v>0.18550244647853781</v>
      </c>
      <c r="EE70" s="65">
        <v>0.18998234872627043</v>
      </c>
      <c r="EF70" s="65">
        <v>0.1698909881784588</v>
      </c>
      <c r="EG70" s="65">
        <v>0.17513140838608621</v>
      </c>
      <c r="EH70" s="65">
        <v>0.1860908713735093</v>
      </c>
      <c r="EI70" s="65">
        <v>0.15968875286485945</v>
      </c>
      <c r="EJ70" s="65">
        <v>0.18873301384227836</v>
      </c>
      <c r="EK70" s="65">
        <v>0.22756899999999999</v>
      </c>
      <c r="EL70" s="65">
        <v>0.23442199999999999</v>
      </c>
      <c r="EM70" s="116">
        <f>'T7-T10'!BT26</f>
        <v>0.19337855766368153</v>
      </c>
      <c r="FO70" s="133"/>
    </row>
    <row r="71" spans="126:171">
      <c r="DV71" s="64" t="s">
        <v>264</v>
      </c>
      <c r="DW71" s="65">
        <v>6.2869246898353423E-2</v>
      </c>
      <c r="DX71" s="65">
        <v>5.4098898657040026E-2</v>
      </c>
      <c r="DY71" s="65">
        <v>0.10800873122613158</v>
      </c>
      <c r="DZ71" s="65">
        <v>0.10635037224443898</v>
      </c>
      <c r="EA71" s="65">
        <v>5.3050930838017069E-2</v>
      </c>
      <c r="EB71" s="65">
        <v>4.4556543630875141E-2</v>
      </c>
      <c r="EC71" s="65">
        <v>6.6024105714882347E-2</v>
      </c>
      <c r="ED71" s="65">
        <v>4.4180536397519801E-2</v>
      </c>
      <c r="EE71" s="65">
        <v>6.9069909698431561E-2</v>
      </c>
      <c r="EF71" s="65">
        <v>9.0846230467562433E-2</v>
      </c>
      <c r="EG71" s="65">
        <v>7.3798083053316518E-2</v>
      </c>
      <c r="EH71" s="65">
        <v>5.0239238412536434E-2</v>
      </c>
      <c r="EI71" s="65">
        <v>6.4865560251983645E-2</v>
      </c>
      <c r="EJ71" s="65">
        <v>6.3858737619636619E-2</v>
      </c>
      <c r="EK71" s="65">
        <v>4.9568000000000001E-2</v>
      </c>
      <c r="EL71" s="65">
        <v>6.9434999999999997E-2</v>
      </c>
      <c r="EM71" s="116">
        <f>'[2]Table 9-10-14-16'!$J$49</f>
        <v>0.10929504637549961</v>
      </c>
    </row>
    <row r="72" spans="126:171">
      <c r="DV72" s="64" t="s">
        <v>265</v>
      </c>
      <c r="DW72" s="65">
        <v>5.2135633366659911E-2</v>
      </c>
      <c r="DX72" s="65">
        <v>7.1035235609517508E-2</v>
      </c>
      <c r="DY72" s="65">
        <v>4.1671893507766865E-2</v>
      </c>
      <c r="DZ72" s="65">
        <v>2.6069697405926285E-2</v>
      </c>
      <c r="EA72" s="65">
        <v>2.4496207553963638E-2</v>
      </c>
      <c r="EB72" s="65">
        <v>4.3060240534541494E-2</v>
      </c>
      <c r="EC72" s="65">
        <v>5.3905896576545861E-2</v>
      </c>
      <c r="ED72" s="65">
        <v>6.7291829910204493E-2</v>
      </c>
      <c r="EE72" s="65">
        <v>3.9361883389050265E-2</v>
      </c>
      <c r="EF72" s="65">
        <v>2.7890221193604237E-2</v>
      </c>
      <c r="EG72" s="65">
        <v>3.7444626476649097E-2</v>
      </c>
      <c r="EH72" s="65">
        <v>6.1450244676537071E-2</v>
      </c>
      <c r="EI72" s="65">
        <v>7.7846828485946137E-2</v>
      </c>
      <c r="EJ72" s="65">
        <v>6.9955223161717012E-2</v>
      </c>
      <c r="EK72" s="65">
        <v>6.8912000000000001E-2</v>
      </c>
      <c r="EL72" s="65">
        <v>5.1036999999999999E-2</v>
      </c>
      <c r="EM72" s="116">
        <f>'[2]Table 9-10-14-16'!$J$54</f>
        <v>3.2077346201351754E-2</v>
      </c>
    </row>
    <row r="73" spans="126:171">
      <c r="DV73" s="64" t="s">
        <v>266</v>
      </c>
      <c r="DW73" s="65">
        <v>0.76783325113480005</v>
      </c>
      <c r="DX73" s="65">
        <v>0.76791265948281318</v>
      </c>
      <c r="DY73" s="65">
        <v>0.72537497481465785</v>
      </c>
      <c r="DZ73" s="65">
        <v>0.75622159614727757</v>
      </c>
      <c r="EA73" s="65">
        <v>0.82107337811092396</v>
      </c>
      <c r="EB73" s="65">
        <v>0.74719044112919863</v>
      </c>
      <c r="EC73" s="65">
        <v>0.70187942419663063</v>
      </c>
      <c r="ED73" s="65">
        <v>0.70302518721373786</v>
      </c>
      <c r="EE73" s="65">
        <v>0.70158585818624764</v>
      </c>
      <c r="EF73" s="65">
        <v>0.71137256016037442</v>
      </c>
      <c r="EG73" s="65">
        <v>0.71362588208394828</v>
      </c>
      <c r="EH73" s="65">
        <v>0.70221964553741723</v>
      </c>
      <c r="EI73" s="65">
        <v>0.6975988583972107</v>
      </c>
      <c r="EJ73" s="65">
        <v>0.67745302537636809</v>
      </c>
      <c r="EK73" s="65">
        <v>0.65395099999999995</v>
      </c>
      <c r="EL73" s="65">
        <v>0.64510599999999996</v>
      </c>
      <c r="EM73" s="116">
        <f>'[2]Table 9-10-14-16'!$J$59</f>
        <v>0.66524904975946708</v>
      </c>
    </row>
    <row r="74" spans="126:171">
      <c r="DV74" s="61"/>
      <c r="DW74" s="293"/>
      <c r="DX74" s="64"/>
      <c r="EM74" s="2"/>
    </row>
    <row r="75" spans="126:171">
      <c r="DV75" s="216" t="s">
        <v>274</v>
      </c>
      <c r="DW75" s="293"/>
      <c r="DX75" s="64"/>
      <c r="EM75" s="2"/>
    </row>
    <row r="76" spans="126:171">
      <c r="DV76" s="201" t="s">
        <v>275</v>
      </c>
      <c r="DW76" s="63">
        <v>1781.290835</v>
      </c>
      <c r="DX76" s="63">
        <v>1847.931785</v>
      </c>
      <c r="DY76" s="63">
        <v>1826</v>
      </c>
      <c r="DZ76" s="63">
        <v>1802.6914999999999</v>
      </c>
      <c r="EA76" s="63">
        <v>1808</v>
      </c>
      <c r="EB76" s="63">
        <v>1830.34475</v>
      </c>
      <c r="EC76" s="63">
        <v>1797.9720950000001</v>
      </c>
      <c r="ED76" s="63">
        <v>1771.8283100000001</v>
      </c>
      <c r="EE76" s="63">
        <v>1815.2800649999999</v>
      </c>
      <c r="EF76" s="63">
        <v>1829.3616549999999</v>
      </c>
      <c r="EG76" s="63">
        <v>1814.6692650000002</v>
      </c>
      <c r="EH76" s="63">
        <v>1835.3590099999999</v>
      </c>
      <c r="EI76" s="63">
        <v>1828.38201</v>
      </c>
      <c r="EJ76" s="63">
        <v>1865.8192199999999</v>
      </c>
      <c r="EK76" s="63">
        <v>1929</v>
      </c>
      <c r="EL76" s="63">
        <f>1934421/1000</f>
        <v>1934.421</v>
      </c>
      <c r="EM76" s="118">
        <f>'[2]Table 9-10-14-16'!$H$63/1000</f>
        <v>1908.9101699999999</v>
      </c>
    </row>
    <row r="77" spans="126:171">
      <c r="DV77" s="64" t="s">
        <v>262</v>
      </c>
      <c r="DW77" s="65">
        <v>1</v>
      </c>
      <c r="DX77" s="65">
        <f t="shared" ref="DX77:EL77" si="21">SUM(DX78:DX81)</f>
        <v>1</v>
      </c>
      <c r="DY77" s="65">
        <f t="shared" si="21"/>
        <v>1</v>
      </c>
      <c r="DZ77" s="65">
        <f t="shared" si="21"/>
        <v>1</v>
      </c>
      <c r="EA77" s="65">
        <f t="shared" si="21"/>
        <v>1</v>
      </c>
      <c r="EB77" s="65">
        <f t="shared" si="21"/>
        <v>1</v>
      </c>
      <c r="EC77" s="65">
        <f t="shared" si="21"/>
        <v>1</v>
      </c>
      <c r="ED77" s="65">
        <f t="shared" si="21"/>
        <v>1</v>
      </c>
      <c r="EE77" s="65">
        <f t="shared" si="21"/>
        <v>1</v>
      </c>
      <c r="EF77" s="65">
        <f t="shared" si="21"/>
        <v>1</v>
      </c>
      <c r="EG77" s="65">
        <f t="shared" si="21"/>
        <v>1</v>
      </c>
      <c r="EH77" s="65">
        <f t="shared" si="21"/>
        <v>1</v>
      </c>
      <c r="EI77" s="65">
        <f t="shared" si="21"/>
        <v>1</v>
      </c>
      <c r="EJ77" s="65">
        <f t="shared" si="21"/>
        <v>1</v>
      </c>
      <c r="EK77" s="65">
        <f t="shared" si="21"/>
        <v>1</v>
      </c>
      <c r="EL77" s="65">
        <f t="shared" si="21"/>
        <v>1</v>
      </c>
      <c r="EM77" s="65">
        <f t="shared" ref="EM77" si="22">SUM(EM78:EM81)</f>
        <v>1</v>
      </c>
    </row>
    <row r="78" spans="126:171">
      <c r="DV78" s="64" t="s">
        <v>263</v>
      </c>
      <c r="DW78" s="65">
        <v>4.9799486972046378E-2</v>
      </c>
      <c r="DX78" s="65">
        <v>5.6770629117134867E-2</v>
      </c>
      <c r="DY78" s="65">
        <v>5.3783313859620117E-2</v>
      </c>
      <c r="DZ78" s="65">
        <v>5.3875299794779084E-2</v>
      </c>
      <c r="EA78" s="65">
        <v>5.0068367052580019E-2</v>
      </c>
      <c r="EB78" s="65">
        <v>4.7017727124903652E-2</v>
      </c>
      <c r="EC78" s="65">
        <v>5.0648808873755072E-2</v>
      </c>
      <c r="ED78" s="65">
        <v>4.9706971890521374E-2</v>
      </c>
      <c r="EE78" s="65">
        <v>5.7301934839459605E-2</v>
      </c>
      <c r="EF78" s="65">
        <v>6.6800951941894726E-2</v>
      </c>
      <c r="EG78" s="65">
        <v>7.0105557223949552E-2</v>
      </c>
      <c r="EH78" s="65">
        <v>6.3193249586629918E-2</v>
      </c>
      <c r="EI78" s="65">
        <v>5.7948721558466872E-2</v>
      </c>
      <c r="EJ78" s="65">
        <v>6.482653769640126E-2</v>
      </c>
      <c r="EK78" s="65">
        <v>6.7797999999999997E-2</v>
      </c>
      <c r="EL78" s="65">
        <v>6.3761999999999999E-2</v>
      </c>
      <c r="EM78" s="116">
        <f>'[2]Table 9-10-14-16'!$H$64</f>
        <v>5.6389348064503214E-2</v>
      </c>
    </row>
    <row r="79" spans="126:171">
      <c r="DV79" s="64" t="s">
        <v>264</v>
      </c>
      <c r="DW79" s="65">
        <v>2.6134183464966883E-2</v>
      </c>
      <c r="DX79" s="65">
        <v>2.1986782915799027E-2</v>
      </c>
      <c r="DY79" s="65">
        <v>2.068491154055193E-2</v>
      </c>
      <c r="DZ79" s="65">
        <v>1.9800151606639296E-2</v>
      </c>
      <c r="EA79" s="65">
        <v>1.9643271569602012E-2</v>
      </c>
      <c r="EB79" s="65">
        <v>2.0585250401597838E-2</v>
      </c>
      <c r="EC79" s="65">
        <v>2.9550108229015645E-2</v>
      </c>
      <c r="ED79" s="65">
        <v>2.3544781266081019E-2</v>
      </c>
      <c r="EE79" s="65">
        <v>2.5536032094309373E-2</v>
      </c>
      <c r="EF79" s="65">
        <v>2.517937056027339E-2</v>
      </c>
      <c r="EG79" s="65">
        <v>2.5641250941669524E-2</v>
      </c>
      <c r="EH79" s="65">
        <v>2.7834913889680905E-2</v>
      </c>
      <c r="EI79" s="65">
        <v>2.9355719814810475E-2</v>
      </c>
      <c r="EJ79" s="65">
        <v>2.7439978884985439E-2</v>
      </c>
      <c r="EK79" s="65">
        <v>2.3585999999999999E-2</v>
      </c>
      <c r="EL79" s="65">
        <v>2.4004999999999999E-2</v>
      </c>
      <c r="EM79" s="116">
        <f>'[2]Table 9-10-14-16'!$H$66</f>
        <v>2.4758105825377838E-2</v>
      </c>
    </row>
    <row r="80" spans="126:171">
      <c r="DV80" s="64" t="s">
        <v>265</v>
      </c>
      <c r="DW80" s="65">
        <v>3.3130474550796589E-2</v>
      </c>
      <c r="DX80" s="65">
        <v>3.0837967322478843E-2</v>
      </c>
      <c r="DY80" s="65">
        <v>2.4637372942282361E-2</v>
      </c>
      <c r="DZ80" s="65">
        <v>2.253735040077573E-2</v>
      </c>
      <c r="EA80" s="65">
        <v>2.2069854162951007E-2</v>
      </c>
      <c r="EB80" s="65">
        <v>2.2623877277764201E-2</v>
      </c>
      <c r="EC80" s="65">
        <v>2.1433970030552672E-2</v>
      </c>
      <c r="ED80" s="65">
        <v>1.8739840543579529E-2</v>
      </c>
      <c r="EE80" s="65">
        <v>2.0203744704264132E-2</v>
      </c>
      <c r="EF80" s="65">
        <v>2.481870103481534E-2</v>
      </c>
      <c r="EG80" s="65">
        <v>2.3897729374944804E-2</v>
      </c>
      <c r="EH80" s="65">
        <v>2.6901358116306631E-2</v>
      </c>
      <c r="EI80" s="65">
        <v>2.4845540894377974E-2</v>
      </c>
      <c r="EJ80" s="65">
        <v>2.0692562058611447E-2</v>
      </c>
      <c r="EK80" s="65">
        <v>2.2893E-2</v>
      </c>
      <c r="EL80" s="65">
        <v>2.6306E-2</v>
      </c>
      <c r="EM80" s="116">
        <f>'[2]Table 9-10-14-16'!$H$68</f>
        <v>3.308902167984154E-2</v>
      </c>
    </row>
    <row r="81" spans="126:143">
      <c r="DV81" s="64" t="s">
        <v>266</v>
      </c>
      <c r="DW81" s="65">
        <v>0.89093585501219019</v>
      </c>
      <c r="DX81" s="65">
        <v>0.89040462064458736</v>
      </c>
      <c r="DY81" s="65">
        <v>0.90089440165754564</v>
      </c>
      <c r="DZ81" s="65">
        <v>0.90378719819780584</v>
      </c>
      <c r="EA81" s="65">
        <v>0.90821850721486697</v>
      </c>
      <c r="EB81" s="65">
        <v>0.90977314519573427</v>
      </c>
      <c r="EC81" s="65">
        <v>0.89836711286667659</v>
      </c>
      <c r="ED81" s="65">
        <v>0.90800840629981805</v>
      </c>
      <c r="EE81" s="65">
        <v>0.89695828836196689</v>
      </c>
      <c r="EF81" s="65">
        <v>0.88320097646301654</v>
      </c>
      <c r="EG81" s="65">
        <v>0.88035546245943608</v>
      </c>
      <c r="EH81" s="65">
        <v>0.88207047840738251</v>
      </c>
      <c r="EI81" s="65">
        <v>0.88785001773234462</v>
      </c>
      <c r="EJ81" s="65">
        <v>0.8870409213600019</v>
      </c>
      <c r="EK81" s="65">
        <v>0.88572300000000004</v>
      </c>
      <c r="EL81" s="65">
        <v>0.88592700000000002</v>
      </c>
      <c r="EM81" s="116">
        <f>'[2]Table 9-10-14-16'!$H$70</f>
        <v>0.88576352443027739</v>
      </c>
    </row>
    <row r="82" spans="126:143">
      <c r="DV82" s="61"/>
      <c r="DW82" s="293"/>
      <c r="DX82" s="64"/>
      <c r="EM82" s="2"/>
    </row>
    <row r="83" spans="126:143">
      <c r="DV83" s="201" t="s">
        <v>276</v>
      </c>
      <c r="DW83" s="63">
        <v>435.24704500000001</v>
      </c>
      <c r="DX83" s="63">
        <v>443.95535999999998</v>
      </c>
      <c r="DY83" s="63">
        <v>433</v>
      </c>
      <c r="DZ83" s="63">
        <v>440.759635</v>
      </c>
      <c r="EA83" s="63">
        <v>460</v>
      </c>
      <c r="EB83" s="63">
        <v>465.89768500000002</v>
      </c>
      <c r="EC83" s="63">
        <v>448.45227</v>
      </c>
      <c r="ED83" s="63">
        <v>415.14234999999996</v>
      </c>
      <c r="EE83" s="63">
        <v>417.12412</v>
      </c>
      <c r="EF83" s="63">
        <v>388.28607500000004</v>
      </c>
      <c r="EG83" s="63">
        <v>361.06125500000002</v>
      </c>
      <c r="EH83" s="63">
        <v>384.95165999999995</v>
      </c>
      <c r="EI83" s="63">
        <v>389.25933999999995</v>
      </c>
      <c r="EJ83" s="63">
        <v>368.42223999999999</v>
      </c>
      <c r="EK83" s="63">
        <v>375</v>
      </c>
      <c r="EL83" s="63">
        <f>379726.4/1000</f>
        <v>379.72640000000001</v>
      </c>
      <c r="EM83" s="125">
        <f>'[2]Table 9-10-14-16'!$I$63/1000</f>
        <v>371.77755000000002</v>
      </c>
    </row>
    <row r="84" spans="126:143">
      <c r="DV84" s="64" t="s">
        <v>262</v>
      </c>
      <c r="DW84" s="65">
        <v>1</v>
      </c>
      <c r="DX84" s="65">
        <f t="shared" ref="DX84:EL84" si="23">SUM(DX85:DX88)</f>
        <v>1</v>
      </c>
      <c r="DY84" s="65">
        <f t="shared" si="23"/>
        <v>1</v>
      </c>
      <c r="DZ84" s="65">
        <f t="shared" si="23"/>
        <v>1</v>
      </c>
      <c r="EA84" s="65">
        <f t="shared" si="23"/>
        <v>1</v>
      </c>
      <c r="EB84" s="65">
        <f t="shared" si="23"/>
        <v>1</v>
      </c>
      <c r="EC84" s="65">
        <f t="shared" si="23"/>
        <v>1</v>
      </c>
      <c r="ED84" s="65">
        <f t="shared" si="23"/>
        <v>1.0000000000000002</v>
      </c>
      <c r="EE84" s="65">
        <f t="shared" si="23"/>
        <v>1</v>
      </c>
      <c r="EF84" s="65">
        <f t="shared" si="23"/>
        <v>0.99999999999999989</v>
      </c>
      <c r="EG84" s="65">
        <f t="shared" si="23"/>
        <v>1</v>
      </c>
      <c r="EH84" s="65">
        <f t="shared" si="23"/>
        <v>1</v>
      </c>
      <c r="EI84" s="65">
        <f t="shared" si="23"/>
        <v>1</v>
      </c>
      <c r="EJ84" s="65">
        <f t="shared" si="23"/>
        <v>1</v>
      </c>
      <c r="EK84" s="65">
        <f t="shared" si="23"/>
        <v>1</v>
      </c>
      <c r="EL84" s="65">
        <f t="shared" si="23"/>
        <v>1</v>
      </c>
      <c r="EM84" s="65">
        <f t="shared" ref="EM84" si="24">SUM(EM85:EM88)</f>
        <v>1</v>
      </c>
    </row>
    <row r="85" spans="126:143">
      <c r="DV85" s="64" t="s">
        <v>263</v>
      </c>
      <c r="DW85" s="65">
        <v>9.6292382639840787E-2</v>
      </c>
      <c r="DX85" s="65">
        <v>8.2395367408110598E-2</v>
      </c>
      <c r="DY85" s="65">
        <v>0.10707754357568357</v>
      </c>
      <c r="DZ85" s="65">
        <v>0.10817896244060551</v>
      </c>
      <c r="EA85" s="65">
        <v>8.831504100764119E-2</v>
      </c>
      <c r="EB85" s="65">
        <v>0.11667363189409281</v>
      </c>
      <c r="EC85" s="65">
        <v>0.12833380239105491</v>
      </c>
      <c r="ED85" s="65">
        <v>0.13432987504165741</v>
      </c>
      <c r="EE85" s="65">
        <v>0.13063476166278759</v>
      </c>
      <c r="EF85" s="65">
        <v>0.12566914741920632</v>
      </c>
      <c r="EG85" s="65">
        <v>0.16609480848339708</v>
      </c>
      <c r="EH85" s="65">
        <v>0.18349028550753621</v>
      </c>
      <c r="EI85" s="65">
        <v>0.17618218229522764</v>
      </c>
      <c r="EJ85" s="65">
        <v>0.18166739879764043</v>
      </c>
      <c r="EK85" s="65">
        <v>0.16453899999999999</v>
      </c>
      <c r="EL85" s="65">
        <v>0.12120499999999999</v>
      </c>
      <c r="EM85" s="116">
        <f>'T7-T10'!BT29</f>
        <v>0.1115030210942</v>
      </c>
    </row>
    <row r="86" spans="126:143">
      <c r="DV86" s="64" t="s">
        <v>264</v>
      </c>
      <c r="DW86" s="65">
        <v>2.8814744270398811E-2</v>
      </c>
      <c r="DX86" s="65">
        <v>3.6210048235480255E-2</v>
      </c>
      <c r="DY86" s="65">
        <v>3.8233864580671469E-2</v>
      </c>
      <c r="DZ86" s="65">
        <v>3.1521613815657143E-2</v>
      </c>
      <c r="EA86" s="65">
        <v>3.5334286668905722E-2</v>
      </c>
      <c r="EB86" s="65">
        <v>3.5856713904899529E-2</v>
      </c>
      <c r="EC86" s="65">
        <v>3.8574473042582658E-2</v>
      </c>
      <c r="ED86" s="65">
        <v>4.4135800647657368E-2</v>
      </c>
      <c r="EE86" s="65">
        <v>5.7614218041382982E-2</v>
      </c>
      <c r="EF86" s="65">
        <v>6.2646928556477327E-2</v>
      </c>
      <c r="EG86" s="65">
        <v>5.6604868888521412E-2</v>
      </c>
      <c r="EH86" s="65">
        <v>4.9657793396708561E-2</v>
      </c>
      <c r="EI86" s="65">
        <v>4.5045187611940159E-2</v>
      </c>
      <c r="EJ86" s="65">
        <v>3.3276899896162622E-2</v>
      </c>
      <c r="EK86" s="65">
        <v>3.3256000000000001E-2</v>
      </c>
      <c r="EL86" s="65">
        <v>4.1487000000000003E-2</v>
      </c>
      <c r="EM86" s="116">
        <f>'[2]Table 9-10-14-16'!$I$67</f>
        <v>5.2171116841240137E-2</v>
      </c>
    </row>
    <row r="87" spans="126:143">
      <c r="DV87" s="64" t="s">
        <v>265</v>
      </c>
      <c r="DW87" s="65">
        <v>2.9959529662143138E-2</v>
      </c>
      <c r="DX87" s="65">
        <v>3.418327914770531E-2</v>
      </c>
      <c r="DY87" s="65">
        <v>4.0356738865466119E-2</v>
      </c>
      <c r="DZ87" s="65">
        <v>3.4664608069203073E-2</v>
      </c>
      <c r="EA87" s="65">
        <v>2.3584461993321142E-2</v>
      </c>
      <c r="EB87" s="65">
        <v>2.6025885919566224E-2</v>
      </c>
      <c r="EC87" s="65">
        <v>2.4911179510809473E-2</v>
      </c>
      <c r="ED87" s="65">
        <v>7.0704879904447238E-2</v>
      </c>
      <c r="EE87" s="65">
        <v>4.5013771919974327E-2</v>
      </c>
      <c r="EF87" s="65">
        <v>2.5424720677917689E-2</v>
      </c>
      <c r="EG87" s="65">
        <v>3.3680933170190192E-2</v>
      </c>
      <c r="EH87" s="65">
        <v>5.0241684891032812E-2</v>
      </c>
      <c r="EI87" s="65">
        <v>5.7362066122806463E-2</v>
      </c>
      <c r="EJ87" s="65">
        <v>5.2248420182234384E-2</v>
      </c>
      <c r="EK87" s="65">
        <v>5.2038000000000001E-2</v>
      </c>
      <c r="EL87" s="65">
        <v>5.3225000000000001E-2</v>
      </c>
      <c r="EM87" s="116">
        <f>'[2]Table 9-10-14-16'!$I$69</f>
        <v>3.6908576109557986E-2</v>
      </c>
    </row>
    <row r="88" spans="126:143">
      <c r="DV88" s="64" t="s">
        <v>266</v>
      </c>
      <c r="DW88" s="65">
        <v>0.84477827723110743</v>
      </c>
      <c r="DX88" s="65">
        <v>0.84721130520870391</v>
      </c>
      <c r="DY88" s="65">
        <v>0.81433185297817889</v>
      </c>
      <c r="DZ88" s="65">
        <v>0.82563481567453423</v>
      </c>
      <c r="EA88" s="65">
        <v>0.852766210330132</v>
      </c>
      <c r="EB88" s="65">
        <v>0.8214437682814415</v>
      </c>
      <c r="EC88" s="65">
        <v>0.80818054505555292</v>
      </c>
      <c r="ED88" s="65">
        <v>0.75082944440623811</v>
      </c>
      <c r="EE88" s="65">
        <v>0.76673724837585511</v>
      </c>
      <c r="EF88" s="65">
        <v>0.78625920334639854</v>
      </c>
      <c r="EG88" s="65">
        <v>0.74361938945789141</v>
      </c>
      <c r="EH88" s="65">
        <v>0.71661023620472242</v>
      </c>
      <c r="EI88" s="65">
        <v>0.72141056397002579</v>
      </c>
      <c r="EJ88" s="65">
        <v>0.73280728112396254</v>
      </c>
      <c r="EK88" s="65">
        <v>0.75016700000000003</v>
      </c>
      <c r="EL88" s="65">
        <v>0.78408299999999997</v>
      </c>
      <c r="EM88" s="116">
        <f>'[2]Table 9-10-14-16'!$I$71</f>
        <v>0.79941728595500183</v>
      </c>
    </row>
    <row r="89" spans="126:143">
      <c r="DV89" s="61"/>
      <c r="DW89" s="293"/>
      <c r="DX89" s="64"/>
      <c r="EM89" s="2"/>
    </row>
    <row r="90" spans="126:143">
      <c r="DV90" s="216" t="s">
        <v>407</v>
      </c>
      <c r="DW90" s="293"/>
      <c r="DX90" s="64"/>
      <c r="EM90" s="2"/>
    </row>
    <row r="91" spans="126:143">
      <c r="DV91" s="222" t="s">
        <v>408</v>
      </c>
      <c r="DW91" s="63">
        <v>332.337175</v>
      </c>
      <c r="DX91" s="63">
        <v>346.55194999999998</v>
      </c>
      <c r="DY91" s="63">
        <v>300</v>
      </c>
      <c r="DZ91" s="63">
        <v>274.33348999999998</v>
      </c>
      <c r="EA91" s="63">
        <v>279.58600000000001</v>
      </c>
      <c r="EB91" s="63">
        <v>267.217285</v>
      </c>
      <c r="EC91" s="63">
        <v>262.84044499999999</v>
      </c>
      <c r="ED91" s="63">
        <v>267.33453000000003</v>
      </c>
      <c r="EE91" s="63">
        <v>254.57214500000001</v>
      </c>
      <c r="EF91" s="63">
        <v>252.01635000000002</v>
      </c>
      <c r="EG91" s="63">
        <v>280.87528500000002</v>
      </c>
      <c r="EH91" s="63">
        <v>156.59314000000001</v>
      </c>
      <c r="EI91" s="63">
        <v>166.45975000000001</v>
      </c>
      <c r="EJ91" s="63">
        <v>254.07237499999999</v>
      </c>
      <c r="EK91" s="63">
        <v>296</v>
      </c>
      <c r="EL91" s="63">
        <f>175931/1000</f>
        <v>175.93100000000001</v>
      </c>
      <c r="EM91" s="125">
        <f>'[2]Table 9-10-14-16'!$H$74/1000</f>
        <v>230.59524000000002</v>
      </c>
    </row>
    <row r="92" spans="126:143">
      <c r="DV92" s="64" t="s">
        <v>262</v>
      </c>
      <c r="DW92" s="65">
        <v>1</v>
      </c>
      <c r="DX92" s="65">
        <f t="shared" ref="DX92:EL92" si="25">SUM(DX93:DX96)</f>
        <v>1</v>
      </c>
      <c r="DY92" s="65">
        <f t="shared" si="25"/>
        <v>1</v>
      </c>
      <c r="DZ92" s="65">
        <f t="shared" si="25"/>
        <v>1</v>
      </c>
      <c r="EA92" s="65">
        <f t="shared" si="25"/>
        <v>1</v>
      </c>
      <c r="EB92" s="65">
        <f t="shared" si="25"/>
        <v>1</v>
      </c>
      <c r="EC92" s="65">
        <f t="shared" si="25"/>
        <v>1</v>
      </c>
      <c r="ED92" s="65">
        <f t="shared" si="25"/>
        <v>1</v>
      </c>
      <c r="EE92" s="65">
        <f t="shared" si="25"/>
        <v>1</v>
      </c>
      <c r="EF92" s="65">
        <f t="shared" si="25"/>
        <v>0.99999999999999978</v>
      </c>
      <c r="EG92" s="65">
        <f t="shared" si="25"/>
        <v>1</v>
      </c>
      <c r="EH92" s="65">
        <f t="shared" si="25"/>
        <v>0.99999999999999989</v>
      </c>
      <c r="EI92" s="65">
        <f t="shared" si="25"/>
        <v>1</v>
      </c>
      <c r="EJ92" s="65">
        <f t="shared" si="25"/>
        <v>1</v>
      </c>
      <c r="EK92" s="65">
        <f t="shared" si="25"/>
        <v>1</v>
      </c>
      <c r="EL92" s="65">
        <f t="shared" si="25"/>
        <v>1.0000009999999999</v>
      </c>
      <c r="EM92" s="65">
        <f t="shared" ref="EM92" si="26">SUM(EM93:EM96)</f>
        <v>0.99999999999999989</v>
      </c>
    </row>
    <row r="93" spans="126:143">
      <c r="DV93" s="64" t="s">
        <v>263</v>
      </c>
      <c r="DW93" s="65">
        <v>0.12193840487450736</v>
      </c>
      <c r="DX93" s="65">
        <v>0.13986097899607838</v>
      </c>
      <c r="DY93" s="65">
        <v>0.18146469032268947</v>
      </c>
      <c r="DZ93" s="65">
        <v>0.21116211513220642</v>
      </c>
      <c r="EA93" s="65">
        <v>0.1886786352179026</v>
      </c>
      <c r="EB93" s="65">
        <v>0.18260270850368082</v>
      </c>
      <c r="EC93" s="65">
        <v>0.20301377133949075</v>
      </c>
      <c r="ED93" s="65">
        <v>0.21105051412550407</v>
      </c>
      <c r="EE93" s="65">
        <v>0.21324102446479365</v>
      </c>
      <c r="EF93" s="65">
        <v>0.22220599972977942</v>
      </c>
      <c r="EG93" s="65">
        <v>0.22725062833492096</v>
      </c>
      <c r="EH93" s="65">
        <v>0.19169038950237538</v>
      </c>
      <c r="EI93" s="65">
        <v>0.19160253454663964</v>
      </c>
      <c r="EJ93" s="65">
        <v>0.20132590172386902</v>
      </c>
      <c r="EK93" s="65">
        <v>0.208116</v>
      </c>
      <c r="EL93" s="65">
        <v>0.19548199999999999</v>
      </c>
      <c r="EM93" s="116">
        <f>'T7-T10'!BT33</f>
        <v>0.13783732049282543</v>
      </c>
    </row>
    <row r="94" spans="126:143">
      <c r="DV94" s="64" t="s">
        <v>264</v>
      </c>
      <c r="DW94" s="65">
        <v>6.1686042194948561E-2</v>
      </c>
      <c r="DX94" s="65">
        <v>5.4823930438134896E-2</v>
      </c>
      <c r="DY94" s="65">
        <v>4.6899626471996018E-2</v>
      </c>
      <c r="DZ94" s="65">
        <v>3.1056416043115986E-2</v>
      </c>
      <c r="EA94" s="65">
        <v>3.2828789619073678E-2</v>
      </c>
      <c r="EB94" s="65">
        <v>3.0068676133731397E-2</v>
      </c>
      <c r="EC94" s="65">
        <v>8.3076274657806176E-2</v>
      </c>
      <c r="ED94" s="65">
        <v>4.3814055745062183E-2</v>
      </c>
      <c r="EE94" s="65">
        <v>4.067430472410876E-2</v>
      </c>
      <c r="EF94" s="65">
        <v>5.6183338898448447E-2</v>
      </c>
      <c r="EG94" s="65">
        <v>5.1326409869063408E-2</v>
      </c>
      <c r="EH94" s="65">
        <v>3.8455579854902965E-2</v>
      </c>
      <c r="EI94" s="65">
        <v>5.1055885882322898E-2</v>
      </c>
      <c r="EJ94" s="65">
        <v>3.7411643040688697E-2</v>
      </c>
      <c r="EK94" s="65">
        <v>6.2632999999999994E-2</v>
      </c>
      <c r="EL94" s="65">
        <v>4.5719999999999997E-2</v>
      </c>
      <c r="EM94" s="116">
        <f>'[2]Table 9-10-14-16'!$H$79</f>
        <v>3.8280321831448035E-2</v>
      </c>
    </row>
    <row r="95" spans="126:143">
      <c r="DV95" s="64" t="s">
        <v>265</v>
      </c>
      <c r="DW95" s="65">
        <v>7.0305842251923822E-2</v>
      </c>
      <c r="DX95" s="65">
        <v>6.8684983593368915E-2</v>
      </c>
      <c r="DY95" s="65">
        <v>5.5605708802184239E-2</v>
      </c>
      <c r="DZ95" s="65">
        <v>5.2493900762899927E-2</v>
      </c>
      <c r="EA95" s="65">
        <v>4.7009583184259074E-2</v>
      </c>
      <c r="EB95" s="65">
        <v>5.5176314660932209E-2</v>
      </c>
      <c r="EC95" s="65">
        <v>4.0248600248717424E-2</v>
      </c>
      <c r="ED95" s="65">
        <v>5.5557469512075373E-2</v>
      </c>
      <c r="EE95" s="65">
        <v>4.9888313585918831E-2</v>
      </c>
      <c r="EF95" s="65">
        <v>4.5327555136799653E-2</v>
      </c>
      <c r="EG95" s="65">
        <v>3.1425264063372468E-2</v>
      </c>
      <c r="EH95" s="65">
        <v>3.50217129562636E-2</v>
      </c>
      <c r="EI95" s="65">
        <v>5.5640417578423605E-2</v>
      </c>
      <c r="EJ95" s="65">
        <v>4.9838397425143129E-2</v>
      </c>
      <c r="EK95" s="65">
        <v>3.2548000000000001E-2</v>
      </c>
      <c r="EL95" s="65">
        <v>3.2808999999999998E-2</v>
      </c>
      <c r="EM95" s="116">
        <f>'[2]Table 9-10-14-16'!$H$83</f>
        <v>0.10199755207436198</v>
      </c>
    </row>
    <row r="96" spans="126:143">
      <c r="DV96" s="64" t="s">
        <v>266</v>
      </c>
      <c r="DW96" s="65">
        <v>0.74606971067862038</v>
      </c>
      <c r="DX96" s="65">
        <v>0.73663010697241793</v>
      </c>
      <c r="DY96" s="65">
        <v>0.71602997440313021</v>
      </c>
      <c r="DZ96" s="65">
        <v>0.70528756806177773</v>
      </c>
      <c r="EA96" s="65">
        <v>0.73148299197876465</v>
      </c>
      <c r="EB96" s="65">
        <v>0.7321523007016556</v>
      </c>
      <c r="EC96" s="65">
        <v>0.67366135375398561</v>
      </c>
      <c r="ED96" s="65">
        <v>0.68957796061735832</v>
      </c>
      <c r="EE96" s="65">
        <v>0.6961963572251787</v>
      </c>
      <c r="EF96" s="65">
        <v>0.67628310623497234</v>
      </c>
      <c r="EG96" s="65">
        <v>0.68999769773264308</v>
      </c>
      <c r="EH96" s="65">
        <v>0.73483231768645796</v>
      </c>
      <c r="EI96" s="65">
        <v>0.70170116199261379</v>
      </c>
      <c r="EJ96" s="65">
        <v>0.71142405781029916</v>
      </c>
      <c r="EK96" s="65">
        <v>0.69670299999999996</v>
      </c>
      <c r="EL96" s="65">
        <v>0.72599000000000002</v>
      </c>
      <c r="EM96" s="116">
        <f>'[2]Table 9-10-14-16'!$H$87</f>
        <v>0.72188480560136448</v>
      </c>
    </row>
    <row r="97" spans="126:143">
      <c r="DV97" s="61"/>
      <c r="DW97" s="293"/>
      <c r="EM97" s="2"/>
    </row>
    <row r="98" spans="126:143">
      <c r="DV98" s="222" t="s">
        <v>409</v>
      </c>
      <c r="DW98" s="63">
        <v>657.06550000000004</v>
      </c>
      <c r="DX98" s="63">
        <v>647.29452500000002</v>
      </c>
      <c r="DY98" s="63">
        <v>670</v>
      </c>
      <c r="DZ98" s="63">
        <v>701.09241499999996</v>
      </c>
      <c r="EA98" s="63">
        <v>677.68399999999997</v>
      </c>
      <c r="EB98" s="63">
        <v>688.34508000000005</v>
      </c>
      <c r="EC98" s="63">
        <v>694.09629500000005</v>
      </c>
      <c r="ED98" s="63">
        <v>683.04277000000002</v>
      </c>
      <c r="EE98" s="63">
        <v>680.86943500000007</v>
      </c>
      <c r="EF98" s="63">
        <v>659.55922499999997</v>
      </c>
      <c r="EG98" s="63">
        <v>633.95845999999995</v>
      </c>
      <c r="EH98" s="63">
        <v>366.82241999999997</v>
      </c>
      <c r="EI98" s="63">
        <v>452.28068999999994</v>
      </c>
      <c r="EJ98" s="63">
        <v>616.43714</v>
      </c>
      <c r="EK98" s="63">
        <v>664</v>
      </c>
      <c r="EL98" s="63">
        <f>405868.5/1000</f>
        <v>405.86849999999998</v>
      </c>
      <c r="EM98" s="125">
        <f>'[2]Table 9-10-14-16'!$I$74/1000</f>
        <v>524.26732000000004</v>
      </c>
    </row>
    <row r="99" spans="126:143">
      <c r="DV99" s="64" t="s">
        <v>262</v>
      </c>
      <c r="DW99" s="65">
        <v>1</v>
      </c>
      <c r="DX99" s="65">
        <f t="shared" ref="DX99:EL99" si="27">SUM(DX100:DX103)</f>
        <v>0.99999999999999978</v>
      </c>
      <c r="DY99" s="65">
        <f t="shared" si="27"/>
        <v>1</v>
      </c>
      <c r="DZ99" s="65">
        <f t="shared" si="27"/>
        <v>1</v>
      </c>
      <c r="EA99" s="65">
        <f t="shared" si="27"/>
        <v>1.0000000000000002</v>
      </c>
      <c r="EB99" s="65">
        <f t="shared" si="27"/>
        <v>0.99999999999999989</v>
      </c>
      <c r="EC99" s="65">
        <f t="shared" si="27"/>
        <v>1</v>
      </c>
      <c r="ED99" s="65">
        <f t="shared" si="27"/>
        <v>1</v>
      </c>
      <c r="EE99" s="65">
        <f t="shared" si="27"/>
        <v>0.99999999999999989</v>
      </c>
      <c r="EF99" s="65">
        <f t="shared" si="27"/>
        <v>0.99999999999999989</v>
      </c>
      <c r="EG99" s="65">
        <f t="shared" si="27"/>
        <v>1</v>
      </c>
      <c r="EH99" s="65">
        <f t="shared" si="27"/>
        <v>1</v>
      </c>
      <c r="EI99" s="65">
        <f t="shared" si="27"/>
        <v>1</v>
      </c>
      <c r="EJ99" s="65">
        <f t="shared" si="27"/>
        <v>1</v>
      </c>
      <c r="EK99" s="65">
        <f t="shared" si="27"/>
        <v>1</v>
      </c>
      <c r="EL99" s="65">
        <f t="shared" si="27"/>
        <v>1</v>
      </c>
      <c r="EM99" s="65">
        <f t="shared" ref="EM99" si="28">SUM(EM100:EM103)</f>
        <v>1</v>
      </c>
    </row>
    <row r="100" spans="126:143">
      <c r="DV100" s="64" t="s">
        <v>263</v>
      </c>
      <c r="DW100" s="65">
        <v>0.10023853786266362</v>
      </c>
      <c r="DX100" s="65">
        <v>0.10292130927571184</v>
      </c>
      <c r="DY100" s="65">
        <v>9.8819497857521879E-2</v>
      </c>
      <c r="DZ100" s="65">
        <v>8.6971159144547311E-2</v>
      </c>
      <c r="EA100" s="65">
        <v>7.2175080215470894E-2</v>
      </c>
      <c r="EB100" s="65">
        <v>9.5230062514574804E-2</v>
      </c>
      <c r="EC100" s="65">
        <v>0.10310280506539801</v>
      </c>
      <c r="ED100" s="65">
        <v>8.2462552088795257E-2</v>
      </c>
      <c r="EE100" s="65">
        <v>0.10145894564939603</v>
      </c>
      <c r="EF100" s="65">
        <v>0.11005183044782674</v>
      </c>
      <c r="EG100" s="65">
        <v>0.12086248521709135</v>
      </c>
      <c r="EH100" s="65">
        <v>0.16905684227261791</v>
      </c>
      <c r="EI100" s="65">
        <v>0.12445979066672072</v>
      </c>
      <c r="EJ100" s="65">
        <v>0.14049307606611761</v>
      </c>
      <c r="EK100" s="65">
        <v>0.12475600000000001</v>
      </c>
      <c r="EL100" s="65">
        <v>0.12746199999999999</v>
      </c>
      <c r="EM100" s="116">
        <f>'T7-T10'!BT34</f>
        <v>0.1060738632345041</v>
      </c>
    </row>
    <row r="101" spans="126:143">
      <c r="DV101" s="64" t="s">
        <v>264</v>
      </c>
      <c r="DW101" s="65">
        <v>2.9672711472448335E-2</v>
      </c>
      <c r="DX101" s="65">
        <v>3.2529566042598615E-2</v>
      </c>
      <c r="DY101" s="65">
        <v>3.43896924747739E-2</v>
      </c>
      <c r="DZ101" s="65">
        <v>3.4448568381673331E-2</v>
      </c>
      <c r="EA101" s="65">
        <v>4.1872185847769104E-2</v>
      </c>
      <c r="EB101" s="65">
        <v>4.7871890070021274E-2</v>
      </c>
      <c r="EC101" s="65">
        <v>5.0773884335458083E-2</v>
      </c>
      <c r="ED101" s="65">
        <v>3.6483191235594223E-2</v>
      </c>
      <c r="EE101" s="65">
        <v>4.6033642265054825E-2</v>
      </c>
      <c r="EF101" s="65">
        <v>4.6457647529681657E-2</v>
      </c>
      <c r="EG101" s="65">
        <v>4.7663501485570525E-2</v>
      </c>
      <c r="EH101" s="65">
        <v>4.6629101896225426E-2</v>
      </c>
      <c r="EI101" s="65">
        <v>5.5672131392565098E-2</v>
      </c>
      <c r="EJ101" s="65">
        <v>4.6589876138871188E-2</v>
      </c>
      <c r="EK101" s="65">
        <v>2.8423E-2</v>
      </c>
      <c r="EL101" s="65">
        <v>4.9956E-2</v>
      </c>
      <c r="EM101" s="116">
        <f>'[2]Table 9-10-14-16'!$I$80</f>
        <v>4.8777463374982059E-2</v>
      </c>
    </row>
    <row r="102" spans="126:143">
      <c r="DV102" s="64" t="s">
        <v>265</v>
      </c>
      <c r="DW102" s="65">
        <v>4.8265736064364968E-2</v>
      </c>
      <c r="DX102" s="65">
        <v>4.3354630567901065E-2</v>
      </c>
      <c r="DY102" s="65">
        <v>3.3035215810867588E-2</v>
      </c>
      <c r="DZ102" s="65">
        <v>2.7039181418044581E-2</v>
      </c>
      <c r="EA102" s="65">
        <v>2.7467133617755921E-2</v>
      </c>
      <c r="EB102" s="65">
        <v>3.2203404431974725E-2</v>
      </c>
      <c r="EC102" s="65">
        <v>3.4929166420633324E-2</v>
      </c>
      <c r="ED102" s="65">
        <v>4.4454375821883017E-2</v>
      </c>
      <c r="EE102" s="65">
        <v>3.5160177222524319E-2</v>
      </c>
      <c r="EF102" s="65">
        <v>3.6300917480155029E-2</v>
      </c>
      <c r="EG102" s="65">
        <v>3.9782157020193408E-2</v>
      </c>
      <c r="EH102" s="65">
        <v>4.1204351686028352E-2</v>
      </c>
      <c r="EI102" s="65">
        <v>5.9746968193579088E-2</v>
      </c>
      <c r="EJ102" s="65">
        <v>3.3209809519264201E-2</v>
      </c>
      <c r="EK102" s="65">
        <v>3.6629000000000002E-2</v>
      </c>
      <c r="EL102" s="65">
        <v>2.8625000000000001E-2</v>
      </c>
      <c r="EM102" s="116">
        <f>'[2]Table 9-10-14-16'!$I$84</f>
        <v>4.2371380310334814E-2</v>
      </c>
    </row>
    <row r="103" spans="126:143">
      <c r="DV103" s="64" t="s">
        <v>266</v>
      </c>
      <c r="DW103" s="65">
        <v>0.82182301460052321</v>
      </c>
      <c r="DX103" s="65">
        <v>0.82119449411378831</v>
      </c>
      <c r="DY103" s="65">
        <v>0.83375559385683662</v>
      </c>
      <c r="DZ103" s="65">
        <v>0.85154109105573472</v>
      </c>
      <c r="EA103" s="65">
        <v>0.85848560031900423</v>
      </c>
      <c r="EB103" s="65">
        <v>0.82469464298342909</v>
      </c>
      <c r="EC103" s="65">
        <v>0.81119414417851066</v>
      </c>
      <c r="ED103" s="65">
        <v>0.8365998808537275</v>
      </c>
      <c r="EE103" s="65">
        <v>0.81734723486302474</v>
      </c>
      <c r="EF103" s="65">
        <v>0.80718960454233646</v>
      </c>
      <c r="EG103" s="65">
        <v>0.79169185627714478</v>
      </c>
      <c r="EH103" s="65">
        <v>0.74310970414512834</v>
      </c>
      <c r="EI103" s="65">
        <v>0.7601211097471352</v>
      </c>
      <c r="EJ103" s="65">
        <v>0.77970723827574695</v>
      </c>
      <c r="EK103" s="65">
        <v>0.81019200000000002</v>
      </c>
      <c r="EL103" s="65">
        <v>0.79395700000000002</v>
      </c>
      <c r="EM103" s="116">
        <f>'[2]Table 9-10-14-16'!$I$88</f>
        <v>0.80277729308017909</v>
      </c>
    </row>
    <row r="104" spans="126:143">
      <c r="DV104" s="61"/>
      <c r="DW104" s="293"/>
      <c r="EM104" s="2"/>
    </row>
    <row r="105" spans="126:143">
      <c r="DV105" s="222" t="s">
        <v>410</v>
      </c>
      <c r="DW105" s="63">
        <v>960.64102000000003</v>
      </c>
      <c r="DX105" s="63">
        <v>1025.9921200000001</v>
      </c>
      <c r="DY105" s="63">
        <v>1014</v>
      </c>
      <c r="DZ105" s="63">
        <v>970.57332499999995</v>
      </c>
      <c r="EA105" s="63">
        <v>978.51700000000005</v>
      </c>
      <c r="EB105" s="63">
        <v>1010.931255</v>
      </c>
      <c r="EC105" s="63">
        <v>989.49513000000002</v>
      </c>
      <c r="ED105" s="63">
        <v>934.01731999999993</v>
      </c>
      <c r="EE105" s="63">
        <v>994.25314999999989</v>
      </c>
      <c r="EF105" s="63">
        <v>995.48129000000006</v>
      </c>
      <c r="EG105" s="63">
        <v>930.96017500000005</v>
      </c>
      <c r="EH105" s="63">
        <v>705.9276900000001</v>
      </c>
      <c r="EI105" s="63">
        <v>730.24600999999996</v>
      </c>
      <c r="EJ105" s="63">
        <v>890.58853999999997</v>
      </c>
      <c r="EK105" s="63">
        <v>990</v>
      </c>
      <c r="EL105" s="63">
        <f>745650.2/1000</f>
        <v>745.65019999999993</v>
      </c>
      <c r="EM105" s="125">
        <f>'[2]Table 9-10-14-16'!$J$74/1000</f>
        <v>799.44372999999996</v>
      </c>
    </row>
    <row r="106" spans="126:143">
      <c r="DV106" s="64" t="s">
        <v>262</v>
      </c>
      <c r="DW106" s="65">
        <v>1</v>
      </c>
      <c r="DX106" s="65">
        <f t="shared" ref="DX106:EL106" si="29">SUM(DX107:DX110)</f>
        <v>1</v>
      </c>
      <c r="DY106" s="65">
        <f t="shared" si="29"/>
        <v>1</v>
      </c>
      <c r="DZ106" s="65">
        <f t="shared" si="29"/>
        <v>1</v>
      </c>
      <c r="EA106" s="65">
        <f t="shared" si="29"/>
        <v>0.99999999999999978</v>
      </c>
      <c r="EB106" s="65">
        <f t="shared" si="29"/>
        <v>1</v>
      </c>
      <c r="EC106" s="65">
        <f t="shared" si="29"/>
        <v>0.99999999999999989</v>
      </c>
      <c r="ED106" s="65">
        <f t="shared" si="29"/>
        <v>1</v>
      </c>
      <c r="EE106" s="65">
        <f t="shared" si="29"/>
        <v>1</v>
      </c>
      <c r="EF106" s="65">
        <f t="shared" si="29"/>
        <v>0.99999999999999989</v>
      </c>
      <c r="EG106" s="65">
        <f t="shared" si="29"/>
        <v>0.99999999999999989</v>
      </c>
      <c r="EH106" s="65">
        <f t="shared" si="29"/>
        <v>1</v>
      </c>
      <c r="EI106" s="65">
        <f t="shared" si="29"/>
        <v>1.0000000000000002</v>
      </c>
      <c r="EJ106" s="65">
        <f t="shared" si="29"/>
        <v>1</v>
      </c>
      <c r="EK106" s="65">
        <f t="shared" si="29"/>
        <v>0.99999900000000008</v>
      </c>
      <c r="EL106" s="65">
        <f t="shared" si="29"/>
        <v>1</v>
      </c>
      <c r="EM106" s="65">
        <f t="shared" ref="EM106" si="30">SUM(EM107:EM110)</f>
        <v>1</v>
      </c>
    </row>
    <row r="107" spans="126:143">
      <c r="DV107" s="64" t="s">
        <v>263</v>
      </c>
      <c r="DW107" s="65">
        <v>2.2764018550863047E-2</v>
      </c>
      <c r="DX107" s="65">
        <v>2.2064029107747921E-2</v>
      </c>
      <c r="DY107" s="65">
        <v>2.0804817822814389E-2</v>
      </c>
      <c r="DZ107" s="65">
        <v>2.0943641738763015E-2</v>
      </c>
      <c r="EA107" s="65">
        <v>2.3567485905067215E-2</v>
      </c>
      <c r="EB107" s="65">
        <v>2.0663106315770206E-2</v>
      </c>
      <c r="EC107" s="65">
        <v>1.8949330250872483E-2</v>
      </c>
      <c r="ED107" s="65">
        <v>2.4839464433057842E-2</v>
      </c>
      <c r="EE107" s="65">
        <v>2.5384516005807982E-2</v>
      </c>
      <c r="EF107" s="65">
        <v>2.9406901258787088E-2</v>
      </c>
      <c r="EG107" s="65">
        <v>3.3365337029588826E-2</v>
      </c>
      <c r="EH107" s="65">
        <v>7.0026917346166145E-2</v>
      </c>
      <c r="EI107" s="65">
        <v>6.2334719227017762E-2</v>
      </c>
      <c r="EJ107" s="65">
        <v>3.2928910133966025E-2</v>
      </c>
      <c r="EK107" s="65">
        <v>3.9607000000000003E-2</v>
      </c>
      <c r="EL107" s="65">
        <v>4.5108000000000002E-2</v>
      </c>
      <c r="EM107" s="116">
        <f>'T7-T10'!BT35</f>
        <v>3.049445393736467E-2</v>
      </c>
    </row>
    <row r="108" spans="126:143">
      <c r="DV108" s="64" t="s">
        <v>264</v>
      </c>
      <c r="DW108" s="65">
        <v>1.4757468924239776E-2</v>
      </c>
      <c r="DX108" s="65">
        <v>9.7415904129945947E-3</v>
      </c>
      <c r="DY108" s="65">
        <v>1.2589997947746448E-2</v>
      </c>
      <c r="DZ108" s="65">
        <v>1.304313612781394E-2</v>
      </c>
      <c r="EA108" s="65">
        <v>1.0369456704641325E-2</v>
      </c>
      <c r="EB108" s="65">
        <v>1.1729674932248484E-2</v>
      </c>
      <c r="EC108" s="65">
        <v>1.2336124382946685E-2</v>
      </c>
      <c r="ED108" s="65">
        <v>1.9877447240485863E-2</v>
      </c>
      <c r="EE108" s="65">
        <v>2.2403906892324153E-2</v>
      </c>
      <c r="EF108" s="65">
        <v>1.8686066917440507E-2</v>
      </c>
      <c r="EG108" s="65">
        <v>1.7666582783737228E-2</v>
      </c>
      <c r="EH108" s="65">
        <v>2.8140049301650143E-2</v>
      </c>
      <c r="EI108" s="65">
        <v>2.1782741407926354E-2</v>
      </c>
      <c r="EJ108" s="65">
        <v>2.0054726956176643E-2</v>
      </c>
      <c r="EK108" s="65">
        <v>1.7474E-2</v>
      </c>
      <c r="EL108" s="65">
        <v>2.5035000000000002E-2</v>
      </c>
      <c r="EM108" s="116">
        <f>'[2]Table 9-10-14-16'!$J$81</f>
        <v>2.0140204239265221E-2</v>
      </c>
    </row>
    <row r="109" spans="126:143">
      <c r="DV109" s="64" t="s">
        <v>265</v>
      </c>
      <c r="DW109" s="65">
        <v>1.3757574083188744E-2</v>
      </c>
      <c r="DX109" s="65">
        <v>1.5252558664875517E-2</v>
      </c>
      <c r="DY109" s="65">
        <v>2.0180337082769569E-2</v>
      </c>
      <c r="DZ109" s="65">
        <v>1.7716914896666873E-2</v>
      </c>
      <c r="EA109" s="65">
        <v>1.2118129223261477E-2</v>
      </c>
      <c r="EB109" s="65">
        <v>1.2645597746406605E-2</v>
      </c>
      <c r="EC109" s="65">
        <v>1.2363501981055732E-2</v>
      </c>
      <c r="ED109" s="65">
        <v>1.70230783300678E-2</v>
      </c>
      <c r="EE109" s="65">
        <v>1.548997858342214E-2</v>
      </c>
      <c r="EF109" s="65">
        <v>1.5333326857403819E-2</v>
      </c>
      <c r="EG109" s="65">
        <v>2.0101332476440251E-2</v>
      </c>
      <c r="EH109" s="65">
        <v>2.8754517335904475E-2</v>
      </c>
      <c r="EI109" s="65">
        <v>2.3799198848070396E-2</v>
      </c>
      <c r="EJ109" s="65">
        <v>1.9712492595065283E-2</v>
      </c>
      <c r="EK109" s="65">
        <v>2.4153999999999998E-2</v>
      </c>
      <c r="EL109" s="65">
        <v>2.9790000000000001E-2</v>
      </c>
      <c r="EM109" s="116">
        <f>'[2]Table 9-10-14-16'!$J$85</f>
        <v>1.685881006284207E-2</v>
      </c>
    </row>
    <row r="110" spans="126:143">
      <c r="DV110" s="64" t="s">
        <v>266</v>
      </c>
      <c r="DW110" s="65">
        <v>0.94872093844170846</v>
      </c>
      <c r="DX110" s="65">
        <v>0.95294182181438203</v>
      </c>
      <c r="DY110" s="65">
        <v>0.94642484714666963</v>
      </c>
      <c r="DZ110" s="65">
        <v>0.94829630723675618</v>
      </c>
      <c r="EA110" s="65">
        <v>0.9539449281670298</v>
      </c>
      <c r="EB110" s="65">
        <v>0.9549616210055748</v>
      </c>
      <c r="EC110" s="65">
        <v>0.956351043385125</v>
      </c>
      <c r="ED110" s="65">
        <v>0.93826000999638859</v>
      </c>
      <c r="EE110" s="65">
        <v>0.93672159851844572</v>
      </c>
      <c r="EF110" s="65">
        <v>0.93657370496636849</v>
      </c>
      <c r="EG110" s="65">
        <v>0.92886674771023359</v>
      </c>
      <c r="EH110" s="65">
        <v>0.87307851601627917</v>
      </c>
      <c r="EI110" s="65">
        <v>0.89208334051698568</v>
      </c>
      <c r="EJ110" s="65">
        <v>0.92730387031479211</v>
      </c>
      <c r="EK110" s="65">
        <v>0.91876400000000003</v>
      </c>
      <c r="EL110" s="65">
        <v>0.90006699999999995</v>
      </c>
      <c r="EM110" s="116">
        <f>'[2]Table 9-10-14-16'!$J$89</f>
        <v>0.93250653176052811</v>
      </c>
    </row>
    <row r="111" spans="126:143">
      <c r="DV111" s="61"/>
      <c r="DW111" s="293"/>
      <c r="EM111" s="2"/>
    </row>
    <row r="112" spans="126:143">
      <c r="DV112" s="222" t="s">
        <v>411</v>
      </c>
      <c r="DW112" s="63">
        <v>266.49428499999999</v>
      </c>
      <c r="DX112" s="63">
        <v>272.04836</v>
      </c>
      <c r="DY112" s="63">
        <v>275</v>
      </c>
      <c r="DZ112" s="63">
        <v>296.86295999999999</v>
      </c>
      <c r="EA112" s="63">
        <v>332.32499999999999</v>
      </c>
      <c r="EB112" s="63">
        <v>329.74931500000002</v>
      </c>
      <c r="EC112" s="63">
        <v>298.88059500000003</v>
      </c>
      <c r="ED112" s="63">
        <v>299.75819999999993</v>
      </c>
      <c r="EE112" s="63">
        <v>301.30067500000001</v>
      </c>
      <c r="EF112" s="63">
        <v>310.02274999999997</v>
      </c>
      <c r="EG112" s="63">
        <v>329.36812500000002</v>
      </c>
      <c r="EH112" s="63">
        <v>990.96712999999988</v>
      </c>
      <c r="EI112" s="63">
        <v>867.20240000000001</v>
      </c>
      <c r="EJ112" s="63">
        <v>471.66167000000002</v>
      </c>
      <c r="EK112" s="63">
        <v>354</v>
      </c>
      <c r="EL112" s="63">
        <f>986697.7/1000</f>
        <v>986.69769999999994</v>
      </c>
      <c r="EM112" s="125">
        <f>'[2]Table 9-10-14-16'!$K$74/1000</f>
        <v>726.38166000000001</v>
      </c>
    </row>
    <row r="113" spans="126:143">
      <c r="DV113" s="64" t="s">
        <v>262</v>
      </c>
      <c r="DW113" s="65">
        <v>1</v>
      </c>
      <c r="DX113" s="65">
        <f t="shared" ref="DX113:EL113" si="31">SUM(DX114:DX117)</f>
        <v>1</v>
      </c>
      <c r="DY113" s="65">
        <f t="shared" si="31"/>
        <v>1</v>
      </c>
      <c r="DZ113" s="65">
        <f t="shared" si="31"/>
        <v>1</v>
      </c>
      <c r="EA113" s="65">
        <f t="shared" si="31"/>
        <v>1</v>
      </c>
      <c r="EB113" s="65">
        <f t="shared" si="31"/>
        <v>1</v>
      </c>
      <c r="EC113" s="65">
        <f t="shared" si="31"/>
        <v>1</v>
      </c>
      <c r="ED113" s="65">
        <f t="shared" si="31"/>
        <v>1.0000000000000002</v>
      </c>
      <c r="EE113" s="65">
        <f t="shared" si="31"/>
        <v>0.99999999999999978</v>
      </c>
      <c r="EF113" s="65">
        <f t="shared" si="31"/>
        <v>1.0000000000000002</v>
      </c>
      <c r="EG113" s="65">
        <f t="shared" si="31"/>
        <v>0.99999999999999978</v>
      </c>
      <c r="EH113" s="65">
        <f t="shared" si="31"/>
        <v>1</v>
      </c>
      <c r="EI113" s="65">
        <f t="shared" si="31"/>
        <v>1</v>
      </c>
      <c r="EJ113" s="65">
        <f t="shared" si="31"/>
        <v>1</v>
      </c>
      <c r="EK113" s="65">
        <f t="shared" si="31"/>
        <v>1.0000009999999999</v>
      </c>
      <c r="EL113" s="65">
        <f t="shared" si="31"/>
        <v>1</v>
      </c>
      <c r="EM113" s="65">
        <f t="shared" ref="EM113" si="32">SUM(EM114:EM117)</f>
        <v>0.99999999999999989</v>
      </c>
    </row>
    <row r="114" spans="126:143">
      <c r="DV114" s="64" t="s">
        <v>263</v>
      </c>
      <c r="DW114" s="65">
        <v>1.112292145401917E-2</v>
      </c>
      <c r="DX114" s="65">
        <v>1.3824968472517166E-2</v>
      </c>
      <c r="DY114" s="65">
        <v>1.0699767278345901E-2</v>
      </c>
      <c r="DZ114" s="65">
        <v>1.8764449428113224E-2</v>
      </c>
      <c r="EA114" s="65">
        <v>1.9313350277286499E-2</v>
      </c>
      <c r="EB114" s="65">
        <v>1.5714664941760378E-2</v>
      </c>
      <c r="EC114" s="65">
        <v>1.6538226578410017E-2</v>
      </c>
      <c r="ED114" s="65">
        <v>2.6325251486031081E-2</v>
      </c>
      <c r="EE114" s="65">
        <v>3.2876809851156159E-2</v>
      </c>
      <c r="EF114" s="65">
        <v>4.2382050994644753E-2</v>
      </c>
      <c r="EG114" s="65">
        <v>4.7594450738060949E-2</v>
      </c>
      <c r="EH114" s="65">
        <v>4.5563589985068424E-2</v>
      </c>
      <c r="EI114" s="65">
        <v>4.708060079169523E-2</v>
      </c>
      <c r="EJ114" s="65">
        <v>4.4104198672747771E-2</v>
      </c>
      <c r="EK114" s="65">
        <v>2.5177000000000001E-2</v>
      </c>
      <c r="EL114" s="65">
        <v>5.0276000000000001E-2</v>
      </c>
      <c r="EM114" s="116">
        <f>'T7-T10'!BT36</f>
        <v>5.1381060474461872E-2</v>
      </c>
    </row>
    <row r="115" spans="126:143">
      <c r="DV115" s="64" t="s">
        <v>264</v>
      </c>
      <c r="DW115" s="65">
        <v>1.7393524968087024E-2</v>
      </c>
      <c r="DX115" s="65">
        <v>2.4463940896390628E-2</v>
      </c>
      <c r="DY115" s="65">
        <v>1.6290279751672784E-2</v>
      </c>
      <c r="DZ115" s="65">
        <v>1.4337440413583424E-2</v>
      </c>
      <c r="EA115" s="65">
        <v>1.2232948016301329E-2</v>
      </c>
      <c r="EB115" s="65">
        <v>4.6657261441164785E-3</v>
      </c>
      <c r="EC115" s="65">
        <v>3.8302085152098959E-3</v>
      </c>
      <c r="ED115" s="65">
        <v>1.6151284602055928E-2</v>
      </c>
      <c r="EE115" s="65">
        <v>2.1290128208308858E-2</v>
      </c>
      <c r="EF115" s="65">
        <v>2.2529911111361989E-2</v>
      </c>
      <c r="EG115" s="65">
        <v>1.787765589035065E-2</v>
      </c>
      <c r="EH115" s="65">
        <v>2.7459629261366119E-2</v>
      </c>
      <c r="EI115" s="65">
        <v>2.4933960053616089E-2</v>
      </c>
      <c r="EJ115" s="65">
        <v>1.563086523439566E-2</v>
      </c>
      <c r="EK115" s="65">
        <v>9.2569999999999996E-3</v>
      </c>
      <c r="EL115" s="65">
        <v>1.5408E-2</v>
      </c>
      <c r="EM115" s="116">
        <f>'[2]Table 9-10-14-16'!$K$82</f>
        <v>2.2242301657230717E-2</v>
      </c>
    </row>
    <row r="116" spans="126:143">
      <c r="DV116" s="64" t="s">
        <v>265</v>
      </c>
      <c r="DW116" s="65">
        <v>1.5028521155716339E-2</v>
      </c>
      <c r="DX116" s="65">
        <v>1.708216509741136E-2</v>
      </c>
      <c r="DY116" s="65">
        <v>1.1712739683558468E-2</v>
      </c>
      <c r="DZ116" s="65">
        <v>1.8032849231173872E-2</v>
      </c>
      <c r="EA116" s="65">
        <v>2.1479332079831655E-2</v>
      </c>
      <c r="EB116" s="65">
        <v>1.1645043144365591E-2</v>
      </c>
      <c r="EC116" s="65">
        <v>8.8743298975298146E-3</v>
      </c>
      <c r="ED116" s="65">
        <v>4.8033715174430596E-3</v>
      </c>
      <c r="EE116" s="65">
        <v>1.1321448250987156E-2</v>
      </c>
      <c r="EF116" s="65">
        <v>1.4981207024323217E-2</v>
      </c>
      <c r="EG116" s="65">
        <v>8.400934364853915E-3</v>
      </c>
      <c r="EH116" s="65">
        <v>2.8070376057781052E-2</v>
      </c>
      <c r="EI116" s="65">
        <v>1.6250300967801751E-2</v>
      </c>
      <c r="EJ116" s="65">
        <v>1.5197397744870807E-2</v>
      </c>
      <c r="EK116" s="65">
        <v>1.6438000000000001E-2</v>
      </c>
      <c r="EL116" s="65">
        <v>3.1919999999999997E-2</v>
      </c>
      <c r="EM116" s="116">
        <f>'[2]Table 9-10-14-16'!$K$86</f>
        <v>2.4331561454896865E-2</v>
      </c>
    </row>
    <row r="117" spans="126:143">
      <c r="DV117" s="64" t="s">
        <v>266</v>
      </c>
      <c r="DW117" s="67">
        <v>0.95645503242217733</v>
      </c>
      <c r="DX117" s="67">
        <v>0.94462892553368094</v>
      </c>
      <c r="DY117" s="67">
        <v>0.96129721328642281</v>
      </c>
      <c r="DZ117" s="67">
        <v>0.94886526092712942</v>
      </c>
      <c r="EA117" s="67">
        <v>0.94697436962658055</v>
      </c>
      <c r="EB117" s="67">
        <v>0.9679745657697576</v>
      </c>
      <c r="EC117" s="67">
        <v>0.97075723500885036</v>
      </c>
      <c r="ED117" s="67">
        <v>0.95272009239447009</v>
      </c>
      <c r="EE117" s="67">
        <v>0.9345116136895476</v>
      </c>
      <c r="EF117" s="67">
        <v>0.92010683086967016</v>
      </c>
      <c r="EG117" s="67">
        <v>0.92612695900673425</v>
      </c>
      <c r="EH117" s="67">
        <v>0.89890640469578442</v>
      </c>
      <c r="EI117" s="67">
        <v>0.9117351381868869</v>
      </c>
      <c r="EJ117" s="67">
        <v>0.92506753834798572</v>
      </c>
      <c r="EK117" s="67">
        <v>0.949129</v>
      </c>
      <c r="EL117" s="67">
        <v>0.90239599999999998</v>
      </c>
      <c r="EM117" s="116">
        <f>'[2]Table 9-10-14-16'!$K$90</f>
        <v>0.90204507641341047</v>
      </c>
    </row>
    <row r="118" spans="126:143">
      <c r="DV118" s="62"/>
      <c r="DW118" s="2"/>
      <c r="DX118" s="2"/>
      <c r="DY118" s="2"/>
      <c r="DZ118" s="2"/>
      <c r="EA118" s="2"/>
      <c r="EB118" s="2"/>
      <c r="EM118" s="161"/>
    </row>
    <row r="119" spans="126:143">
      <c r="DV119" s="64" t="s">
        <v>572</v>
      </c>
      <c r="DW119" s="2"/>
      <c r="DX119" s="2"/>
      <c r="DY119" s="2"/>
      <c r="DZ119" s="2"/>
      <c r="EA119" s="2"/>
      <c r="EB119" s="2"/>
    </row>
    <row r="120" spans="126:143">
      <c r="DV120" s="25" t="s">
        <v>573</v>
      </c>
      <c r="DW120" s="2"/>
      <c r="DX120" s="2"/>
      <c r="DY120" s="2"/>
      <c r="DZ120" s="2"/>
      <c r="EA120" s="2"/>
      <c r="EB120" s="2"/>
    </row>
  </sheetData>
  <mergeCells count="3">
    <mergeCell ref="EQ4:ER4"/>
    <mergeCell ref="ES4:ET4"/>
    <mergeCell ref="EQ3:EU3"/>
  </mergeCells>
  <phoneticPr fontId="2" type="noConversion"/>
  <printOptions horizontalCentered="1"/>
  <pageMargins left="0.25" right="0.25" top="0.75" bottom="0.75" header="0.3" footer="0.3"/>
  <pageSetup fitToHeight="0" orientation="landscape" r:id="rId1"/>
  <headerFooter alignWithMargins="0"/>
  <rowBreaks count="1" manualBreakCount="1">
    <brk id="63" min="125" max="132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0"/>
  <sheetViews>
    <sheetView zoomScaleNormal="100" workbookViewId="0">
      <selection activeCell="Q2" sqref="Q2"/>
    </sheetView>
  </sheetViews>
  <sheetFormatPr defaultColWidth="8.75" defaultRowHeight="15.75"/>
  <cols>
    <col min="1" max="1" width="12" style="104" customWidth="1"/>
    <col min="2" max="2" width="9.375" style="104" customWidth="1"/>
    <col min="3" max="4" width="10.125" style="104" bestFit="1" customWidth="1"/>
    <col min="5" max="5" width="13.375" style="104" bestFit="1" customWidth="1"/>
    <col min="6" max="6" width="9.125" style="104" bestFit="1" customWidth="1"/>
    <col min="7" max="7" width="15.625" style="104" bestFit="1" customWidth="1"/>
    <col min="8" max="8" width="1.75" style="104" customWidth="1"/>
    <col min="9" max="9" width="13.875" style="104" bestFit="1" customWidth="1"/>
    <col min="10" max="10" width="9.375" style="104" customWidth="1"/>
    <col min="11" max="11" width="10.5" style="104" bestFit="1" customWidth="1"/>
    <col min="12" max="12" width="11.875" style="104" bestFit="1" customWidth="1"/>
    <col min="13" max="13" width="13.375" style="104" bestFit="1" customWidth="1"/>
    <col min="14" max="14" width="11.75" style="104" bestFit="1" customWidth="1"/>
    <col min="15" max="15" width="15.375" style="104" bestFit="1" customWidth="1"/>
    <col min="16" max="16" width="1.75" style="104" customWidth="1"/>
    <col min="17" max="17" width="24.25" style="104" customWidth="1"/>
    <col min="18" max="28" width="9.375" style="104" customWidth="1"/>
    <col min="29" max="29" width="9.375" style="104" bestFit="1" customWidth="1"/>
    <col min="30" max="32" width="9.375" style="104" customWidth="1"/>
    <col min="33" max="33" width="8.75" style="2"/>
    <col min="34" max="16384" width="8.75" style="104"/>
  </cols>
  <sheetData>
    <row r="1" spans="1:33">
      <c r="A1" s="75" t="s">
        <v>370</v>
      </c>
      <c r="B1" s="2"/>
      <c r="C1" s="2"/>
      <c r="D1" s="2"/>
      <c r="E1" s="2"/>
      <c r="F1" s="2"/>
      <c r="G1" s="2"/>
      <c r="I1" s="107" t="s">
        <v>384</v>
      </c>
      <c r="J1" s="2"/>
      <c r="K1" s="2"/>
      <c r="L1" s="2"/>
      <c r="M1" s="2"/>
      <c r="N1" s="2"/>
      <c r="O1" s="2"/>
      <c r="Q1" s="88" t="s">
        <v>595</v>
      </c>
      <c r="R1" s="2"/>
      <c r="S1" s="2"/>
      <c r="T1" s="2"/>
      <c r="U1" s="2"/>
    </row>
    <row r="2" spans="1:33">
      <c r="A2" s="75" t="s">
        <v>584</v>
      </c>
      <c r="B2" s="2"/>
      <c r="C2" s="2"/>
      <c r="D2" s="2"/>
      <c r="E2" s="2"/>
      <c r="F2" s="181"/>
      <c r="G2" s="2"/>
      <c r="I2" s="107" t="s">
        <v>588</v>
      </c>
      <c r="J2" s="2"/>
      <c r="K2" s="2"/>
      <c r="L2" s="2"/>
      <c r="M2" s="2"/>
      <c r="N2" s="2"/>
      <c r="O2" s="181"/>
      <c r="Q2" s="88"/>
      <c r="R2" s="2"/>
      <c r="S2" s="2"/>
      <c r="T2" s="2"/>
      <c r="U2" s="2"/>
      <c r="V2" s="133"/>
    </row>
    <row r="3" spans="1:33">
      <c r="A3" s="2"/>
      <c r="B3" s="2"/>
      <c r="C3" s="2"/>
      <c r="D3" s="2"/>
      <c r="E3" s="2"/>
      <c r="F3" s="2"/>
      <c r="G3" s="2"/>
      <c r="I3" s="2"/>
      <c r="J3" s="2"/>
      <c r="K3" s="2"/>
      <c r="L3" s="2"/>
      <c r="M3" s="2"/>
      <c r="N3" s="2"/>
      <c r="O3" s="2"/>
      <c r="Q3" s="85" t="s">
        <v>345</v>
      </c>
      <c r="R3" s="94" t="s">
        <v>92</v>
      </c>
      <c r="S3" s="5"/>
      <c r="T3" s="5"/>
      <c r="U3" s="135"/>
      <c r="V3" s="223"/>
      <c r="W3" s="223"/>
      <c r="X3" s="223"/>
      <c r="Y3" s="129"/>
      <c r="Z3" s="129"/>
      <c r="AA3" s="129"/>
      <c r="AB3" s="129"/>
      <c r="AC3" s="129"/>
      <c r="AD3" s="129"/>
      <c r="AE3" s="129"/>
      <c r="AF3" s="129"/>
      <c r="AG3" s="278"/>
    </row>
    <row r="4" spans="1:33">
      <c r="A4" s="4"/>
      <c r="B4" s="5" t="s">
        <v>310</v>
      </c>
      <c r="C4" s="5"/>
      <c r="D4" s="5"/>
      <c r="E4" s="5"/>
      <c r="F4" s="5"/>
      <c r="G4" s="5"/>
      <c r="I4" s="85" t="s">
        <v>488</v>
      </c>
      <c r="J4" s="5" t="s">
        <v>310</v>
      </c>
      <c r="K4" s="5"/>
      <c r="L4" s="5"/>
      <c r="M4" s="5"/>
      <c r="N4" s="5"/>
      <c r="O4" s="5"/>
      <c r="Q4" s="53" t="s">
        <v>346</v>
      </c>
      <c r="R4" s="53" t="s">
        <v>76</v>
      </c>
      <c r="S4" s="53" t="s">
        <v>78</v>
      </c>
      <c r="T4" s="53" t="s">
        <v>90</v>
      </c>
      <c r="U4" s="53" t="s">
        <v>79</v>
      </c>
      <c r="V4" s="53" t="s">
        <v>377</v>
      </c>
      <c r="W4" s="53" t="s">
        <v>391</v>
      </c>
      <c r="X4" s="53" t="s">
        <v>416</v>
      </c>
      <c r="Y4" s="53" t="s">
        <v>428</v>
      </c>
      <c r="Z4" s="53" t="s">
        <v>427</v>
      </c>
      <c r="AA4" s="53" t="s">
        <v>431</v>
      </c>
      <c r="AB4" s="53" t="s">
        <v>435</v>
      </c>
      <c r="AC4" s="53" t="s">
        <v>437</v>
      </c>
      <c r="AD4" s="53" t="s">
        <v>482</v>
      </c>
      <c r="AE4" s="53" t="s">
        <v>490</v>
      </c>
      <c r="AF4" s="53" t="s">
        <v>497</v>
      </c>
      <c r="AG4" s="53" t="s">
        <v>585</v>
      </c>
    </row>
    <row r="5" spans="1:33">
      <c r="A5" s="86" t="s">
        <v>19</v>
      </c>
      <c r="B5" s="2"/>
      <c r="C5" s="26" t="s">
        <v>311</v>
      </c>
      <c r="D5" s="26" t="s">
        <v>312</v>
      </c>
      <c r="E5" s="26" t="s">
        <v>313</v>
      </c>
      <c r="F5" s="26" t="s">
        <v>314</v>
      </c>
      <c r="G5" s="26" t="s">
        <v>315</v>
      </c>
      <c r="I5" s="86" t="s">
        <v>335</v>
      </c>
      <c r="J5" s="2"/>
      <c r="K5" s="26" t="s">
        <v>311</v>
      </c>
      <c r="L5" s="26" t="s">
        <v>312</v>
      </c>
      <c r="M5" s="26" t="s">
        <v>313</v>
      </c>
      <c r="N5" s="26" t="s">
        <v>314</v>
      </c>
      <c r="O5" s="26" t="s">
        <v>315</v>
      </c>
      <c r="Q5" s="2"/>
    </row>
    <row r="6" spans="1:33">
      <c r="A6" s="87" t="s">
        <v>316</v>
      </c>
      <c r="B6" s="9" t="s">
        <v>317</v>
      </c>
      <c r="C6" s="76" t="s">
        <v>312</v>
      </c>
      <c r="D6" s="76" t="s">
        <v>318</v>
      </c>
      <c r="E6" s="77" t="s">
        <v>319</v>
      </c>
      <c r="F6" s="76" t="s">
        <v>320</v>
      </c>
      <c r="G6" s="9" t="s">
        <v>321</v>
      </c>
      <c r="I6" s="87" t="s">
        <v>336</v>
      </c>
      <c r="J6" s="9" t="s">
        <v>317</v>
      </c>
      <c r="K6" s="76" t="s">
        <v>312</v>
      </c>
      <c r="L6" s="76" t="s">
        <v>318</v>
      </c>
      <c r="M6" s="77" t="s">
        <v>319</v>
      </c>
      <c r="N6" s="76" t="s">
        <v>320</v>
      </c>
      <c r="O6" s="9" t="s">
        <v>321</v>
      </c>
      <c r="Q6" s="88" t="s">
        <v>337</v>
      </c>
      <c r="R6" s="79">
        <v>6859600</v>
      </c>
      <c r="S6" s="79">
        <v>6804400</v>
      </c>
      <c r="T6" s="79">
        <v>6825700</v>
      </c>
      <c r="U6" s="79">
        <v>6920900</v>
      </c>
      <c r="V6" s="79">
        <v>6959600</v>
      </c>
      <c r="W6" s="79">
        <v>6912100</v>
      </c>
      <c r="X6" s="79">
        <v>6862700</v>
      </c>
      <c r="Y6" s="79">
        <v>6930600</v>
      </c>
      <c r="Z6" s="79">
        <v>7012400</v>
      </c>
      <c r="AA6" s="79">
        <v>7006900</v>
      </c>
      <c r="AB6" s="79">
        <v>7034500</v>
      </c>
      <c r="AC6" s="79">
        <v>7129000</v>
      </c>
      <c r="AD6" s="79">
        <v>7235200</v>
      </c>
      <c r="AE6" s="79">
        <f>'T1-T6'!Q15+'T1-T6'!Q67</f>
        <v>7288093.3399999999</v>
      </c>
      <c r="AF6" s="79">
        <f>'T1-T6'!Q12+'T1-T6'!Q64</f>
        <v>7258074</v>
      </c>
      <c r="AG6" s="2">
        <f>'[2]Table S7'!$G$5</f>
        <v>7297625</v>
      </c>
    </row>
    <row r="7" spans="1:33">
      <c r="A7" s="2"/>
      <c r="B7" s="2"/>
      <c r="C7" s="2"/>
      <c r="D7" s="2"/>
      <c r="E7" s="2"/>
      <c r="F7" s="2"/>
      <c r="G7" s="2"/>
      <c r="I7" s="2"/>
      <c r="J7" s="2"/>
      <c r="K7" s="2"/>
      <c r="L7" s="2"/>
      <c r="M7" s="2"/>
      <c r="N7" s="2"/>
      <c r="O7" s="2"/>
      <c r="Q7" s="89" t="s">
        <v>347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33">
      <c r="A8" s="78" t="s">
        <v>147</v>
      </c>
      <c r="B8" s="2"/>
      <c r="C8" s="2"/>
      <c r="D8" s="2"/>
      <c r="E8" s="2"/>
      <c r="F8" s="2"/>
      <c r="G8" s="2"/>
      <c r="I8" s="98" t="s">
        <v>387</v>
      </c>
      <c r="Q8" s="2" t="s">
        <v>348</v>
      </c>
      <c r="R8" s="23">
        <v>0.65288820424036642</v>
      </c>
      <c r="S8" s="23">
        <v>0.65143398897342264</v>
      </c>
      <c r="T8" s="23">
        <v>0.6419898355810989</v>
      </c>
      <c r="U8" s="23">
        <v>0.65305058416594319</v>
      </c>
      <c r="V8" s="23">
        <v>0.66096413285250943</v>
      </c>
      <c r="W8" s="23">
        <v>0.64251853420657101</v>
      </c>
      <c r="X8" s="23">
        <v>0.62865063730616932</v>
      </c>
      <c r="Y8" s="23">
        <v>0.62437088012037345</v>
      </c>
      <c r="Z8" s="23">
        <v>0.62073267277173838</v>
      </c>
      <c r="AA8" s="23">
        <v>0.60983574551461872</v>
      </c>
      <c r="AB8" s="23">
        <v>0.61286175297258627</v>
      </c>
      <c r="AC8" s="23">
        <v>0.61278823543273819</v>
      </c>
      <c r="AD8" s="23">
        <v>0.60667244027275447</v>
      </c>
      <c r="AE8" s="23">
        <v>0.61499999999999999</v>
      </c>
      <c r="AF8" s="23">
        <v>0.61268500000000004</v>
      </c>
      <c r="AG8" s="116">
        <f>'[2]Table S7'!$G$8</f>
        <v>0.60282722118497456</v>
      </c>
    </row>
    <row r="9" spans="1:33">
      <c r="A9" s="2" t="s">
        <v>281</v>
      </c>
      <c r="B9" s="79">
        <v>5639200</v>
      </c>
      <c r="C9" s="80">
        <v>0.13750348554848088</v>
      </c>
      <c r="D9" s="80">
        <v>0.34645948028888368</v>
      </c>
      <c r="E9" s="80">
        <v>0.21175814119898931</v>
      </c>
      <c r="F9" s="80">
        <v>0.20552200076782481</v>
      </c>
      <c r="G9" s="80">
        <v>9.8756892195821372E-2</v>
      </c>
      <c r="I9" s="21" t="s">
        <v>337</v>
      </c>
      <c r="J9" s="79">
        <v>5500300</v>
      </c>
      <c r="K9" s="79">
        <v>775400</v>
      </c>
      <c r="L9" s="79">
        <v>1953700</v>
      </c>
      <c r="M9" s="79">
        <v>1194100</v>
      </c>
      <c r="N9" s="79">
        <v>1159000</v>
      </c>
      <c r="O9" s="79">
        <v>556900</v>
      </c>
      <c r="Q9" s="2" t="s">
        <v>349</v>
      </c>
      <c r="R9" s="23">
        <v>3.9739896084971187E-2</v>
      </c>
      <c r="S9" s="23">
        <v>3.9370985541230204E-2</v>
      </c>
      <c r="T9" s="23">
        <v>4.2155787525836139E-2</v>
      </c>
      <c r="U9" s="23">
        <v>4.1684485471560298E-2</v>
      </c>
      <c r="V9" s="23">
        <v>4.0805990279206623E-2</v>
      </c>
      <c r="W9" s="23">
        <v>4.2346787004049355E-2</v>
      </c>
      <c r="X9" s="23">
        <v>4.1599583561078388E-2</v>
      </c>
      <c r="Y9" s="23">
        <v>3.8911433346982292E-2</v>
      </c>
      <c r="Z9" s="23">
        <v>3.6365026699617026E-2</v>
      </c>
      <c r="AA9" s="23">
        <v>3.6750665754328067E-2</v>
      </c>
      <c r="AB9" s="23">
        <v>3.7996771924098428E-2</v>
      </c>
      <c r="AC9" s="23">
        <v>3.6262171997798305E-2</v>
      </c>
      <c r="AD9" s="23">
        <v>3.1564544511683397E-2</v>
      </c>
      <c r="AE9" s="23">
        <v>3.3000000000000002E-2</v>
      </c>
      <c r="AF9" s="23">
        <v>3.7741999999999998E-2</v>
      </c>
      <c r="AG9" s="116">
        <f>'[2]Table S7'!$G$15</f>
        <v>3.6778102464843011E-2</v>
      </c>
    </row>
    <row r="10" spans="1:33">
      <c r="A10" s="2" t="s">
        <v>108</v>
      </c>
      <c r="B10" s="79">
        <v>5816600</v>
      </c>
      <c r="C10" s="80">
        <v>0.13958824965262337</v>
      </c>
      <c r="D10" s="80">
        <v>0.33800530873943585</v>
      </c>
      <c r="E10" s="80">
        <v>0.19870628316135483</v>
      </c>
      <c r="F10" s="80">
        <v>0.21812268629766263</v>
      </c>
      <c r="G10" s="80">
        <v>0.10557747214892337</v>
      </c>
      <c r="I10" s="2" t="s">
        <v>383</v>
      </c>
      <c r="J10" s="80">
        <v>0.32249625112175456</v>
      </c>
      <c r="K10" s="80">
        <v>0.59795487915048429</v>
      </c>
      <c r="L10" s="80">
        <v>0.34994021947247855</v>
      </c>
      <c r="M10" s="80">
        <v>0.24347720346089283</v>
      </c>
      <c r="N10" s="80">
        <v>0.194757905203713</v>
      </c>
      <c r="O10" s="80">
        <v>0.19753994908814135</v>
      </c>
      <c r="Q10" s="2" t="s">
        <v>350</v>
      </c>
      <c r="R10" s="23">
        <v>4.2911431396648478E-2</v>
      </c>
      <c r="S10" s="23">
        <v>4.2330179560057017E-2</v>
      </c>
      <c r="T10" s="23">
        <v>3.4609681518672317E-2</v>
      </c>
      <c r="U10" s="23">
        <v>3.4689318052529644E-2</v>
      </c>
      <c r="V10" s="23">
        <v>3.4460462804851009E-2</v>
      </c>
      <c r="W10" s="23">
        <v>3.1414218125862634E-2</v>
      </c>
      <c r="X10" s="23">
        <v>3.7540064712925113E-2</v>
      </c>
      <c r="Y10" s="23">
        <v>5.4282060306179505E-2</v>
      </c>
      <c r="Z10" s="23">
        <v>5.9986525233671116E-2</v>
      </c>
      <c r="AA10" s="23">
        <v>5.8135846493632029E-2</v>
      </c>
      <c r="AB10" s="23">
        <v>5.9934756133706711E-2</v>
      </c>
      <c r="AC10" s="23">
        <v>4.6485894088820583E-2</v>
      </c>
      <c r="AD10" s="23">
        <v>2.9159444130547996E-2</v>
      </c>
      <c r="AE10" s="23">
        <v>2.4E-2</v>
      </c>
      <c r="AF10" s="23">
        <v>1.9661999999999999E-2</v>
      </c>
      <c r="AG10" s="116">
        <f>'[2]Table S7'!$G$22</f>
        <v>1.6821472739418648E-2</v>
      </c>
    </row>
    <row r="11" spans="1:33">
      <c r="A11" s="2" t="s">
        <v>136</v>
      </c>
      <c r="B11" s="79">
        <v>5697600</v>
      </c>
      <c r="C11" s="80">
        <v>0.13125233646467316</v>
      </c>
      <c r="D11" s="80">
        <v>0.33622125391002833</v>
      </c>
      <c r="E11" s="80">
        <v>0.1924733163547126</v>
      </c>
      <c r="F11" s="80">
        <v>0.22946904245902208</v>
      </c>
      <c r="G11" s="80">
        <v>0.11058405081156385</v>
      </c>
      <c r="I11" s="2" t="s">
        <v>338</v>
      </c>
      <c r="J11" s="80">
        <v>7.4012256032021453E-2</v>
      </c>
      <c r="K11" s="80">
        <v>8.4090667282257753E-2</v>
      </c>
      <c r="L11" s="80">
        <v>9.0388130996888361E-2</v>
      </c>
      <c r="M11" s="80">
        <v>6.9231159082754304E-2</v>
      </c>
      <c r="N11" s="80">
        <v>5.4006633542369613E-2</v>
      </c>
      <c r="O11" s="80">
        <v>3.5960086950154284E-2</v>
      </c>
      <c r="Q11" s="2" t="s">
        <v>351</v>
      </c>
      <c r="R11" s="23">
        <v>6.7845549688227216E-3</v>
      </c>
      <c r="S11" s="23">
        <v>5.9010192373127653E-3</v>
      </c>
      <c r="T11" s="23">
        <v>5.5274435525387872E-3</v>
      </c>
      <c r="U11" s="23">
        <v>6.6035409431987688E-3</v>
      </c>
      <c r="V11" s="23">
        <v>6.8728204965506851E-3</v>
      </c>
      <c r="W11" s="23">
        <v>7.1229596212652492E-3</v>
      </c>
      <c r="X11" s="23">
        <v>5.6908097797399512E-3</v>
      </c>
      <c r="Y11" s="23">
        <v>4.5786144089362529E-3</v>
      </c>
      <c r="Z11" s="23">
        <v>5.275033756435862E-3</v>
      </c>
      <c r="AA11" s="23">
        <v>4.6053822791714714E-3</v>
      </c>
      <c r="AB11" s="23">
        <v>4.0480865035636346E-3</v>
      </c>
      <c r="AC11" s="23">
        <v>3.8398188935776741E-3</v>
      </c>
      <c r="AD11" s="23">
        <v>2.8558991400957317E-3</v>
      </c>
      <c r="AE11" s="23">
        <v>4.0000000000000001E-3</v>
      </c>
      <c r="AF11" s="23">
        <v>4.8999999999999998E-3</v>
      </c>
      <c r="AG11" s="116">
        <f>'[2]Table S7'!$G$29</f>
        <v>3.7826895736626644E-3</v>
      </c>
    </row>
    <row r="12" spans="1:33">
      <c r="A12" s="2" t="s">
        <v>332</v>
      </c>
      <c r="B12" s="79">
        <v>5707600</v>
      </c>
      <c r="C12" s="80">
        <v>0.12740425405468545</v>
      </c>
      <c r="D12" s="80">
        <v>0.32845275872722074</v>
      </c>
      <c r="E12" s="80">
        <v>0.18941858486717625</v>
      </c>
      <c r="F12" s="80">
        <v>0.23122946117983295</v>
      </c>
      <c r="G12" s="80">
        <v>0.12349494117108455</v>
      </c>
      <c r="I12" s="2" t="s">
        <v>339</v>
      </c>
      <c r="J12" s="80">
        <v>0.17125160354539887</v>
      </c>
      <c r="K12" s="80">
        <v>0.19438062487224442</v>
      </c>
      <c r="L12" s="80">
        <v>0.20577384919362315</v>
      </c>
      <c r="M12" s="80">
        <v>0.18632983357241303</v>
      </c>
      <c r="N12" s="80">
        <v>0.1140254932238467</v>
      </c>
      <c r="O12" s="80">
        <v>6.1996624287283003E-2</v>
      </c>
      <c r="Q12" s="2" t="s">
        <v>352</v>
      </c>
      <c r="R12" s="23">
        <v>0.19144673418135608</v>
      </c>
      <c r="S12" s="23">
        <v>0.17312140296981857</v>
      </c>
      <c r="T12" s="23">
        <v>0.16820373153615603</v>
      </c>
      <c r="U12" s="23">
        <v>0.16464186322547034</v>
      </c>
      <c r="V12" s="23">
        <v>0.15933772867157575</v>
      </c>
      <c r="W12" s="23">
        <v>0.1679474766895884</v>
      </c>
      <c r="X12" s="23">
        <v>0.17054828300217945</v>
      </c>
      <c r="Y12" s="23">
        <v>0.16246647883349713</v>
      </c>
      <c r="Z12" s="23">
        <v>0.16180852070410182</v>
      </c>
      <c r="AA12" s="23">
        <v>0.17353595594286578</v>
      </c>
      <c r="AB12" s="23">
        <v>0.18179129497048205</v>
      </c>
      <c r="AC12" s="23">
        <v>0.18178454743312869</v>
      </c>
      <c r="AD12" s="23">
        <v>0.18316481977613963</v>
      </c>
      <c r="AE12" s="23">
        <v>0.186</v>
      </c>
      <c r="AF12" s="23">
        <v>0.19083600000000001</v>
      </c>
      <c r="AG12" s="116">
        <f>'[2]Table S7'!$G$36</f>
        <v>0.1989008752847673</v>
      </c>
    </row>
    <row r="13" spans="1:33">
      <c r="A13" s="2" t="s">
        <v>334</v>
      </c>
      <c r="B13" s="79">
        <v>5773700</v>
      </c>
      <c r="C13" s="80">
        <v>0.13176356524265256</v>
      </c>
      <c r="D13" s="80">
        <v>0.31809535392330252</v>
      </c>
      <c r="E13" s="80">
        <v>0.19063191670670274</v>
      </c>
      <c r="F13" s="80">
        <v>0.22517385461333106</v>
      </c>
      <c r="G13" s="80">
        <v>0.13433530951401107</v>
      </c>
      <c r="I13" s="2" t="s">
        <v>340</v>
      </c>
      <c r="J13" s="80">
        <v>0.24020146493508004</v>
      </c>
      <c r="K13" s="80">
        <v>9.5283402963477856E-2</v>
      </c>
      <c r="L13" s="80">
        <v>0.24369238044877223</v>
      </c>
      <c r="M13" s="80">
        <v>0.30892999562857526</v>
      </c>
      <c r="N13" s="80">
        <v>0.25533656124007881</v>
      </c>
      <c r="O13" s="80">
        <v>0.19096825724656147</v>
      </c>
      <c r="Q13" s="2" t="s">
        <v>353</v>
      </c>
      <c r="R13" s="23">
        <v>2.0109536312604023E-2</v>
      </c>
      <c r="S13" s="23">
        <v>1.5213561994903913E-2</v>
      </c>
      <c r="T13" s="23">
        <v>1.4873837729840439E-2</v>
      </c>
      <c r="U13" s="23">
        <v>1.5056058959340181E-2</v>
      </c>
      <c r="V13" s="23">
        <v>1.1981386052333169E-2</v>
      </c>
      <c r="W13" s="23">
        <v>1.3510139024552191E-2</v>
      </c>
      <c r="X13" s="23">
        <v>1.9310684355980438E-2</v>
      </c>
      <c r="Y13" s="23">
        <v>1.9430454664010405E-2</v>
      </c>
      <c r="Z13" s="23">
        <v>1.6424192888377979E-2</v>
      </c>
      <c r="AA13" s="23">
        <v>1.6126421214855097E-2</v>
      </c>
      <c r="AB13" s="23">
        <v>1.6957156063424839E-2</v>
      </c>
      <c r="AC13" s="23">
        <v>2.0343148641589617E-2</v>
      </c>
      <c r="AD13" s="23">
        <v>2.3652524096005875E-2</v>
      </c>
      <c r="AE13" s="23">
        <v>2.1999999999999999E-2</v>
      </c>
      <c r="AF13" s="23">
        <v>1.9536000000000001E-2</v>
      </c>
      <c r="AG13" s="116">
        <f>'[2]Table S7'!$G$43</f>
        <v>2.052048440417259E-2</v>
      </c>
    </row>
    <row r="14" spans="1:33">
      <c r="A14" s="2" t="s">
        <v>381</v>
      </c>
      <c r="B14" s="79">
        <v>5787300</v>
      </c>
      <c r="C14" s="80">
        <v>0.12768457888345283</v>
      </c>
      <c r="D14" s="80">
        <v>0.31468714965962735</v>
      </c>
      <c r="E14" s="80">
        <v>0.19054722633797419</v>
      </c>
      <c r="F14" s="80">
        <v>0.22944943256361067</v>
      </c>
      <c r="G14" s="80">
        <v>0.1376316298344952</v>
      </c>
      <c r="I14" s="2" t="s">
        <v>341</v>
      </c>
      <c r="J14" s="80">
        <v>0.11720405133381524</v>
      </c>
      <c r="K14" s="80">
        <v>2.0992975942296072E-2</v>
      </c>
      <c r="L14" s="80">
        <v>8.0149674070315438E-2</v>
      </c>
      <c r="M14" s="80">
        <v>0.12064490812425194</v>
      </c>
      <c r="N14" s="80">
        <v>0.19249081581813363</v>
      </c>
      <c r="O14" s="80">
        <v>0.18787581415214352</v>
      </c>
      <c r="Q14" s="2" t="s">
        <v>354</v>
      </c>
      <c r="R14" s="23">
        <v>6.482211975171303E-3</v>
      </c>
      <c r="S14" s="23">
        <v>5.9837416668584113E-3</v>
      </c>
      <c r="T14" s="23">
        <v>5.16944034927497E-3</v>
      </c>
      <c r="U14" s="23">
        <v>4.1262722823199758E-3</v>
      </c>
      <c r="V14" s="23">
        <v>5.6960226223646401E-3</v>
      </c>
      <c r="W14" s="23">
        <v>6.5118011224888361E-3</v>
      </c>
      <c r="X14" s="23">
        <v>5.1523118274035039E-3</v>
      </c>
      <c r="Y14" s="23">
        <v>5.3301260046610495E-3</v>
      </c>
      <c r="Z14" s="23">
        <v>7.8818477328588005E-3</v>
      </c>
      <c r="AA14" s="23">
        <v>9.0223160693781706E-3</v>
      </c>
      <c r="AB14" s="23">
        <v>6.908196154086178E-3</v>
      </c>
      <c r="AC14" s="23">
        <v>4.8055412011780499E-3</v>
      </c>
      <c r="AD14" s="23">
        <v>6.9639343578028817E-3</v>
      </c>
      <c r="AE14" s="23">
        <v>8.0000000000000002E-3</v>
      </c>
      <c r="AF14" s="23">
        <v>6.6100000000000004E-3</v>
      </c>
      <c r="AG14" s="116">
        <f>'[2]Table S7'!$G$50</f>
        <v>6.1696017539953074E-3</v>
      </c>
    </row>
    <row r="15" spans="1:33">
      <c r="A15" s="2" t="s">
        <v>412</v>
      </c>
      <c r="B15" s="79">
        <v>5743700</v>
      </c>
      <c r="C15" s="80">
        <v>0.11768084212249026</v>
      </c>
      <c r="D15" s="80">
        <v>0.31852334764103546</v>
      </c>
      <c r="E15" s="80">
        <v>0.18750637491808964</v>
      </c>
      <c r="F15" s="80">
        <v>0.24131162810739851</v>
      </c>
      <c r="G15" s="80">
        <v>0.1349778246213624</v>
      </c>
      <c r="I15" s="2" t="s">
        <v>343</v>
      </c>
      <c r="J15" s="80">
        <v>4.4097634825079016E-2</v>
      </c>
      <c r="K15" s="80">
        <v>1.7267974926699738E-3</v>
      </c>
      <c r="L15" s="80">
        <v>1.8798518063673518E-2</v>
      </c>
      <c r="M15" s="80">
        <v>4.3247372252521114E-2</v>
      </c>
      <c r="N15" s="80">
        <v>7.7113347829791692E-2</v>
      </c>
      <c r="O15" s="80">
        <v>0.11396561526420597</v>
      </c>
      <c r="Q15" s="2" t="s">
        <v>355</v>
      </c>
      <c r="R15" s="23">
        <v>7.2665494399635662E-3</v>
      </c>
      <c r="S15" s="23">
        <v>6.4005355595405621E-3</v>
      </c>
      <c r="T15" s="23">
        <v>6.6410708737423786E-3</v>
      </c>
      <c r="U15" s="23">
        <v>5.884284553147546E-3</v>
      </c>
      <c r="V15" s="23">
        <v>4.0204651578748841E-3</v>
      </c>
      <c r="W15" s="23">
        <v>3.2999115685571042E-3</v>
      </c>
      <c r="X15" s="23">
        <v>4.9285903669713171E-3</v>
      </c>
      <c r="Y15" s="23">
        <v>6.2605162330883835E-3</v>
      </c>
      <c r="Z15" s="23">
        <v>5.3952970085063296E-3</v>
      </c>
      <c r="AA15" s="23">
        <v>5.4243562578980171E-3</v>
      </c>
      <c r="AB15" s="23">
        <v>5.6104436813200478E-3</v>
      </c>
      <c r="AC15" s="23">
        <v>6.1672472474662886E-3</v>
      </c>
      <c r="AD15" s="23">
        <v>7.6517396005984055E-3</v>
      </c>
      <c r="AE15" s="23">
        <v>8.9999999999999993E-3</v>
      </c>
      <c r="AF15" s="23">
        <v>8.9949999999999995E-3</v>
      </c>
      <c r="AG15" s="116">
        <f>'[2]Table S7'!$G$57</f>
        <v>7.4809571607200977E-3</v>
      </c>
    </row>
    <row r="16" spans="1:33">
      <c r="A16" s="2" t="s">
        <v>418</v>
      </c>
      <c r="B16" s="79">
        <v>5693200</v>
      </c>
      <c r="C16" s="80">
        <v>0.11497702012149053</v>
      </c>
      <c r="D16" s="80">
        <v>0.32384253172369515</v>
      </c>
      <c r="E16" s="80">
        <v>0.18588887379585811</v>
      </c>
      <c r="F16" s="80">
        <v>0.23940241118323963</v>
      </c>
      <c r="G16" s="80">
        <v>0.13588916317571656</v>
      </c>
      <c r="I16" s="2" t="s">
        <v>344</v>
      </c>
      <c r="J16" s="80">
        <v>3.0736720026063973E-2</v>
      </c>
      <c r="K16" s="80">
        <v>5.5706845377231171E-3</v>
      </c>
      <c r="L16" s="80">
        <v>1.125722775424874E-2</v>
      </c>
      <c r="M16" s="80">
        <v>2.8139527878591482E-2</v>
      </c>
      <c r="N16" s="80">
        <v>0.11226924314206646</v>
      </c>
      <c r="O16" s="80">
        <v>0.21169365301151044</v>
      </c>
      <c r="Q16" s="2" t="s">
        <v>356</v>
      </c>
      <c r="R16" s="23">
        <v>1.2782317534600563E-2</v>
      </c>
      <c r="S16" s="23">
        <v>1.1088779433645621E-2</v>
      </c>
      <c r="T16" s="23">
        <v>1.2014032162073317E-2</v>
      </c>
      <c r="U16" s="23">
        <v>1.2386468287801154E-2</v>
      </c>
      <c r="V16" s="23">
        <v>1.1801927031143395E-2</v>
      </c>
      <c r="W16" s="23">
        <v>1.3394427795526862E-2</v>
      </c>
      <c r="X16" s="23">
        <v>1.3230259789601647E-2</v>
      </c>
      <c r="Y16" s="23">
        <v>1.0271865928161227E-2</v>
      </c>
      <c r="Z16" s="23">
        <v>1.0495872541744646E-2</v>
      </c>
      <c r="AA16" s="23">
        <v>1.1045442125881176E-2</v>
      </c>
      <c r="AB16" s="23">
        <v>1.3385456685029891E-2</v>
      </c>
      <c r="AC16" s="23">
        <v>1.6926408893841383E-2</v>
      </c>
      <c r="AD16" s="23">
        <v>1.344006488258E-2</v>
      </c>
      <c r="AE16" s="23">
        <v>1.2E-2</v>
      </c>
      <c r="AF16" s="23">
        <v>1.2017E-2</v>
      </c>
      <c r="AG16" s="116">
        <f>'[2]Table S7'!$G$64</f>
        <v>9.635181308987514E-3</v>
      </c>
    </row>
    <row r="17" spans="1:33">
      <c r="A17" s="2" t="s">
        <v>425</v>
      </c>
      <c r="B17" s="79">
        <v>5722100</v>
      </c>
      <c r="C17" s="80">
        <v>0.11088984798154922</v>
      </c>
      <c r="D17" s="80">
        <v>0.32685634131622376</v>
      </c>
      <c r="E17" s="80">
        <v>0.19620927463053386</v>
      </c>
      <c r="F17" s="80">
        <v>0.23281429271368803</v>
      </c>
      <c r="G17" s="80">
        <v>0.13323024335800507</v>
      </c>
      <c r="I17" s="86" t="s">
        <v>342</v>
      </c>
      <c r="J17" s="49">
        <v>33500</v>
      </c>
      <c r="K17" s="49">
        <v>17916</v>
      </c>
      <c r="L17" s="49">
        <v>26240</v>
      </c>
      <c r="M17" s="49">
        <v>32250</v>
      </c>
      <c r="N17" s="49">
        <v>46000</v>
      </c>
      <c r="O17" s="49">
        <v>61500</v>
      </c>
      <c r="Q17" s="2" t="s">
        <v>357</v>
      </c>
      <c r="R17" s="23">
        <v>6.0833304298780573E-3</v>
      </c>
      <c r="S17" s="23">
        <v>6.9750587635042651E-3</v>
      </c>
      <c r="T17" s="23">
        <v>5.9058211183722602E-3</v>
      </c>
      <c r="U17" s="23">
        <v>5.9887583999505729E-3</v>
      </c>
      <c r="V17" s="23">
        <v>6.8008302656804775E-3</v>
      </c>
      <c r="W17" s="23">
        <v>7.0893177827653607E-3</v>
      </c>
      <c r="X17" s="23">
        <v>6.7093130851003978E-3</v>
      </c>
      <c r="Y17" s="23">
        <v>5.132507918672518E-3</v>
      </c>
      <c r="Z17" s="23">
        <v>6.7515866433963479E-3</v>
      </c>
      <c r="AA17" s="23">
        <v>7.8019342786536964E-3</v>
      </c>
      <c r="AB17" s="23">
        <v>7.639535599459295E-3</v>
      </c>
      <c r="AC17" s="23">
        <v>6.4135410126541087E-3</v>
      </c>
      <c r="AD17" s="23">
        <v>9.3660804420153416E-3</v>
      </c>
      <c r="AE17" s="23">
        <v>1.4E-2</v>
      </c>
      <c r="AF17" s="23">
        <v>1.1608E-2</v>
      </c>
      <c r="AG17" s="116">
        <f>'[2]Table S7'!$G$71</f>
        <v>9.8847501755708195E-3</v>
      </c>
    </row>
    <row r="18" spans="1:33">
      <c r="A18" s="2" t="s">
        <v>430</v>
      </c>
      <c r="B18" s="79">
        <v>5741400</v>
      </c>
      <c r="C18" s="80">
        <v>0.10237460083680144</v>
      </c>
      <c r="D18" s="80">
        <v>0.32747408030047104</v>
      </c>
      <c r="E18" s="80">
        <v>0.2071610321967553</v>
      </c>
      <c r="F18" s="80">
        <v>0.2389983185244817</v>
      </c>
      <c r="G18" s="80">
        <v>0.12399194201539489</v>
      </c>
      <c r="I18" s="224" t="s">
        <v>586</v>
      </c>
      <c r="J18" s="49">
        <f>'[2]Table S6'!H468</f>
        <v>47730.353896001376</v>
      </c>
      <c r="K18" s="49">
        <f>'[2]Table S6'!I468</f>
        <v>25496.118156633973</v>
      </c>
      <c r="L18" s="49">
        <f>'[2]Table S6'!J468</f>
        <v>37379.619000634222</v>
      </c>
      <c r="M18" s="49">
        <f>'[2]Table S6'!K468</f>
        <v>45962.83873851088</v>
      </c>
      <c r="N18" s="49">
        <f>'[2]Table S6'!L468</f>
        <v>65534.415354926357</v>
      </c>
      <c r="O18" s="49">
        <f>'[2]Table S6'!M468</f>
        <v>87650.492843153712</v>
      </c>
      <c r="Q18" s="2" t="s">
        <v>358</v>
      </c>
      <c r="R18" s="23">
        <v>7.5591616065150913E-2</v>
      </c>
      <c r="S18" s="23">
        <v>7.2454211113405553E-2</v>
      </c>
      <c r="T18" s="23">
        <v>7.3908868259808927E-2</v>
      </c>
      <c r="U18" s="23">
        <v>7.3595171693029718E-2</v>
      </c>
      <c r="V18" s="23">
        <v>6.7004639405557426E-2</v>
      </c>
      <c r="W18" s="23">
        <v>6.128214575251479E-2</v>
      </c>
      <c r="X18" s="23">
        <v>6.395730736044225E-2</v>
      </c>
      <c r="Y18" s="23">
        <v>6.212050487860294E-2</v>
      </c>
      <c r="Z18" s="23">
        <v>5.9371960949274404E-2</v>
      </c>
      <c r="AA18" s="23">
        <v>6.6862863706589851E-2</v>
      </c>
      <c r="AB18" s="23">
        <v>7.3550617660224971E-2</v>
      </c>
      <c r="AC18" s="23">
        <v>7.6648770919284265E-2</v>
      </c>
      <c r="AD18" s="23">
        <v>8.6288067929894088E-2</v>
      </c>
      <c r="AE18" s="23">
        <v>8.5000000000000006E-2</v>
      </c>
      <c r="AF18" s="23">
        <v>8.0321000000000004E-2</v>
      </c>
      <c r="AG18" s="116">
        <f>'[2]Table S7'!$G$78</f>
        <v>9.1861585104742988E-2</v>
      </c>
    </row>
    <row r="19" spans="1:33">
      <c r="A19" s="2" t="s">
        <v>432</v>
      </c>
      <c r="B19" s="79">
        <v>5730500</v>
      </c>
      <c r="C19" s="80">
        <v>0.10272246183156304</v>
      </c>
      <c r="D19" s="80">
        <v>0.32100243412354379</v>
      </c>
      <c r="E19" s="80">
        <v>0.20211837162416274</v>
      </c>
      <c r="F19" s="80">
        <v>0.2486095493408858</v>
      </c>
      <c r="G19" s="80">
        <v>0.12554715690431542</v>
      </c>
      <c r="I19" s="98" t="s">
        <v>386</v>
      </c>
      <c r="J19" s="49"/>
      <c r="Q19" s="2" t="s">
        <v>359</v>
      </c>
      <c r="R19" s="23">
        <v>0.51133018146862741</v>
      </c>
      <c r="S19" s="23">
        <v>0.48425878969333291</v>
      </c>
      <c r="T19" s="23">
        <v>0.47529203710232221</v>
      </c>
      <c r="U19" s="23">
        <v>0.48322457537320873</v>
      </c>
      <c r="V19" s="23">
        <v>0.46842791135767092</v>
      </c>
      <c r="W19" s="23">
        <v>0.4321084269069228</v>
      </c>
      <c r="X19" s="23">
        <v>0.43103872045706804</v>
      </c>
      <c r="Y19" s="23">
        <v>0.42812750166741453</v>
      </c>
      <c r="Z19" s="23">
        <v>0.40437290321320202</v>
      </c>
      <c r="AA19" s="23">
        <v>0.3965535979062928</v>
      </c>
      <c r="AB19" s="23">
        <v>0.408472434054239</v>
      </c>
      <c r="AC19" s="23">
        <v>0.40227923201181415</v>
      </c>
      <c r="AD19" s="23">
        <v>0.44180000508622813</v>
      </c>
      <c r="AE19" s="23">
        <v>0.52</v>
      </c>
      <c r="AF19" s="23">
        <v>0.53466000000000002</v>
      </c>
      <c r="AG19" s="116">
        <f>'[2]Table S7'!$G$85</f>
        <v>0.53837406005378463</v>
      </c>
    </row>
    <row r="20" spans="1:33">
      <c r="A20" s="2" t="s">
        <v>436</v>
      </c>
      <c r="B20" s="79">
        <v>5789900</v>
      </c>
      <c r="C20" s="80">
        <v>0.10583742535384109</v>
      </c>
      <c r="D20" s="80">
        <v>0.31035235202943129</v>
      </c>
      <c r="E20" s="80">
        <v>0.19588847472270471</v>
      </c>
      <c r="F20" s="80">
        <v>0.24712675987884275</v>
      </c>
      <c r="G20" s="80">
        <v>0.14079498801518009</v>
      </c>
      <c r="I20" s="21" t="s">
        <v>337</v>
      </c>
      <c r="J20" s="79">
        <v>5816600</v>
      </c>
      <c r="K20" s="79">
        <v>811900</v>
      </c>
      <c r="L20" s="79">
        <v>1966000</v>
      </c>
      <c r="M20" s="79">
        <v>1155800</v>
      </c>
      <c r="N20" s="79">
        <v>1268700</v>
      </c>
      <c r="O20" s="79">
        <v>614100</v>
      </c>
      <c r="Q20" s="2" t="s">
        <v>360</v>
      </c>
      <c r="R20" s="23">
        <v>0.25791199337924731</v>
      </c>
      <c r="S20" s="23">
        <v>0.23655968049748982</v>
      </c>
      <c r="T20" s="23">
        <v>0.22654964580396911</v>
      </c>
      <c r="U20" s="23">
        <v>0.21816268409568229</v>
      </c>
      <c r="V20" s="23">
        <v>0.20310470551035489</v>
      </c>
      <c r="W20" s="23">
        <v>0.1921218651240123</v>
      </c>
      <c r="X20" s="23">
        <v>0.19000705564292567</v>
      </c>
      <c r="Y20" s="23">
        <v>0.18192592391871429</v>
      </c>
      <c r="Z20" s="23">
        <v>0.1651483347312209</v>
      </c>
      <c r="AA20" s="23">
        <v>0.16955124172931504</v>
      </c>
      <c r="AB20" s="23">
        <v>0.17403029427263877</v>
      </c>
      <c r="AC20" s="23">
        <v>0.14946516150498215</v>
      </c>
      <c r="AD20" s="23">
        <v>0.13655291114691126</v>
      </c>
      <c r="AE20" s="23">
        <v>0.14499999999999999</v>
      </c>
      <c r="AF20" s="23">
        <v>0.14680399999999999</v>
      </c>
      <c r="AG20" s="116">
        <f>'[2]Table S7'!$G$92</f>
        <v>0.1541533033007314</v>
      </c>
    </row>
    <row r="21" spans="1:33">
      <c r="A21" s="2" t="s">
        <v>439</v>
      </c>
      <c r="B21" s="79">
        <v>5879800</v>
      </c>
      <c r="C21" s="80">
        <v>0.10362457652234687</v>
      </c>
      <c r="D21" s="80">
        <v>0.30131332793476107</v>
      </c>
      <c r="E21" s="80">
        <v>0.20762674923962887</v>
      </c>
      <c r="F21" s="80">
        <v>0.24490535111394957</v>
      </c>
      <c r="G21" s="80">
        <v>0.14252999518931359</v>
      </c>
      <c r="I21" s="2" t="s">
        <v>383</v>
      </c>
      <c r="J21" s="80">
        <v>0.30905521729355634</v>
      </c>
      <c r="K21" s="80">
        <v>0.58229863804966941</v>
      </c>
      <c r="L21" s="80">
        <v>0.35353134314253798</v>
      </c>
      <c r="M21" s="80">
        <v>0.24668850391203004</v>
      </c>
      <c r="N21" s="80">
        <v>0.18792724943816339</v>
      </c>
      <c r="O21" s="80">
        <v>0.1730288395498436</v>
      </c>
      <c r="Q21" s="2" t="s">
        <v>361</v>
      </c>
      <c r="R21" s="23">
        <v>4.2686587334063886E-2</v>
      </c>
      <c r="S21" s="23">
        <v>4.2592241448078168E-2</v>
      </c>
      <c r="T21" s="23">
        <v>4.7023258197783989E-2</v>
      </c>
      <c r="U21" s="23">
        <v>5.1386747253655787E-2</v>
      </c>
      <c r="V21" s="23">
        <v>4.6913047060448715E-2</v>
      </c>
      <c r="W21" s="23">
        <v>3.7991174766388802E-2</v>
      </c>
      <c r="X21" s="23">
        <v>3.3824370118244407E-2</v>
      </c>
      <c r="Y21" s="23">
        <v>3.5657598365662839E-2</v>
      </c>
      <c r="Z21" s="23">
        <v>3.3832997747622003E-2</v>
      </c>
      <c r="AA21" s="23">
        <v>3.1389977438672424E-2</v>
      </c>
      <c r="AB21" s="23">
        <v>3.3986117908926694E-2</v>
      </c>
      <c r="AC21" s="23">
        <v>3.7587437796918199E-2</v>
      </c>
      <c r="AD21" s="23">
        <v>3.7024437667721136E-2</v>
      </c>
      <c r="AE21" s="23">
        <v>3.5999999999999997E-2</v>
      </c>
      <c r="AF21" s="23">
        <v>3.7766000000000001E-2</v>
      </c>
      <c r="AG21" s="116">
        <f>'[2]Table S7'!$G$99</f>
        <v>3.9241013343382265E-2</v>
      </c>
    </row>
    <row r="22" spans="1:33">
      <c r="A22" s="2" t="s">
        <v>485</v>
      </c>
      <c r="B22" s="79">
        <v>5991800</v>
      </c>
      <c r="C22" s="80">
        <v>9.8623235238138929E-2</v>
      </c>
      <c r="D22" s="80">
        <v>0.29907595276161725</v>
      </c>
      <c r="E22" s="80">
        <v>0.21272147623250526</v>
      </c>
      <c r="F22" s="80">
        <v>0.24894902536004548</v>
      </c>
      <c r="G22" s="80">
        <v>0.14063031040769311</v>
      </c>
      <c r="I22" s="2" t="s">
        <v>338</v>
      </c>
      <c r="J22" s="80">
        <v>7.4133620595891098E-2</v>
      </c>
      <c r="K22" s="80">
        <v>8.3509899031707399E-2</v>
      </c>
      <c r="L22" s="80">
        <v>9.4648569134613836E-2</v>
      </c>
      <c r="M22" s="80">
        <v>7.8567972167126771E-2</v>
      </c>
      <c r="N22" s="80">
        <v>5.0422803266429991E-2</v>
      </c>
      <c r="O22" s="80">
        <v>3.6699063067971438E-2</v>
      </c>
      <c r="Q22" s="2" t="s">
        <v>362</v>
      </c>
      <c r="R22" s="23">
        <v>2.8554260039480188E-2</v>
      </c>
      <c r="S22" s="23">
        <v>3.1395255497878381E-2</v>
      </c>
      <c r="T22" s="23">
        <v>2.9092598755095386E-2</v>
      </c>
      <c r="U22" s="23">
        <v>2.9680275683631421E-2</v>
      </c>
      <c r="V22" s="23">
        <v>3.0727869484306423E-2</v>
      </c>
      <c r="W22" s="23">
        <v>2.634143512551541E-2</v>
      </c>
      <c r="X22" s="23">
        <v>2.5564215191943598E-2</v>
      </c>
      <c r="Y22" s="23">
        <v>2.5726263113279631E-2</v>
      </c>
      <c r="Z22" s="23">
        <v>2.7006566898635433E-2</v>
      </c>
      <c r="AA22" s="23">
        <v>2.9120933125718975E-2</v>
      </c>
      <c r="AB22" s="23">
        <v>2.7981443254710227E-2</v>
      </c>
      <c r="AC22" s="23">
        <v>2.8405196864442872E-2</v>
      </c>
      <c r="AD22" s="23">
        <v>2.7101301908551829E-2</v>
      </c>
      <c r="AE22" s="23">
        <v>2.7E-2</v>
      </c>
      <c r="AF22" s="23">
        <v>2.784E-2</v>
      </c>
      <c r="AG22" s="116">
        <f>'[2]Table S7'!$G$106</f>
        <v>2.5130655521488156E-2</v>
      </c>
    </row>
    <row r="23" spans="1:33">
      <c r="A23" s="2" t="s">
        <v>491</v>
      </c>
      <c r="B23" s="79">
        <v>6106521</v>
      </c>
      <c r="C23" s="80">
        <v>8.7884000000000004E-2</v>
      </c>
      <c r="D23" s="80">
        <v>0.30115999999999998</v>
      </c>
      <c r="E23" s="80">
        <v>0.20235300000000001</v>
      </c>
      <c r="F23" s="80">
        <v>0.25326500000000002</v>
      </c>
      <c r="G23" s="80">
        <v>0.155338</v>
      </c>
      <c r="I23" s="2" t="s">
        <v>339</v>
      </c>
      <c r="J23" s="80">
        <v>0.15165385683805963</v>
      </c>
      <c r="K23" s="80">
        <v>0.19192640762260074</v>
      </c>
      <c r="L23" s="80">
        <v>0.18225069249134587</v>
      </c>
      <c r="M23" s="80">
        <v>0.17078819902779685</v>
      </c>
      <c r="N23" s="80">
        <v>0.10315512515835495</v>
      </c>
      <c r="O23" s="80">
        <v>6.4638061668113589E-2</v>
      </c>
      <c r="Q23" s="2" t="s">
        <v>363</v>
      </c>
      <c r="R23" s="23">
        <v>1.7744268907288616E-2</v>
      </c>
      <c r="S23" s="23">
        <v>1.8866469000259282E-2</v>
      </c>
      <c r="T23" s="23">
        <v>1.8059281488236909E-2</v>
      </c>
      <c r="U23" s="23">
        <v>1.804649720852811E-2</v>
      </c>
      <c r="V23" s="23">
        <v>1.6999393380789811E-2</v>
      </c>
      <c r="W23" s="23">
        <v>1.8287401617949124E-2</v>
      </c>
      <c r="X23" s="23">
        <v>1.8537808001516266E-2</v>
      </c>
      <c r="Y23" s="23">
        <v>1.6838679697552223E-2</v>
      </c>
      <c r="Z23" s="23">
        <v>1.5972332592713172E-2</v>
      </c>
      <c r="AA23" s="23">
        <v>1.3802151350350794E-2</v>
      </c>
      <c r="AB23" s="23">
        <v>1.6484756410910691E-2</v>
      </c>
      <c r="AC23" s="23">
        <v>1.8543364995256044E-2</v>
      </c>
      <c r="AD23" s="23">
        <v>1.5874673679764442E-2</v>
      </c>
      <c r="AE23" s="23">
        <v>1.2999999999999999E-2</v>
      </c>
      <c r="AF23" s="23">
        <v>1.2064999999999999E-2</v>
      </c>
      <c r="AG23" s="116">
        <f>'[2]Table S7'!$G$113</f>
        <v>1.1400119902022918E-2</v>
      </c>
    </row>
    <row r="24" spans="1:33">
      <c r="A24" s="2" t="s">
        <v>496</v>
      </c>
      <c r="B24" s="79">
        <v>6153075</v>
      </c>
      <c r="C24" s="80">
        <v>7.2038000000000005E-2</v>
      </c>
      <c r="D24" s="80">
        <v>0.30550699999999997</v>
      </c>
      <c r="E24" s="80">
        <v>0.206928</v>
      </c>
      <c r="F24" s="80">
        <v>0.256054</v>
      </c>
      <c r="G24" s="80">
        <v>0.159473</v>
      </c>
      <c r="I24" s="2" t="s">
        <v>340</v>
      </c>
      <c r="J24" s="80">
        <v>0.23449755927497595</v>
      </c>
      <c r="K24" s="80">
        <v>0.11491374202084294</v>
      </c>
      <c r="L24" s="80">
        <v>0.24990986771553877</v>
      </c>
      <c r="M24" s="80">
        <v>0.28589262068907612</v>
      </c>
      <c r="N24" s="80">
        <v>0.25776193918097373</v>
      </c>
      <c r="O24" s="80">
        <v>0.19846755173567401</v>
      </c>
      <c r="Q24" s="2" t="s">
        <v>364</v>
      </c>
      <c r="R24" s="23">
        <v>2.6763579387440424E-3</v>
      </c>
      <c r="S24" s="23">
        <v>2.8570041599360668E-3</v>
      </c>
      <c r="T24" s="23">
        <v>3.2650542324048886E-3</v>
      </c>
      <c r="U24" s="23">
        <v>2.4371554891982764E-3</v>
      </c>
      <c r="V24" s="23">
        <v>1.3862868309087676E-3</v>
      </c>
      <c r="W24" s="23">
        <v>2.0791035239599775E-3</v>
      </c>
      <c r="X24" s="23">
        <v>3.0083707810774712E-3</v>
      </c>
      <c r="Y24" s="23">
        <v>2.5448949505206655E-3</v>
      </c>
      <c r="Z24" s="23">
        <v>2.1082968210517803E-3</v>
      </c>
      <c r="AA24" s="23">
        <v>2.430405936204469E-3</v>
      </c>
      <c r="AB24" s="23">
        <v>2.8163227939431924E-3</v>
      </c>
      <c r="AC24" s="23">
        <v>4.3132229907191233E-3</v>
      </c>
      <c r="AD24" s="23">
        <v>2.9323515070162308E-3</v>
      </c>
      <c r="AE24" s="218" t="s">
        <v>492</v>
      </c>
      <c r="AF24" s="218" t="s">
        <v>492</v>
      </c>
      <c r="AG24" s="116" t="s">
        <v>492</v>
      </c>
    </row>
    <row r="25" spans="1:33">
      <c r="A25" s="2" t="s">
        <v>567</v>
      </c>
      <c r="B25" s="118">
        <f>'[2]Table S5'!$D$16</f>
        <v>6172501</v>
      </c>
      <c r="C25" s="115">
        <f>'[2]Table S5'!$F$7</f>
        <v>6.494435561857341E-2</v>
      </c>
      <c r="D25" s="115">
        <f>'[2]Table S5'!$F$8</f>
        <v>0.30766596878639629</v>
      </c>
      <c r="E25" s="115">
        <f>'[2]Table S5'!$F$9</f>
        <v>0.209546632718245</v>
      </c>
      <c r="F25" s="115">
        <f>'[2]Table S5'!$F$10</f>
        <v>0.25667378587706996</v>
      </c>
      <c r="G25" s="115">
        <f>'[2]Table S5'!$F$11</f>
        <v>0.16116928940149222</v>
      </c>
      <c r="I25" s="2" t="s">
        <v>341</v>
      </c>
      <c r="J25" s="80">
        <v>0.12212141353491322</v>
      </c>
      <c r="K25" s="80">
        <v>1.6825437698094296E-2</v>
      </c>
      <c r="L25" s="80">
        <v>8.7323136269681162E-2</v>
      </c>
      <c r="M25" s="80">
        <v>0.13716258289476885</v>
      </c>
      <c r="N25" s="80">
        <v>0.18514695366062828</v>
      </c>
      <c r="O25" s="80">
        <v>0.21422447093428651</v>
      </c>
      <c r="Q25" s="2" t="s">
        <v>365</v>
      </c>
      <c r="R25" s="23">
        <v>5.6365994556859585E-3</v>
      </c>
      <c r="S25" s="23">
        <v>6.2590610704589388E-3</v>
      </c>
      <c r="T25" s="23">
        <v>4.8334289168124114E-3</v>
      </c>
      <c r="U25" s="23">
        <v>3.6390089367759797E-3</v>
      </c>
      <c r="V25" s="23">
        <v>5.134167765946657E-3</v>
      </c>
      <c r="W25" s="23">
        <v>6.516950804220204E-3</v>
      </c>
      <c r="X25" s="23">
        <v>6.2132097539015843E-3</v>
      </c>
      <c r="Y25" s="23">
        <v>4.9774895338439975E-3</v>
      </c>
      <c r="Z25" s="23">
        <v>6.0864623946851612E-3</v>
      </c>
      <c r="AA25" s="23">
        <v>8.5067872011615978E-3</v>
      </c>
      <c r="AB25" s="23">
        <v>8.454619078372104E-3</v>
      </c>
      <c r="AC25" s="23">
        <v>7.715453127954454E-3</v>
      </c>
      <c r="AD25" s="23">
        <v>8.356842856558416E-3</v>
      </c>
      <c r="AE25" s="23">
        <v>0.01</v>
      </c>
      <c r="AF25" s="23">
        <v>1.0857E-2</v>
      </c>
      <c r="AG25" s="116">
        <f>'[2]Table S7'!$G$125</f>
        <v>7.9691063873520498E-3</v>
      </c>
    </row>
    <row r="26" spans="1:33">
      <c r="I26" s="2" t="s">
        <v>343</v>
      </c>
      <c r="J26" s="80">
        <v>5.1312894959533784E-2</v>
      </c>
      <c r="K26" s="80">
        <v>5.0321170152567152E-3</v>
      </c>
      <c r="L26" s="80">
        <v>1.7377380845473446E-2</v>
      </c>
      <c r="M26" s="80">
        <v>5.2658490261722021E-2</v>
      </c>
      <c r="N26" s="80">
        <v>9.5382167101147719E-2</v>
      </c>
      <c r="O26" s="80">
        <v>0.12756732641548291</v>
      </c>
      <c r="Q26" s="2" t="s">
        <v>366</v>
      </c>
      <c r="R26" s="23">
        <v>5.8219312579386416E-3</v>
      </c>
      <c r="S26" s="23">
        <v>5.1413757925288552E-3</v>
      </c>
      <c r="T26" s="23">
        <v>3.7885517007577533E-3</v>
      </c>
      <c r="U26" s="23">
        <v>1.8678690735089835E-3</v>
      </c>
      <c r="V26" s="23">
        <v>3.3562826441470672E-3</v>
      </c>
      <c r="W26" s="23">
        <v>4.4024852643256979E-3</v>
      </c>
      <c r="X26" s="23">
        <v>3.2992564016384282E-3</v>
      </c>
      <c r="Y26" s="23">
        <v>3.8313650919415297E-3</v>
      </c>
      <c r="Z26" s="23">
        <v>4.4595173398309972E-3</v>
      </c>
      <c r="AA26" s="23">
        <v>4.3805189783244413E-3</v>
      </c>
      <c r="AB26" s="23">
        <v>4.9437553121878348E-3</v>
      </c>
      <c r="AC26" s="23">
        <v>4.8302653306154467E-3</v>
      </c>
      <c r="AD26" s="23">
        <v>4.6165702679004826E-3</v>
      </c>
      <c r="AE26" s="23">
        <v>6.0000000000000001E-3</v>
      </c>
      <c r="AF26" s="23">
        <v>8.7480000000000006E-3</v>
      </c>
      <c r="AG26" s="116">
        <f>'[2]Table S7'!$G$132</f>
        <v>7.9320998269985094E-3</v>
      </c>
    </row>
    <row r="27" spans="1:33">
      <c r="A27" s="81" t="s">
        <v>322</v>
      </c>
      <c r="B27" s="2"/>
      <c r="C27" s="2"/>
      <c r="D27" s="2"/>
      <c r="E27" s="2"/>
      <c r="F27" s="2"/>
      <c r="G27" s="2"/>
      <c r="I27" s="2" t="s">
        <v>344</v>
      </c>
      <c r="J27" s="80">
        <v>5.7225437503069986E-2</v>
      </c>
      <c r="K27" s="80">
        <v>5.4937585618283161E-3</v>
      </c>
      <c r="L27" s="80">
        <v>1.4959010400808999E-2</v>
      </c>
      <c r="M27" s="80">
        <v>2.8241631047479478E-2</v>
      </c>
      <c r="N27" s="80">
        <v>0.12020376219430184</v>
      </c>
      <c r="O27" s="80">
        <v>0.18537468662862808</v>
      </c>
      <c r="Q27" s="2"/>
    </row>
    <row r="28" spans="1:33">
      <c r="A28" s="78" t="s">
        <v>323</v>
      </c>
      <c r="B28" s="2"/>
      <c r="C28" s="2"/>
      <c r="D28" s="2"/>
      <c r="E28" s="2"/>
      <c r="F28" s="2"/>
      <c r="G28" s="2"/>
      <c r="I28" s="86" t="s">
        <v>342</v>
      </c>
      <c r="J28" s="49">
        <v>35000</v>
      </c>
      <c r="K28" s="49">
        <v>19516</v>
      </c>
      <c r="L28" s="49">
        <v>28500</v>
      </c>
      <c r="M28" s="49">
        <v>33500</v>
      </c>
      <c r="N28" s="49">
        <v>48500</v>
      </c>
      <c r="O28" s="49">
        <v>59500</v>
      </c>
      <c r="Q28" s="88" t="s">
        <v>367</v>
      </c>
      <c r="R28" s="79">
        <v>3288100</v>
      </c>
      <c r="S28" s="79">
        <v>3267600</v>
      </c>
      <c r="T28" s="79">
        <v>3285300</v>
      </c>
      <c r="U28" s="79">
        <v>3358800</v>
      </c>
      <c r="V28" s="79">
        <v>3380500</v>
      </c>
      <c r="W28" s="79">
        <v>3332200</v>
      </c>
      <c r="X28" s="79">
        <v>3283100</v>
      </c>
      <c r="Y28" s="79">
        <v>3331900</v>
      </c>
      <c r="Z28" s="79">
        <v>3403700</v>
      </c>
      <c r="AA28" s="79">
        <v>3361600</v>
      </c>
      <c r="AB28" s="79">
        <v>3348300</v>
      </c>
      <c r="AC28" s="79">
        <v>3430000</v>
      </c>
      <c r="AD28" s="79">
        <v>3507900</v>
      </c>
      <c r="AE28" s="79">
        <f>'T1-T6'!Q15</f>
        <v>3534536.45</v>
      </c>
      <c r="AF28" s="79">
        <f>'T1-T6'!Q12</f>
        <v>3506411</v>
      </c>
      <c r="AG28" s="2">
        <f>'[2]Table S7'!$H$5</f>
        <v>3547315</v>
      </c>
    </row>
    <row r="29" spans="1:33">
      <c r="A29" s="2" t="s">
        <v>281</v>
      </c>
      <c r="B29" s="79">
        <v>2669900</v>
      </c>
      <c r="C29" s="80">
        <v>0.1399883800961054</v>
      </c>
      <c r="D29" s="80">
        <v>0.3170571342404529</v>
      </c>
      <c r="E29" s="80">
        <v>0.20455115274660304</v>
      </c>
      <c r="F29" s="80">
        <v>0.22094668207996876</v>
      </c>
      <c r="G29" s="80">
        <v>0.11745665083686978</v>
      </c>
      <c r="I29" s="224" t="s">
        <v>586</v>
      </c>
      <c r="J29" s="49">
        <f>'[2]Table S6'!H469</f>
        <v>48668.15439739413</v>
      </c>
      <c r="K29" s="49">
        <f>'[2]Table S6'!I469</f>
        <v>27151.060217915307</v>
      </c>
      <c r="L29" s="49">
        <f>'[2]Table S6'!J469</f>
        <v>39619.031433224751</v>
      </c>
      <c r="M29" s="49">
        <f>'[2]Table S6'!K469</f>
        <v>46573.864800488591</v>
      </c>
      <c r="N29" s="49">
        <f>'[2]Table S6'!L469</f>
        <v>67438.364902280126</v>
      </c>
      <c r="O29" s="49">
        <f>'[2]Table S6'!M469</f>
        <v>82786.035830618886</v>
      </c>
      <c r="Q29" s="89" t="s">
        <v>347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3">
      <c r="A30" s="2" t="s">
        <v>108</v>
      </c>
      <c r="B30" s="79">
        <v>2769300</v>
      </c>
      <c r="C30" s="80">
        <v>0.1415171035366222</v>
      </c>
      <c r="D30" s="80">
        <v>0.31500309422280842</v>
      </c>
      <c r="E30" s="80">
        <v>0.19714389016253811</v>
      </c>
      <c r="F30" s="80">
        <v>0.22630373757740635</v>
      </c>
      <c r="G30" s="80">
        <v>0.12003217450062494</v>
      </c>
      <c r="I30" s="98" t="s">
        <v>385</v>
      </c>
      <c r="Q30" s="2" t="s">
        <v>348</v>
      </c>
      <c r="R30" s="23">
        <v>0.71393042391322525</v>
      </c>
      <c r="S30" s="23">
        <v>0.71245653675884801</v>
      </c>
      <c r="T30" s="23">
        <v>0.70626640834384735</v>
      </c>
      <c r="U30" s="23">
        <v>0.72361954901329828</v>
      </c>
      <c r="V30" s="23">
        <v>0.73476549090300791</v>
      </c>
      <c r="W30" s="23">
        <v>0.69734121064308019</v>
      </c>
      <c r="X30" s="23">
        <v>0.671068121682042</v>
      </c>
      <c r="Y30" s="23">
        <v>0.6882111925787987</v>
      </c>
      <c r="Z30" s="23">
        <v>0.6871581731353299</v>
      </c>
      <c r="AA30" s="23">
        <v>0.66771587442110625</v>
      </c>
      <c r="AB30" s="23">
        <v>0.67043073775693818</v>
      </c>
      <c r="AC30" s="23">
        <v>0.67515708508398764</v>
      </c>
      <c r="AD30" s="23">
        <v>0.66986039303707257</v>
      </c>
      <c r="AE30" s="23">
        <v>0.67500000000000004</v>
      </c>
      <c r="AF30" s="23">
        <v>0.67571300000000001</v>
      </c>
      <c r="AG30" s="116">
        <f>'[2]Table S7'!$H$7</f>
        <v>0.65644015262247646</v>
      </c>
    </row>
    <row r="31" spans="1:33">
      <c r="A31" s="2" t="s">
        <v>136</v>
      </c>
      <c r="B31" s="79">
        <v>2708900</v>
      </c>
      <c r="C31" s="80">
        <v>0.12960644971484647</v>
      </c>
      <c r="D31" s="80">
        <v>0.31376221903751422</v>
      </c>
      <c r="E31" s="80">
        <v>0.18965216856670292</v>
      </c>
      <c r="F31" s="80">
        <v>0.23925913657644549</v>
      </c>
      <c r="G31" s="80">
        <v>0.12772002610449099</v>
      </c>
      <c r="I31" s="21" t="s">
        <v>337</v>
      </c>
      <c r="J31" s="79">
        <v>5697600</v>
      </c>
      <c r="K31" s="79">
        <v>747800</v>
      </c>
      <c r="L31" s="79">
        <v>1915600</v>
      </c>
      <c r="M31" s="79">
        <v>1096600</v>
      </c>
      <c r="N31" s="79">
        <v>1307400</v>
      </c>
      <c r="O31" s="79">
        <v>630100</v>
      </c>
      <c r="Q31" s="2" t="s">
        <v>349</v>
      </c>
      <c r="R31" s="23">
        <v>5.1067910968642549E-2</v>
      </c>
      <c r="S31" s="23">
        <v>5.0227097118217573E-2</v>
      </c>
      <c r="T31" s="23">
        <v>5.6936378620489177E-2</v>
      </c>
      <c r="U31" s="23">
        <v>5.5341774636219795E-2</v>
      </c>
      <c r="V31" s="23">
        <v>4.9255244834368932E-2</v>
      </c>
      <c r="W31" s="23">
        <v>5.3527522240106498E-2</v>
      </c>
      <c r="X31" s="23">
        <v>5.7927355432290585E-2</v>
      </c>
      <c r="Y31" s="23">
        <v>5.5268612016803227E-2</v>
      </c>
      <c r="Z31" s="23">
        <v>5.2273004045476093E-2</v>
      </c>
      <c r="AA31" s="23">
        <v>5.3350280701002867E-2</v>
      </c>
      <c r="AB31" s="23">
        <v>5.0982715238216125E-2</v>
      </c>
      <c r="AC31" s="23">
        <v>4.708514230232063E-2</v>
      </c>
      <c r="AD31" s="23">
        <v>4.3106155221555607E-2</v>
      </c>
      <c r="AE31" s="23">
        <v>4.4999999999999998E-2</v>
      </c>
      <c r="AF31" s="23">
        <v>4.9181999999999997E-2</v>
      </c>
      <c r="AG31" s="116">
        <f>'[2]Table S7'!$H$14</f>
        <v>4.7024298659690496E-2</v>
      </c>
    </row>
    <row r="32" spans="1:33">
      <c r="A32" s="2" t="s">
        <v>332</v>
      </c>
      <c r="B32" s="79">
        <v>2722500</v>
      </c>
      <c r="C32" s="80">
        <v>0.12891705170471793</v>
      </c>
      <c r="D32" s="80">
        <v>0.30939024653852337</v>
      </c>
      <c r="E32" s="80">
        <v>0.18209866584032863</v>
      </c>
      <c r="F32" s="80">
        <v>0.23582370754274709</v>
      </c>
      <c r="G32" s="80">
        <v>0.14377032837368289</v>
      </c>
      <c r="I32" s="2" t="s">
        <v>383</v>
      </c>
      <c r="J32" s="80">
        <v>0.30114400313215928</v>
      </c>
      <c r="K32" s="80">
        <v>0.55665952693903176</v>
      </c>
      <c r="L32" s="80">
        <v>0.35191980037364196</v>
      </c>
      <c r="M32" s="80">
        <v>0.25251137209615337</v>
      </c>
      <c r="N32" s="80">
        <v>0.1871994124539699</v>
      </c>
      <c r="O32" s="80">
        <v>0.16458114964992529</v>
      </c>
      <c r="Q32" s="2" t="s">
        <v>350</v>
      </c>
      <c r="R32" s="23">
        <v>4.9999209258969217E-2</v>
      </c>
      <c r="S32" s="23">
        <v>5.0127482380891993E-2</v>
      </c>
      <c r="T32" s="23">
        <v>3.972946112906147E-2</v>
      </c>
      <c r="U32" s="23">
        <v>3.7078690088777302E-2</v>
      </c>
      <c r="V32" s="23">
        <v>3.8133413872722427E-2</v>
      </c>
      <c r="W32" s="23">
        <v>3.5290129991336197E-2</v>
      </c>
      <c r="X32" s="23">
        <v>3.9757441257160575E-2</v>
      </c>
      <c r="Y32" s="23">
        <v>6.041261643835822E-2</v>
      </c>
      <c r="Z32" s="23">
        <v>6.9739606722550321E-2</v>
      </c>
      <c r="AA32" s="23">
        <v>7.0549984769085056E-2</v>
      </c>
      <c r="AB32" s="23">
        <v>7.4324505536350269E-2</v>
      </c>
      <c r="AC32" s="23">
        <v>5.5420988025086965E-2</v>
      </c>
      <c r="AD32" s="23">
        <v>3.4819683046095319E-2</v>
      </c>
      <c r="AE32" s="23">
        <v>2.9000000000000001E-2</v>
      </c>
      <c r="AF32" s="23">
        <v>2.0423E-2</v>
      </c>
      <c r="AG32" s="116">
        <f>'[2]Table S7'!$H$21</f>
        <v>1.656132314158737E-2</v>
      </c>
    </row>
    <row r="33" spans="1:33">
      <c r="A33" s="2" t="s">
        <v>334</v>
      </c>
      <c r="B33" s="79">
        <v>2772900</v>
      </c>
      <c r="C33" s="80">
        <v>0.13643965776816508</v>
      </c>
      <c r="D33" s="80">
        <v>0.30444778302715297</v>
      </c>
      <c r="E33" s="80">
        <v>0.18376802556527549</v>
      </c>
      <c r="F33" s="80">
        <v>0.22537562796997107</v>
      </c>
      <c r="G33" s="80">
        <v>0.14996890566943524</v>
      </c>
      <c r="I33" s="2" t="s">
        <v>338</v>
      </c>
      <c r="J33" s="80">
        <v>7.13700920008285E-2</v>
      </c>
      <c r="K33" s="80">
        <v>9.7019168949824333E-2</v>
      </c>
      <c r="L33" s="80">
        <v>8.6068787533242749E-2</v>
      </c>
      <c r="M33" s="80">
        <v>6.9871463671118003E-2</v>
      </c>
      <c r="N33" s="80">
        <v>5.5754042894474963E-2</v>
      </c>
      <c r="O33" s="80">
        <v>3.1249750520262964E-2</v>
      </c>
      <c r="Q33" s="2" t="s">
        <v>351</v>
      </c>
      <c r="R33" s="23">
        <v>8.9221287356811233E-3</v>
      </c>
      <c r="S33" s="23">
        <v>8.1500141633488281E-3</v>
      </c>
      <c r="T33" s="23">
        <v>6.5889745060945812E-3</v>
      </c>
      <c r="U33" s="23">
        <v>6.8641102036140194E-3</v>
      </c>
      <c r="V33" s="23">
        <v>7.0346827674450281E-3</v>
      </c>
      <c r="W33" s="23">
        <v>8.6265400752413932E-3</v>
      </c>
      <c r="X33" s="23">
        <v>7.201288972157556E-3</v>
      </c>
      <c r="Y33" s="23">
        <v>5.9745076285479632E-3</v>
      </c>
      <c r="Z33" s="23">
        <v>6.7381716575170073E-3</v>
      </c>
      <c r="AA33" s="23">
        <v>5.7996408835834538E-3</v>
      </c>
      <c r="AB33" s="23">
        <v>5.4662226635705906E-3</v>
      </c>
      <c r="AC33" s="23">
        <v>3.3705487699982801E-3</v>
      </c>
      <c r="AD33" s="23">
        <v>2.3461684933208295E-3</v>
      </c>
      <c r="AE33" s="23">
        <v>4.0000000000000001E-3</v>
      </c>
      <c r="AF33" s="23">
        <v>4.9959999999999996E-3</v>
      </c>
      <c r="AG33" s="116">
        <f>'[2]Table S7'!$H$28</f>
        <v>5.0530020593040088E-3</v>
      </c>
    </row>
    <row r="34" spans="1:33">
      <c r="A34" s="2" t="s">
        <v>381</v>
      </c>
      <c r="B34" s="79">
        <v>2784000</v>
      </c>
      <c r="C34" s="80">
        <v>0.12897190568319825</v>
      </c>
      <c r="D34" s="80">
        <v>0.3070766372594908</v>
      </c>
      <c r="E34" s="80">
        <v>0.17543534170679528</v>
      </c>
      <c r="F34" s="80">
        <v>0.23469763587311709</v>
      </c>
      <c r="G34" s="80">
        <v>0.15381842559858552</v>
      </c>
      <c r="I34" s="2" t="s">
        <v>339</v>
      </c>
      <c r="J34" s="80">
        <v>0.14057811687561786</v>
      </c>
      <c r="K34" s="80">
        <v>0.20048960692174839</v>
      </c>
      <c r="L34" s="80">
        <v>0.16926990138364909</v>
      </c>
      <c r="M34" s="80">
        <v>0.15328461262651927</v>
      </c>
      <c r="N34" s="80">
        <v>9.1513991553264784E-2</v>
      </c>
      <c r="O34" s="80">
        <v>6.1929564333267385E-2</v>
      </c>
      <c r="Q34" s="2" t="s">
        <v>352</v>
      </c>
      <c r="R34" s="23">
        <v>0.17076276096354837</v>
      </c>
      <c r="S34" s="23">
        <v>0.15380656219656524</v>
      </c>
      <c r="T34" s="23">
        <v>0.14775612235735297</v>
      </c>
      <c r="U34" s="23">
        <v>0.13931695686275256</v>
      </c>
      <c r="V34" s="23">
        <v>0.13227578548459928</v>
      </c>
      <c r="W34" s="23">
        <v>0.14521616478554686</v>
      </c>
      <c r="X34" s="23">
        <v>0.15235164773577017</v>
      </c>
      <c r="Y34" s="23">
        <v>0.13708678292106855</v>
      </c>
      <c r="Z34" s="23">
        <v>0.12877751232967508</v>
      </c>
      <c r="AA34" s="23">
        <v>0.14303045826015356</v>
      </c>
      <c r="AB34" s="23">
        <v>0.15246689016149867</v>
      </c>
      <c r="AC34" s="23">
        <v>0.15035259952123672</v>
      </c>
      <c r="AD34" s="23">
        <v>0.15530813167007329</v>
      </c>
      <c r="AE34" s="23">
        <v>0.16</v>
      </c>
      <c r="AF34" s="23">
        <v>0.16571900000000001</v>
      </c>
      <c r="AG34" s="116">
        <f>'[2]Table S7'!$H$35</f>
        <v>0.17745912048972251</v>
      </c>
    </row>
    <row r="35" spans="1:33">
      <c r="A35" s="2" t="s">
        <v>412</v>
      </c>
      <c r="B35" s="79">
        <v>2721900</v>
      </c>
      <c r="C35" s="80">
        <v>0.12090882127327152</v>
      </c>
      <c r="D35" s="80">
        <v>0.30737461547796247</v>
      </c>
      <c r="E35" s="80">
        <v>0.16628617833930864</v>
      </c>
      <c r="F35" s="80">
        <v>0.24452699155586322</v>
      </c>
      <c r="G35" s="80">
        <v>0.16090333824408087</v>
      </c>
      <c r="I35" s="2" t="s">
        <v>340</v>
      </c>
      <c r="J35" s="80">
        <v>0.23929810365835139</v>
      </c>
      <c r="K35" s="80">
        <v>0.12027045641485722</v>
      </c>
      <c r="L35" s="80">
        <v>0.26548873311893295</v>
      </c>
      <c r="M35" s="80">
        <v>0.27917839500521419</v>
      </c>
      <c r="N35" s="80">
        <v>0.26541929624450167</v>
      </c>
      <c r="O35" s="80">
        <v>0.17732634825515919</v>
      </c>
      <c r="Q35" s="2" t="s">
        <v>353</v>
      </c>
      <c r="R35" s="23">
        <v>1.5990468529267301E-2</v>
      </c>
      <c r="S35" s="23">
        <v>1.32743676315698E-2</v>
      </c>
      <c r="T35" s="23">
        <v>1.5528503528602453E-2</v>
      </c>
      <c r="U35" s="23">
        <v>1.4740371700921497E-2</v>
      </c>
      <c r="V35" s="23">
        <v>8.6090286449755585E-3</v>
      </c>
      <c r="W35" s="23">
        <v>9.0762061159593253E-3</v>
      </c>
      <c r="X35" s="23">
        <v>1.5536351372384658E-2</v>
      </c>
      <c r="Y35" s="23">
        <v>1.8330147174573236E-2</v>
      </c>
      <c r="Z35" s="23">
        <v>1.6243915222897816E-2</v>
      </c>
      <c r="AA35" s="23">
        <v>1.4540182544895501E-2</v>
      </c>
      <c r="AB35" s="23">
        <v>1.5687760298059478E-2</v>
      </c>
      <c r="AC35" s="23">
        <v>2.0377587348053894E-2</v>
      </c>
      <c r="AD35" s="23">
        <v>2.4119397881027387E-2</v>
      </c>
      <c r="AE35" s="23">
        <v>2.1000000000000001E-2</v>
      </c>
      <c r="AF35" s="23">
        <v>1.5688000000000001E-2</v>
      </c>
      <c r="AG35" s="116">
        <f>'[2]Table S7'!$H$42</f>
        <v>1.8474905668089809E-2</v>
      </c>
    </row>
    <row r="36" spans="1:33">
      <c r="A36" s="2" t="s">
        <v>418</v>
      </c>
      <c r="B36" s="79">
        <v>2682900</v>
      </c>
      <c r="C36" s="80">
        <v>0.11867846684325634</v>
      </c>
      <c r="D36" s="80">
        <v>0.3089819019256802</v>
      </c>
      <c r="E36" s="80">
        <v>0.1677443638476242</v>
      </c>
      <c r="F36" s="80">
        <v>0.23961074609526725</v>
      </c>
      <c r="G36" s="80">
        <v>0.16498452128817204</v>
      </c>
      <c r="I36" s="2" t="s">
        <v>341</v>
      </c>
      <c r="J36" s="80">
        <v>0.12729781308573496</v>
      </c>
      <c r="K36" s="80">
        <v>1.8058756655057951E-2</v>
      </c>
      <c r="L36" s="80">
        <v>9.1297543608286083E-2</v>
      </c>
      <c r="M36" s="80">
        <v>0.15565523554127023</v>
      </c>
      <c r="N36" s="80">
        <v>0.182004476894113</v>
      </c>
      <c r="O36" s="80">
        <v>0.20353308858779257</v>
      </c>
      <c r="Q36" s="2" t="s">
        <v>354</v>
      </c>
      <c r="R36" s="23">
        <v>2.5108780114687858E-3</v>
      </c>
      <c r="S36" s="23">
        <v>2.2911879242577893E-3</v>
      </c>
      <c r="T36" s="23">
        <v>1.7590749080371778E-3</v>
      </c>
      <c r="U36" s="23">
        <v>1.3072683038135439E-3</v>
      </c>
      <c r="V36" s="23">
        <v>1.2595456259139625E-3</v>
      </c>
      <c r="W36" s="23">
        <v>6.7941849084078999E-4</v>
      </c>
      <c r="X36" s="23">
        <v>7.9202127513759181E-4</v>
      </c>
      <c r="Y36" s="23">
        <v>2.1163662513380291E-3</v>
      </c>
      <c r="Z36" s="23">
        <v>4.2007551535786945E-3</v>
      </c>
      <c r="AA36" s="23">
        <v>4.3210418064817055E-3</v>
      </c>
      <c r="AB36" s="23">
        <v>2.3936505566215945E-3</v>
      </c>
      <c r="AC36" s="23">
        <v>7.9801555251671436E-4</v>
      </c>
      <c r="AD36" s="23">
        <v>1.0593908072757301E-3</v>
      </c>
      <c r="AE36" s="23">
        <v>3.0000000000000001E-3</v>
      </c>
      <c r="AF36" s="23">
        <v>4.3109999999999997E-3</v>
      </c>
      <c r="AG36" s="116">
        <f>'[2]Table S7'!$H$49</f>
        <v>3.537123148071147E-3</v>
      </c>
    </row>
    <row r="37" spans="1:33">
      <c r="A37" s="2" t="s">
        <v>425</v>
      </c>
      <c r="B37" s="79">
        <v>2731000</v>
      </c>
      <c r="C37" s="80">
        <v>0.11144108502516697</v>
      </c>
      <c r="D37" s="80">
        <v>0.32068125822214011</v>
      </c>
      <c r="E37" s="80">
        <v>0.18710941630751179</v>
      </c>
      <c r="F37" s="80">
        <v>0.22951960292940329</v>
      </c>
      <c r="G37" s="80">
        <v>0.15124858259166249</v>
      </c>
      <c r="I37" s="2" t="s">
        <v>343</v>
      </c>
      <c r="J37" s="80">
        <v>5.8262577435991503E-2</v>
      </c>
      <c r="K37" s="80">
        <v>6.1142829886500416E-3</v>
      </c>
      <c r="L37" s="80">
        <v>1.8362763662443979E-2</v>
      </c>
      <c r="M37" s="80">
        <v>5.7444742610006871E-2</v>
      </c>
      <c r="N37" s="80">
        <v>0.10430948279328035</v>
      </c>
      <c r="O37" s="80">
        <v>0.14734255414144778</v>
      </c>
      <c r="Q37" s="2" t="s">
        <v>355</v>
      </c>
      <c r="R37" s="23">
        <v>1.3118454527068434E-2</v>
      </c>
      <c r="S37" s="23">
        <v>1.1509644359167839E-2</v>
      </c>
      <c r="T37" s="23">
        <v>1.2984415402574197E-2</v>
      </c>
      <c r="U37" s="23">
        <v>1.1079012050304836E-2</v>
      </c>
      <c r="V37" s="23">
        <v>7.0475194721080839E-3</v>
      </c>
      <c r="W37" s="23">
        <v>5.6955367695076323E-3</v>
      </c>
      <c r="X37" s="23">
        <v>8.1780757160727982E-3</v>
      </c>
      <c r="Y37" s="23">
        <v>1.0963937705056291E-2</v>
      </c>
      <c r="Z37" s="23">
        <v>8.481409157768573E-3</v>
      </c>
      <c r="AA37" s="23">
        <v>7.6450804144712736E-3</v>
      </c>
      <c r="AB37" s="23">
        <v>8.0642351026259402E-3</v>
      </c>
      <c r="AC37" s="23">
        <v>1.0416034195709791E-2</v>
      </c>
      <c r="AD37" s="23">
        <v>1.2698045590320881E-2</v>
      </c>
      <c r="AE37" s="23">
        <v>1.4E-2</v>
      </c>
      <c r="AF37" s="23">
        <v>1.5441E-2</v>
      </c>
      <c r="AG37" s="116">
        <f>'[2]Table S7'!$H$56</f>
        <v>1.3484824437638043E-2</v>
      </c>
    </row>
    <row r="38" spans="1:33">
      <c r="A38" s="2" t="s">
        <v>430</v>
      </c>
      <c r="B38" s="79">
        <v>2761800</v>
      </c>
      <c r="C38" s="80">
        <v>0.10342015862748662</v>
      </c>
      <c r="D38" s="80">
        <v>0.32536577533486921</v>
      </c>
      <c r="E38" s="80">
        <v>0.20842401050446402</v>
      </c>
      <c r="F38" s="80">
        <v>0.23348696365987207</v>
      </c>
      <c r="G38" s="80">
        <v>0.12930303756159828</v>
      </c>
      <c r="I38" s="2" t="s">
        <v>344</v>
      </c>
      <c r="J38" s="83">
        <v>6.2049293811316561E-2</v>
      </c>
      <c r="K38" s="83">
        <v>1.3882011308304801E-3</v>
      </c>
      <c r="L38" s="83">
        <v>1.7592470319803155E-2</v>
      </c>
      <c r="M38" s="83">
        <v>3.2054178449718217E-2</v>
      </c>
      <c r="N38" s="83">
        <v>0.11379929716639536</v>
      </c>
      <c r="O38" s="83">
        <v>0.21403754451214493</v>
      </c>
      <c r="Q38" s="2" t="s">
        <v>356</v>
      </c>
      <c r="R38" s="23">
        <v>6.4136792115703656E-3</v>
      </c>
      <c r="S38" s="23">
        <v>5.5095732975948509E-3</v>
      </c>
      <c r="T38" s="23">
        <v>5.8278678170453485E-3</v>
      </c>
      <c r="U38" s="23">
        <v>6.2752114871014123E-3</v>
      </c>
      <c r="V38" s="23">
        <v>4.4539504851369175E-3</v>
      </c>
      <c r="W38" s="23">
        <v>5.0994672385859512E-3</v>
      </c>
      <c r="X38" s="23">
        <v>4.9161199495230245E-3</v>
      </c>
      <c r="Y38" s="23">
        <v>3.7409305524437634E-3</v>
      </c>
      <c r="Z38" s="23">
        <v>4.9566579217161675E-3</v>
      </c>
      <c r="AA38" s="23">
        <v>3.2407281805244196E-3</v>
      </c>
      <c r="AB38" s="23">
        <v>4.6900106769802814E-3</v>
      </c>
      <c r="AC38" s="23">
        <v>8.2444754160021227E-3</v>
      </c>
      <c r="AD38" s="23">
        <v>5.467388006510223E-3</v>
      </c>
      <c r="AE38" s="23">
        <v>4.0000000000000001E-3</v>
      </c>
      <c r="AF38" s="23">
        <v>4.7790000000000003E-3</v>
      </c>
      <c r="AG38" s="116">
        <f>'[2]Table S7'!$H$63</f>
        <v>5.1459258622366501E-3</v>
      </c>
    </row>
    <row r="39" spans="1:33">
      <c r="A39" s="2" t="s">
        <v>432</v>
      </c>
      <c r="B39" s="79">
        <v>2734500</v>
      </c>
      <c r="C39" s="80">
        <v>0.10457814356237773</v>
      </c>
      <c r="D39" s="80">
        <v>0.31431447556358688</v>
      </c>
      <c r="E39" s="80">
        <v>0.20290373138372822</v>
      </c>
      <c r="F39" s="80">
        <v>0.24873424308632511</v>
      </c>
      <c r="G39" s="80">
        <v>0.12946940640398213</v>
      </c>
      <c r="I39" s="96" t="s">
        <v>342</v>
      </c>
      <c r="J39" s="44">
        <v>37250</v>
      </c>
      <c r="K39" s="44">
        <v>17660</v>
      </c>
      <c r="L39" s="44">
        <v>30000</v>
      </c>
      <c r="M39" s="44">
        <v>36500</v>
      </c>
      <c r="N39" s="44">
        <v>49250</v>
      </c>
      <c r="O39" s="44">
        <v>66500</v>
      </c>
      <c r="Q39" s="2" t="s">
        <v>357</v>
      </c>
      <c r="R39" s="23">
        <v>6.7959690455299563E-3</v>
      </c>
      <c r="S39" s="23">
        <v>5.4956318249101601E-3</v>
      </c>
      <c r="T39" s="23">
        <v>4.5792737029703573E-3</v>
      </c>
      <c r="U39" s="23">
        <v>5.28041169870165E-3</v>
      </c>
      <c r="V39" s="23">
        <v>5.2941711539914995E-3</v>
      </c>
      <c r="W39" s="23">
        <v>5.6901874429533331E-3</v>
      </c>
      <c r="X39" s="23">
        <v>5.6511261829970075E-3</v>
      </c>
      <c r="Y39" s="23">
        <v>4.5037478321039645E-3</v>
      </c>
      <c r="Z39" s="23">
        <v>4.7690432571701469E-3</v>
      </c>
      <c r="AA39" s="23">
        <v>6.6725374109348444E-3</v>
      </c>
      <c r="AB39" s="23">
        <v>9.8181568396138365E-3</v>
      </c>
      <c r="AC39" s="23">
        <v>7.0566410179405022E-3</v>
      </c>
      <c r="AD39" s="23">
        <v>7.4264671485183677E-3</v>
      </c>
      <c r="AE39" s="23">
        <v>1.4E-2</v>
      </c>
      <c r="AF39" s="23">
        <v>1.3542E-2</v>
      </c>
      <c r="AG39" s="116">
        <f>'[2]Table S7'!$H$70</f>
        <v>1.2238772141746644E-2</v>
      </c>
    </row>
    <row r="40" spans="1:33">
      <c r="A40" s="2" t="s">
        <v>436</v>
      </c>
      <c r="B40" s="79">
        <v>2723000</v>
      </c>
      <c r="C40" s="80">
        <v>0.11116889116826316</v>
      </c>
      <c r="D40" s="80">
        <v>0.30027119290171994</v>
      </c>
      <c r="E40" s="80">
        <v>0.19350800660822676</v>
      </c>
      <c r="F40" s="80">
        <v>0.24808291095438265</v>
      </c>
      <c r="G40" s="80">
        <v>0.14696899836740732</v>
      </c>
      <c r="I40" s="224" t="s">
        <v>586</v>
      </c>
      <c r="J40" s="44">
        <f>'[2]Table S6'!H470</f>
        <v>50558.357494826683</v>
      </c>
      <c r="K40" s="44">
        <f>'[2]Table S6'!I470</f>
        <v>24006.586021210547</v>
      </c>
      <c r="L40" s="44">
        <f>'[2]Table S6'!J470</f>
        <v>40735.688469994828</v>
      </c>
      <c r="M40" s="44">
        <f>'[2]Table S6'!K470</f>
        <v>49535.607478660102</v>
      </c>
      <c r="N40" s="44">
        <f>'[2]Table S6'!L470</f>
        <v>66887.495318158297</v>
      </c>
      <c r="O40" s="44">
        <f>'[2]Table S6'!M470</f>
        <v>90149.277424987056</v>
      </c>
      <c r="Q40" s="2" t="s">
        <v>358</v>
      </c>
      <c r="R40" s="23">
        <v>9.7384563214423112E-2</v>
      </c>
      <c r="S40" s="23">
        <v>9.0429539359420011E-2</v>
      </c>
      <c r="T40" s="23">
        <v>8.6898528138264597E-2</v>
      </c>
      <c r="U40" s="23">
        <v>8.1606588617841244E-2</v>
      </c>
      <c r="V40" s="23">
        <v>7.4830178783540688E-2</v>
      </c>
      <c r="W40" s="23">
        <v>7.1026227260429217E-2</v>
      </c>
      <c r="X40" s="23">
        <v>7.3047679907988869E-2</v>
      </c>
      <c r="Y40" s="23">
        <v>6.7030782660553373E-2</v>
      </c>
      <c r="Z40" s="23">
        <v>6.3238405154893457E-2</v>
      </c>
      <c r="AA40" s="23">
        <v>7.1363767795182262E-2</v>
      </c>
      <c r="AB40" s="23">
        <v>7.9355528510523909E-2</v>
      </c>
      <c r="AC40" s="23">
        <v>8.4660827426545418E-2</v>
      </c>
      <c r="AD40" s="23">
        <v>9.4725243016608715E-2</v>
      </c>
      <c r="AE40" s="23">
        <v>9.6000000000000002E-2</v>
      </c>
      <c r="AF40" s="23">
        <v>8.8703000000000004E-2</v>
      </c>
      <c r="AG40" s="116">
        <f>'[2]Table S7'!$H$77</f>
        <v>0.10201329738125878</v>
      </c>
    </row>
    <row r="41" spans="1:33">
      <c r="A41" s="2" t="s">
        <v>439</v>
      </c>
      <c r="B41" s="79">
        <v>2766600</v>
      </c>
      <c r="C41" s="80">
        <v>0.11107597790584048</v>
      </c>
      <c r="D41" s="80">
        <v>0.302308978106266</v>
      </c>
      <c r="E41" s="80">
        <v>0.20011205034602772</v>
      </c>
      <c r="F41" s="80">
        <v>0.23933079195919491</v>
      </c>
      <c r="G41" s="80">
        <v>0.14717220168267089</v>
      </c>
      <c r="I41" s="98" t="s">
        <v>90</v>
      </c>
      <c r="Q41" s="2" t="s">
        <v>359</v>
      </c>
      <c r="R41" s="23">
        <v>0.51761740603487472</v>
      </c>
      <c r="S41" s="23">
        <v>0.48647415488754281</v>
      </c>
      <c r="T41" s="23">
        <v>0.47860405229971736</v>
      </c>
      <c r="U41" s="23">
        <v>0.48254467744659196</v>
      </c>
      <c r="V41" s="23">
        <v>0.46645558602241266</v>
      </c>
      <c r="W41" s="23">
        <v>0.43201011201279732</v>
      </c>
      <c r="X41" s="23">
        <v>0.43496901233932395</v>
      </c>
      <c r="Y41" s="23">
        <v>0.42928700925114038</v>
      </c>
      <c r="Z41" s="23">
        <v>0.39922234135803369</v>
      </c>
      <c r="AA41" s="23">
        <v>0.39505498003322242</v>
      </c>
      <c r="AB41" s="23">
        <v>0.40851351048658657</v>
      </c>
      <c r="AC41" s="23">
        <v>0.40578014794426287</v>
      </c>
      <c r="AD41" s="23">
        <v>0.44483760802515898</v>
      </c>
      <c r="AE41" s="23">
        <v>0.51700000000000002</v>
      </c>
      <c r="AF41" s="23">
        <v>0.54235</v>
      </c>
      <c r="AG41" s="116">
        <f>'[2]Table S7'!$H$84</f>
        <v>0.55588578967472579</v>
      </c>
    </row>
    <row r="42" spans="1:33">
      <c r="A42" s="2" t="s">
        <v>485</v>
      </c>
      <c r="B42" s="79">
        <v>2841100</v>
      </c>
      <c r="C42" s="80">
        <v>0.10757282169862482</v>
      </c>
      <c r="D42" s="80">
        <v>0.30702883414887699</v>
      </c>
      <c r="E42" s="80">
        <v>0.19651010836810351</v>
      </c>
      <c r="F42" s="80">
        <v>0.24407489523891046</v>
      </c>
      <c r="G42" s="80">
        <v>0.14481334054548414</v>
      </c>
      <c r="I42" s="21" t="s">
        <v>337</v>
      </c>
      <c r="J42" s="79">
        <v>5704500</v>
      </c>
      <c r="K42" s="79">
        <v>727300</v>
      </c>
      <c r="L42" s="79">
        <v>1872700</v>
      </c>
      <c r="M42" s="79">
        <v>1080700</v>
      </c>
      <c r="N42" s="79">
        <v>1320900</v>
      </c>
      <c r="O42" s="79">
        <v>702800</v>
      </c>
      <c r="Q42" s="2" t="s">
        <v>360</v>
      </c>
      <c r="R42" s="23">
        <v>0.27072812042377636</v>
      </c>
      <c r="S42" s="23">
        <v>0.24822823483787193</v>
      </c>
      <c r="T42" s="23">
        <v>0.23864697081997202</v>
      </c>
      <c r="U42" s="23">
        <v>0.22784241355746823</v>
      </c>
      <c r="V42" s="23">
        <v>0.21733005417328977</v>
      </c>
      <c r="W42" s="23">
        <v>0.20738213666747579</v>
      </c>
      <c r="X42" s="23">
        <v>0.21063204045224593</v>
      </c>
      <c r="Y42" s="23">
        <v>0.20313262008797192</v>
      </c>
      <c r="Z42" s="23">
        <v>0.17714020287168722</v>
      </c>
      <c r="AA42" s="23">
        <v>0.18119301793440237</v>
      </c>
      <c r="AB42" s="23">
        <v>0.18814009990069661</v>
      </c>
      <c r="AC42" s="23">
        <v>0.16594934789644486</v>
      </c>
      <c r="AD42" s="23">
        <v>0.15090777579884659</v>
      </c>
      <c r="AE42" s="23">
        <v>0.156</v>
      </c>
      <c r="AF42" s="23">
        <v>0.16218299999999999</v>
      </c>
      <c r="AG42" s="116">
        <f>'[2]Table S7'!$H$91</f>
        <v>0.17529376443873745</v>
      </c>
    </row>
    <row r="43" spans="1:33">
      <c r="A43" s="2" t="s">
        <v>491</v>
      </c>
      <c r="B43" s="118">
        <v>2908929</v>
      </c>
      <c r="C43" s="115">
        <v>9.4126000000000001E-2</v>
      </c>
      <c r="D43" s="115">
        <v>0.30092799999999997</v>
      </c>
      <c r="E43" s="115">
        <v>0.18856899999999999</v>
      </c>
      <c r="F43" s="115">
        <v>0.250023</v>
      </c>
      <c r="G43" s="115">
        <v>0.166353</v>
      </c>
      <c r="I43" s="2" t="s">
        <v>383</v>
      </c>
      <c r="J43" s="80">
        <v>0.30463681567229006</v>
      </c>
      <c r="K43" s="80">
        <v>0.55397641102780337</v>
      </c>
      <c r="L43" s="80">
        <v>0.36768265129958211</v>
      </c>
      <c r="M43" s="80">
        <v>0.24923639985070142</v>
      </c>
      <c r="N43" s="80">
        <v>0.19017568233529772</v>
      </c>
      <c r="O43" s="80">
        <v>0.17894432603053548</v>
      </c>
      <c r="Q43" s="2" t="s">
        <v>361</v>
      </c>
      <c r="R43" s="23">
        <v>4.7963507301428961E-2</v>
      </c>
      <c r="S43" s="23">
        <v>4.5563673740098516E-2</v>
      </c>
      <c r="T43" s="23">
        <v>4.9020681552189381E-2</v>
      </c>
      <c r="U43" s="23">
        <v>5.5478743751016732E-2</v>
      </c>
      <c r="V43" s="23">
        <v>5.4875485148011091E-2</v>
      </c>
      <c r="W43" s="23">
        <v>4.4504506286193957E-2</v>
      </c>
      <c r="X43" s="23">
        <v>4.0697213988932959E-2</v>
      </c>
      <c r="Y43" s="23">
        <v>4.141730766258301E-2</v>
      </c>
      <c r="Z43" s="23">
        <v>3.7038251409467725E-2</v>
      </c>
      <c r="AA43" s="23">
        <v>3.6624817348012123E-2</v>
      </c>
      <c r="AB43" s="23">
        <v>3.8335764897374065E-2</v>
      </c>
      <c r="AC43" s="23">
        <v>4.1190901748564733E-2</v>
      </c>
      <c r="AD43" s="23">
        <v>3.8876898961232656E-2</v>
      </c>
      <c r="AE43" s="23">
        <v>3.7999999999999999E-2</v>
      </c>
      <c r="AF43" s="23">
        <v>4.3908999999999997E-2</v>
      </c>
      <c r="AG43" s="116">
        <f>'[2]Table S7'!$H$98</f>
        <v>4.5861616462028326E-2</v>
      </c>
    </row>
    <row r="44" spans="1:33">
      <c r="A44" s="2" t="s">
        <v>496</v>
      </c>
      <c r="B44" s="118">
        <v>2938915</v>
      </c>
      <c r="C44" s="115">
        <v>7.3962E-2</v>
      </c>
      <c r="D44" s="115">
        <v>0.30550699999999997</v>
      </c>
      <c r="E44" s="115">
        <v>0.204434</v>
      </c>
      <c r="F44" s="115">
        <v>0.25314199999999998</v>
      </c>
      <c r="G44" s="115">
        <v>0.165987</v>
      </c>
      <c r="I44" s="2" t="s">
        <v>338</v>
      </c>
      <c r="J44" s="80">
        <v>6.7081224712116527E-2</v>
      </c>
      <c r="K44" s="80">
        <v>0.10026585030159951</v>
      </c>
      <c r="L44" s="80">
        <v>6.7638207746784279E-2</v>
      </c>
      <c r="M44" s="80">
        <v>7.0216450750392151E-2</v>
      </c>
      <c r="N44" s="80">
        <v>6.1057435069239364E-2</v>
      </c>
      <c r="O44" s="80">
        <v>3.7758166441904967E-2</v>
      </c>
      <c r="Q44" s="2" t="s">
        <v>362</v>
      </c>
      <c r="R44" s="23">
        <v>2.6888944984192784E-2</v>
      </c>
      <c r="S44" s="23">
        <v>2.7858464014811169E-2</v>
      </c>
      <c r="T44" s="23">
        <v>2.5859997351835983E-2</v>
      </c>
      <c r="U44" s="23">
        <v>2.3729947519139649E-2</v>
      </c>
      <c r="V44" s="23">
        <v>2.320950155751721E-2</v>
      </c>
      <c r="W44" s="23">
        <v>2.0909758241500355E-2</v>
      </c>
      <c r="X44" s="23">
        <v>2.1780545469332009E-2</v>
      </c>
      <c r="Y44" s="23">
        <v>2.4944575243944112E-2</v>
      </c>
      <c r="Z44" s="23">
        <v>2.4836151534288562E-2</v>
      </c>
      <c r="AA44" s="23">
        <v>2.4338841450935036E-2</v>
      </c>
      <c r="AB44" s="23">
        <v>1.9020832804461933E-2</v>
      </c>
      <c r="AC44" s="23">
        <v>2.0831561053978955E-2</v>
      </c>
      <c r="AD44" s="23">
        <v>2.2934984913045221E-2</v>
      </c>
      <c r="AE44" s="23">
        <v>2.1999999999999999E-2</v>
      </c>
      <c r="AF44" s="23">
        <v>2.4698000000000001E-2</v>
      </c>
      <c r="AG44" s="116">
        <f>'[2]Table S7'!$H$105</f>
        <v>2.5620659569279863E-2</v>
      </c>
    </row>
    <row r="45" spans="1:33">
      <c r="A45" s="2" t="s">
        <v>567</v>
      </c>
      <c r="B45" s="118">
        <f>'[2]Table S5'!$G$6</f>
        <v>2987272</v>
      </c>
      <c r="C45" s="115">
        <f>'[2]Table S5'!$G$7</f>
        <v>6.6206492077052231E-2</v>
      </c>
      <c r="D45" s="115">
        <f>'[2]Table S5'!$G$8</f>
        <v>0.30536847665696326</v>
      </c>
      <c r="E45" s="115">
        <f>'[2]Table S5'!$G$9</f>
        <v>0.2102989952036507</v>
      </c>
      <c r="F45" s="115">
        <f>'[2]Table S5'!$G$10</f>
        <v>0.25998780827457296</v>
      </c>
      <c r="G45" s="115">
        <f>'[2]Table S5'!$G$11</f>
        <v>0.15813816083704463</v>
      </c>
      <c r="I45" s="2" t="s">
        <v>339</v>
      </c>
      <c r="J45" s="80">
        <v>0.14320928548801939</v>
      </c>
      <c r="K45" s="80">
        <v>0.20042864665903101</v>
      </c>
      <c r="L45" s="80">
        <v>0.18491564917626757</v>
      </c>
      <c r="M45" s="80">
        <v>0.15332766500207609</v>
      </c>
      <c r="N45" s="80">
        <v>9.4928404319189655E-2</v>
      </c>
      <c r="O45" s="80">
        <v>4.8053522571481246E-2</v>
      </c>
      <c r="Q45" s="2" t="s">
        <v>363</v>
      </c>
      <c r="R45" s="23">
        <v>2.3690905413686816E-3</v>
      </c>
      <c r="S45" s="23">
        <v>3.0398255741358889E-3</v>
      </c>
      <c r="T45" s="23">
        <v>2.8293562678541806E-3</v>
      </c>
      <c r="U45" s="23">
        <v>4.2332522246725781E-3</v>
      </c>
      <c r="V45" s="23">
        <v>3.6608642907842697E-3</v>
      </c>
      <c r="W45" s="23">
        <v>1.9562089573295248E-3</v>
      </c>
      <c r="X45" s="23">
        <v>2.476478649171312E-3</v>
      </c>
      <c r="Y45" s="23">
        <v>4.1334771169072408E-3</v>
      </c>
      <c r="Z45" s="23">
        <v>3.3968440321258306E-3</v>
      </c>
      <c r="AA45" s="23">
        <v>1.4802991684872368E-3</v>
      </c>
      <c r="AB45" s="23">
        <v>3.6355879432253438E-3</v>
      </c>
      <c r="AC45" s="23">
        <v>6.2185603862762312E-3</v>
      </c>
      <c r="AD45" s="23">
        <v>5.7631662675720246E-3</v>
      </c>
      <c r="AE45" s="23">
        <v>4.0000000000000001E-3</v>
      </c>
      <c r="AF45" s="23">
        <v>2.4499999999999999E-3</v>
      </c>
      <c r="AG45" s="116">
        <f>'[2]Table S7'!$H$112</f>
        <v>6.6051647513682885E-4</v>
      </c>
    </row>
    <row r="46" spans="1:33">
      <c r="A46" s="78" t="s">
        <v>324</v>
      </c>
      <c r="B46" s="2"/>
      <c r="C46" s="2"/>
      <c r="D46" s="2"/>
      <c r="E46" s="2"/>
      <c r="F46" s="2"/>
      <c r="G46" s="2"/>
      <c r="I46" s="2" t="s">
        <v>340</v>
      </c>
      <c r="J46" s="80">
        <v>0.22778393948009307</v>
      </c>
      <c r="K46" s="80">
        <v>0.11620795859692641</v>
      </c>
      <c r="L46" s="80">
        <v>0.25810466864920156</v>
      </c>
      <c r="M46" s="80">
        <v>0.28886583272174643</v>
      </c>
      <c r="N46" s="80">
        <v>0.23555798825870253</v>
      </c>
      <c r="O46" s="80">
        <v>0.15391774354776594</v>
      </c>
      <c r="Q46" s="2" t="s">
        <v>364</v>
      </c>
      <c r="R46" s="23">
        <v>0</v>
      </c>
      <c r="S46" s="23">
        <v>3.5204246017736383E-4</v>
      </c>
      <c r="T46" s="23">
        <v>6.8751055841256273E-4</v>
      </c>
      <c r="U46" s="23">
        <v>9.2364015764741681E-4</v>
      </c>
      <c r="V46" s="23">
        <v>5.898361519407917E-4</v>
      </c>
      <c r="W46" s="23">
        <v>3.3114957267733853E-4</v>
      </c>
      <c r="X46" s="23">
        <v>1.0440421664893434E-3</v>
      </c>
      <c r="Y46" s="23">
        <v>6.9757443253534539E-4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18" t="s">
        <v>492</v>
      </c>
      <c r="AF46" s="218" t="s">
        <v>492</v>
      </c>
      <c r="AG46" s="116" t="s">
        <v>492</v>
      </c>
    </row>
    <row r="47" spans="1:33">
      <c r="A47" s="2" t="s">
        <v>281</v>
      </c>
      <c r="B47" s="79">
        <v>2969300</v>
      </c>
      <c r="C47" s="80">
        <v>0.13526912769241398</v>
      </c>
      <c r="D47" s="80">
        <v>0.37289736794206813</v>
      </c>
      <c r="E47" s="80">
        <v>0.21823849316505814</v>
      </c>
      <c r="F47" s="80">
        <v>0.19165249556082781</v>
      </c>
      <c r="G47" s="80">
        <v>8.1942515639631883E-2</v>
      </c>
      <c r="I47" s="2" t="s">
        <v>341</v>
      </c>
      <c r="J47" s="80">
        <v>0.12778525669362642</v>
      </c>
      <c r="K47" s="80">
        <v>2.0284192391195253E-2</v>
      </c>
      <c r="L47" s="80">
        <v>8.808115269175322E-2</v>
      </c>
      <c r="M47" s="80">
        <v>0.15081824382368186</v>
      </c>
      <c r="N47" s="80">
        <v>0.19510482467448603</v>
      </c>
      <c r="O47" s="80">
        <v>0.18287971297961453</v>
      </c>
      <c r="Q47" s="2" t="s">
        <v>365</v>
      </c>
      <c r="R47" s="23">
        <v>5.9060052219321148E-3</v>
      </c>
      <c r="S47" s="23">
        <v>5.2150089999084348E-3</v>
      </c>
      <c r="T47" s="23">
        <v>2.9499375246362963E-3</v>
      </c>
      <c r="U47" s="23">
        <v>2.7595160561564732E-3</v>
      </c>
      <c r="V47" s="23">
        <v>4.5977677238299612E-3</v>
      </c>
      <c r="W47" s="23">
        <v>6.1915716430953937E-3</v>
      </c>
      <c r="X47" s="23">
        <v>5.8950830028256995E-3</v>
      </c>
      <c r="Y47" s="23">
        <v>4.6396959415605605E-3</v>
      </c>
      <c r="Z47" s="23">
        <v>3.500877065798077E-3</v>
      </c>
      <c r="AA47" s="23">
        <v>4.0909776462524812E-3</v>
      </c>
      <c r="AB47" s="23">
        <v>4.7686738891833972E-3</v>
      </c>
      <c r="AC47" s="23">
        <v>5.6011190581018002E-3</v>
      </c>
      <c r="AD47" s="23">
        <v>7.8088043663526036E-3</v>
      </c>
      <c r="AE47" s="23">
        <v>7.0000000000000001E-3</v>
      </c>
      <c r="AF47" s="23">
        <v>6.6039999999999996E-3</v>
      </c>
      <c r="AG47" s="116">
        <f>'[2]Table S7'!$H$124</f>
        <v>6.0973074001040226E-3</v>
      </c>
    </row>
    <row r="48" spans="1:33">
      <c r="A48" s="2" t="s">
        <v>108</v>
      </c>
      <c r="B48" s="79">
        <v>3047300</v>
      </c>
      <c r="C48" s="80">
        <v>0.13783539204967613</v>
      </c>
      <c r="D48" s="80">
        <v>0.35890870994290353</v>
      </c>
      <c r="E48" s="80">
        <v>0.20012611722420756</v>
      </c>
      <c r="F48" s="80">
        <v>0.21068810659478196</v>
      </c>
      <c r="G48" s="80">
        <v>9.244167418843087E-2</v>
      </c>
      <c r="I48" s="2" t="s">
        <v>343</v>
      </c>
      <c r="J48" s="80">
        <v>5.9317387761723142E-2</v>
      </c>
      <c r="K48" s="80">
        <v>5.2765338125559452E-3</v>
      </c>
      <c r="L48" s="80">
        <v>1.9397131208155553E-2</v>
      </c>
      <c r="M48" s="80">
        <v>4.9741302368448807E-2</v>
      </c>
      <c r="N48" s="80">
        <v>0.10549995313230437</v>
      </c>
      <c r="O48" s="80">
        <v>0.14953470891204973</v>
      </c>
      <c r="Q48" s="2" t="s">
        <v>366</v>
      </c>
      <c r="R48" s="23">
        <v>2.3770496539747663E-3</v>
      </c>
      <c r="S48" s="23">
        <v>3.0836178040517218E-3</v>
      </c>
      <c r="T48" s="23">
        <v>3.4272843078018869E-3</v>
      </c>
      <c r="U48" s="23">
        <v>1.8310676141835038E-3</v>
      </c>
      <c r="V48" s="23">
        <v>1.9502650537687686E-3</v>
      </c>
      <c r="W48" s="23">
        <v>2.5622688995270882E-3</v>
      </c>
      <c r="X48" s="23">
        <v>2.8092620925283295E-3</v>
      </c>
      <c r="Y48" s="23">
        <v>4.3639220081158883E-3</v>
      </c>
      <c r="Z48" s="23">
        <v>3.1161242167848696E-3</v>
      </c>
      <c r="AA48" s="23">
        <v>2.2617179877105556E-3</v>
      </c>
      <c r="AB48" s="23">
        <v>3.6253947869457118E-3</v>
      </c>
      <c r="AC48" s="23">
        <v>4.6570777946566286E-3</v>
      </c>
      <c r="AD48" s="23">
        <v>5.3945267110239031E-3</v>
      </c>
      <c r="AE48" s="23">
        <v>6.0000000000000001E-3</v>
      </c>
      <c r="AF48" s="23">
        <v>6.6819999999999996E-3</v>
      </c>
      <c r="AG48" s="116">
        <f>'[2]Table S7'!$H$131</f>
        <v>6.6732472306519162E-3</v>
      </c>
    </row>
    <row r="49" spans="1:33">
      <c r="A49" s="2" t="s">
        <v>136</v>
      </c>
      <c r="B49" s="79">
        <v>2988700</v>
      </c>
      <c r="C49" s="80">
        <v>0.13274412958567697</v>
      </c>
      <c r="D49" s="80">
        <v>0.35657759600387395</v>
      </c>
      <c r="E49" s="80">
        <v>0.19503033849729376</v>
      </c>
      <c r="F49" s="80">
        <v>0.22059553092495734</v>
      </c>
      <c r="G49" s="80">
        <v>9.5052404988198017E-2</v>
      </c>
      <c r="I49" s="2" t="s">
        <v>344</v>
      </c>
      <c r="J49" s="80">
        <v>7.018609019213147E-2</v>
      </c>
      <c r="K49" s="80">
        <v>3.560407210888657E-3</v>
      </c>
      <c r="L49" s="80">
        <v>1.4180539228255747E-2</v>
      </c>
      <c r="M49" s="80">
        <v>3.7794105482953186E-2</v>
      </c>
      <c r="N49" s="80">
        <v>0.1176757122107803</v>
      </c>
      <c r="O49" s="80">
        <v>0.24891181951664806</v>
      </c>
      <c r="Q49" s="2"/>
      <c r="R49" s="23"/>
      <c r="S49" s="23"/>
      <c r="T49" s="23"/>
      <c r="U49" s="23"/>
      <c r="W49" s="95"/>
    </row>
    <row r="50" spans="1:33">
      <c r="A50" s="2" t="s">
        <v>332</v>
      </c>
      <c r="B50" s="79">
        <v>2985000</v>
      </c>
      <c r="C50" s="80">
        <v>0.12602449355862486</v>
      </c>
      <c r="D50" s="80">
        <v>0.34583889181188893</v>
      </c>
      <c r="E50" s="80">
        <v>0.19609478185055321</v>
      </c>
      <c r="F50" s="80">
        <v>0.22703923809177953</v>
      </c>
      <c r="G50" s="80">
        <v>0.10500259468715339</v>
      </c>
      <c r="I50" s="96" t="s">
        <v>342</v>
      </c>
      <c r="J50" s="44">
        <v>39250</v>
      </c>
      <c r="K50" s="44">
        <v>18060</v>
      </c>
      <c r="L50" s="44">
        <v>29000</v>
      </c>
      <c r="M50" s="44">
        <v>36500</v>
      </c>
      <c r="N50" s="44">
        <v>50250</v>
      </c>
      <c r="O50" s="44">
        <v>72500</v>
      </c>
      <c r="Q50" s="88" t="s">
        <v>368</v>
      </c>
      <c r="R50" s="79">
        <v>3571600</v>
      </c>
      <c r="S50" s="79">
        <v>3536900</v>
      </c>
      <c r="T50" s="79">
        <v>3540400</v>
      </c>
      <c r="U50" s="79">
        <v>3562100</v>
      </c>
      <c r="V50" s="79">
        <v>3579000</v>
      </c>
      <c r="W50" s="79">
        <v>3579900</v>
      </c>
      <c r="X50" s="79">
        <v>3579600</v>
      </c>
      <c r="Y50" s="79">
        <v>3598700</v>
      </c>
      <c r="Z50" s="79">
        <v>3608700</v>
      </c>
      <c r="AA50" s="79">
        <v>3645300</v>
      </c>
      <c r="AB50" s="79">
        <v>3686200</v>
      </c>
      <c r="AC50" s="79">
        <v>3699000</v>
      </c>
      <c r="AD50" s="79">
        <v>3727300</v>
      </c>
      <c r="AE50" s="79">
        <f>'T1-T6'!Q67</f>
        <v>3753556.89</v>
      </c>
      <c r="AF50" s="79">
        <f>'T1-T6'!Q64</f>
        <v>3751663</v>
      </c>
      <c r="AG50" s="2">
        <f>'[2]Table S7'!$I$5</f>
        <v>3750310</v>
      </c>
    </row>
    <row r="51" spans="1:33">
      <c r="A51" s="2" t="s">
        <v>334</v>
      </c>
      <c r="B51" s="79">
        <v>3000800</v>
      </c>
      <c r="C51" s="80">
        <v>0.12744257303157008</v>
      </c>
      <c r="D51" s="80">
        <v>0.33070653456626786</v>
      </c>
      <c r="E51" s="80">
        <v>0.19697456711364156</v>
      </c>
      <c r="F51" s="80">
        <v>0.22498740383253735</v>
      </c>
      <c r="G51" s="80">
        <v>0.11988892145598319</v>
      </c>
      <c r="I51" s="224" t="s">
        <v>586</v>
      </c>
      <c r="J51" s="44">
        <f>'[2]Table S6'!H471</f>
        <v>51629.662933401312</v>
      </c>
      <c r="K51" s="44">
        <f>'[2]Table S6'!I471</f>
        <v>23717.066240497865</v>
      </c>
      <c r="L51" s="44">
        <f>'[2]Table S6'!J471</f>
        <v>38184.912276997064</v>
      </c>
      <c r="M51" s="44">
        <f>'[2]Table S6'!K471</f>
        <v>48066.246612412906</v>
      </c>
      <c r="N51" s="44">
        <f>'[2]Table S6'!L471</f>
        <v>66079.732388305318</v>
      </c>
      <c r="O51" s="44">
        <f>'[2]Table S6'!M471</f>
        <v>95462.280692492655</v>
      </c>
      <c r="Q51" s="89" t="s">
        <v>347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3">
      <c r="A52" s="2" t="s">
        <v>381</v>
      </c>
      <c r="B52" s="79">
        <v>3003300</v>
      </c>
      <c r="C52" s="80">
        <v>0.12649123831623996</v>
      </c>
      <c r="D52" s="80">
        <v>0.32174202740019403</v>
      </c>
      <c r="E52" s="80">
        <v>0.20455580984683275</v>
      </c>
      <c r="F52" s="80">
        <v>0.22458439447425135</v>
      </c>
      <c r="G52" s="80">
        <v>0.12262661320445432</v>
      </c>
      <c r="I52" s="98" t="s">
        <v>79</v>
      </c>
      <c r="Q52" s="2" t="s">
        <v>348</v>
      </c>
      <c r="R52" s="23">
        <v>0.59669177178877453</v>
      </c>
      <c r="S52" s="23">
        <v>0.59505709886037372</v>
      </c>
      <c r="T52" s="23">
        <v>0.58234541222696024</v>
      </c>
      <c r="U52" s="23">
        <v>0.58651003876877073</v>
      </c>
      <c r="V52" s="23">
        <v>0.59125543176699269</v>
      </c>
      <c r="W52" s="23">
        <v>0.59148888385458409</v>
      </c>
      <c r="X52" s="23">
        <v>0.58974656136928594</v>
      </c>
      <c r="Y52" s="23">
        <v>0.5652643629040448</v>
      </c>
      <c r="Z52" s="23">
        <v>0.5580808038821865</v>
      </c>
      <c r="AA52" s="23">
        <v>0.55646064348844193</v>
      </c>
      <c r="AB52" s="23">
        <v>0.5605695937774503</v>
      </c>
      <c r="AC52" s="23">
        <v>0.55496678108167874</v>
      </c>
      <c r="AD52" s="23">
        <v>0.54720429098991707</v>
      </c>
      <c r="AE52" s="23">
        <v>0.55700000000000005</v>
      </c>
      <c r="AF52" s="23">
        <v>0.55377699999999996</v>
      </c>
      <c r="AG52" s="116">
        <f>'[2]Table S7'!$I$8</f>
        <v>0.55211595841410444</v>
      </c>
    </row>
    <row r="53" spans="1:33">
      <c r="A53" s="2" t="s">
        <v>412</v>
      </c>
      <c r="B53" s="79">
        <v>3021800</v>
      </c>
      <c r="C53" s="80">
        <v>0.11477332175013492</v>
      </c>
      <c r="D53" s="80">
        <v>0.32856528545287761</v>
      </c>
      <c r="E53" s="80">
        <v>0.20661992893322587</v>
      </c>
      <c r="F53" s="80">
        <v>0.23841547100902477</v>
      </c>
      <c r="G53" s="80">
        <v>0.11162607558556507</v>
      </c>
      <c r="I53" s="21" t="s">
        <v>337</v>
      </c>
      <c r="J53" s="79">
        <v>5770600</v>
      </c>
      <c r="K53" s="79">
        <v>760900</v>
      </c>
      <c r="L53" s="79">
        <v>1834600</v>
      </c>
      <c r="M53" s="79">
        <v>1100300</v>
      </c>
      <c r="N53" s="79">
        <v>1301200</v>
      </c>
      <c r="O53" s="79">
        <v>773600</v>
      </c>
      <c r="Q53" s="2" t="s">
        <v>349</v>
      </c>
      <c r="R53" s="23">
        <v>2.9311159035942145E-2</v>
      </c>
      <c r="S53" s="23">
        <v>2.93413592874016E-2</v>
      </c>
      <c r="T53" s="23">
        <v>2.8440373109950855E-2</v>
      </c>
      <c r="U53" s="23">
        <v>2.8806826685885117E-2</v>
      </c>
      <c r="V53" s="23">
        <v>3.2825289439281188E-2</v>
      </c>
      <c r="W53" s="23">
        <v>3.1939627635875253E-2</v>
      </c>
      <c r="X53" s="23">
        <v>2.6624256786590941E-2</v>
      </c>
      <c r="Y53" s="23">
        <v>2.3767148718238425E-2</v>
      </c>
      <c r="Z53" s="23">
        <v>2.1360781259006041E-2</v>
      </c>
      <c r="AA53" s="23">
        <v>2.1443079862991377E-2</v>
      </c>
      <c r="AB53" s="23">
        <v>2.6201132004017139E-2</v>
      </c>
      <c r="AC53" s="23">
        <v>2.6228318769702531E-2</v>
      </c>
      <c r="AD53" s="23">
        <v>2.0702386031982604E-2</v>
      </c>
      <c r="AE53" s="23">
        <v>2.1999999999999999E-2</v>
      </c>
      <c r="AF53" s="23">
        <v>2.7050000000000001E-2</v>
      </c>
      <c r="AG53" s="116">
        <f>'[2]Table S7'!$I$15</f>
        <v>2.7086480850916323E-2</v>
      </c>
    </row>
    <row r="54" spans="1:33">
      <c r="A54" s="2" t="s">
        <v>418</v>
      </c>
      <c r="B54" s="79">
        <v>3010300</v>
      </c>
      <c r="C54" s="80">
        <v>0.11167805250967769</v>
      </c>
      <c r="D54" s="80">
        <v>0.33708728170388796</v>
      </c>
      <c r="E54" s="80">
        <v>0.20206042917701575</v>
      </c>
      <c r="F54" s="80">
        <v>0.23921672969736346</v>
      </c>
      <c r="G54" s="80">
        <v>0.10995750691205516</v>
      </c>
      <c r="I54" s="2" t="s">
        <v>383</v>
      </c>
      <c r="J54" s="80">
        <v>0.29370345302881279</v>
      </c>
      <c r="K54" s="80">
        <v>0.52559362519881925</v>
      </c>
      <c r="L54" s="80">
        <v>0.35540077459847935</v>
      </c>
      <c r="M54" s="80">
        <v>0.22085494821215423</v>
      </c>
      <c r="N54" s="80">
        <v>0.20269551437218072</v>
      </c>
      <c r="O54" s="80">
        <v>0.1759983215141202</v>
      </c>
      <c r="Q54" s="2" t="s">
        <v>350</v>
      </c>
      <c r="R54" s="23">
        <v>3.6386316111356107E-2</v>
      </c>
      <c r="S54" s="23">
        <v>3.5126490870721901E-2</v>
      </c>
      <c r="T54" s="23">
        <v>2.9858863461071805E-2</v>
      </c>
      <c r="U54" s="23">
        <v>3.2436342100745245E-2</v>
      </c>
      <c r="V54" s="23">
        <v>3.0991195370547359E-2</v>
      </c>
      <c r="W54" s="23">
        <v>2.7806471608150325E-2</v>
      </c>
      <c r="X54" s="23">
        <v>3.5506351152594602E-2</v>
      </c>
      <c r="Y54" s="23">
        <v>4.8606088375304841E-2</v>
      </c>
      <c r="Z54" s="23">
        <v>5.0787516127745042E-2</v>
      </c>
      <c r="AA54" s="23">
        <v>4.6687956990309219E-2</v>
      </c>
      <c r="AB54" s="23">
        <v>4.6863984270005522E-2</v>
      </c>
      <c r="AC54" s="23">
        <v>3.8202269666578186E-2</v>
      </c>
      <c r="AD54" s="23">
        <v>2.3832420471681794E-2</v>
      </c>
      <c r="AE54" s="23">
        <v>0.02</v>
      </c>
      <c r="AF54" s="23">
        <v>1.8950000000000002E-2</v>
      </c>
      <c r="AG54" s="116">
        <f>'[2]Table S7'!$I$22</f>
        <v>1.706753575037797E-2</v>
      </c>
    </row>
    <row r="55" spans="1:33">
      <c r="A55" s="2" t="s">
        <v>425</v>
      </c>
      <c r="B55" s="79">
        <v>2991100</v>
      </c>
      <c r="C55" s="80">
        <v>0.11038653457794047</v>
      </c>
      <c r="D55" s="80">
        <v>0.33249457286403938</v>
      </c>
      <c r="E55" s="80">
        <v>0.20451800626957406</v>
      </c>
      <c r="F55" s="80">
        <v>0.23582254759851992</v>
      </c>
      <c r="G55" s="80">
        <v>0.11677838883902955</v>
      </c>
      <c r="I55" s="2" t="s">
        <v>338</v>
      </c>
      <c r="J55" s="80">
        <v>6.5332879221680115E-2</v>
      </c>
      <c r="K55" s="80">
        <v>8.8825218044127699E-2</v>
      </c>
      <c r="L55" s="80">
        <v>7.2766785036505285E-2</v>
      </c>
      <c r="M55" s="80">
        <v>6.6159646062049562E-2</v>
      </c>
      <c r="N55" s="80">
        <v>5.271425174603863E-2</v>
      </c>
      <c r="O55" s="80">
        <v>4.4646091779651342E-2</v>
      </c>
      <c r="Q55" s="2" t="s">
        <v>351</v>
      </c>
      <c r="R55" s="23">
        <v>4.8166732419388011E-3</v>
      </c>
      <c r="S55" s="23">
        <v>3.8232424963365002E-3</v>
      </c>
      <c r="T55" s="23">
        <v>4.5424127882025423E-3</v>
      </c>
      <c r="U55" s="23">
        <v>6.3578459482087494E-3</v>
      </c>
      <c r="V55" s="23">
        <v>6.7199343037102205E-3</v>
      </c>
      <c r="W55" s="23">
        <v>5.7234091170018687E-3</v>
      </c>
      <c r="X55" s="23">
        <v>4.3054447787494107E-3</v>
      </c>
      <c r="Y55" s="23">
        <v>3.2862274603155574E-3</v>
      </c>
      <c r="Z55" s="23">
        <v>3.8950166930474461E-3</v>
      </c>
      <c r="AA55" s="23">
        <v>3.5040783821877817E-3</v>
      </c>
      <c r="AB55" s="23">
        <v>2.7599379958689234E-3</v>
      </c>
      <c r="AC55" s="23">
        <v>4.2748739119175608E-3</v>
      </c>
      <c r="AD55" s="23">
        <v>3.335621479245821E-3</v>
      </c>
      <c r="AE55" s="23">
        <v>5.0000000000000001E-3</v>
      </c>
      <c r="AF55" s="23">
        <v>4.81E-3</v>
      </c>
      <c r="AG55" s="116">
        <f>'[2]Table S7'!$I$29</f>
        <v>2.581135959427354E-3</v>
      </c>
    </row>
    <row r="56" spans="1:33">
      <c r="A56" s="2" t="s">
        <v>430</v>
      </c>
      <c r="B56" s="79">
        <v>2979600</v>
      </c>
      <c r="C56" s="80">
        <v>0.10140544689542937</v>
      </c>
      <c r="D56" s="80">
        <v>0.32942834833643531</v>
      </c>
      <c r="E56" s="80">
        <v>0.20599034988666914</v>
      </c>
      <c r="F56" s="80">
        <v>0.24410697184021551</v>
      </c>
      <c r="G56" s="80">
        <v>0.11906893338441488</v>
      </c>
      <c r="I56" s="2" t="s">
        <v>339</v>
      </c>
      <c r="J56" s="80">
        <v>0.1485408347792837</v>
      </c>
      <c r="K56" s="80">
        <v>0.21014123367812979</v>
      </c>
      <c r="L56" s="80">
        <v>0.19486150384398371</v>
      </c>
      <c r="M56" s="80">
        <v>0.15299335928956945</v>
      </c>
      <c r="N56" s="80">
        <v>9.9495960474110523E-2</v>
      </c>
      <c r="O56" s="80">
        <v>5.4264830087430743E-2</v>
      </c>
      <c r="Q56" s="2" t="s">
        <v>352</v>
      </c>
      <c r="R56" s="23">
        <v>0.21048866337081296</v>
      </c>
      <c r="S56" s="23">
        <v>0.19096576386256772</v>
      </c>
      <c r="T56" s="23">
        <v>0.18717776524735164</v>
      </c>
      <c r="U56" s="23">
        <v>0.18852107286125558</v>
      </c>
      <c r="V56" s="23">
        <v>0.18489895082582641</v>
      </c>
      <c r="W56" s="23">
        <v>0.18910601268253741</v>
      </c>
      <c r="X56" s="23">
        <v>0.18723764311567564</v>
      </c>
      <c r="Y56" s="23">
        <v>0.18596425595308849</v>
      </c>
      <c r="Z56" s="23">
        <v>0.19296303809029763</v>
      </c>
      <c r="AA56" s="23">
        <v>0.20166702877499301</v>
      </c>
      <c r="AB56" s="23">
        <v>0.20842779812088635</v>
      </c>
      <c r="AC56" s="23">
        <v>0.21092475045939907</v>
      </c>
      <c r="AD56" s="23">
        <v>0.20938155563730615</v>
      </c>
      <c r="AE56" s="23">
        <v>0.21</v>
      </c>
      <c r="AF56" s="23">
        <v>0.214311</v>
      </c>
      <c r="AG56" s="116">
        <f>'[2]Table S7'!$I$36</f>
        <v>0.21918193429343172</v>
      </c>
    </row>
    <row r="57" spans="1:33">
      <c r="A57" s="2" t="s">
        <v>432</v>
      </c>
      <c r="B57" s="79">
        <v>2996000</v>
      </c>
      <c r="C57" s="80">
        <v>0.10102874379859207</v>
      </c>
      <c r="D57" s="80">
        <v>0.32710670300117506</v>
      </c>
      <c r="E57" s="80">
        <v>0.20140156592100464</v>
      </c>
      <c r="F57" s="80">
        <v>0.24849575095330023</v>
      </c>
      <c r="G57" s="80">
        <v>0.12196723632592807</v>
      </c>
      <c r="I57" s="2" t="s">
        <v>340</v>
      </c>
      <c r="J57" s="80">
        <v>0.22196993424788711</v>
      </c>
      <c r="K57" s="80">
        <v>0.14035533711925138</v>
      </c>
      <c r="L57" s="80">
        <v>0.24705446802589545</v>
      </c>
      <c r="M57" s="80">
        <v>0.30639865668823046</v>
      </c>
      <c r="N57" s="80">
        <v>0.20993755057906488</v>
      </c>
      <c r="O57" s="80">
        <v>0.14291141033532515</v>
      </c>
      <c r="Q57" s="2" t="s">
        <v>353</v>
      </c>
      <c r="R57" s="23">
        <v>2.3901605351489885E-2</v>
      </c>
      <c r="S57" s="23">
        <v>1.7005121584235991E-2</v>
      </c>
      <c r="T57" s="23">
        <v>1.4266351014564501E-2</v>
      </c>
      <c r="U57" s="23">
        <v>1.5353723993229844E-2</v>
      </c>
      <c r="V57" s="23">
        <v>1.5166729258377773E-2</v>
      </c>
      <c r="W57" s="23">
        <v>1.7637291498074099E-2</v>
      </c>
      <c r="X57" s="23">
        <v>2.2772381656626414E-2</v>
      </c>
      <c r="Y57" s="23">
        <v>2.044917373137127E-2</v>
      </c>
      <c r="Z57" s="23">
        <v>1.6594228982943385E-2</v>
      </c>
      <c r="AA57" s="23">
        <v>1.7589192492945743E-2</v>
      </c>
      <c r="AB57" s="23">
        <v>1.8110197856549524E-2</v>
      </c>
      <c r="AC57" s="23">
        <v>2.0311220906752935E-2</v>
      </c>
      <c r="AD57" s="23">
        <v>2.3213132072361572E-2</v>
      </c>
      <c r="AE57" s="23">
        <v>2.4E-2</v>
      </c>
      <c r="AF57" s="23">
        <v>2.3130999999999999E-2</v>
      </c>
      <c r="AG57" s="116">
        <f>'[2]Table S7'!$I$43</f>
        <v>2.245533035935696E-2</v>
      </c>
    </row>
    <row r="58" spans="1:33">
      <c r="A58" s="2" t="s">
        <v>436</v>
      </c>
      <c r="B58" s="79">
        <v>3066900</v>
      </c>
      <c r="C58" s="80">
        <v>0.10110383904718791</v>
      </c>
      <c r="D58" s="80">
        <v>0.31930299308447457</v>
      </c>
      <c r="E58" s="80">
        <v>0.19800199315503453</v>
      </c>
      <c r="F58" s="80">
        <v>0.2462778331866704</v>
      </c>
      <c r="G58" s="80">
        <v>0.1353133415266326</v>
      </c>
      <c r="I58" s="2" t="s">
        <v>341</v>
      </c>
      <c r="J58" s="80">
        <v>0.13402688933654158</v>
      </c>
      <c r="K58" s="80">
        <v>2.2852578158954424E-2</v>
      </c>
      <c r="L58" s="80">
        <v>9.372730664259285E-2</v>
      </c>
      <c r="M58" s="80">
        <v>0.16847241656741183</v>
      </c>
      <c r="N58" s="80">
        <v>0.19859606661970902</v>
      </c>
      <c r="O58" s="80">
        <v>0.18134596811657588</v>
      </c>
      <c r="Q58" s="2" t="s">
        <v>354</v>
      </c>
      <c r="R58" s="23">
        <v>1.0138277266008149E-2</v>
      </c>
      <c r="S58" s="23">
        <v>9.3951761278098511E-3</v>
      </c>
      <c r="T58" s="23">
        <v>8.33403471743328E-3</v>
      </c>
      <c r="U58" s="23">
        <v>6.7843516940435033E-3</v>
      </c>
      <c r="V58" s="23">
        <v>9.8864746274177281E-3</v>
      </c>
      <c r="W58" s="23">
        <v>1.1940647222269554E-2</v>
      </c>
      <c r="X58" s="23">
        <v>9.1514330351174615E-3</v>
      </c>
      <c r="Y58" s="23">
        <v>8.3055836563233135E-3</v>
      </c>
      <c r="Z58" s="23">
        <v>1.135381750929978E-2</v>
      </c>
      <c r="AA58" s="23">
        <v>1.3357664543943765E-2</v>
      </c>
      <c r="AB58" s="23">
        <v>1.1008934389450832E-2</v>
      </c>
      <c r="AC58" s="23">
        <v>8.5208728555294672E-3</v>
      </c>
      <c r="AD58" s="23">
        <v>1.2520875553050573E-2</v>
      </c>
      <c r="AE58" s="23">
        <v>1.2E-2</v>
      </c>
      <c r="AF58" s="23">
        <v>8.7600000000000004E-3</v>
      </c>
      <c r="AG58" s="116">
        <f>'[2]Table S7'!$I$50</f>
        <v>8.6595908071599413E-3</v>
      </c>
    </row>
    <row r="59" spans="1:33">
      <c r="A59" s="2" t="s">
        <v>439</v>
      </c>
      <c r="B59" s="79">
        <v>3113200</v>
      </c>
      <c r="C59" s="80">
        <v>9.7002752173020498E-2</v>
      </c>
      <c r="D59" s="80">
        <v>0.30042852516951379</v>
      </c>
      <c r="E59" s="80">
        <v>0.21430482408092449</v>
      </c>
      <c r="F59" s="80">
        <v>0.24985928523290424</v>
      </c>
      <c r="G59" s="80">
        <v>0.13840461334363693</v>
      </c>
      <c r="I59" s="2" t="s">
        <v>343</v>
      </c>
      <c r="J59" s="80">
        <v>5.8374315084125258E-2</v>
      </c>
      <c r="K59" s="80">
        <v>5.6397254850521989E-3</v>
      </c>
      <c r="L59" s="80">
        <v>2.3284124633883865E-2</v>
      </c>
      <c r="M59" s="80">
        <v>4.6450372938953551E-2</v>
      </c>
      <c r="N59" s="80">
        <v>0.1097616981918606</v>
      </c>
      <c r="O59" s="80">
        <v>0.12398306555523554</v>
      </c>
      <c r="Q59" s="2" t="s">
        <v>355</v>
      </c>
      <c r="R59" s="23">
        <v>1.8792016230424976E-3</v>
      </c>
      <c r="S59" s="23">
        <v>1.6803889068795325E-3</v>
      </c>
      <c r="T59" s="23">
        <v>7.5486521129492997E-4</v>
      </c>
      <c r="U59" s="23">
        <v>9.8610030668286048E-4</v>
      </c>
      <c r="V59" s="23">
        <v>1.1612762495065334E-3</v>
      </c>
      <c r="W59" s="23">
        <v>1.0700363671103219E-3</v>
      </c>
      <c r="X59" s="23">
        <v>1.9482634923449382E-3</v>
      </c>
      <c r="Y59" s="23">
        <v>1.9058561209599381E-3</v>
      </c>
      <c r="Z59" s="23">
        <v>2.4845068346169025E-3</v>
      </c>
      <c r="AA59" s="23">
        <v>3.3764818323120233E-3</v>
      </c>
      <c r="AB59" s="23">
        <v>3.3815690170326887E-3</v>
      </c>
      <c r="AC59" s="23">
        <v>2.2282449739119718E-3</v>
      </c>
      <c r="AD59" s="23">
        <v>2.9025094233764985E-3</v>
      </c>
      <c r="AE59" s="23">
        <v>4.0000000000000001E-3</v>
      </c>
      <c r="AF59" s="23">
        <v>2.9719999999999998E-3</v>
      </c>
      <c r="AG59" s="116">
        <f>'[2]Table S7'!$I$57</f>
        <v>1.8020630294562317E-3</v>
      </c>
    </row>
    <row r="60" spans="1:33">
      <c r="A60" s="2" t="s">
        <v>485</v>
      </c>
      <c r="B60" s="79">
        <v>3150600</v>
      </c>
      <c r="C60" s="80">
        <v>9.0552828561456911E-2</v>
      </c>
      <c r="D60" s="80">
        <v>0.29190433792444226</v>
      </c>
      <c r="E60" s="80">
        <v>0.22734028929483671</v>
      </c>
      <c r="F60" s="80">
        <v>0.25334433596420591</v>
      </c>
      <c r="G60" s="80">
        <v>0.13685820825505823</v>
      </c>
      <c r="I60" s="2" t="s">
        <v>344</v>
      </c>
      <c r="J60" s="80">
        <v>7.8051694301669347E-2</v>
      </c>
      <c r="K60" s="80">
        <v>6.5922823156652757E-3</v>
      </c>
      <c r="L60" s="80">
        <v>1.2905037218659602E-2</v>
      </c>
      <c r="M60" s="80">
        <v>3.8670600241630666E-2</v>
      </c>
      <c r="N60" s="80">
        <v>0.12679895801703556</v>
      </c>
      <c r="O60" s="80">
        <v>0.2768503126116611</v>
      </c>
      <c r="Q60" s="2" t="s">
        <v>356</v>
      </c>
      <c r="R60" s="23">
        <v>1.8645374199108125E-2</v>
      </c>
      <c r="S60" s="23">
        <v>1.6243232599603037E-2</v>
      </c>
      <c r="T60" s="23">
        <v>1.7754384972965009E-2</v>
      </c>
      <c r="U60" s="23">
        <v>1.814886001364548E-2</v>
      </c>
      <c r="V60" s="23">
        <v>1.8742421273518588E-2</v>
      </c>
      <c r="W60" s="23">
        <v>2.1115468019485554E-2</v>
      </c>
      <c r="X60" s="23">
        <v>2.0855726598622514E-2</v>
      </c>
      <c r="Y60" s="23">
        <v>1.6318528755429853E-2</v>
      </c>
      <c r="Z60" s="23">
        <v>1.572040447941191E-2</v>
      </c>
      <c r="AA60" s="23">
        <v>1.8242673204367905E-2</v>
      </c>
      <c r="AB60" s="23">
        <v>2.1283870190651307E-2</v>
      </c>
      <c r="AC60" s="23">
        <v>2.4975331121441922E-2</v>
      </c>
      <c r="AD60" s="23">
        <v>2.0943387195712187E-2</v>
      </c>
      <c r="AE60" s="23">
        <v>1.9E-2</v>
      </c>
      <c r="AF60" s="23">
        <v>1.8782E-2</v>
      </c>
      <c r="AG60" s="116">
        <f>'[2]Table S7'!$I$64</f>
        <v>1.3881444467257373E-2</v>
      </c>
    </row>
    <row r="61" spans="1:33">
      <c r="A61" s="2" t="s">
        <v>491</v>
      </c>
      <c r="B61" s="79">
        <v>3197592</v>
      </c>
      <c r="C61" s="80">
        <v>8.2206000000000001E-2</v>
      </c>
      <c r="D61" s="80">
        <v>0.30137000000000003</v>
      </c>
      <c r="E61" s="80">
        <v>0.214893</v>
      </c>
      <c r="F61" s="80">
        <v>0.256214</v>
      </c>
      <c r="G61" s="80">
        <v>0.145317</v>
      </c>
      <c r="I61" s="96" t="s">
        <v>342</v>
      </c>
      <c r="J61" s="44">
        <v>39500</v>
      </c>
      <c r="K61" s="44">
        <v>20500</v>
      </c>
      <c r="L61" s="44">
        <v>29000</v>
      </c>
      <c r="M61" s="44">
        <v>36000</v>
      </c>
      <c r="N61" s="44">
        <v>52000</v>
      </c>
      <c r="O61" s="44">
        <v>72500</v>
      </c>
      <c r="Q61" s="2" t="s">
        <v>357</v>
      </c>
      <c r="R61" s="23">
        <v>5.4272642911233444E-3</v>
      </c>
      <c r="S61" s="23">
        <v>8.3418544068119133E-3</v>
      </c>
      <c r="T61" s="23">
        <v>7.1367696933003965E-3</v>
      </c>
      <c r="U61" s="23">
        <v>6.6566683488518703E-3</v>
      </c>
      <c r="V61" s="23">
        <v>8.2239375421432302E-3</v>
      </c>
      <c r="W61" s="23">
        <v>8.3916429671025573E-3</v>
      </c>
      <c r="X61" s="23">
        <v>7.6798480314415442E-3</v>
      </c>
      <c r="Y61" s="23">
        <v>5.7146450895378198E-3</v>
      </c>
      <c r="Z61" s="23">
        <v>8.6215017757146073E-3</v>
      </c>
      <c r="AA61" s="23">
        <v>8.8434232623875331E-3</v>
      </c>
      <c r="AB61" s="23">
        <v>5.6606087668459107E-3</v>
      </c>
      <c r="AC61" s="23">
        <v>5.817330279142714E-3</v>
      </c>
      <c r="AD61" s="23">
        <v>1.1191507134980183E-2</v>
      </c>
      <c r="AE61" s="23">
        <v>1.4E-2</v>
      </c>
      <c r="AF61" s="23">
        <v>9.7999999999999997E-3</v>
      </c>
      <c r="AG61" s="116">
        <f>'[2]Table S7'!$I$71</f>
        <v>7.6581455932976201E-3</v>
      </c>
    </row>
    <row r="62" spans="1:33">
      <c r="A62" s="2" t="s">
        <v>496</v>
      </c>
      <c r="B62" s="79">
        <v>3214161</v>
      </c>
      <c r="C62" s="80">
        <v>7.0278999999999994E-2</v>
      </c>
      <c r="D62" s="80">
        <v>0.30827900000000003</v>
      </c>
      <c r="E62" s="80">
        <v>0.20920800000000001</v>
      </c>
      <c r="F62" s="80">
        <v>0.25871699999999997</v>
      </c>
      <c r="G62" s="80">
        <v>0.15351799999999999</v>
      </c>
      <c r="I62" s="224" t="s">
        <v>586</v>
      </c>
      <c r="J62" s="44">
        <f>'[2]Table S6'!H472</f>
        <v>50065.05667987949</v>
      </c>
      <c r="K62" s="44">
        <f>'[2]Table S6'!I472</f>
        <v>25964.781272297627</v>
      </c>
      <c r="L62" s="44">
        <f>'[2]Table S6'!J472</f>
        <v>36723.594954159824</v>
      </c>
      <c r="M62" s="44">
        <f>'[2]Table S6'!K472</f>
        <v>45593.742715247165</v>
      </c>
      <c r="N62" s="44">
        <f>'[2]Table S6'!L472</f>
        <v>65892.526225220179</v>
      </c>
      <c r="O62" s="44">
        <f>'[2]Table S6'!M472</f>
        <v>91808.987385399581</v>
      </c>
      <c r="Q62" s="2" t="s">
        <v>358</v>
      </c>
      <c r="R62" s="23">
        <v>5.5528708647024874E-2</v>
      </c>
      <c r="S62" s="23">
        <v>5.5847359698589075E-2</v>
      </c>
      <c r="T62" s="23">
        <v>6.1855319980615463E-2</v>
      </c>
      <c r="U62" s="23">
        <v>6.604108541665582E-2</v>
      </c>
      <c r="V62" s="23">
        <v>5.961306559522845E-2</v>
      </c>
      <c r="W62" s="23">
        <v>5.2212237103838315E-2</v>
      </c>
      <c r="X62" s="23">
        <v>5.5619893442602687E-2</v>
      </c>
      <c r="Y62" s="23">
        <v>5.757432696876242E-2</v>
      </c>
      <c r="Z62" s="23">
        <v>5.5725169369033843E-2</v>
      </c>
      <c r="AA62" s="23">
        <v>6.2712279148211494E-2</v>
      </c>
      <c r="AB62" s="23">
        <v>6.8277790226590696E-2</v>
      </c>
      <c r="AC62" s="23">
        <v>6.9220884046539463E-2</v>
      </c>
      <c r="AD62" s="23">
        <v>7.8347579111933963E-2</v>
      </c>
      <c r="AE62" s="23">
        <v>7.3999999999999996E-2</v>
      </c>
      <c r="AF62" s="23">
        <v>7.2486999999999996E-2</v>
      </c>
      <c r="AG62" s="116">
        <f>'[2]Table S7'!$I$78</f>
        <v>8.225935989291551E-2</v>
      </c>
    </row>
    <row r="63" spans="1:33">
      <c r="A63" s="2" t="s">
        <v>567</v>
      </c>
      <c r="B63" s="79">
        <f>'[2]Table S5'!$H$6</f>
        <v>3185229.4</v>
      </c>
      <c r="C63" s="80">
        <f>'[2]Table S5'!$H$12</f>
        <v>6.3760650959707954E-2</v>
      </c>
      <c r="D63" s="80">
        <f>'[2]Table S5'!$H$13</f>
        <v>0.30982063646656033</v>
      </c>
      <c r="E63" s="80">
        <f>'[2]Table S5'!$H$14</f>
        <v>0.2088410021582747</v>
      </c>
      <c r="F63" s="80">
        <f>'[2]Table S5'!$H$15</f>
        <v>0.25356569294506703</v>
      </c>
      <c r="G63" s="80">
        <f>'[2]Table S5'!$H$16</f>
        <v>0.16401201747039007</v>
      </c>
      <c r="I63" s="98" t="s">
        <v>388</v>
      </c>
      <c r="Q63" s="2" t="s">
        <v>359</v>
      </c>
      <c r="R63" s="23">
        <v>0.5055419947518871</v>
      </c>
      <c r="S63" s="23">
        <v>0.48221203507371935</v>
      </c>
      <c r="T63" s="23">
        <v>0.47221870527864324</v>
      </c>
      <c r="U63" s="23">
        <v>0.48386562706657282</v>
      </c>
      <c r="V63" s="23">
        <v>0.47029086132052705</v>
      </c>
      <c r="W63" s="23">
        <v>0.43219987915806185</v>
      </c>
      <c r="X63" s="23">
        <v>0.42743391963400873</v>
      </c>
      <c r="Y63" s="23">
        <v>0.42705397222620783</v>
      </c>
      <c r="Z63" s="23">
        <v>0.40923086174255019</v>
      </c>
      <c r="AA63" s="23">
        <v>0.39793551618816247</v>
      </c>
      <c r="AB63" s="23">
        <v>0.40843512272510002</v>
      </c>
      <c r="AC63" s="23">
        <v>0.39903357248936178</v>
      </c>
      <c r="AD63" s="23">
        <v>0.43894116705207253</v>
      </c>
      <c r="AE63" s="23">
        <v>0.52300000000000002</v>
      </c>
      <c r="AF63" s="23">
        <v>0.52747200000000005</v>
      </c>
      <c r="AG63" s="116">
        <f>'[2]Table S7'!$I$85</f>
        <v>0.52180993037908863</v>
      </c>
    </row>
    <row r="64" spans="1:33">
      <c r="I64" s="21" t="s">
        <v>337</v>
      </c>
      <c r="J64" s="79">
        <v>5787300</v>
      </c>
      <c r="K64" s="79">
        <v>739000</v>
      </c>
      <c r="L64" s="79">
        <v>1821200</v>
      </c>
      <c r="M64" s="79">
        <v>1102800</v>
      </c>
      <c r="N64" s="79">
        <v>1327900</v>
      </c>
      <c r="O64" s="79">
        <v>796500</v>
      </c>
      <c r="Q64" s="2" t="s">
        <v>360</v>
      </c>
      <c r="R64" s="23">
        <v>0.24611324560327646</v>
      </c>
      <c r="S64" s="23">
        <v>0.22577944424062313</v>
      </c>
      <c r="T64" s="23">
        <v>0.21532412546749502</v>
      </c>
      <c r="U64" s="23">
        <v>0.20903551160666381</v>
      </c>
      <c r="V64" s="23">
        <v>0.1896682240691426</v>
      </c>
      <c r="W64" s="23">
        <v>0.17791740679793167</v>
      </c>
      <c r="X64" s="23">
        <v>0.17109043902339954</v>
      </c>
      <c r="Y64" s="23">
        <v>0.16229171625336228</v>
      </c>
      <c r="Z64" s="23">
        <v>0.15383772440288548</v>
      </c>
      <c r="AA64" s="23">
        <v>0.1588155820699319</v>
      </c>
      <c r="AB64" s="23">
        <v>0.16121380628212315</v>
      </c>
      <c r="AC64" s="23">
        <v>0.13418285894083307</v>
      </c>
      <c r="AD64" s="23">
        <v>0.12304310135007226</v>
      </c>
      <c r="AE64" s="23">
        <v>0.13500000000000001</v>
      </c>
      <c r="AF64" s="23">
        <v>0.13242999999999999</v>
      </c>
      <c r="AG64" s="116">
        <f>'[2]Table S7'!$I$92</f>
        <v>0.13415701635331481</v>
      </c>
    </row>
    <row r="65" spans="1:33">
      <c r="A65" s="81" t="s">
        <v>325</v>
      </c>
      <c r="B65" s="2"/>
      <c r="C65" s="2"/>
      <c r="D65" s="2"/>
      <c r="E65" s="2"/>
      <c r="F65" s="2"/>
      <c r="G65" s="2"/>
      <c r="I65" s="2" t="s">
        <v>383</v>
      </c>
      <c r="J65" s="80">
        <v>0.2869206800750822</v>
      </c>
      <c r="K65" s="80">
        <v>0.50188789485641061</v>
      </c>
      <c r="L65" s="80">
        <v>0.33746777023120267</v>
      </c>
      <c r="M65" s="80">
        <v>0.22224523322448284</v>
      </c>
      <c r="N65" s="80">
        <v>0.21972866506708458</v>
      </c>
      <c r="O65" s="80">
        <v>0.17347565393083156</v>
      </c>
      <c r="Q65" s="2" t="s">
        <v>361</v>
      </c>
      <c r="R65" s="23">
        <v>3.7828573506878328E-2</v>
      </c>
      <c r="S65" s="23">
        <v>3.9847023761610791E-2</v>
      </c>
      <c r="T65" s="23">
        <v>4.516978096577072E-2</v>
      </c>
      <c r="U65" s="23">
        <v>4.7528340853009526E-2</v>
      </c>
      <c r="V65" s="23">
        <v>3.939216626340393E-2</v>
      </c>
      <c r="W65" s="23">
        <v>3.1928487606997215E-2</v>
      </c>
      <c r="X65" s="23">
        <v>2.752080825737627E-2</v>
      </c>
      <c r="Y65" s="23">
        <v>3.0324974767663337E-2</v>
      </c>
      <c r="Z65" s="23">
        <v>3.0809834488323733E-2</v>
      </c>
      <c r="AA65" s="23">
        <v>2.6562587955289499E-2</v>
      </c>
      <c r="AB65" s="23">
        <v>3.0035163525858295E-2</v>
      </c>
      <c r="AC65" s="23">
        <v>3.4246707166949865E-2</v>
      </c>
      <c r="AD65" s="23">
        <v>3.5281026099565627E-2</v>
      </c>
      <c r="AE65" s="23">
        <v>3.3000000000000002E-2</v>
      </c>
      <c r="AF65" s="23">
        <v>3.2023999999999997E-2</v>
      </c>
      <c r="AG65" s="116">
        <f>'[2]Table S7'!$I$99</f>
        <v>3.2978793753049747E-2</v>
      </c>
    </row>
    <row r="66" spans="1:33">
      <c r="A66" s="78" t="s">
        <v>326</v>
      </c>
      <c r="B66" s="2"/>
      <c r="C66" s="2"/>
      <c r="D66" s="2"/>
      <c r="E66" s="2"/>
      <c r="F66" s="2"/>
      <c r="G66" s="2"/>
      <c r="I66" s="2" t="s">
        <v>338</v>
      </c>
      <c r="J66" s="80">
        <v>5.6272224713723382E-2</v>
      </c>
      <c r="K66" s="80">
        <v>6.8672448170219599E-2</v>
      </c>
      <c r="L66" s="80">
        <v>7.1993039756117691E-2</v>
      </c>
      <c r="M66" s="80">
        <v>4.7367507839506801E-2</v>
      </c>
      <c r="N66" s="80">
        <v>4.2740774953572445E-2</v>
      </c>
      <c r="O66" s="80">
        <v>4.3710406032073774E-2</v>
      </c>
      <c r="Q66" s="2" t="s">
        <v>362</v>
      </c>
      <c r="R66" s="23">
        <v>3.0087368266425874E-2</v>
      </c>
      <c r="S66" s="23">
        <v>3.4662783558347551E-2</v>
      </c>
      <c r="T66" s="23">
        <v>3.2092239811609968E-2</v>
      </c>
      <c r="U66" s="23">
        <v>3.5290924252664321E-2</v>
      </c>
      <c r="V66" s="23">
        <v>3.782930604731486E-2</v>
      </c>
      <c r="W66" s="23">
        <v>3.1397297062501758E-2</v>
      </c>
      <c r="X66" s="23">
        <v>2.9034474983682109E-2</v>
      </c>
      <c r="Y66" s="23">
        <v>2.6449988385407082E-2</v>
      </c>
      <c r="Z66" s="23">
        <v>2.9053681005395866E-2</v>
      </c>
      <c r="AA66" s="23">
        <v>3.3530805817215396E-2</v>
      </c>
      <c r="AB66" s="23">
        <v>3.6120715988200332E-2</v>
      </c>
      <c r="AC66" s="23">
        <v>3.5426628873130167E-2</v>
      </c>
      <c r="AD66" s="23">
        <v>3.1022343522155719E-2</v>
      </c>
      <c r="AE66" s="23">
        <v>3.2000000000000001E-2</v>
      </c>
      <c r="AF66" s="23">
        <v>3.0776000000000001E-2</v>
      </c>
      <c r="AG66" s="116">
        <f>'[2]Table S7'!$I$106</f>
        <v>2.4667168847375284E-2</v>
      </c>
    </row>
    <row r="67" spans="1:33">
      <c r="A67" s="2" t="s">
        <v>281</v>
      </c>
      <c r="B67" s="79">
        <v>4506600</v>
      </c>
      <c r="C67" s="80">
        <v>0.12858360378529154</v>
      </c>
      <c r="D67" s="80">
        <v>0.3480768542255005</v>
      </c>
      <c r="E67" s="80">
        <v>0.21832420833147176</v>
      </c>
      <c r="F67" s="80">
        <v>0.20655559148650127</v>
      </c>
      <c r="G67" s="80">
        <v>9.8459742171235029E-2</v>
      </c>
      <c r="I67" s="2" t="s">
        <v>339</v>
      </c>
      <c r="J67" s="80">
        <v>0.14630736489048751</v>
      </c>
      <c r="K67" s="80">
        <v>0.24681366889668488</v>
      </c>
      <c r="L67" s="80">
        <v>0.18443046239636074</v>
      </c>
      <c r="M67" s="80">
        <v>0.14726759829547659</v>
      </c>
      <c r="N67" s="80">
        <v>9.0768572052630225E-2</v>
      </c>
      <c r="O67" s="80">
        <v>5.7159390889430006E-2</v>
      </c>
      <c r="Q67" s="2" t="s">
        <v>363</v>
      </c>
      <c r="R67" s="23">
        <v>3.1898873121877377E-2</v>
      </c>
      <c r="S67" s="23">
        <v>3.3488208594674294E-2</v>
      </c>
      <c r="T67" s="23">
        <v>3.2191648359278874E-2</v>
      </c>
      <c r="U67" s="23">
        <v>3.1071204803987434E-2</v>
      </c>
      <c r="V67" s="23">
        <v>2.9598233860384317E-2</v>
      </c>
      <c r="W67" s="23">
        <v>3.3488655914173729E-2</v>
      </c>
      <c r="X67" s="23">
        <v>3.3268753642795586E-2</v>
      </c>
      <c r="Y67" s="23">
        <v>2.860178432770083E-2</v>
      </c>
      <c r="Z67" s="23">
        <v>2.783340787566007E-2</v>
      </c>
      <c r="AA67" s="23">
        <v>2.5164927998051201E-2</v>
      </c>
      <c r="AB67" s="23">
        <v>2.8156158391582021E-2</v>
      </c>
      <c r="AC67" s="23">
        <v>2.9969551802752774E-2</v>
      </c>
      <c r="AD67" s="23">
        <v>2.53909129074395E-2</v>
      </c>
      <c r="AE67" s="23">
        <v>2.1999999999999999E-2</v>
      </c>
      <c r="AF67" s="23">
        <v>2.1051E-2</v>
      </c>
      <c r="AG67" s="116">
        <f>'[2]Table S7'!$I$113</f>
        <v>2.1558415171012531E-2</v>
      </c>
    </row>
    <row r="68" spans="1:33">
      <c r="A68" s="2" t="s">
        <v>108</v>
      </c>
      <c r="B68" s="79">
        <v>4676300</v>
      </c>
      <c r="C68" s="80">
        <v>0.13319184526813754</v>
      </c>
      <c r="D68" s="80">
        <v>0.34706150486065757</v>
      </c>
      <c r="E68" s="80">
        <v>0.2011753694008647</v>
      </c>
      <c r="F68" s="80">
        <v>0.21690488417166015</v>
      </c>
      <c r="G68" s="80">
        <v>0.1016663962986801</v>
      </c>
      <c r="I68" s="2" t="s">
        <v>340</v>
      </c>
      <c r="J68" s="80">
        <v>0.21867964487954997</v>
      </c>
      <c r="K68" s="80">
        <v>0.14473796059991095</v>
      </c>
      <c r="L68" s="80">
        <v>0.24826745538624573</v>
      </c>
      <c r="M68" s="80">
        <v>0.29635912431918054</v>
      </c>
      <c r="N68" s="80">
        <v>0.20831900616617177</v>
      </c>
      <c r="O68" s="80">
        <v>0.12935383226879801</v>
      </c>
      <c r="Q68" s="2" t="s">
        <v>364</v>
      </c>
      <c r="R68" s="23">
        <v>5.1402505476169707E-3</v>
      </c>
      <c r="S68" s="23">
        <v>5.1712597404699381E-3</v>
      </c>
      <c r="T68" s="23">
        <v>5.6568448879651487E-3</v>
      </c>
      <c r="U68" s="23">
        <v>3.8642708565126251E-3</v>
      </c>
      <c r="V68" s="23">
        <v>2.1385703088299523E-3</v>
      </c>
      <c r="W68" s="23">
        <v>3.7061183284481645E-3</v>
      </c>
      <c r="X68" s="23">
        <v>4.8099910421118804E-3</v>
      </c>
      <c r="Y68" s="23">
        <v>4.2552356082591978E-3</v>
      </c>
      <c r="Z68" s="23">
        <v>4.0968213378380176E-3</v>
      </c>
      <c r="AA68" s="23">
        <v>4.6716404439886994E-3</v>
      </c>
      <c r="AB68" s="23">
        <v>5.3744988749950488E-3</v>
      </c>
      <c r="AC68" s="23">
        <v>8.3119631896865376E-3</v>
      </c>
      <c r="AD68" s="23">
        <v>5.6920746194913333E-3</v>
      </c>
      <c r="AE68" s="218" t="s">
        <v>492</v>
      </c>
      <c r="AF68" s="218" t="s">
        <v>492</v>
      </c>
      <c r="AG68" s="218" t="s">
        <v>492</v>
      </c>
    </row>
    <row r="69" spans="1:33">
      <c r="A69" s="2" t="s">
        <v>136</v>
      </c>
      <c r="B69" s="79">
        <v>4578000</v>
      </c>
      <c r="C69" s="80">
        <v>0.12745210159010409</v>
      </c>
      <c r="D69" s="80">
        <v>0.34501044730448338</v>
      </c>
      <c r="E69" s="80">
        <v>0.19237768299667954</v>
      </c>
      <c r="F69" s="80">
        <v>0.22892337646946434</v>
      </c>
      <c r="G69" s="80">
        <v>0.10623645717008177</v>
      </c>
      <c r="I69" s="2" t="s">
        <v>341</v>
      </c>
      <c r="J69" s="80">
        <v>0.13942759941070049</v>
      </c>
      <c r="K69" s="80">
        <v>2.7540438638469278E-2</v>
      </c>
      <c r="L69" s="80">
        <v>0.1092177505964278</v>
      </c>
      <c r="M69" s="80">
        <v>0.19339201779727622</v>
      </c>
      <c r="N69" s="80">
        <v>0.1766303246869689</v>
      </c>
      <c r="O69" s="80">
        <v>0.1755675712131643</v>
      </c>
      <c r="Q69" s="2" t="s">
        <v>365</v>
      </c>
      <c r="R69" s="23">
        <v>5.3885798239553659E-3</v>
      </c>
      <c r="S69" s="23">
        <v>7.2236275444758869E-3</v>
      </c>
      <c r="T69" s="23">
        <v>6.5811847966021821E-3</v>
      </c>
      <c r="U69" s="23">
        <v>4.4682952631844089E-3</v>
      </c>
      <c r="V69" s="23">
        <v>5.6408217244359616E-3</v>
      </c>
      <c r="W69" s="23">
        <v>6.8198164576887014E-3</v>
      </c>
      <c r="X69" s="23">
        <v>6.504984778183143E-3</v>
      </c>
      <c r="Y69" s="23">
        <v>5.2902355403875714E-3</v>
      </c>
      <c r="Z69" s="23">
        <v>8.5251606678105728E-3</v>
      </c>
      <c r="AA69" s="23">
        <v>1.2578890236736548E-2</v>
      </c>
      <c r="AB69" s="23">
        <v>1.1802707173717366E-2</v>
      </c>
      <c r="AC69" s="23">
        <v>9.6756283049296132E-3</v>
      </c>
      <c r="AD69" s="23">
        <v>8.8726171123623618E-3</v>
      </c>
      <c r="AE69" s="23">
        <v>1.4E-2</v>
      </c>
      <c r="AF69" s="23">
        <v>1.4832E-2</v>
      </c>
      <c r="AG69" s="116">
        <f>'[2]Table S7'!$I$125</f>
        <v>9.7395921937119857E-3</v>
      </c>
    </row>
    <row r="70" spans="1:33">
      <c r="A70" s="2" t="s">
        <v>332</v>
      </c>
      <c r="B70" s="79">
        <v>4577900</v>
      </c>
      <c r="C70" s="80">
        <v>0.123376868340594</v>
      </c>
      <c r="D70" s="80">
        <v>0.33519037971003812</v>
      </c>
      <c r="E70" s="80">
        <v>0.18994445899128223</v>
      </c>
      <c r="F70" s="80">
        <v>0.22792438604438198</v>
      </c>
      <c r="G70" s="80">
        <v>0.12356397244546649</v>
      </c>
      <c r="I70" s="2" t="s">
        <v>343</v>
      </c>
      <c r="J70" s="80">
        <v>6.4963029234554118E-2</v>
      </c>
      <c r="K70" s="80">
        <v>7.0638139079178264E-3</v>
      </c>
      <c r="L70" s="80">
        <v>3.0388078116662536E-2</v>
      </c>
      <c r="M70" s="80">
        <v>5.2906332054814112E-2</v>
      </c>
      <c r="N70" s="80">
        <v>0.12073543303258406</v>
      </c>
      <c r="O70" s="80">
        <v>0.12144390539971529</v>
      </c>
      <c r="Q70" s="8" t="s">
        <v>366</v>
      </c>
      <c r="R70" s="52">
        <v>8.9933371524555938E-3</v>
      </c>
      <c r="S70" s="52">
        <v>7.0424736081087704E-3</v>
      </c>
      <c r="T70" s="52">
        <v>4.1237840319686934E-3</v>
      </c>
      <c r="U70" s="52">
        <v>1.9025695717022097E-3</v>
      </c>
      <c r="V70" s="52">
        <v>4.6843294784830319E-3</v>
      </c>
      <c r="W70" s="52">
        <v>6.1153786310893399E-3</v>
      </c>
      <c r="X70" s="52">
        <v>3.7486633741691477E-3</v>
      </c>
      <c r="Y70" s="52">
        <v>3.3382975720255858E-3</v>
      </c>
      <c r="Z70" s="52">
        <v>5.7265923238584218E-3</v>
      </c>
      <c r="AA70" s="52">
        <v>6.3344021015450504E-3</v>
      </c>
      <c r="AB70" s="52">
        <v>6.1412737106933254E-3</v>
      </c>
      <c r="AC70" s="52">
        <v>4.9908255343166646E-3</v>
      </c>
      <c r="AD70" s="52">
        <v>3.8844116254482032E-3</v>
      </c>
      <c r="AE70" s="52">
        <v>7.0000000000000001E-3</v>
      </c>
      <c r="AF70" s="52">
        <v>1.0678999999999999E-2</v>
      </c>
      <c r="AG70" s="116">
        <f>'[2]Table S7'!$I$132</f>
        <v>9.1228138473886146E-3</v>
      </c>
    </row>
    <row r="71" spans="1:33">
      <c r="A71" s="2" t="s">
        <v>334</v>
      </c>
      <c r="B71" s="79">
        <v>4626800</v>
      </c>
      <c r="C71" s="80">
        <v>0.12530503104846216</v>
      </c>
      <c r="D71" s="80">
        <v>0.32367413116901894</v>
      </c>
      <c r="E71" s="80">
        <v>0.19055499921749086</v>
      </c>
      <c r="F71" s="80">
        <v>0.2247393010491458</v>
      </c>
      <c r="G71" s="80">
        <v>0.13572653751588226</v>
      </c>
      <c r="I71" s="2" t="s">
        <v>344</v>
      </c>
      <c r="J71" s="80">
        <v>8.7429456795902277E-2</v>
      </c>
      <c r="K71" s="80">
        <v>3.2837749303869968E-3</v>
      </c>
      <c r="L71" s="80">
        <v>1.8235443516982794E-2</v>
      </c>
      <c r="M71" s="80">
        <v>4.0462186469262862E-2</v>
      </c>
      <c r="N71" s="80">
        <v>0.14107722404098799</v>
      </c>
      <c r="O71" s="80">
        <v>0.29928924026598719</v>
      </c>
      <c r="Q71" s="2"/>
      <c r="R71" s="2"/>
      <c r="S71" s="2"/>
      <c r="T71" s="2"/>
      <c r="U71" s="2"/>
      <c r="AG71" s="269"/>
    </row>
    <row r="72" spans="1:33">
      <c r="A72" s="2" t="s">
        <v>381</v>
      </c>
      <c r="B72" s="79">
        <v>4564000</v>
      </c>
      <c r="C72" s="80">
        <v>0.12481785844099247</v>
      </c>
      <c r="D72" s="80">
        <v>0.32385740386772116</v>
      </c>
      <c r="E72" s="80">
        <v>0.18903051577599023</v>
      </c>
      <c r="F72" s="80">
        <v>0.22588818022859469</v>
      </c>
      <c r="G72" s="80">
        <v>0.13640592117742209</v>
      </c>
      <c r="I72" s="96" t="s">
        <v>342</v>
      </c>
      <c r="J72" s="44">
        <v>40500</v>
      </c>
      <c r="K72" s="44">
        <v>20500</v>
      </c>
      <c r="L72" s="44">
        <v>31000</v>
      </c>
      <c r="M72" s="44">
        <v>38500</v>
      </c>
      <c r="N72" s="44">
        <v>54000</v>
      </c>
      <c r="O72" s="44">
        <v>75000</v>
      </c>
      <c r="Q72" s="220" t="s">
        <v>572</v>
      </c>
      <c r="R72" s="2"/>
      <c r="S72" s="2"/>
      <c r="T72" s="2"/>
      <c r="U72" s="2"/>
    </row>
    <row r="73" spans="1:33">
      <c r="A73" s="2" t="s">
        <v>412</v>
      </c>
      <c r="B73" s="79">
        <v>4447900</v>
      </c>
      <c r="C73" s="80">
        <v>0.118351463685512</v>
      </c>
      <c r="D73" s="80">
        <v>0.33024547022788198</v>
      </c>
      <c r="E73" s="80">
        <v>0.18304827218843689</v>
      </c>
      <c r="F73" s="80">
        <v>0.23663024161561211</v>
      </c>
      <c r="G73" s="80">
        <v>0.1317244286290912</v>
      </c>
      <c r="I73" s="224" t="s">
        <v>586</v>
      </c>
      <c r="J73" s="44">
        <f>'[2]Table S6'!H473</f>
        <v>49382.695765334436</v>
      </c>
      <c r="K73" s="44">
        <f>'[2]Table S6'!I473</f>
        <v>25024.931302548204</v>
      </c>
      <c r="L73" s="44">
        <f>'[2]Table S6'!J473</f>
        <v>37802.483046418216</v>
      </c>
      <c r="M73" s="44">
        <f>'[2]Table S6'!K473</f>
        <v>46942.352830570147</v>
      </c>
      <c r="N73" s="44">
        <f>'[2]Table S6'!L473</f>
        <v>65843.594353779248</v>
      </c>
      <c r="O73" s="44">
        <f>'[2]Table S6'!M473</f>
        <v>91512.860053661061</v>
      </c>
      <c r="Q73" s="18" t="s">
        <v>573</v>
      </c>
      <c r="R73" s="2"/>
      <c r="S73" s="2"/>
      <c r="T73" s="2"/>
      <c r="U73" s="2"/>
    </row>
    <row r="74" spans="1:33">
      <c r="A74" s="2" t="s">
        <v>418</v>
      </c>
      <c r="B74" s="79">
        <v>4383800</v>
      </c>
      <c r="C74" s="80">
        <v>0.11218084976248416</v>
      </c>
      <c r="D74" s="80">
        <v>0.33507432346465571</v>
      </c>
      <c r="E74" s="80">
        <v>0.18494221941083572</v>
      </c>
      <c r="F74" s="80">
        <v>0.23746998937727035</v>
      </c>
      <c r="G74" s="80">
        <v>0.13033261798475407</v>
      </c>
      <c r="I74" s="98" t="s">
        <v>414</v>
      </c>
    </row>
    <row r="75" spans="1:33">
      <c r="A75" s="2" t="s">
        <v>425</v>
      </c>
      <c r="B75" s="79">
        <v>4442900</v>
      </c>
      <c r="C75" s="80">
        <v>0.10728248975429185</v>
      </c>
      <c r="D75" s="80">
        <v>0.33759119672288596</v>
      </c>
      <c r="E75" s="80">
        <v>0.19749078368495096</v>
      </c>
      <c r="F75" s="80">
        <v>0.22979380784540474</v>
      </c>
      <c r="G75" s="80">
        <v>0.12784169948469126</v>
      </c>
      <c r="I75" s="21" t="s">
        <v>337</v>
      </c>
      <c r="J75" s="79">
        <v>5743700</v>
      </c>
      <c r="K75" s="79">
        <v>675900</v>
      </c>
      <c r="L75" s="79">
        <v>1829500</v>
      </c>
      <c r="M75" s="79">
        <v>1077000</v>
      </c>
      <c r="N75" s="79">
        <v>1386000</v>
      </c>
      <c r="O75" s="79">
        <v>775300</v>
      </c>
    </row>
    <row r="76" spans="1:33">
      <c r="A76" s="2" t="s">
        <v>430</v>
      </c>
      <c r="B76" s="79">
        <v>4513500</v>
      </c>
      <c r="C76" s="80">
        <v>9.7478488288055637E-2</v>
      </c>
      <c r="D76" s="80">
        <v>0.33759848355203603</v>
      </c>
      <c r="E76" s="80">
        <v>0.20404482353674142</v>
      </c>
      <c r="F76" s="80">
        <v>0.24054885362889972</v>
      </c>
      <c r="G76" s="80">
        <v>0.12032932883848677</v>
      </c>
      <c r="I76" s="2" t="s">
        <v>415</v>
      </c>
      <c r="J76" s="80">
        <v>0.29949164622148228</v>
      </c>
      <c r="K76" s="80">
        <v>0.51194419251552337</v>
      </c>
      <c r="L76" s="80">
        <v>0.36625910147011742</v>
      </c>
      <c r="M76" s="80">
        <v>0.26016270459379787</v>
      </c>
      <c r="N76" s="80">
        <v>0.20933265237730422</v>
      </c>
      <c r="O76" s="80">
        <v>0.17252448057620842</v>
      </c>
    </row>
    <row r="77" spans="1:33">
      <c r="A77" s="2" t="s">
        <v>432</v>
      </c>
      <c r="B77" s="79">
        <v>4470100</v>
      </c>
      <c r="C77" s="80">
        <v>9.9271929808764273E-2</v>
      </c>
      <c r="D77" s="80">
        <v>0.3297243447686507</v>
      </c>
      <c r="E77" s="80">
        <v>0.20240184204376915</v>
      </c>
      <c r="F77" s="80">
        <v>0.25274299376049292</v>
      </c>
      <c r="G77" s="80">
        <v>0.11585888961832284</v>
      </c>
      <c r="I77" s="2" t="s">
        <v>338</v>
      </c>
      <c r="J77" s="80">
        <v>4.7648167631405267E-2</v>
      </c>
      <c r="K77" s="80">
        <v>4.6756669678717798E-2</v>
      </c>
      <c r="L77" s="80">
        <v>5.8316558128139497E-2</v>
      </c>
      <c r="M77" s="80">
        <v>5.4887387926201882E-2</v>
      </c>
      <c r="N77" s="80">
        <v>3.481816804855857E-2</v>
      </c>
      <c r="O77" s="80">
        <v>3.6130782927048882E-2</v>
      </c>
    </row>
    <row r="78" spans="1:33">
      <c r="A78" s="2" t="s">
        <v>436</v>
      </c>
      <c r="B78" s="79">
        <v>4468600</v>
      </c>
      <c r="C78" s="80">
        <v>0.1014244348115588</v>
      </c>
      <c r="D78" s="80">
        <v>0.31701611680885983</v>
      </c>
      <c r="E78" s="80">
        <v>0.20065556714343416</v>
      </c>
      <c r="F78" s="80">
        <v>0.25134504790952378</v>
      </c>
      <c r="G78" s="80">
        <v>0.12955883332662349</v>
      </c>
      <c r="I78" s="2" t="s">
        <v>339</v>
      </c>
      <c r="J78" s="80">
        <v>0.13764326056082535</v>
      </c>
      <c r="K78" s="80">
        <v>0.25590396726375947</v>
      </c>
      <c r="L78" s="80">
        <v>0.1673334045894716</v>
      </c>
      <c r="M78" s="80">
        <v>0.14206104751250151</v>
      </c>
      <c r="N78" s="80">
        <v>8.6674493454719448E-2</v>
      </c>
      <c r="O78" s="80">
        <v>4.945815843967441E-2</v>
      </c>
    </row>
    <row r="79" spans="1:33">
      <c r="A79" s="2" t="s">
        <v>439</v>
      </c>
      <c r="B79" s="79">
        <v>4468800</v>
      </c>
      <c r="C79" s="80">
        <v>9.6005486188898523E-2</v>
      </c>
      <c r="D79" s="80">
        <v>0.30878430437267163</v>
      </c>
      <c r="E79" s="80">
        <v>0.21244087675281384</v>
      </c>
      <c r="F79" s="80">
        <v>0.24951834618955596</v>
      </c>
      <c r="G79" s="80">
        <v>0.13325098649606001</v>
      </c>
      <c r="I79" s="2" t="s">
        <v>340</v>
      </c>
      <c r="J79" s="80">
        <v>0.21575180494116095</v>
      </c>
      <c r="K79" s="80">
        <v>0.15147422525183782</v>
      </c>
      <c r="L79" s="80">
        <v>0.24672919334951371</v>
      </c>
      <c r="M79" s="80">
        <v>0.27187526409190704</v>
      </c>
      <c r="N79" s="80">
        <v>0.21499468394059232</v>
      </c>
      <c r="O79" s="80">
        <v>0.12208021699008348</v>
      </c>
    </row>
    <row r="80" spans="1:33">
      <c r="A80" s="2" t="s">
        <v>485</v>
      </c>
      <c r="B80" s="79">
        <v>4524000</v>
      </c>
      <c r="C80" s="80">
        <v>9.9116885519078574E-2</v>
      </c>
      <c r="D80" s="80">
        <v>0.31278712836456396</v>
      </c>
      <c r="E80" s="80">
        <v>0.21006204221790359</v>
      </c>
      <c r="F80" s="80">
        <v>0.24740339859851021</v>
      </c>
      <c r="G80" s="80">
        <v>0.13063054529994375</v>
      </c>
      <c r="I80" s="2" t="s">
        <v>341</v>
      </c>
      <c r="J80" s="80">
        <v>0.13963723160052124</v>
      </c>
      <c r="K80" s="80">
        <v>2.7769873573373502E-2</v>
      </c>
      <c r="L80" s="80">
        <v>0.10795304947279391</v>
      </c>
      <c r="M80" s="80">
        <v>0.1687663089918732</v>
      </c>
      <c r="N80" s="80">
        <v>0.18687460247968873</v>
      </c>
      <c r="O80" s="80">
        <v>0.18702267698086647</v>
      </c>
    </row>
    <row r="81" spans="1:15">
      <c r="A81" s="2" t="s">
        <v>491</v>
      </c>
      <c r="B81" s="79">
        <v>4589819</v>
      </c>
      <c r="C81" s="80">
        <v>9.3067999999999998E-2</v>
      </c>
      <c r="D81" s="80">
        <v>0.31772600000000001</v>
      </c>
      <c r="E81" s="80">
        <v>0.200713</v>
      </c>
      <c r="F81" s="80">
        <v>0.24974099999999999</v>
      </c>
      <c r="G81" s="80">
        <v>0.13875199999999999</v>
      </c>
      <c r="I81" s="2" t="s">
        <v>343</v>
      </c>
      <c r="J81" s="80">
        <v>6.5610025513554798E-2</v>
      </c>
      <c r="K81" s="80">
        <v>6.151071716788142E-3</v>
      </c>
      <c r="L81" s="80">
        <v>2.9238226997257435E-2</v>
      </c>
      <c r="M81" s="80">
        <v>5.4085265811947197E-2</v>
      </c>
      <c r="N81" s="80">
        <v>0.10848497063298662</v>
      </c>
      <c r="O81" s="80">
        <v>0.14263891630488357</v>
      </c>
    </row>
    <row r="82" spans="1:15">
      <c r="A82" s="2" t="s">
        <v>496</v>
      </c>
      <c r="B82" s="79">
        <v>4597424</v>
      </c>
      <c r="C82" s="80">
        <v>7.2713E-2</v>
      </c>
      <c r="D82" s="80">
        <v>0.32432100000000003</v>
      </c>
      <c r="E82" s="80">
        <v>0.21222099999999999</v>
      </c>
      <c r="F82" s="80">
        <v>0.25363799999999997</v>
      </c>
      <c r="G82" s="80">
        <v>0.13710700000000001</v>
      </c>
      <c r="I82" s="2" t="s">
        <v>344</v>
      </c>
      <c r="J82" s="80">
        <v>9.4217863531050064E-2</v>
      </c>
      <c r="K82" s="80">
        <v>0</v>
      </c>
      <c r="L82" s="80">
        <v>2.4170465992706475E-2</v>
      </c>
      <c r="M82" s="80">
        <v>4.8162021071771248E-2</v>
      </c>
      <c r="N82" s="80">
        <v>0.15882042906615018</v>
      </c>
      <c r="O82" s="80">
        <v>0.29014476778123488</v>
      </c>
    </row>
    <row r="83" spans="1:15">
      <c r="A83" s="2" t="s">
        <v>567</v>
      </c>
      <c r="B83" s="79">
        <f>'[2]Table S5'!$F$19</f>
        <v>4658189</v>
      </c>
      <c r="C83" s="80">
        <f>'[2]Table S5'!$F$20</f>
        <v>6.3601133401843507E-2</v>
      </c>
      <c r="D83" s="80">
        <f>'[2]Table S5'!$F$21</f>
        <v>0.32831965383972184</v>
      </c>
      <c r="E83" s="80">
        <f>'[2]Table S5'!$F$22</f>
        <v>0.20825282099974904</v>
      </c>
      <c r="F83" s="80">
        <f>'[2]Table S5'!$F$23</f>
        <v>0.25238671080112896</v>
      </c>
      <c r="G83" s="80">
        <f>'[2]Table S5'!$F$24</f>
        <v>0.14743955215213467</v>
      </c>
      <c r="I83" s="96" t="s">
        <v>342</v>
      </c>
      <c r="J83" s="44">
        <v>41000</v>
      </c>
      <c r="K83" s="44">
        <v>21000</v>
      </c>
      <c r="L83" s="44">
        <v>31000</v>
      </c>
      <c r="M83" s="44">
        <v>38000</v>
      </c>
      <c r="N83" s="44">
        <v>55375</v>
      </c>
      <c r="O83" s="44">
        <v>75000</v>
      </c>
    </row>
    <row r="84" spans="1:15">
      <c r="I84" s="224" t="s">
        <v>586</v>
      </c>
      <c r="J84" s="44">
        <f>'[2]Table S6'!H474</f>
        <v>48503.51485808564</v>
      </c>
      <c r="K84" s="44">
        <f>'[2]Table S6'!I474</f>
        <v>24821.057683268729</v>
      </c>
      <c r="L84" s="44">
        <f>'[2]Table S6'!J474</f>
        <v>36676.970899802676</v>
      </c>
      <c r="M84" s="44">
        <f>'[2]Table S6'!K474</f>
        <v>44970.236299726246</v>
      </c>
      <c r="N84" s="44">
        <f>'[2]Table S6'!L474</f>
        <v>65498.665062195345</v>
      </c>
      <c r="O84" s="44">
        <f>'[2]Table S6'!M474</f>
        <v>88699.079687122212</v>
      </c>
    </row>
    <row r="85" spans="1:15">
      <c r="A85" s="78" t="s">
        <v>327</v>
      </c>
      <c r="B85" s="2"/>
      <c r="C85" s="2"/>
      <c r="D85" s="2"/>
      <c r="E85" s="2"/>
      <c r="F85" s="2"/>
      <c r="G85" s="2"/>
      <c r="I85" s="98" t="s">
        <v>421</v>
      </c>
    </row>
    <row r="86" spans="1:15">
      <c r="A86" s="2" t="s">
        <v>281</v>
      </c>
      <c r="B86" s="79">
        <v>748100</v>
      </c>
      <c r="C86" s="80">
        <v>0.19570366952868673</v>
      </c>
      <c r="D86" s="80">
        <v>0.41480037038949569</v>
      </c>
      <c r="E86" s="80">
        <v>0.21377072437865177</v>
      </c>
      <c r="F86" s="80">
        <v>0.1298235340361017</v>
      </c>
      <c r="G86" s="80">
        <v>4.5901701667064199E-2</v>
      </c>
      <c r="I86" s="21" t="s">
        <v>337</v>
      </c>
      <c r="J86" s="79">
        <v>5693200</v>
      </c>
      <c r="K86" s="79">
        <v>654600</v>
      </c>
      <c r="L86" s="79">
        <v>1843700</v>
      </c>
      <c r="M86" s="79">
        <v>1058300</v>
      </c>
      <c r="N86" s="79">
        <v>1363000</v>
      </c>
      <c r="O86" s="79">
        <v>773600</v>
      </c>
    </row>
    <row r="87" spans="1:15">
      <c r="A87" s="2" t="s">
        <v>108</v>
      </c>
      <c r="B87" s="79">
        <v>724800</v>
      </c>
      <c r="C87" s="80">
        <v>0.19713856668831833</v>
      </c>
      <c r="D87" s="80">
        <v>0.38327979741691465</v>
      </c>
      <c r="E87" s="80">
        <v>0.23088804343226174</v>
      </c>
      <c r="F87" s="80">
        <v>0.13545431283533099</v>
      </c>
      <c r="G87" s="80">
        <v>5.3239279627174396E-2</v>
      </c>
      <c r="I87" s="2" t="s">
        <v>415</v>
      </c>
      <c r="J87" s="80">
        <v>0.30697898144965347</v>
      </c>
      <c r="K87" s="80">
        <v>0.52343702498761824</v>
      </c>
      <c r="L87" s="80">
        <v>0.37467057505750112</v>
      </c>
      <c r="M87" s="80">
        <v>0.26963084724498437</v>
      </c>
      <c r="N87" s="80">
        <v>0.21075645364202578</v>
      </c>
      <c r="O87" s="80">
        <v>0.18312376003023345</v>
      </c>
    </row>
    <row r="88" spans="1:15">
      <c r="A88" s="2" t="s">
        <v>136</v>
      </c>
      <c r="B88" s="79">
        <v>710500</v>
      </c>
      <c r="C88" s="80">
        <v>0.1833731593872705</v>
      </c>
      <c r="D88" s="80">
        <v>0.38089882188328855</v>
      </c>
      <c r="E88" s="80">
        <v>0.2268359116493926</v>
      </c>
      <c r="F88" s="80">
        <v>0.15383496414951389</v>
      </c>
      <c r="G88" s="80">
        <v>5.5057142930534403E-2</v>
      </c>
      <c r="I88" s="2" t="s">
        <v>338</v>
      </c>
      <c r="J88" s="80">
        <v>5.0153305455675347E-2</v>
      </c>
      <c r="K88" s="80">
        <v>5.2592568885293074E-2</v>
      </c>
      <c r="L88" s="80">
        <v>5.2625463966650604E-2</v>
      </c>
      <c r="M88" s="80">
        <v>6.874696525102042E-2</v>
      </c>
      <c r="N88" s="80">
        <v>4.0027290002606734E-2</v>
      </c>
      <c r="O88" s="80">
        <v>3.4602320216804761E-2</v>
      </c>
    </row>
    <row r="89" spans="1:15">
      <c r="A89" s="2" t="s">
        <v>332</v>
      </c>
      <c r="B89" s="79">
        <v>720300</v>
      </c>
      <c r="C89" s="80">
        <v>0.18425156881823029</v>
      </c>
      <c r="D89" s="80">
        <v>0.38631602468497028</v>
      </c>
      <c r="E89" s="80">
        <v>0.21418128975167966</v>
      </c>
      <c r="F89" s="80">
        <v>0.17065667945813121</v>
      </c>
      <c r="G89" s="80">
        <v>4.4594437286988496E-2</v>
      </c>
      <c r="I89" s="2" t="s">
        <v>339</v>
      </c>
      <c r="J89" s="80">
        <v>0.12954276753233546</v>
      </c>
      <c r="K89" s="80">
        <v>0.24160693700253075</v>
      </c>
      <c r="L89" s="80">
        <v>0.15622393790011871</v>
      </c>
      <c r="M89" s="80">
        <v>0.1401074985842681</v>
      </c>
      <c r="N89" s="80">
        <v>7.6324041183094854E-2</v>
      </c>
      <c r="O89" s="80">
        <v>5.0445321928021598E-2</v>
      </c>
    </row>
    <row r="90" spans="1:15">
      <c r="A90" s="2" t="s">
        <v>334</v>
      </c>
      <c r="B90" s="79">
        <v>725000</v>
      </c>
      <c r="C90" s="80">
        <v>0.19531736693801063</v>
      </c>
      <c r="D90" s="80">
        <v>0.38658107960576066</v>
      </c>
      <c r="E90" s="80">
        <v>0.22259362387306036</v>
      </c>
      <c r="F90" s="80">
        <v>0.1448598707350402</v>
      </c>
      <c r="G90" s="80">
        <v>5.0648058848128154E-2</v>
      </c>
      <c r="I90" s="2" t="s">
        <v>340</v>
      </c>
      <c r="J90" s="80">
        <v>0.21658119348859317</v>
      </c>
      <c r="K90" s="80">
        <v>0.14713781122238379</v>
      </c>
      <c r="L90" s="80">
        <v>0.25108640510617058</v>
      </c>
      <c r="M90" s="80">
        <v>0.26388972841333508</v>
      </c>
      <c r="N90" s="80">
        <v>0.22423608055534744</v>
      </c>
      <c r="O90" s="80">
        <v>0.11490543713261389</v>
      </c>
    </row>
    <row r="91" spans="1:15">
      <c r="A91" s="2" t="s">
        <v>381</v>
      </c>
      <c r="B91" s="79">
        <v>719400</v>
      </c>
      <c r="C91" s="80">
        <v>0.18034679958205221</v>
      </c>
      <c r="D91" s="80">
        <v>0.37467678295410006</v>
      </c>
      <c r="E91" s="80">
        <v>0.25133188468639939</v>
      </c>
      <c r="F91" s="80">
        <v>0.13442886539565072</v>
      </c>
      <c r="G91" s="80">
        <v>5.9215667381797794E-2</v>
      </c>
      <c r="I91" s="2" t="s">
        <v>341</v>
      </c>
      <c r="J91" s="80">
        <v>0.13252961554722478</v>
      </c>
      <c r="K91" s="80">
        <v>2.1620249188726594E-2</v>
      </c>
      <c r="L91" s="80">
        <v>0.10705198230193605</v>
      </c>
      <c r="M91" s="80">
        <v>0.13410771120744994</v>
      </c>
      <c r="N91" s="80">
        <v>0.17751664145832213</v>
      </c>
      <c r="O91" s="80">
        <v>0.20567317422404285</v>
      </c>
    </row>
    <row r="92" spans="1:15">
      <c r="A92" s="2" t="s">
        <v>412</v>
      </c>
      <c r="B92" s="79">
        <v>719800</v>
      </c>
      <c r="C92" s="80">
        <v>0.13854233496691076</v>
      </c>
      <c r="D92" s="80">
        <v>0.37882018264780681</v>
      </c>
      <c r="E92" s="80">
        <v>0.26745767345156252</v>
      </c>
      <c r="F92" s="80">
        <v>0.161211192696366</v>
      </c>
      <c r="G92" s="80">
        <v>5.3968616237353939E-2</v>
      </c>
      <c r="I92" s="2" t="s">
        <v>343</v>
      </c>
      <c r="J92" s="80">
        <v>6.3571634204892175E-2</v>
      </c>
      <c r="K92" s="80">
        <v>4.9114771699214866E-3</v>
      </c>
      <c r="L92" s="80">
        <v>2.9682280262042036E-2</v>
      </c>
      <c r="M92" s="80">
        <v>6.1886333680420069E-2</v>
      </c>
      <c r="N92" s="80">
        <v>9.3585433360030709E-2</v>
      </c>
      <c r="O92" s="80">
        <v>0.14339606179381606</v>
      </c>
    </row>
    <row r="93" spans="1:15">
      <c r="A93" s="2" t="s">
        <v>418</v>
      </c>
      <c r="B93" s="79">
        <v>706500</v>
      </c>
      <c r="C93" s="80">
        <v>0.12663926379173232</v>
      </c>
      <c r="D93" s="80">
        <v>0.39754447020020151</v>
      </c>
      <c r="E93" s="80">
        <v>0.25271561186518193</v>
      </c>
      <c r="F93" s="80">
        <v>0.16430047679541662</v>
      </c>
      <c r="G93" s="80">
        <v>5.8800177347467529E-2</v>
      </c>
      <c r="I93" s="2" t="s">
        <v>344</v>
      </c>
      <c r="J93" s="80">
        <v>0.10064253745119843</v>
      </c>
      <c r="K93" s="80">
        <v>8.6939239051360834E-3</v>
      </c>
      <c r="L93" s="80">
        <v>2.865935540558065E-2</v>
      </c>
      <c r="M93" s="80">
        <v>6.1630915618522047E-2</v>
      </c>
      <c r="N93" s="80">
        <v>0.17755405979857239</v>
      </c>
      <c r="O93" s="80">
        <v>0.26785392467446728</v>
      </c>
    </row>
    <row r="94" spans="1:15">
      <c r="A94" s="2" t="s">
        <v>425</v>
      </c>
      <c r="B94" s="79">
        <v>707800</v>
      </c>
      <c r="C94" s="80">
        <v>0.1330112706038184</v>
      </c>
      <c r="D94" s="80">
        <v>0.40614766706993793</v>
      </c>
      <c r="E94" s="80">
        <v>0.25174353321381304</v>
      </c>
      <c r="F94" s="80">
        <v>0.14465087436662327</v>
      </c>
      <c r="G94" s="80">
        <v>6.444649934171888E-2</v>
      </c>
      <c r="I94" s="96" t="s">
        <v>342</v>
      </c>
      <c r="J94" s="44">
        <v>41000</v>
      </c>
      <c r="K94" s="44">
        <v>21000</v>
      </c>
      <c r="L94" s="44">
        <v>31250</v>
      </c>
      <c r="M94" s="44">
        <v>38000</v>
      </c>
      <c r="N94" s="44">
        <v>54875</v>
      </c>
      <c r="O94" s="44">
        <v>72500</v>
      </c>
    </row>
    <row r="95" spans="1:15">
      <c r="A95" s="2" t="s">
        <v>430</v>
      </c>
      <c r="B95" s="79">
        <v>718100</v>
      </c>
      <c r="C95" s="80">
        <v>0.13754308036148546</v>
      </c>
      <c r="D95" s="80">
        <v>0.37991656873219881</v>
      </c>
      <c r="E95" s="80">
        <v>0.28665197894516986</v>
      </c>
      <c r="F95" s="80">
        <v>0.13936992624336575</v>
      </c>
      <c r="G95" s="80">
        <v>5.65182925301638E-2</v>
      </c>
      <c r="I95" s="227" t="s">
        <v>586</v>
      </c>
      <c r="J95" s="44">
        <f>'[2]Table S6'!H475</f>
        <v>47021.20730719011</v>
      </c>
      <c r="K95" s="44">
        <f>'[2]Table S6'!I475</f>
        <v>24115.196944747047</v>
      </c>
      <c r="L95" s="44">
        <f>'[2]Table S6'!J475</f>
        <v>35829.281955943399</v>
      </c>
      <c r="M95" s="44">
        <f>'[2]Table S6'!K475</f>
        <v>43558.51482268289</v>
      </c>
      <c r="N95" s="44">
        <f>'[2]Table S6'!L475</f>
        <v>62958.878518783829</v>
      </c>
      <c r="O95" s="44">
        <f>'[2]Table S6'!M475</f>
        <v>83235.219539911865</v>
      </c>
    </row>
    <row r="96" spans="1:15">
      <c r="A96" s="2" t="s">
        <v>432</v>
      </c>
      <c r="B96" s="79">
        <v>742900</v>
      </c>
      <c r="C96" s="80">
        <v>0.13930158638459009</v>
      </c>
      <c r="D96" s="80">
        <v>0.36940263774833926</v>
      </c>
      <c r="E96" s="80">
        <v>0.28066028258211823</v>
      </c>
      <c r="F96" s="80">
        <v>0.1430039937044606</v>
      </c>
      <c r="G96" s="80">
        <v>6.7631499580491874E-2</v>
      </c>
      <c r="I96" s="98" t="s">
        <v>426</v>
      </c>
    </row>
    <row r="97" spans="1:17">
      <c r="A97" s="2" t="s">
        <v>436</v>
      </c>
      <c r="B97" s="79">
        <v>754400</v>
      </c>
      <c r="C97" s="80">
        <v>0.1381099915291446</v>
      </c>
      <c r="D97" s="80">
        <v>0.37928651966405769</v>
      </c>
      <c r="E97" s="80">
        <v>0.24437904754031953</v>
      </c>
      <c r="F97" s="80">
        <v>0.16058144676674121</v>
      </c>
      <c r="G97" s="80">
        <v>7.764299449973687E-2</v>
      </c>
      <c r="I97" s="21" t="s">
        <v>337</v>
      </c>
      <c r="J97" s="79">
        <v>5722100</v>
      </c>
      <c r="K97" s="79">
        <v>634500</v>
      </c>
      <c r="L97" s="79">
        <v>1870300</v>
      </c>
      <c r="M97" s="79">
        <v>1122700</v>
      </c>
      <c r="N97" s="79">
        <v>1332200</v>
      </c>
      <c r="O97" s="79">
        <v>762400</v>
      </c>
    </row>
    <row r="98" spans="1:17">
      <c r="A98" s="2" t="s">
        <v>439</v>
      </c>
      <c r="B98" s="79">
        <v>792100</v>
      </c>
      <c r="C98" s="80">
        <v>0.12635636439233072</v>
      </c>
      <c r="D98" s="80">
        <v>0.39484168886069992</v>
      </c>
      <c r="E98" s="80">
        <v>0.25556510668379362</v>
      </c>
      <c r="F98" s="80">
        <v>0.16020618116034632</v>
      </c>
      <c r="G98" s="80">
        <v>6.3030658902829398E-2</v>
      </c>
      <c r="I98" s="2" t="s">
        <v>415</v>
      </c>
      <c r="J98" s="80">
        <v>0.3044377251022829</v>
      </c>
      <c r="K98" s="80">
        <v>0.51891312100971254</v>
      </c>
      <c r="L98" s="80">
        <v>0.36230692305085788</v>
      </c>
      <c r="M98" s="80">
        <v>0.26288101052890794</v>
      </c>
      <c r="N98" s="80">
        <v>0.22766036093414227</v>
      </c>
      <c r="O98" s="80">
        <v>0.17932081477084513</v>
      </c>
    </row>
    <row r="99" spans="1:17">
      <c r="A99" s="2" t="s">
        <v>485</v>
      </c>
      <c r="B99" s="79">
        <v>830100</v>
      </c>
      <c r="C99" s="80">
        <v>9.107794364642316E-2</v>
      </c>
      <c r="D99" s="80">
        <v>0.37624165816426069</v>
      </c>
      <c r="E99" s="80">
        <v>0.29527861105231212</v>
      </c>
      <c r="F99" s="80">
        <v>0.17019665744825274</v>
      </c>
      <c r="G99" s="80">
        <v>6.7205129688751156E-2</v>
      </c>
      <c r="I99" s="2" t="s">
        <v>338</v>
      </c>
      <c r="J99" s="80">
        <v>5.2085712622994169E-2</v>
      </c>
      <c r="K99" s="80">
        <v>6.4926690843277901E-2</v>
      </c>
      <c r="L99" s="80">
        <v>5.0309217855607352E-2</v>
      </c>
      <c r="M99" s="80">
        <v>6.1066526982551397E-2</v>
      </c>
      <c r="N99" s="80">
        <v>4.7486032995361152E-2</v>
      </c>
      <c r="O99" s="80">
        <v>4.0567855094845472E-2</v>
      </c>
    </row>
    <row r="100" spans="1:17">
      <c r="A100" s="2" t="s">
        <v>491</v>
      </c>
      <c r="B100" s="79">
        <v>814874</v>
      </c>
      <c r="C100" s="80">
        <v>8.7548000000000001E-2</v>
      </c>
      <c r="D100" s="80">
        <v>0.35291699999999998</v>
      </c>
      <c r="E100" s="80">
        <v>0.28588799999999998</v>
      </c>
      <c r="F100" s="80">
        <v>0.18720500000000001</v>
      </c>
      <c r="G100" s="80">
        <v>8.6442000000000005E-2</v>
      </c>
      <c r="I100" s="2" t="s">
        <v>339</v>
      </c>
      <c r="J100" s="80">
        <v>0.13024587386390465</v>
      </c>
      <c r="K100" s="80">
        <v>0.24349288940658137</v>
      </c>
      <c r="L100" s="80">
        <v>0.15864342927345063</v>
      </c>
      <c r="M100" s="80">
        <v>0.13125758113629207</v>
      </c>
      <c r="N100" s="80">
        <v>7.9978497235731513E-2</v>
      </c>
      <c r="O100" s="80">
        <v>5.2670319124846633E-2</v>
      </c>
    </row>
    <row r="101" spans="1:17">
      <c r="A101" s="2" t="s">
        <v>496</v>
      </c>
      <c r="B101" s="79">
        <v>825173.9</v>
      </c>
      <c r="C101" s="80">
        <v>0.101484</v>
      </c>
      <c r="D101" s="80">
        <v>0.35012100000000002</v>
      </c>
      <c r="E101" s="80">
        <v>0.27677299999999999</v>
      </c>
      <c r="F101" s="80">
        <v>0.17976900000000001</v>
      </c>
      <c r="G101" s="80">
        <v>9.1853000000000004E-2</v>
      </c>
      <c r="I101" s="2" t="s">
        <v>340</v>
      </c>
      <c r="J101" s="80">
        <v>0.21047274253725148</v>
      </c>
      <c r="K101" s="80">
        <v>0.12899559056056253</v>
      </c>
      <c r="L101" s="80">
        <v>0.24784273583285887</v>
      </c>
      <c r="M101" s="80">
        <v>0.27511641912767976</v>
      </c>
      <c r="N101" s="80">
        <v>0.20410537671119072</v>
      </c>
      <c r="O101" s="80">
        <v>0.10253233109943141</v>
      </c>
    </row>
    <row r="102" spans="1:17">
      <c r="A102" s="2" t="s">
        <v>567</v>
      </c>
      <c r="B102" s="79">
        <f>'[2]Table S5'!$G$19</f>
        <v>855615.81</v>
      </c>
      <c r="C102" s="80">
        <f>'[2]Table S5'!$G$25</f>
        <v>9.0119267431488903E-2</v>
      </c>
      <c r="D102" s="80">
        <f>'[2]Table S5'!$G$26</f>
        <v>0.33746372685656656</v>
      </c>
      <c r="E102" s="80">
        <f>'[2]Table S5'!$G$27</f>
        <v>0.29963436510131808</v>
      </c>
      <c r="F102" s="80">
        <f>'[2]Table S5'!$G$28</f>
        <v>0.18445486648966899</v>
      </c>
      <c r="G102" s="80">
        <f>'[2]Table S5'!$G$29</f>
        <v>8.8327774120957395E-2</v>
      </c>
      <c r="I102" s="2" t="s">
        <v>341</v>
      </c>
      <c r="J102" s="80">
        <v>0.13350062852568129</v>
      </c>
      <c r="K102" s="80">
        <v>2.8231625510164997E-2</v>
      </c>
      <c r="L102" s="80">
        <v>0.1149224263630399</v>
      </c>
      <c r="M102" s="80">
        <v>0.12915690405159419</v>
      </c>
      <c r="N102" s="80">
        <v>0.17809443928973845</v>
      </c>
      <c r="O102" s="80">
        <v>0.19516727295751485</v>
      </c>
    </row>
    <row r="103" spans="1:17">
      <c r="I103" s="2" t="s">
        <v>343</v>
      </c>
      <c r="J103" s="80">
        <v>6.5933069223807053E-2</v>
      </c>
      <c r="K103" s="80">
        <v>5.5519001533587868E-3</v>
      </c>
      <c r="L103" s="80">
        <v>3.7783551176932884E-2</v>
      </c>
      <c r="M103" s="80">
        <v>7.1613702861359541E-2</v>
      </c>
      <c r="N103" s="80">
        <v>8.5964213208354706E-2</v>
      </c>
      <c r="O103" s="80">
        <v>0.14187956148727343</v>
      </c>
    </row>
    <row r="104" spans="1:17">
      <c r="A104" s="78" t="s">
        <v>328</v>
      </c>
      <c r="B104" s="2"/>
      <c r="C104" s="2"/>
      <c r="D104" s="2"/>
      <c r="E104" s="2"/>
      <c r="F104" s="2"/>
      <c r="G104" s="2"/>
      <c r="I104" s="2" t="s">
        <v>344</v>
      </c>
      <c r="J104" s="80">
        <v>0.1033242743381344</v>
      </c>
      <c r="K104" s="80">
        <v>9.888206156068528E-3</v>
      </c>
      <c r="L104" s="80">
        <v>2.8191716447252473E-2</v>
      </c>
      <c r="M104" s="80">
        <v>6.8907855311615002E-2</v>
      </c>
      <c r="N104" s="80">
        <v>0.17671107962548116</v>
      </c>
      <c r="O104" s="80">
        <v>0.28786184546524324</v>
      </c>
    </row>
    <row r="105" spans="1:17">
      <c r="A105" s="2" t="s">
        <v>281</v>
      </c>
      <c r="B105" s="79">
        <v>384500</v>
      </c>
      <c r="C105" s="80">
        <v>0.12881513096761726</v>
      </c>
      <c r="D105" s="80">
        <v>0.19451855160853368</v>
      </c>
      <c r="E105" s="80">
        <v>0.13087258560758211</v>
      </c>
      <c r="F105" s="80">
        <v>0.3407047237986992</v>
      </c>
      <c r="G105" s="80">
        <v>0.20508900801756771</v>
      </c>
      <c r="I105" s="96" t="s">
        <v>342</v>
      </c>
      <c r="J105" s="44">
        <v>42000</v>
      </c>
      <c r="K105" s="44">
        <v>20000</v>
      </c>
      <c r="L105" s="44">
        <v>32250</v>
      </c>
      <c r="M105" s="44">
        <v>40000</v>
      </c>
      <c r="N105" s="44">
        <v>55000</v>
      </c>
      <c r="O105" s="44">
        <v>75500</v>
      </c>
      <c r="Q105" s="80"/>
    </row>
    <row r="106" spans="1:17">
      <c r="A106" s="2" t="s">
        <v>108</v>
      </c>
      <c r="B106" s="79">
        <v>401600</v>
      </c>
      <c r="C106" s="80">
        <v>0.11205057708309585</v>
      </c>
      <c r="D106" s="80">
        <v>0.15271255921835239</v>
      </c>
      <c r="E106" s="80">
        <v>0.10432765883934396</v>
      </c>
      <c r="F106" s="80">
        <v>0.38467184949102762</v>
      </c>
      <c r="G106" s="80">
        <v>0.24623735536818031</v>
      </c>
      <c r="I106" s="227" t="s">
        <v>586</v>
      </c>
      <c r="J106" s="44">
        <f>'[2]Table S6'!H476</f>
        <v>47313.338728518043</v>
      </c>
      <c r="K106" s="44">
        <f>'[2]Table S6'!I476</f>
        <v>22530.161299294308</v>
      </c>
      <c r="L106" s="44">
        <f>'[2]Table S6'!J476</f>
        <v>36329.946316646296</v>
      </c>
      <c r="M106" s="44">
        <f>'[2]Table S6'!K476</f>
        <v>45060.322598588617</v>
      </c>
      <c r="N106" s="44">
        <f>'[2]Table S6'!L476</f>
        <v>61957.943573059347</v>
      </c>
      <c r="O106" s="44">
        <f>'[2]Table S6'!M476</f>
        <v>85050.012031083024</v>
      </c>
      <c r="Q106" s="80"/>
    </row>
    <row r="107" spans="1:17">
      <c r="A107" s="2" t="s">
        <v>136</v>
      </c>
      <c r="B107" s="79">
        <v>378600</v>
      </c>
      <c r="C107" s="80">
        <v>7.7380209399973227E-2</v>
      </c>
      <c r="D107" s="80">
        <v>0.14800173935651731</v>
      </c>
      <c r="E107" s="80">
        <v>0.11747177494180355</v>
      </c>
      <c r="F107" s="80">
        <v>0.38404767932875039</v>
      </c>
      <c r="G107" s="80">
        <v>0.27309859697295552</v>
      </c>
      <c r="I107" s="98" t="s">
        <v>427</v>
      </c>
      <c r="Q107" s="80"/>
    </row>
    <row r="108" spans="1:17">
      <c r="A108" s="2" t="s">
        <v>332</v>
      </c>
      <c r="B108" s="79">
        <v>375800</v>
      </c>
      <c r="C108" s="80">
        <v>6.7855924321692934E-2</v>
      </c>
      <c r="D108" s="80">
        <v>0.13878114771661185</v>
      </c>
      <c r="E108" s="80">
        <v>0.1260447918711517</v>
      </c>
      <c r="F108" s="80">
        <v>0.38592325801056265</v>
      </c>
      <c r="G108" s="80">
        <v>0.28139487807998081</v>
      </c>
      <c r="I108" s="21" t="s">
        <v>337</v>
      </c>
      <c r="J108" s="79">
        <v>5741400</v>
      </c>
      <c r="K108" s="79">
        <v>587800</v>
      </c>
      <c r="L108" s="79">
        <v>1880200</v>
      </c>
      <c r="M108" s="79">
        <v>1189400</v>
      </c>
      <c r="N108" s="79">
        <v>1372200</v>
      </c>
      <c r="O108" s="79">
        <v>711900</v>
      </c>
      <c r="Q108" s="80"/>
    </row>
    <row r="109" spans="1:17">
      <c r="A109" s="2" t="s">
        <v>334</v>
      </c>
      <c r="B109" s="79">
        <v>384100</v>
      </c>
      <c r="C109" s="80">
        <v>0.10110692240689147</v>
      </c>
      <c r="D109" s="80">
        <v>0.13129494728862504</v>
      </c>
      <c r="E109" s="80">
        <v>0.11430389864082417</v>
      </c>
      <c r="F109" s="80">
        <v>0.37450302212716197</v>
      </c>
      <c r="G109" s="80">
        <v>0.27879120953649744</v>
      </c>
      <c r="I109" s="2" t="s">
        <v>383</v>
      </c>
      <c r="J109" s="80">
        <v>0.31437278330637797</v>
      </c>
      <c r="K109" s="80">
        <v>0.54072564859747507</v>
      </c>
      <c r="L109" s="80">
        <v>0.38888286648463083</v>
      </c>
      <c r="M109" s="80">
        <v>0.25273727059019441</v>
      </c>
      <c r="N109" s="80">
        <v>0.23634371056576792</v>
      </c>
      <c r="O109" s="80">
        <v>0.18407696129124893</v>
      </c>
      <c r="Q109" s="80"/>
    </row>
    <row r="110" spans="1:17">
      <c r="A110" s="2" t="s">
        <v>381</v>
      </c>
      <c r="B110" s="79">
        <v>466000</v>
      </c>
      <c r="C110" s="80">
        <v>7.4291071007562756E-2</v>
      </c>
      <c r="D110" s="80">
        <v>0.14327681568315623</v>
      </c>
      <c r="E110" s="80">
        <v>0.10411794934120981</v>
      </c>
      <c r="F110" s="80">
        <v>0.40721397340873228</v>
      </c>
      <c r="G110" s="80">
        <v>0.27110019055933887</v>
      </c>
      <c r="I110" s="2" t="s">
        <v>338</v>
      </c>
      <c r="J110" s="80">
        <v>5.3210332743330029E-2</v>
      </c>
      <c r="K110" s="80">
        <v>7.9920057450838494E-2</v>
      </c>
      <c r="L110" s="80">
        <v>5.3488636067994692E-2</v>
      </c>
      <c r="M110" s="80">
        <v>5.3597333100059985E-2</v>
      </c>
      <c r="N110" s="80">
        <v>4.6825305989872987E-2</v>
      </c>
      <c r="O110" s="80">
        <v>4.208300078636925E-2</v>
      </c>
      <c r="Q110" s="80"/>
    </row>
    <row r="111" spans="1:17">
      <c r="A111" s="2" t="s">
        <v>412</v>
      </c>
      <c r="B111" s="79">
        <v>534700</v>
      </c>
      <c r="C111" s="80">
        <v>6.5437648493411354E-2</v>
      </c>
      <c r="D111" s="80">
        <v>0.14957969369393684</v>
      </c>
      <c r="E111" s="80">
        <v>0.11906918330810741</v>
      </c>
      <c r="F111" s="80">
        <v>0.39383358305862437</v>
      </c>
      <c r="G111" s="80">
        <v>0.27207989144592021</v>
      </c>
      <c r="I111" s="2" t="s">
        <v>339</v>
      </c>
      <c r="J111" s="80">
        <v>0.13409293655905921</v>
      </c>
      <c r="K111" s="80">
        <v>0.21303889721883701</v>
      </c>
      <c r="L111" s="80">
        <v>0.16755534899697344</v>
      </c>
      <c r="M111" s="80">
        <v>0.13590793789585445</v>
      </c>
      <c r="N111" s="80">
        <v>9.4331531203389704E-2</v>
      </c>
      <c r="O111" s="80">
        <v>5.4142367089243186E-2</v>
      </c>
      <c r="Q111" s="80"/>
    </row>
    <row r="112" spans="1:17">
      <c r="A112" s="2" t="s">
        <v>418</v>
      </c>
      <c r="B112" s="79">
        <v>546500</v>
      </c>
      <c r="C112" s="80">
        <v>8.7035212770582432E-2</v>
      </c>
      <c r="D112" s="80">
        <v>0.15000886333671618</v>
      </c>
      <c r="E112" s="80">
        <v>0.11060976719212859</v>
      </c>
      <c r="F112" s="80">
        <v>0.36538684768659591</v>
      </c>
      <c r="G112" s="80">
        <v>0.28695930901397682</v>
      </c>
      <c r="I112" s="2" t="s">
        <v>340</v>
      </c>
      <c r="J112" s="80">
        <v>0.19865208732063636</v>
      </c>
      <c r="K112" s="80">
        <v>0.11737905729108269</v>
      </c>
      <c r="L112" s="80">
        <v>0.22517602661177979</v>
      </c>
      <c r="M112" s="80">
        <v>0.28650648494864123</v>
      </c>
      <c r="N112" s="80">
        <v>0.16872507095178382</v>
      </c>
      <c r="O112" s="80">
        <v>0.10660475934713476</v>
      </c>
      <c r="Q112" s="80"/>
    </row>
    <row r="113" spans="1:17">
      <c r="A113" s="2" t="s">
        <v>425</v>
      </c>
      <c r="B113" s="79">
        <v>512400</v>
      </c>
      <c r="C113" s="80">
        <v>7.1286763737341316E-2</v>
      </c>
      <c r="D113" s="80">
        <v>0.13693302396649784</v>
      </c>
      <c r="E113" s="80">
        <v>0.11332583333414642</v>
      </c>
      <c r="F113" s="80">
        <v>0.39338162474180133</v>
      </c>
      <c r="G113" s="80">
        <v>0.28507292009183433</v>
      </c>
      <c r="I113" s="2" t="s">
        <v>341</v>
      </c>
      <c r="J113" s="80">
        <v>0.13133942373611632</v>
      </c>
      <c r="K113" s="80">
        <v>3.7222998505713346E-2</v>
      </c>
      <c r="L113" s="80">
        <v>0.10571093528444586</v>
      </c>
      <c r="M113" s="80">
        <v>0.14136756598776809</v>
      </c>
      <c r="N113" s="80">
        <v>0.19314620361725376</v>
      </c>
      <c r="O113" s="80">
        <v>0.14084508921808392</v>
      </c>
      <c r="Q113" s="80"/>
    </row>
    <row r="114" spans="1:17">
      <c r="A114" s="2" t="s">
        <v>430</v>
      </c>
      <c r="B114" s="79">
        <v>448200</v>
      </c>
      <c r="C114" s="80">
        <v>7.0387788238254451E-2</v>
      </c>
      <c r="D114" s="80">
        <v>0.13314166344134484</v>
      </c>
      <c r="E114" s="80">
        <v>0.12219180980499984</v>
      </c>
      <c r="F114" s="80">
        <v>0.39485625890510406</v>
      </c>
      <c r="G114" s="80">
        <v>0.2794226692749498</v>
      </c>
      <c r="I114" s="2" t="s">
        <v>343</v>
      </c>
      <c r="J114" s="80">
        <v>6.8445000791716504E-2</v>
      </c>
      <c r="K114" s="80">
        <v>6.3148625121879718E-3</v>
      </c>
      <c r="L114" s="80">
        <v>3.4918838049522977E-2</v>
      </c>
      <c r="M114" s="80">
        <v>7.4433669106862721E-2</v>
      </c>
      <c r="N114" s="80">
        <v>9.1897214643962818E-2</v>
      </c>
      <c r="O114" s="80">
        <v>0.15307819830871294</v>
      </c>
    </row>
    <row r="115" spans="1:17">
      <c r="A115" s="2" t="s">
        <v>432</v>
      </c>
      <c r="B115" s="79">
        <v>458300</v>
      </c>
      <c r="C115" s="80">
        <v>7.3156064602671642E-2</v>
      </c>
      <c r="D115" s="80">
        <v>0.13052791246419904</v>
      </c>
      <c r="E115" s="80">
        <v>8.18103191837804E-2</v>
      </c>
      <c r="F115" s="80">
        <v>0.38969254649731744</v>
      </c>
      <c r="G115" s="80">
        <v>0.32481315725203147</v>
      </c>
      <c r="I115" s="2" t="s">
        <v>344</v>
      </c>
      <c r="J115" s="80">
        <v>9.988740941666803E-2</v>
      </c>
      <c r="K115" s="80">
        <v>5.3985039439605927E-3</v>
      </c>
      <c r="L115" s="80">
        <v>2.42672394711087E-2</v>
      </c>
      <c r="M115" s="80">
        <v>5.5449738370619103E-2</v>
      </c>
      <c r="N115" s="80">
        <v>0.16873070067207199</v>
      </c>
      <c r="O115" s="80">
        <v>0.31916962395920695</v>
      </c>
    </row>
    <row r="116" spans="1:17">
      <c r="A116" s="2" t="s">
        <v>436</v>
      </c>
      <c r="B116" s="79">
        <v>509700</v>
      </c>
      <c r="C116" s="80">
        <v>8.5686590173312649E-2</v>
      </c>
      <c r="D116" s="80">
        <v>0.14029631986741117</v>
      </c>
      <c r="E116" s="80">
        <v>7.9361017738542775E-2</v>
      </c>
      <c r="F116" s="80">
        <v>0.35179023562061357</v>
      </c>
      <c r="G116" s="80">
        <v>0.34286583660011982</v>
      </c>
      <c r="I116" s="96" t="s">
        <v>342</v>
      </c>
      <c r="J116" s="44">
        <v>41001</v>
      </c>
      <c r="K116" s="44">
        <v>18001</v>
      </c>
      <c r="L116" s="44">
        <v>31000</v>
      </c>
      <c r="M116" s="44">
        <v>39500</v>
      </c>
      <c r="N116" s="44">
        <v>57500</v>
      </c>
      <c r="O116" s="44">
        <v>84500</v>
      </c>
    </row>
    <row r="117" spans="1:17">
      <c r="A117" s="2" t="s">
        <v>439</v>
      </c>
      <c r="B117" s="79">
        <v>554700</v>
      </c>
      <c r="C117" s="80">
        <v>0.1057606596566228</v>
      </c>
      <c r="D117" s="80">
        <v>0.12267475176001348</v>
      </c>
      <c r="E117" s="80">
        <v>8.9602882002795217E-2</v>
      </c>
      <c r="F117" s="80">
        <v>0.34251690012066638</v>
      </c>
      <c r="G117" s="80">
        <v>0.33944480645990216</v>
      </c>
      <c r="I117" s="227" t="s">
        <v>586</v>
      </c>
      <c r="J117" s="44">
        <f>'[2]Table S6'!H477</f>
        <v>45770.923502421312</v>
      </c>
      <c r="K117" s="44">
        <f>'[2]Table S6'!I477</f>
        <v>20111.054035818001</v>
      </c>
      <c r="L117" s="44">
        <f>'[2]Table S6'!J477</f>
        <v>34608.928985616716</v>
      </c>
      <c r="M117" s="44">
        <f>'[2]Table S6'!K477</f>
        <v>44090.597138239493</v>
      </c>
      <c r="N117" s="44">
        <f>'[2]Table S6'!L477</f>
        <v>64149.673666508301</v>
      </c>
      <c r="O117" s="44">
        <f>'[2]Table S6'!M477</f>
        <v>94273.898574016799</v>
      </c>
    </row>
    <row r="118" spans="1:17">
      <c r="A118" s="2" t="s">
        <v>485</v>
      </c>
      <c r="B118" s="79">
        <v>583100</v>
      </c>
      <c r="C118" s="80">
        <v>8.9277808718644894E-2</v>
      </c>
      <c r="D118" s="80">
        <v>9.8772949411302102E-2</v>
      </c>
      <c r="E118" s="80">
        <v>0.10633053799897409</v>
      </c>
      <c r="F118" s="80">
        <v>0.37517527401418854</v>
      </c>
      <c r="G118" s="80">
        <v>0.3304434298568904</v>
      </c>
      <c r="I118" s="98" t="s">
        <v>431</v>
      </c>
    </row>
    <row r="119" spans="1:17">
      <c r="A119" s="2" t="s">
        <v>491</v>
      </c>
      <c r="B119" s="79">
        <v>652455</v>
      </c>
      <c r="C119" s="80">
        <v>5.2114000000000001E-2</v>
      </c>
      <c r="D119" s="80">
        <v>0.118727</v>
      </c>
      <c r="E119" s="80">
        <v>0.10067</v>
      </c>
      <c r="F119" s="80">
        <v>0.36498199999999997</v>
      </c>
      <c r="G119" s="80">
        <v>0.36399999999999999</v>
      </c>
      <c r="I119" s="21" t="s">
        <v>337</v>
      </c>
      <c r="J119" s="79">
        <v>5730500</v>
      </c>
      <c r="K119" s="79">
        <v>588700</v>
      </c>
      <c r="L119" s="79">
        <v>1466100</v>
      </c>
      <c r="M119" s="79">
        <v>1158200</v>
      </c>
      <c r="N119" s="79">
        <v>1424700</v>
      </c>
      <c r="O119" s="79">
        <v>719500</v>
      </c>
    </row>
    <row r="120" spans="1:17">
      <c r="A120" s="2" t="s">
        <v>496</v>
      </c>
      <c r="B120" s="79">
        <v>690298.8</v>
      </c>
      <c r="C120" s="80">
        <v>3.5403999999999998E-2</v>
      </c>
      <c r="D120" s="80">
        <v>0.122151</v>
      </c>
      <c r="E120" s="80">
        <v>7.6594999999999996E-2</v>
      </c>
      <c r="F120" s="80">
        <v>0.37347599999999997</v>
      </c>
      <c r="G120" s="80">
        <v>0.392374</v>
      </c>
      <c r="I120" s="2" t="s">
        <v>383</v>
      </c>
      <c r="J120" s="80">
        <v>0.3345994171507421</v>
      </c>
      <c r="K120" s="80">
        <v>0.56263234076362656</v>
      </c>
      <c r="L120" s="80">
        <v>0.51832076118977388</v>
      </c>
      <c r="M120" s="80">
        <v>0.27399997165547307</v>
      </c>
      <c r="N120" s="80">
        <v>0.25037770203303505</v>
      </c>
      <c r="O120" s="80">
        <v>0.21165451041960162</v>
      </c>
    </row>
    <row r="121" spans="1:17">
      <c r="A121" s="2" t="s">
        <v>567</v>
      </c>
      <c r="B121" s="79">
        <f>'[2]Table S5'!$H$19</f>
        <v>623808.58000000007</v>
      </c>
      <c r="C121" s="80">
        <f>'[2]Table S5'!$H$30</f>
        <v>4.4076886534648176E-2</v>
      </c>
      <c r="D121" s="80">
        <f>'[2]Table S5'!$H$31</f>
        <v>0.11785087983239985</v>
      </c>
      <c r="E121" s="80">
        <f>'[2]Table S5'!$H$32</f>
        <v>7.3496664633884948E-2</v>
      </c>
      <c r="F121" s="80">
        <f>'[2]Table S5'!$H$33</f>
        <v>0.39377945074112314</v>
      </c>
      <c r="G121" s="80">
        <f>'[2]Table S5'!$H$34</f>
        <v>0.37079611825794373</v>
      </c>
      <c r="I121" s="2" t="s">
        <v>338</v>
      </c>
      <c r="J121" s="80">
        <v>5.7166488234927794E-2</v>
      </c>
      <c r="K121" s="80">
        <v>7.9174153713491707E-2</v>
      </c>
      <c r="L121" s="80">
        <v>8.4517787263172217E-2</v>
      </c>
      <c r="M121" s="80">
        <v>5.3791859887866278E-2</v>
      </c>
      <c r="N121" s="80">
        <v>4.673227376483504E-2</v>
      </c>
      <c r="O121" s="80">
        <v>3.9191892875634578E-2</v>
      </c>
    </row>
    <row r="122" spans="1:17">
      <c r="I122" s="2" t="s">
        <v>339</v>
      </c>
      <c r="J122" s="80">
        <v>0.12925491112954138</v>
      </c>
      <c r="K122" s="80">
        <v>0.19349602666618873</v>
      </c>
      <c r="L122" s="80">
        <v>0.21429144093268401</v>
      </c>
      <c r="M122" s="80">
        <v>0.13196380746668832</v>
      </c>
      <c r="N122" s="80">
        <v>8.9050319091886668E-2</v>
      </c>
      <c r="O122" s="80">
        <v>4.5751819857952396E-2</v>
      </c>
    </row>
    <row r="123" spans="1:17">
      <c r="A123" s="81" t="s">
        <v>329</v>
      </c>
      <c r="B123" s="2"/>
      <c r="C123" s="2"/>
      <c r="D123" s="2"/>
      <c r="E123" s="2"/>
      <c r="F123" s="2"/>
      <c r="G123" s="2"/>
      <c r="I123" s="2" t="s">
        <v>340</v>
      </c>
      <c r="J123" s="80">
        <v>0.18564526616961147</v>
      </c>
      <c r="K123" s="80">
        <v>0.11165272288692427</v>
      </c>
      <c r="L123" s="80">
        <v>0.25007778744188025</v>
      </c>
      <c r="M123" s="80">
        <v>0.27293602879855744</v>
      </c>
      <c r="N123" s="80">
        <v>0.17211733540726681</v>
      </c>
      <c r="O123" s="80">
        <v>9.7507025926761901E-2</v>
      </c>
    </row>
    <row r="124" spans="1:17">
      <c r="A124" s="78" t="s">
        <v>330</v>
      </c>
      <c r="B124" s="2"/>
      <c r="C124" s="2"/>
      <c r="D124" s="2"/>
      <c r="E124" s="2"/>
      <c r="F124" s="2"/>
      <c r="G124" s="2"/>
      <c r="I124" s="2" t="s">
        <v>341</v>
      </c>
      <c r="J124" s="80">
        <v>0.1248862050553982</v>
      </c>
      <c r="K124" s="80">
        <v>3.3338401379210639E-2</v>
      </c>
      <c r="L124" s="80">
        <v>0.11621986079804524</v>
      </c>
      <c r="M124" s="80">
        <v>0.16224804803187728</v>
      </c>
      <c r="N124" s="80">
        <v>0.17166921345885497</v>
      </c>
      <c r="O124" s="80">
        <v>0.12948496728341427</v>
      </c>
    </row>
    <row r="125" spans="1:17">
      <c r="A125" s="2" t="s">
        <v>281</v>
      </c>
      <c r="B125" s="79">
        <v>568100</v>
      </c>
      <c r="C125" s="80">
        <v>0.34403398045969547</v>
      </c>
      <c r="D125" s="80">
        <v>0.35983775452616246</v>
      </c>
      <c r="E125" s="80">
        <v>0.17331039512955543</v>
      </c>
      <c r="F125" s="80">
        <v>9.45997515932466E-2</v>
      </c>
      <c r="G125" s="80">
        <v>2.821811829133998E-2</v>
      </c>
      <c r="I125" s="2" t="s">
        <v>343</v>
      </c>
      <c r="J125" s="80">
        <v>6.7441178665662876E-2</v>
      </c>
      <c r="K125" s="80">
        <v>1.2373857682986256E-2</v>
      </c>
      <c r="L125" s="80">
        <v>4.4074790535609434E-2</v>
      </c>
      <c r="M125" s="80">
        <v>5.7550186162803725E-2</v>
      </c>
      <c r="N125" s="80">
        <v>0.10730966091749096</v>
      </c>
      <c r="O125" s="80">
        <v>0.13209410180757711</v>
      </c>
    </row>
    <row r="126" spans="1:17">
      <c r="A126" s="2" t="s">
        <v>108</v>
      </c>
      <c r="B126" s="79">
        <v>638000</v>
      </c>
      <c r="C126" s="80">
        <v>0.35320965277197791</v>
      </c>
      <c r="D126" s="80">
        <v>0.30846647477795852</v>
      </c>
      <c r="E126" s="80">
        <v>0.17589850489327488</v>
      </c>
      <c r="F126" s="80">
        <v>0.12367476155614694</v>
      </c>
      <c r="G126" s="80">
        <v>3.8750606000641542E-2</v>
      </c>
      <c r="I126" s="2" t="s">
        <v>344</v>
      </c>
      <c r="J126" s="80">
        <v>0.10100653359411615</v>
      </c>
      <c r="K126" s="80">
        <v>7.3324884136402009E-3</v>
      </c>
      <c r="L126" s="80">
        <v>2.7217726499033763E-2</v>
      </c>
      <c r="M126" s="80">
        <v>4.7509864886095078E-2</v>
      </c>
      <c r="N126" s="80">
        <v>0.16274329528002313</v>
      </c>
      <c r="O126" s="80">
        <v>0.34431607101354883</v>
      </c>
    </row>
    <row r="127" spans="1:17">
      <c r="A127" s="2" t="s">
        <v>136</v>
      </c>
      <c r="B127" s="79">
        <v>660500</v>
      </c>
      <c r="C127" s="80">
        <v>0.35522485136351478</v>
      </c>
      <c r="D127" s="80">
        <v>0.31372892683474329</v>
      </c>
      <c r="E127" s="80">
        <v>0.16193583592608735</v>
      </c>
      <c r="F127" s="80">
        <v>0.13502777233175742</v>
      </c>
      <c r="G127" s="80">
        <v>3.4083151038221765E-2</v>
      </c>
      <c r="I127" s="96" t="s">
        <v>342</v>
      </c>
      <c r="J127" s="44">
        <v>41001</v>
      </c>
      <c r="K127" s="44">
        <v>18751</v>
      </c>
      <c r="L127" s="44">
        <v>30000</v>
      </c>
      <c r="M127" s="44">
        <v>39250</v>
      </c>
      <c r="N127" s="44">
        <v>56500</v>
      </c>
      <c r="O127" s="44">
        <v>89000</v>
      </c>
    </row>
    <row r="128" spans="1:17">
      <c r="A128" s="2" t="s">
        <v>332</v>
      </c>
      <c r="B128" s="79">
        <v>712800</v>
      </c>
      <c r="C128" s="80">
        <v>0.36250143857376649</v>
      </c>
      <c r="D128" s="80">
        <v>0.31285940230558745</v>
      </c>
      <c r="E128" s="80">
        <v>0.16737850493074272</v>
      </c>
      <c r="F128" s="80">
        <v>0.12876025434952246</v>
      </c>
      <c r="G128" s="80">
        <v>2.8500897895909007E-2</v>
      </c>
      <c r="I128" s="227" t="s">
        <v>586</v>
      </c>
      <c r="J128" s="44">
        <f>'[2]Table S6'!H478</f>
        <v>44719.115828210328</v>
      </c>
      <c r="K128" s="44">
        <f>'[2]Table S6'!I478</f>
        <v>20417.326062902281</v>
      </c>
      <c r="L128" s="44">
        <f>'[2]Table S6'!J478</f>
        <v>32731.374610923922</v>
      </c>
      <c r="M128" s="44">
        <f>'[2]Table S6'!K478</f>
        <v>42819.831268976966</v>
      </c>
      <c r="N128" s="44">
        <f>'[2]Table S6'!L478</f>
        <v>61696.12937498567</v>
      </c>
      <c r="O128" s="44">
        <f>'[2]Table S6'!M478</f>
        <v>97088.209291146981</v>
      </c>
    </row>
    <row r="129" spans="1:15">
      <c r="A129" s="2" t="s">
        <v>334</v>
      </c>
      <c r="B129" s="79">
        <v>828400</v>
      </c>
      <c r="C129" s="80">
        <v>0.34861914956994072</v>
      </c>
      <c r="D129" s="80">
        <v>0.32669934830618891</v>
      </c>
      <c r="E129" s="80">
        <v>0.17370168726086835</v>
      </c>
      <c r="F129" s="80">
        <v>0.11667622455930057</v>
      </c>
      <c r="G129" s="80">
        <v>3.4303590303701503E-2</v>
      </c>
      <c r="I129" s="98" t="s">
        <v>435</v>
      </c>
    </row>
    <row r="130" spans="1:15">
      <c r="A130" s="2" t="s">
        <v>381</v>
      </c>
      <c r="B130" s="79">
        <v>857500</v>
      </c>
      <c r="C130" s="80">
        <v>0.34222497167782162</v>
      </c>
      <c r="D130" s="80">
        <v>0.3406971774609685</v>
      </c>
      <c r="E130" s="80">
        <v>0.1742022416355555</v>
      </c>
      <c r="F130" s="80">
        <v>0.10977653028680177</v>
      </c>
      <c r="G130" s="80">
        <v>3.3099078938852666E-2</v>
      </c>
      <c r="I130" s="21" t="s">
        <v>337</v>
      </c>
      <c r="J130" s="79">
        <v>5789900</v>
      </c>
      <c r="K130" s="79">
        <v>612800</v>
      </c>
      <c r="L130" s="79">
        <v>1423500</v>
      </c>
      <c r="M130" s="79">
        <v>1134200</v>
      </c>
      <c r="N130" s="79">
        <v>1430800</v>
      </c>
      <c r="O130" s="79">
        <v>815200</v>
      </c>
    </row>
    <row r="131" spans="1:15">
      <c r="A131" s="2" t="s">
        <v>412</v>
      </c>
      <c r="B131" s="79">
        <v>848600</v>
      </c>
      <c r="C131" s="80">
        <v>0.33779138751533094</v>
      </c>
      <c r="D131" s="80">
        <v>0.35001261029708503</v>
      </c>
      <c r="E131" s="80">
        <v>0.17521094774363832</v>
      </c>
      <c r="F131" s="80">
        <v>9.7341617856392781E-2</v>
      </c>
      <c r="G131" s="80">
        <v>3.9643436587552844E-2</v>
      </c>
      <c r="I131" s="2" t="s">
        <v>383</v>
      </c>
      <c r="J131" s="80">
        <v>0.32560356347245645</v>
      </c>
      <c r="K131" s="80">
        <v>0.53226530144490458</v>
      </c>
      <c r="L131" s="80">
        <v>0.49506443337851791</v>
      </c>
      <c r="M131" s="80">
        <v>0.29717657947549025</v>
      </c>
      <c r="N131" s="80">
        <v>0.24282018631131141</v>
      </c>
      <c r="O131" s="80">
        <v>0.20835854749268112</v>
      </c>
    </row>
    <row r="132" spans="1:15">
      <c r="A132" s="2" t="s">
        <v>418</v>
      </c>
      <c r="B132" s="79">
        <v>888500</v>
      </c>
      <c r="C132" s="80">
        <v>0.33316481402628056</v>
      </c>
      <c r="D132" s="80">
        <v>0.35624262348192159</v>
      </c>
      <c r="E132" s="80">
        <v>0.17891728649578156</v>
      </c>
      <c r="F132" s="80">
        <v>9.2986676845689745E-2</v>
      </c>
      <c r="G132" s="80">
        <v>3.868859915032663E-2</v>
      </c>
      <c r="I132" s="2" t="s">
        <v>338</v>
      </c>
      <c r="J132" s="80">
        <v>5.6161668556890317E-2</v>
      </c>
      <c r="K132" s="80">
        <v>6.606692614344245E-2</v>
      </c>
      <c r="L132" s="80">
        <v>9.8173385647696912E-2</v>
      </c>
      <c r="M132" s="80">
        <v>5.3843403202918007E-2</v>
      </c>
      <c r="N132" s="80">
        <v>4.1138121832697223E-2</v>
      </c>
      <c r="O132" s="80">
        <v>3.0678730617094186E-2</v>
      </c>
    </row>
    <row r="133" spans="1:15">
      <c r="A133" s="2" t="s">
        <v>425</v>
      </c>
      <c r="B133" s="79">
        <v>942000</v>
      </c>
      <c r="C133" s="80">
        <v>0.32185638337674849</v>
      </c>
      <c r="D133" s="80">
        <v>0.34528848563073594</v>
      </c>
      <c r="E133" s="80">
        <v>0.20748794840871476</v>
      </c>
      <c r="F133" s="80">
        <v>9.8319463605834795E-2</v>
      </c>
      <c r="G133" s="80">
        <v>2.7047453571473524E-2</v>
      </c>
      <c r="I133" s="2" t="s">
        <v>339</v>
      </c>
      <c r="J133" s="80">
        <v>0.13304076047100291</v>
      </c>
      <c r="K133" s="80">
        <v>0.21429431670467489</v>
      </c>
      <c r="L133" s="80">
        <v>0.21692231804555759</v>
      </c>
      <c r="M133" s="80">
        <v>0.13870441254096794</v>
      </c>
      <c r="N133" s="80">
        <v>9.657562982630373E-2</v>
      </c>
      <c r="O133" s="80">
        <v>4.2560300840240269E-2</v>
      </c>
    </row>
    <row r="134" spans="1:15">
      <c r="A134" s="2" t="s">
        <v>430</v>
      </c>
      <c r="B134" s="79">
        <v>1000200</v>
      </c>
      <c r="C134" s="80">
        <v>0.27796202431839706</v>
      </c>
      <c r="D134" s="80">
        <v>0.37004511255161798</v>
      </c>
      <c r="E134" s="80">
        <v>0.21901451827857105</v>
      </c>
      <c r="F134" s="80">
        <v>0.10429088852275985</v>
      </c>
      <c r="G134" s="80">
        <v>2.8687206371031854E-2</v>
      </c>
      <c r="I134" s="2" t="s">
        <v>340</v>
      </c>
      <c r="J134" s="80">
        <v>0.18967012033583341</v>
      </c>
      <c r="K134" s="80">
        <v>0.13676481999502438</v>
      </c>
      <c r="L134" s="80">
        <v>0.26582774638378154</v>
      </c>
      <c r="M134" s="80">
        <v>0.24091431564282512</v>
      </c>
      <c r="N134" s="80">
        <v>0.1967366760994135</v>
      </c>
      <c r="O134" s="80">
        <v>9.9643834793025146E-2</v>
      </c>
    </row>
    <row r="135" spans="1:15">
      <c r="A135" s="2" t="s">
        <v>432</v>
      </c>
      <c r="B135" s="79">
        <v>1004000</v>
      </c>
      <c r="C135" s="80">
        <v>0.26117364541937416</v>
      </c>
      <c r="D135" s="80">
        <v>0.38226631687632812</v>
      </c>
      <c r="E135" s="80">
        <v>0.20301174128879315</v>
      </c>
      <c r="F135" s="80">
        <v>0.11621763432284307</v>
      </c>
      <c r="G135" s="80">
        <v>3.7330662092661532E-2</v>
      </c>
      <c r="I135" s="2" t="s">
        <v>341</v>
      </c>
      <c r="J135" s="80">
        <v>0.12835110875480632</v>
      </c>
      <c r="K135" s="80">
        <v>3.5725996310774534E-2</v>
      </c>
      <c r="L135" s="80">
        <v>0.11912817418335267</v>
      </c>
      <c r="M135" s="80">
        <v>0.16753116653906069</v>
      </c>
      <c r="N135" s="80">
        <v>0.16203784723702522</v>
      </c>
      <c r="O135" s="80">
        <v>0.15924272878437801</v>
      </c>
    </row>
    <row r="136" spans="1:15">
      <c r="A136" s="2" t="s">
        <v>436</v>
      </c>
      <c r="B136" s="79">
        <v>990500</v>
      </c>
      <c r="C136" s="80">
        <v>0.27227417682187549</v>
      </c>
      <c r="D136" s="80">
        <v>0.35773379572367847</v>
      </c>
      <c r="E136" s="80">
        <v>0.19720447951440637</v>
      </c>
      <c r="F136" s="80">
        <v>0.12840481660838399</v>
      </c>
      <c r="G136" s="80">
        <v>4.4382731331655795E-2</v>
      </c>
      <c r="I136" s="2" t="s">
        <v>343</v>
      </c>
      <c r="J136" s="80">
        <v>6.1995685273196037E-2</v>
      </c>
      <c r="K136" s="80">
        <v>1.0651379942816761E-2</v>
      </c>
      <c r="L136" s="80">
        <v>3.9829541237464121E-2</v>
      </c>
      <c r="M136" s="80">
        <v>4.5813338211151536E-2</v>
      </c>
      <c r="N136" s="80">
        <v>9.9820670645240431E-2</v>
      </c>
      <c r="O136" s="80">
        <v>0.12382176528352204</v>
      </c>
    </row>
    <row r="137" spans="1:15">
      <c r="A137" s="2" t="s">
        <v>439</v>
      </c>
      <c r="B137" s="79">
        <v>989100</v>
      </c>
      <c r="C137" s="80">
        <v>0.26093091010827696</v>
      </c>
      <c r="D137" s="80">
        <v>0.33523144087213974</v>
      </c>
      <c r="E137" s="80">
        <v>0.21114941598342485</v>
      </c>
      <c r="F137" s="80">
        <v>0.14169926896848956</v>
      </c>
      <c r="G137" s="80">
        <v>5.0988964067668875E-2</v>
      </c>
      <c r="I137" s="2" t="s">
        <v>344</v>
      </c>
      <c r="J137" s="80">
        <v>0.10517709313581443</v>
      </c>
      <c r="K137" s="80">
        <v>4.2312512988865831E-3</v>
      </c>
      <c r="L137" s="80">
        <v>2.7401171786760367E-2</v>
      </c>
      <c r="M137" s="80">
        <v>5.6016546327675477E-2</v>
      </c>
      <c r="N137" s="80">
        <v>0.1608707527304063</v>
      </c>
      <c r="O137" s="80">
        <v>0.33569482208607021</v>
      </c>
    </row>
    <row r="138" spans="1:15">
      <c r="A138" s="2" t="s">
        <v>485</v>
      </c>
      <c r="B138" s="79">
        <v>1005600</v>
      </c>
      <c r="C138" s="80">
        <v>0.27351454256922741</v>
      </c>
      <c r="D138" s="80">
        <v>0.30057231924737715</v>
      </c>
      <c r="E138" s="80">
        <v>0.22155453411252235</v>
      </c>
      <c r="F138" s="80">
        <v>0.15089092739942597</v>
      </c>
      <c r="G138" s="80">
        <v>5.3467676671447271E-2</v>
      </c>
      <c r="I138" s="96" t="s">
        <v>342</v>
      </c>
      <c r="J138" s="44">
        <v>41000</v>
      </c>
      <c r="K138" s="44">
        <v>20750</v>
      </c>
      <c r="L138" s="44">
        <v>29760</v>
      </c>
      <c r="M138" s="44">
        <v>39750</v>
      </c>
      <c r="N138" s="44">
        <v>51500</v>
      </c>
      <c r="O138" s="44">
        <v>85000</v>
      </c>
    </row>
    <row r="139" spans="1:15">
      <c r="A139" s="2" t="s">
        <v>491</v>
      </c>
      <c r="B139" s="79">
        <v>1032864</v>
      </c>
      <c r="C139" s="80">
        <v>0.27998200000000001</v>
      </c>
      <c r="D139" s="80">
        <v>0.32047999999999999</v>
      </c>
      <c r="E139" s="80">
        <v>0.202962</v>
      </c>
      <c r="F139" s="80">
        <v>0.15356400000000001</v>
      </c>
      <c r="G139" s="80">
        <v>4.3012000000000002E-2</v>
      </c>
      <c r="I139" s="227" t="s">
        <v>586</v>
      </c>
      <c r="J139" s="44">
        <f>'[2]Table S6'!H479</f>
        <v>43721.55202899086</v>
      </c>
      <c r="K139" s="44">
        <f>'[2]Table S6'!I479</f>
        <v>22129.820289271302</v>
      </c>
      <c r="L139" s="44">
        <f>'[2]Table S6'!J479</f>
        <v>31730.569202041723</v>
      </c>
      <c r="M139" s="44">
        <f>'[2]Table S6'!K479</f>
        <v>42376.330655111509</v>
      </c>
      <c r="N139" s="44">
        <f>'[2]Table S6'!L479</f>
        <v>54920.984311014443</v>
      </c>
      <c r="O139" s="44">
        <f>'[2]Table S6'!M479</f>
        <v>90671.63535529215</v>
      </c>
    </row>
    <row r="140" spans="1:15">
      <c r="A140" s="2" t="s">
        <v>496</v>
      </c>
      <c r="B140" s="79">
        <v>1019360</v>
      </c>
      <c r="C140" s="80">
        <v>0.23908799999999999</v>
      </c>
      <c r="D140" s="80">
        <v>0.37404999999999999</v>
      </c>
      <c r="E140" s="80">
        <v>0.193719</v>
      </c>
      <c r="F140" s="80">
        <v>0.15564</v>
      </c>
      <c r="G140" s="80">
        <v>3.7504000000000003E-2</v>
      </c>
      <c r="I140" s="98" t="s">
        <v>437</v>
      </c>
    </row>
    <row r="141" spans="1:15">
      <c r="A141" s="2" t="s">
        <v>567</v>
      </c>
      <c r="B141" s="79">
        <f>'[2]Table S5'!$I$19</f>
        <v>1044065.0700000001</v>
      </c>
      <c r="C141" s="80">
        <f>'[2]Table S5'!$I$20</f>
        <v>0.2062312074093236</v>
      </c>
      <c r="D141" s="80">
        <f>'[2]Table S5'!$I$21</f>
        <v>0.41178726532820409</v>
      </c>
      <c r="E141" s="80">
        <f>'[2]Table S5'!$I$22</f>
        <v>0.18800006401899833</v>
      </c>
      <c r="F141" s="80">
        <f>'[2]Table S5'!$I$23</f>
        <v>0.15231416562954259</v>
      </c>
      <c r="G141" s="80">
        <f>'[2]Table S5'!$I$24</f>
        <v>4.1667297613931287E-2</v>
      </c>
      <c r="I141" s="21" t="s">
        <v>337</v>
      </c>
      <c r="J141" s="79">
        <v>5879800</v>
      </c>
      <c r="K141" s="79">
        <v>609300</v>
      </c>
      <c r="L141" s="79">
        <v>1771700</v>
      </c>
      <c r="M141" s="79">
        <v>1220800</v>
      </c>
      <c r="N141" s="79">
        <v>1440000</v>
      </c>
      <c r="O141" s="79">
        <v>838100</v>
      </c>
    </row>
    <row r="142" spans="1:15">
      <c r="I142" s="2" t="s">
        <v>383</v>
      </c>
      <c r="J142" s="80">
        <v>0.32320141020231546</v>
      </c>
      <c r="K142" s="80">
        <v>0.51645328723258388</v>
      </c>
      <c r="L142" s="80">
        <v>0.39013017428486507</v>
      </c>
      <c r="M142" s="80">
        <v>0.3204789852422642</v>
      </c>
      <c r="N142" s="80">
        <v>0.23911703873310572</v>
      </c>
      <c r="O142" s="80">
        <v>0.18965629293200117</v>
      </c>
    </row>
    <row r="143" spans="1:15">
      <c r="A143" s="78" t="s">
        <v>331</v>
      </c>
      <c r="B143" s="2"/>
      <c r="C143" s="2"/>
      <c r="D143" s="2"/>
      <c r="E143" s="2"/>
      <c r="F143" s="2"/>
      <c r="G143" s="2"/>
      <c r="I143" s="2" t="s">
        <v>338</v>
      </c>
      <c r="J143" s="80">
        <v>5.2380939317721253E-2</v>
      </c>
      <c r="K143" s="80">
        <v>5.9075257867293576E-2</v>
      </c>
      <c r="L143" s="80">
        <v>7.4086833848008696E-2</v>
      </c>
      <c r="M143" s="80">
        <v>5.8005324533836673E-2</v>
      </c>
      <c r="N143" s="80">
        <v>3.5222212555177171E-2</v>
      </c>
      <c r="O143" s="80">
        <v>2.2917052146754956E-2</v>
      </c>
    </row>
    <row r="144" spans="1:15">
      <c r="A144" s="31" t="s">
        <v>281</v>
      </c>
      <c r="B144" s="82">
        <v>4949000</v>
      </c>
      <c r="C144" s="83">
        <v>0.11498129185489354</v>
      </c>
      <c r="D144" s="83">
        <v>0.3442839214923194</v>
      </c>
      <c r="E144" s="83">
        <v>0.21656913900907779</v>
      </c>
      <c r="F144" s="83">
        <v>0.21770765626841446</v>
      </c>
      <c r="G144" s="83">
        <v>0.10645799137529481</v>
      </c>
      <c r="I144" s="2" t="s">
        <v>339</v>
      </c>
      <c r="J144" s="80">
        <v>0.13399738747023396</v>
      </c>
      <c r="K144" s="80">
        <v>0.23909938265404182</v>
      </c>
      <c r="L144" s="80">
        <v>0.14588309464076946</v>
      </c>
      <c r="M144" s="80">
        <v>0.15088133099125844</v>
      </c>
      <c r="N144" s="80">
        <v>0.11151029637577953</v>
      </c>
      <c r="O144" s="80">
        <v>4.6501217404612653E-2</v>
      </c>
    </row>
    <row r="145" spans="1:15">
      <c r="A145" s="31" t="s">
        <v>108</v>
      </c>
      <c r="B145" s="82">
        <v>5125400</v>
      </c>
      <c r="C145" s="83">
        <v>0.11332146505936387</v>
      </c>
      <c r="D145" s="83">
        <v>0.34079079353675162</v>
      </c>
      <c r="E145" s="83">
        <v>0.20246584190201017</v>
      </c>
      <c r="F145" s="83">
        <v>0.22945831534765115</v>
      </c>
      <c r="G145" s="83">
        <v>0.11396358415422313</v>
      </c>
      <c r="I145" s="2" t="s">
        <v>340</v>
      </c>
      <c r="J145" s="80">
        <v>0.19377168609091269</v>
      </c>
      <c r="K145" s="80">
        <v>0.1333928983981236</v>
      </c>
      <c r="L145" s="80">
        <v>0.22983616380653785</v>
      </c>
      <c r="M145" s="80">
        <v>0.23955891732206941</v>
      </c>
      <c r="N145" s="80">
        <v>0.18842906721241715</v>
      </c>
      <c r="O145" s="80">
        <v>0.10390830079092357</v>
      </c>
    </row>
    <row r="146" spans="1:15">
      <c r="A146" s="31" t="s">
        <v>136</v>
      </c>
      <c r="B146" s="82">
        <v>5037100</v>
      </c>
      <c r="C146" s="83">
        <v>0.10188474837653516</v>
      </c>
      <c r="D146" s="83">
        <v>0.33917053243730932</v>
      </c>
      <c r="E146" s="83">
        <v>0.19647741095715748</v>
      </c>
      <c r="F146" s="83">
        <v>0.24185232598150752</v>
      </c>
      <c r="G146" s="83">
        <v>0.12061495246847902</v>
      </c>
      <c r="I146" s="2" t="s">
        <v>341</v>
      </c>
      <c r="J146" s="80">
        <v>0.13742940919731289</v>
      </c>
      <c r="K146" s="80">
        <v>4.1901666255795299E-2</v>
      </c>
      <c r="L146" s="80">
        <v>0.11380781317994634</v>
      </c>
      <c r="M146" s="80">
        <v>0.14229663992871877</v>
      </c>
      <c r="N146" s="80">
        <v>0.1831657830568123</v>
      </c>
      <c r="O146" s="80">
        <v>0.17114064206703056</v>
      </c>
    </row>
    <row r="147" spans="1:15">
      <c r="A147" s="31" t="s">
        <v>332</v>
      </c>
      <c r="B147" s="82">
        <v>4994800</v>
      </c>
      <c r="C147" s="83">
        <v>9.3855243430420454E-2</v>
      </c>
      <c r="D147" s="83">
        <v>0.33067803730959178</v>
      </c>
      <c r="E147" s="83">
        <v>0.19256377034450431</v>
      </c>
      <c r="F147" s="83">
        <v>0.24585208703032105</v>
      </c>
      <c r="G147" s="83">
        <v>0.13705083185395434</v>
      </c>
      <c r="I147" s="2" t="s">
        <v>343</v>
      </c>
      <c r="J147" s="80">
        <v>5.9058938995817163E-2</v>
      </c>
      <c r="K147" s="80">
        <v>3.6907521429230682E-3</v>
      </c>
      <c r="L147" s="80">
        <v>2.338661858954685E-2</v>
      </c>
      <c r="M147" s="80">
        <v>4.8744970979167419E-2</v>
      </c>
      <c r="N147" s="80">
        <v>8.9855465770632165E-2</v>
      </c>
      <c r="O147" s="80">
        <v>0.13683394686281042</v>
      </c>
    </row>
    <row r="148" spans="1:15">
      <c r="A148" s="31" t="s">
        <v>334</v>
      </c>
      <c r="B148" s="82">
        <v>4945300</v>
      </c>
      <c r="C148" s="83">
        <v>9.5435662160654855E-2</v>
      </c>
      <c r="D148" s="83">
        <v>0.31665401628259726</v>
      </c>
      <c r="E148" s="83">
        <v>0.19346808054929843</v>
      </c>
      <c r="F148" s="83">
        <v>0.24334952970741294</v>
      </c>
      <c r="G148" s="83">
        <v>0.15109271130003643</v>
      </c>
      <c r="I148" s="2" t="s">
        <v>344</v>
      </c>
      <c r="J148" s="80">
        <v>0.10016022872568658</v>
      </c>
      <c r="K148" s="80">
        <v>6.3867226243899912E-3</v>
      </c>
      <c r="L148" s="80">
        <v>2.2869200051280427E-2</v>
      </c>
      <c r="M148" s="80">
        <v>4.0033831002685261E-2</v>
      </c>
      <c r="N148" s="80">
        <v>0.15269996962953719</v>
      </c>
      <c r="O148" s="80">
        <v>0.32904292366785159</v>
      </c>
    </row>
    <row r="149" spans="1:15">
      <c r="A149" s="31" t="s">
        <v>413</v>
      </c>
      <c r="B149" s="82">
        <v>4929800</v>
      </c>
      <c r="C149" s="83">
        <v>9.0364872831622686E-2</v>
      </c>
      <c r="D149" s="83">
        <v>0.31016262790568278</v>
      </c>
      <c r="E149" s="83">
        <v>0.19339045507370103</v>
      </c>
      <c r="F149" s="83">
        <v>0.2502667920895621</v>
      </c>
      <c r="G149" s="83">
        <v>0.15581525209943148</v>
      </c>
      <c r="I149" s="96" t="s">
        <v>342</v>
      </c>
      <c r="J149" s="44">
        <v>41500</v>
      </c>
      <c r="K149" s="44">
        <v>20500</v>
      </c>
      <c r="L149" s="44">
        <v>32260</v>
      </c>
      <c r="M149" s="44">
        <v>37500</v>
      </c>
      <c r="N149" s="44">
        <v>51500</v>
      </c>
      <c r="O149" s="44">
        <v>84250</v>
      </c>
    </row>
    <row r="150" spans="1:15">
      <c r="A150" s="31" t="s">
        <v>397</v>
      </c>
      <c r="B150" s="82">
        <v>4895100</v>
      </c>
      <c r="C150" s="83">
        <v>7.9525637733135007E-2</v>
      </c>
      <c r="D150" s="83">
        <v>0.31306482894530047</v>
      </c>
      <c r="E150" s="83">
        <v>0.18963772921276012</v>
      </c>
      <c r="F150" s="83">
        <v>0.26626819463239837</v>
      </c>
      <c r="G150" s="83">
        <v>0.15150360947640604</v>
      </c>
      <c r="I150" s="227" t="s">
        <v>586</v>
      </c>
      <c r="J150" s="44">
        <f>'[2]Table S6'!H480</f>
        <v>43506.282230867182</v>
      </c>
      <c r="K150" s="44">
        <f>'[2]Table S6'!I480</f>
        <v>21492.856821444642</v>
      </c>
      <c r="L150" s="44">
        <f>'[2]Table S6'!J480</f>
        <v>33807.813294715772</v>
      </c>
      <c r="M150" s="44">
        <f>'[2]Table S6'!K480</f>
        <v>39341.733527044053</v>
      </c>
      <c r="N150" s="44">
        <f>'[2]Table S6'!L480</f>
        <v>53992.426347600558</v>
      </c>
      <c r="O150" s="44">
        <f>'[2]Table S6'!M480</f>
        <v>88313.985931679083</v>
      </c>
    </row>
    <row r="151" spans="1:15">
      <c r="A151" s="31" t="s">
        <v>420</v>
      </c>
      <c r="B151" s="82">
        <v>4804700</v>
      </c>
      <c r="C151" s="83">
        <v>7.4627344527310832E-2</v>
      </c>
      <c r="D151" s="83">
        <v>0.31785078695787566</v>
      </c>
      <c r="E151" s="83">
        <v>0.18717815271554689</v>
      </c>
      <c r="F151" s="83">
        <v>0.26647916320931414</v>
      </c>
      <c r="G151" s="83">
        <v>0.15386455258995257</v>
      </c>
      <c r="I151" s="98" t="s">
        <v>482</v>
      </c>
    </row>
    <row r="152" spans="1:15">
      <c r="A152" s="31" t="s">
        <v>425</v>
      </c>
      <c r="B152" s="82">
        <v>4780200</v>
      </c>
      <c r="C152" s="83">
        <v>6.9318064251507563E-2</v>
      </c>
      <c r="D152" s="83">
        <v>0.32322420446362621</v>
      </c>
      <c r="E152" s="83">
        <v>0.19398679069866884</v>
      </c>
      <c r="F152" s="83">
        <v>0.25931695247085956</v>
      </c>
      <c r="G152" s="83">
        <v>0.15415399857521792</v>
      </c>
      <c r="I152" s="21" t="s">
        <v>337</v>
      </c>
      <c r="J152" s="79">
        <v>5991800</v>
      </c>
      <c r="K152" s="79">
        <v>590900</v>
      </c>
      <c r="L152" s="79">
        <v>1792000</v>
      </c>
      <c r="M152" s="79">
        <v>1274600</v>
      </c>
      <c r="N152" s="79">
        <v>1491600</v>
      </c>
      <c r="O152" s="79">
        <v>842600</v>
      </c>
    </row>
    <row r="153" spans="1:15">
      <c r="A153" s="31" t="s">
        <v>430</v>
      </c>
      <c r="B153" s="82">
        <v>4741200</v>
      </c>
      <c r="C153" s="83">
        <v>6.5334061500836663E-2</v>
      </c>
      <c r="D153" s="83">
        <v>0.31849366179584954</v>
      </c>
      <c r="E153" s="83">
        <v>0.20466049981093462</v>
      </c>
      <c r="F153" s="83">
        <v>0.26741510744667912</v>
      </c>
      <c r="G153" s="83">
        <v>0.1440966799915161</v>
      </c>
      <c r="I153" s="2" t="s">
        <v>383</v>
      </c>
      <c r="J153" s="80">
        <v>0.33668683361358209</v>
      </c>
      <c r="K153" s="80">
        <v>0.52773734490188395</v>
      </c>
      <c r="L153" s="80">
        <v>0.40168283300352542</v>
      </c>
      <c r="M153" s="80">
        <v>0.33689511622719398</v>
      </c>
      <c r="N153" s="80">
        <v>0.25939141729048493</v>
      </c>
      <c r="O153" s="80">
        <v>0.20099433109466186</v>
      </c>
    </row>
    <row r="154" spans="1:15">
      <c r="A154" s="31" t="s">
        <v>432</v>
      </c>
      <c r="B154" s="82">
        <v>4726500</v>
      </c>
      <c r="C154" s="83">
        <v>6.9064141736595863E-2</v>
      </c>
      <c r="D154" s="83">
        <v>0.30798878306285904</v>
      </c>
      <c r="E154" s="83">
        <v>0.20192857514165408</v>
      </c>
      <c r="F154" s="83">
        <v>0.27673234930083707</v>
      </c>
      <c r="G154" s="83">
        <v>0.14428615075805384</v>
      </c>
      <c r="I154" s="2" t="s">
        <v>338</v>
      </c>
      <c r="J154" s="80">
        <v>4.8632972852728787E-2</v>
      </c>
      <c r="K154" s="80">
        <v>5.0079455117333208E-2</v>
      </c>
      <c r="L154" s="80">
        <v>6.3471989250549199E-2</v>
      </c>
      <c r="M154" s="80">
        <v>5.8345275549872289E-2</v>
      </c>
      <c r="N154" s="80">
        <v>3.7481567422849124E-2</v>
      </c>
      <c r="O154" s="80">
        <v>2.1110203312800824E-2</v>
      </c>
    </row>
    <row r="155" spans="1:15">
      <c r="A155" s="31" t="s">
        <v>436</v>
      </c>
      <c r="B155" s="82">
        <v>4799300</v>
      </c>
      <c r="C155" s="83">
        <v>7.1486411360555002E-2</v>
      </c>
      <c r="D155" s="83">
        <v>0.30057327390085725</v>
      </c>
      <c r="E155" s="83">
        <v>0.19561687051704246</v>
      </c>
      <c r="F155" s="83">
        <v>0.2716298522487175</v>
      </c>
      <c r="G155" s="83">
        <v>0.1606935919728277</v>
      </c>
      <c r="I155" s="2" t="s">
        <v>339</v>
      </c>
      <c r="J155" s="80">
        <v>0.12697049243842295</v>
      </c>
      <c r="K155" s="80">
        <v>0.24185151301566024</v>
      </c>
      <c r="L155" s="80">
        <v>0.13296203445188004</v>
      </c>
      <c r="M155" s="80">
        <v>0.1424843383608636</v>
      </c>
      <c r="N155" s="80">
        <v>0.10916428527570016</v>
      </c>
      <c r="O155" s="80">
        <v>4.1717478133445784E-2</v>
      </c>
    </row>
    <row r="156" spans="1:15">
      <c r="A156" s="31" t="s">
        <v>439</v>
      </c>
      <c r="B156" s="82">
        <v>4890700</v>
      </c>
      <c r="C156" s="83">
        <v>7.1811876686794118E-2</v>
      </c>
      <c r="D156" s="83">
        <v>0.29445405044768702</v>
      </c>
      <c r="E156" s="83">
        <v>0.2069142981050246</v>
      </c>
      <c r="F156" s="83">
        <v>0.26577705523458112</v>
      </c>
      <c r="G156" s="83">
        <v>0.16104271952591315</v>
      </c>
      <c r="I156" s="2" t="s">
        <v>340</v>
      </c>
      <c r="J156" s="80">
        <v>0.19525848623514211</v>
      </c>
      <c r="K156" s="80">
        <v>0.12512771544206264</v>
      </c>
      <c r="L156" s="80">
        <v>0.23376215367990424</v>
      </c>
      <c r="M156" s="80">
        <v>0.2475318398118041</v>
      </c>
      <c r="N156" s="80">
        <v>0.17561217434651857</v>
      </c>
      <c r="O156" s="80">
        <v>0.11826410133022913</v>
      </c>
    </row>
    <row r="157" spans="1:15">
      <c r="A157" s="31" t="s">
        <v>485</v>
      </c>
      <c r="B157" s="82">
        <v>4986200</v>
      </c>
      <c r="C157" s="83">
        <v>6.3351878529669281E-2</v>
      </c>
      <c r="D157" s="83">
        <v>0.29877407727989869</v>
      </c>
      <c r="E157" s="83">
        <v>0.21094008480120921</v>
      </c>
      <c r="F157" s="83">
        <v>0.26872501506113233</v>
      </c>
      <c r="G157" s="83">
        <v>0.1582089443280906</v>
      </c>
      <c r="I157" s="2" t="s">
        <v>341</v>
      </c>
      <c r="J157" s="80">
        <v>0.1349748016416274</v>
      </c>
      <c r="K157" s="80">
        <v>4.0267582196208664E-2</v>
      </c>
      <c r="L157" s="80">
        <v>0.11232555163573703</v>
      </c>
      <c r="M157" s="80">
        <v>0.1259956238001155</v>
      </c>
      <c r="N157" s="80">
        <v>0.19068638033777632</v>
      </c>
      <c r="O157" s="80">
        <v>0.16451951874758586</v>
      </c>
    </row>
    <row r="158" spans="1:15">
      <c r="A158" s="31" t="s">
        <v>491</v>
      </c>
      <c r="B158" s="141">
        <v>5073657</v>
      </c>
      <c r="C158" s="142">
        <v>4.8778000000000002E-2</v>
      </c>
      <c r="D158" s="142">
        <v>0.29722700000000002</v>
      </c>
      <c r="E158" s="142">
        <v>0.20222899999999999</v>
      </c>
      <c r="F158" s="142">
        <v>0.273561</v>
      </c>
      <c r="G158" s="142">
        <v>0.178205</v>
      </c>
      <c r="I158" s="2" t="s">
        <v>343</v>
      </c>
      <c r="J158" s="80">
        <v>6.3548244284785185E-2</v>
      </c>
      <c r="K158" s="80">
        <v>2.7014206833386309E-3</v>
      </c>
      <c r="L158" s="80">
        <v>3.4206686776639399E-2</v>
      </c>
      <c r="M158" s="80">
        <v>4.8519854331287193E-2</v>
      </c>
      <c r="N158" s="80">
        <v>8.6264802970340684E-2</v>
      </c>
      <c r="O158" s="80">
        <v>0.15113859222461015</v>
      </c>
    </row>
    <row r="159" spans="1:15">
      <c r="A159" s="31" t="s">
        <v>496</v>
      </c>
      <c r="B159" s="141">
        <v>5133715</v>
      </c>
      <c r="C159" s="142">
        <v>3.8868E-2</v>
      </c>
      <c r="D159" s="142">
        <v>0.29189700000000002</v>
      </c>
      <c r="E159" s="142">
        <v>0.20955099999999999</v>
      </c>
      <c r="F159" s="142">
        <v>0.27599299999999999</v>
      </c>
      <c r="G159" s="142">
        <v>0.18369199999999999</v>
      </c>
      <c r="I159" s="2" t="s">
        <v>344</v>
      </c>
      <c r="J159" s="80">
        <v>9.392825071253387E-2</v>
      </c>
      <c r="K159" s="80">
        <v>1.2234968643512558E-2</v>
      </c>
      <c r="L159" s="80">
        <v>2.1588751201764785E-2</v>
      </c>
      <c r="M159" s="80">
        <v>4.0227951918863282E-2</v>
      </c>
      <c r="N159" s="80">
        <v>0.14139937235633024</v>
      </c>
      <c r="O159" s="80">
        <v>0.30225577515666641</v>
      </c>
    </row>
    <row r="160" spans="1:15">
      <c r="A160" s="8" t="s">
        <v>567</v>
      </c>
      <c r="B160" s="225">
        <f>'[2]Table S5'!$J$19</f>
        <v>5128436</v>
      </c>
      <c r="C160" s="226">
        <f>'[2]Table S5'!$J$20</f>
        <v>3.6180660146680199E-2</v>
      </c>
      <c r="D160" s="226">
        <f>'[2]Table S5'!$J$21</f>
        <v>0.28646862318258431</v>
      </c>
      <c r="E160" s="226">
        <f>'[2]Table S5'!$J$22</f>
        <v>0.21393325372491731</v>
      </c>
      <c r="F160" s="226">
        <f>'[2]Table S5'!$J$23</f>
        <v>0.27791962305856988</v>
      </c>
      <c r="G160" s="226">
        <f>'[2]Table S5'!$J$24</f>
        <v>0.18549791788373687</v>
      </c>
      <c r="I160" s="96" t="s">
        <v>342</v>
      </c>
      <c r="J160" s="44">
        <v>42000</v>
      </c>
      <c r="K160" s="44">
        <v>20500</v>
      </c>
      <c r="L160" s="44">
        <v>33000</v>
      </c>
      <c r="M160" s="44">
        <v>35500</v>
      </c>
      <c r="N160" s="44">
        <v>54000</v>
      </c>
      <c r="O160" s="44">
        <v>81751</v>
      </c>
    </row>
    <row r="161" spans="1:16">
      <c r="I161" s="227" t="s">
        <v>586</v>
      </c>
      <c r="J161" s="179">
        <f>'[2]Table S6'!H481</f>
        <v>43450.664014944312</v>
      </c>
      <c r="K161" s="179">
        <f>'[2]Table S6'!I481</f>
        <v>21208.142655777177</v>
      </c>
      <c r="L161" s="179">
        <f>'[2]Table S6'!J481</f>
        <v>34148.014157000456</v>
      </c>
      <c r="M161" s="179">
        <f>'[2]Table S6'!K481</f>
        <v>36717.064734060819</v>
      </c>
      <c r="N161" s="179">
        <f>'[2]Table S6'!L481</f>
        <v>55849.691510492252</v>
      </c>
      <c r="O161" s="179">
        <f>'[2]Table S6'!M481</f>
        <v>84607.106312179676</v>
      </c>
      <c r="P161" s="179"/>
    </row>
    <row r="162" spans="1:16">
      <c r="A162" s="84" t="s">
        <v>333</v>
      </c>
      <c r="I162" s="98" t="s">
        <v>490</v>
      </c>
    </row>
    <row r="163" spans="1:16">
      <c r="A163" s="220" t="s">
        <v>572</v>
      </c>
      <c r="I163" s="21" t="s">
        <v>337</v>
      </c>
      <c r="J163" s="79">
        <v>6106521</v>
      </c>
      <c r="K163" s="79">
        <v>536666</v>
      </c>
      <c r="L163" s="79">
        <v>1839039</v>
      </c>
      <c r="M163" s="79">
        <v>1235674</v>
      </c>
      <c r="N163" s="79">
        <v>1546567</v>
      </c>
      <c r="O163" s="79">
        <v>948575</v>
      </c>
    </row>
    <row r="164" spans="1:16">
      <c r="A164" s="18" t="s">
        <v>573</v>
      </c>
      <c r="I164" s="2" t="s">
        <v>383</v>
      </c>
      <c r="J164" s="80">
        <v>0.329959</v>
      </c>
      <c r="K164" s="80">
        <v>0.52</v>
      </c>
      <c r="L164" s="80">
        <v>0.4</v>
      </c>
      <c r="M164" s="80">
        <v>0.312</v>
      </c>
      <c r="N164" s="80">
        <v>0.25800000000000001</v>
      </c>
      <c r="O164" s="80">
        <v>0.22800000000000001</v>
      </c>
    </row>
    <row r="165" spans="1:16">
      <c r="I165" s="2" t="s">
        <v>338</v>
      </c>
      <c r="J165" s="80">
        <v>4.5999999999999999E-2</v>
      </c>
      <c r="K165" s="143">
        <v>6.6000000000000003E-2</v>
      </c>
      <c r="L165" s="143">
        <v>5.2999999999999999E-2</v>
      </c>
      <c r="M165" s="143">
        <v>5.3999999999999999E-2</v>
      </c>
      <c r="N165" s="83">
        <v>3.7999999999999999E-2</v>
      </c>
      <c r="O165" s="80">
        <v>2.5999999999999999E-2</v>
      </c>
    </row>
    <row r="166" spans="1:16">
      <c r="I166" s="2" t="s">
        <v>339</v>
      </c>
      <c r="J166" s="80">
        <v>0.12151000000000001</v>
      </c>
      <c r="K166" s="80">
        <v>0.223</v>
      </c>
      <c r="L166" s="80">
        <v>0.14699999999999999</v>
      </c>
      <c r="M166" s="80">
        <v>0.11799999999999999</v>
      </c>
      <c r="N166" s="80">
        <v>0.10199999999999999</v>
      </c>
      <c r="O166" s="80">
        <v>0.05</v>
      </c>
    </row>
    <row r="167" spans="1:16">
      <c r="I167" s="2" t="s">
        <v>340</v>
      </c>
      <c r="J167" s="80">
        <v>0.18915799999999999</v>
      </c>
      <c r="K167" s="80">
        <v>0.14299999999999999</v>
      </c>
      <c r="L167" s="80">
        <v>0.221</v>
      </c>
      <c r="M167" s="80">
        <v>0.248</v>
      </c>
      <c r="N167" s="80">
        <v>0.16800000000000001</v>
      </c>
      <c r="O167" s="80">
        <v>0.112</v>
      </c>
    </row>
    <row r="168" spans="1:16">
      <c r="I168" s="2" t="s">
        <v>341</v>
      </c>
      <c r="J168" s="80">
        <v>0.13811499999999999</v>
      </c>
      <c r="K168" s="80">
        <v>3.5999999999999997E-2</v>
      </c>
      <c r="L168" s="80">
        <v>0.114</v>
      </c>
      <c r="M168" s="80">
        <v>0.14399999999999999</v>
      </c>
      <c r="N168" s="80">
        <v>0.187</v>
      </c>
      <c r="O168" s="80">
        <v>0.156</v>
      </c>
    </row>
    <row r="169" spans="1:16">
      <c r="I169" s="2" t="s">
        <v>343</v>
      </c>
      <c r="J169" s="80">
        <v>7.1956000000000006E-2</v>
      </c>
      <c r="K169" s="80">
        <v>1E-3</v>
      </c>
      <c r="L169" s="80">
        <v>3.6999999999999998E-2</v>
      </c>
      <c r="M169" s="80">
        <v>6.7000000000000004E-2</v>
      </c>
      <c r="N169" s="80">
        <v>9.5000000000000001E-2</v>
      </c>
      <c r="O169" s="80">
        <v>0.14899999999999999</v>
      </c>
    </row>
    <row r="170" spans="1:16">
      <c r="I170" s="2" t="s">
        <v>344</v>
      </c>
      <c r="J170" s="80">
        <v>0.102932</v>
      </c>
      <c r="K170" s="80">
        <v>1.0999999999999999E-2</v>
      </c>
      <c r="L170" s="80">
        <v>2.9000000000000001E-2</v>
      </c>
      <c r="M170" s="80">
        <v>5.7000000000000002E-2</v>
      </c>
      <c r="N170" s="80">
        <v>0.152</v>
      </c>
      <c r="O170" s="80">
        <v>0.27800000000000002</v>
      </c>
    </row>
    <row r="171" spans="1:16">
      <c r="I171" s="96" t="s">
        <v>342</v>
      </c>
      <c r="J171" s="44">
        <v>44750</v>
      </c>
      <c r="K171" s="44">
        <v>20500</v>
      </c>
      <c r="L171" s="44">
        <v>32500</v>
      </c>
      <c r="M171" s="44">
        <v>40000</v>
      </c>
      <c r="N171" s="44">
        <v>57500</v>
      </c>
      <c r="O171" s="44">
        <v>77501</v>
      </c>
    </row>
    <row r="172" spans="1:16">
      <c r="I172" s="227" t="s">
        <v>586</v>
      </c>
      <c r="J172" s="179">
        <f>'[2]Table S6'!H482</f>
        <v>45979.286487152538</v>
      </c>
      <c r="K172" s="179">
        <f>'[2]Table S6'!I482</f>
        <v>21063.305542476686</v>
      </c>
      <c r="L172" s="179">
        <f>'[2]Table S6'!J482</f>
        <v>33392.947385583677</v>
      </c>
      <c r="M172" s="179">
        <f>'[2]Table S6'!K482</f>
        <v>41098.713788470341</v>
      </c>
      <c r="N172" s="179">
        <f>'[2]Table S6'!L482</f>
        <v>59079.851302621799</v>
      </c>
      <c r="O172" s="179">
        <f>'[2]Table S6'!M482</f>
        <v>79630.512882746683</v>
      </c>
    </row>
    <row r="173" spans="1:16">
      <c r="I173" s="98" t="s">
        <v>497</v>
      </c>
    </row>
    <row r="174" spans="1:16">
      <c r="I174" s="21" t="s">
        <v>337</v>
      </c>
      <c r="J174" s="79">
        <v>6153075</v>
      </c>
      <c r="K174" s="79">
        <v>443254.2</v>
      </c>
      <c r="L174" s="79">
        <v>1879806</v>
      </c>
      <c r="M174" s="79">
        <v>1268890</v>
      </c>
      <c r="N174" s="79">
        <v>1575521.29</v>
      </c>
      <c r="O174" s="79">
        <v>981251.72499999998</v>
      </c>
    </row>
    <row r="175" spans="1:16">
      <c r="I175" s="2" t="s">
        <v>383</v>
      </c>
      <c r="J175" s="80">
        <v>0.32738</v>
      </c>
      <c r="K175" s="80">
        <v>0.56435500000000005</v>
      </c>
      <c r="L175" s="80">
        <v>0.39740199999999998</v>
      </c>
      <c r="M175" s="80">
        <v>6.2987000000000001E-2</v>
      </c>
      <c r="N175" s="193">
        <v>0.25147508479558534</v>
      </c>
      <c r="O175" s="80">
        <v>0.23046410440705212</v>
      </c>
    </row>
    <row r="176" spans="1:16">
      <c r="I176" s="2" t="s">
        <v>338</v>
      </c>
      <c r="J176" s="80">
        <v>4.0245999999999997E-2</v>
      </c>
      <c r="K176" s="143">
        <v>5.5574999999999999E-2</v>
      </c>
      <c r="L176" s="143">
        <v>4.9223999999999997E-2</v>
      </c>
      <c r="M176" s="143">
        <v>8.7690000000000008E-3</v>
      </c>
      <c r="N176" s="193">
        <v>3.1737698701615129E-2</v>
      </c>
      <c r="O176" s="80">
        <v>2.5986491896358196E-2</v>
      </c>
    </row>
    <row r="177" spans="9:15">
      <c r="I177" s="2" t="s">
        <v>339</v>
      </c>
      <c r="J177" s="80">
        <v>0.118256</v>
      </c>
      <c r="K177" s="80">
        <v>0.18629899999999999</v>
      </c>
      <c r="L177" s="80">
        <v>0.161</v>
      </c>
      <c r="M177" s="80">
        <v>2.4067000000000002E-2</v>
      </c>
      <c r="N177" s="193">
        <v>9.5718690669041998E-2</v>
      </c>
      <c r="O177" s="80">
        <v>4.1511254413336196E-2</v>
      </c>
    </row>
    <row r="178" spans="9:15">
      <c r="I178" s="2" t="s">
        <v>340</v>
      </c>
      <c r="J178" s="80">
        <v>0.18418799999999999</v>
      </c>
      <c r="K178" s="80">
        <v>0.148868</v>
      </c>
      <c r="L178" s="80">
        <v>0.21645</v>
      </c>
      <c r="M178" s="80">
        <v>5.0826000000000003E-2</v>
      </c>
      <c r="N178" s="193">
        <v>0.15625473394904107</v>
      </c>
      <c r="O178" s="80">
        <v>9.7472322914897311E-2</v>
      </c>
    </row>
    <row r="179" spans="9:15">
      <c r="I179" s="2" t="s">
        <v>341</v>
      </c>
      <c r="J179" s="80">
        <v>0.13725999999999999</v>
      </c>
      <c r="K179" s="80">
        <v>3.2321000000000003E-2</v>
      </c>
      <c r="L179" s="80">
        <v>0.10856399999999999</v>
      </c>
      <c r="M179" s="80">
        <v>2.8282999999999999E-2</v>
      </c>
      <c r="N179" s="193">
        <v>0.18686874424908595</v>
      </c>
      <c r="O179" s="80">
        <v>0.15414745895096388</v>
      </c>
    </row>
    <row r="180" spans="9:15">
      <c r="I180" s="2" t="s">
        <v>343</v>
      </c>
      <c r="J180" s="80">
        <v>7.5475E-2</v>
      </c>
      <c r="K180" s="80">
        <v>3.6670000000000001E-3</v>
      </c>
      <c r="L180" s="80">
        <v>2.9735999999999999E-2</v>
      </c>
      <c r="M180" s="80">
        <v>1.6598000000000002E-2</v>
      </c>
      <c r="N180" s="193">
        <v>0.10701634187374262</v>
      </c>
      <c r="O180" s="80">
        <v>0.14056045098927086</v>
      </c>
    </row>
    <row r="181" spans="9:15">
      <c r="I181" s="2" t="s">
        <v>344</v>
      </c>
      <c r="J181" s="80">
        <v>0.11588900000000001</v>
      </c>
      <c r="K181" s="80">
        <v>8.9149999999999993E-3</v>
      </c>
      <c r="L181" s="80">
        <v>3.7623999999999998E-2</v>
      </c>
      <c r="M181" s="80">
        <v>1.0880000000000001E-2</v>
      </c>
      <c r="N181" s="193">
        <v>0.17092874384452145</v>
      </c>
      <c r="O181" s="80">
        <v>0.3098578552817321</v>
      </c>
    </row>
    <row r="182" spans="9:15">
      <c r="I182" s="96" t="s">
        <v>342</v>
      </c>
      <c r="J182" s="44">
        <v>47953.791612478584</v>
      </c>
      <c r="K182" s="44">
        <v>22088.239667258771</v>
      </c>
      <c r="L182" s="44">
        <v>32142.864223180866</v>
      </c>
      <c r="M182" s="44">
        <v>42184.883112351708</v>
      </c>
      <c r="N182" s="44">
        <v>61752.11333502506</v>
      </c>
      <c r="O182" s="44">
        <v>82836.151113366737</v>
      </c>
    </row>
    <row r="183" spans="9:15">
      <c r="I183" s="227" t="s">
        <v>586</v>
      </c>
      <c r="J183" s="179">
        <f>'[2]Table S6'!H483</f>
        <v>48854.438211893197</v>
      </c>
      <c r="K183" s="179">
        <f>'[2]Table S6'!I483</f>
        <v>22503.091074716503</v>
      </c>
      <c r="L183" s="179">
        <f>'[2]Table S6'!J483</f>
        <v>32746.557078002385</v>
      </c>
      <c r="M183" s="179">
        <f>'[2]Table S6'!K483</f>
        <v>42977.180660559672</v>
      </c>
      <c r="N183" s="179">
        <f>'[2]Table S6'!L483</f>
        <v>62911.913822363022</v>
      </c>
      <c r="O183" s="179">
        <f>'[2]Table S6'!M483</f>
        <v>84391.942538823787</v>
      </c>
    </row>
    <row r="184" spans="9:15">
      <c r="I184" s="98" t="s">
        <v>585</v>
      </c>
    </row>
    <row r="185" spans="9:15">
      <c r="I185" s="21" t="s">
        <v>337</v>
      </c>
      <c r="J185" s="79">
        <f>'[2]Table S6'!I7</f>
        <v>6172501</v>
      </c>
      <c r="K185" s="79">
        <f>'[2]Table S6'!$I$240</f>
        <v>400869.05</v>
      </c>
      <c r="L185" s="79">
        <f>'[2]Table S6'!$I$264</f>
        <v>1846559.48</v>
      </c>
      <c r="M185" s="79">
        <f>'[2]Table S6'!$I$308</f>
        <v>1264811.2250000001</v>
      </c>
      <c r="N185" s="79">
        <f>'[2]Table S6'!$I$347</f>
        <v>1584319.24</v>
      </c>
      <c r="O185" s="79">
        <f>'[2]Table S6'!$I$389</f>
        <v>994817.625</v>
      </c>
    </row>
    <row r="186" spans="9:15">
      <c r="I186" s="2" t="s">
        <v>383</v>
      </c>
      <c r="J186" s="80">
        <f>'[2]Table S6'!J8</f>
        <v>0.33817094561831584</v>
      </c>
      <c r="K186" s="80">
        <f>'[2]Table S6'!J241</f>
        <v>0.60982607662028288</v>
      </c>
      <c r="L186" s="80">
        <f>'[2]Table S6'!J265</f>
        <v>0.4236226660838458</v>
      </c>
      <c r="M186" s="80">
        <f>'[2]Table S6'!J309</f>
        <v>0.34707894848102722</v>
      </c>
      <c r="N186" s="193">
        <f>'[2]Table S6'!J348</f>
        <v>0.24582425698497481</v>
      </c>
      <c r="O186" s="80">
        <f>'[2]Table S6'!J390</f>
        <v>0.23341142553641425</v>
      </c>
    </row>
    <row r="187" spans="9:15">
      <c r="I187" s="2" t="s">
        <v>338</v>
      </c>
      <c r="J187" s="80">
        <f>'[2]Table S6'!J10</f>
        <v>3.9274112713792997E-2</v>
      </c>
      <c r="K187" s="80">
        <f>'[2]Table S6'!J242</f>
        <v>3.8718865923922055E-2</v>
      </c>
      <c r="L187" s="80">
        <f>'[2]Table S6'!J266</f>
        <v>4.4837131376889085E-2</v>
      </c>
      <c r="M187" s="80">
        <f>'[2]Table S6'!J310</f>
        <v>5.2216954352219631E-2</v>
      </c>
      <c r="N187" s="193">
        <f>'[2]Table S6'!J349</f>
        <v>3.1611880191519982E-2</v>
      </c>
      <c r="O187" s="80">
        <f>'[2]Table S6'!J391</f>
        <v>2.8122687311656746E-2</v>
      </c>
    </row>
    <row r="188" spans="9:15">
      <c r="I188" s="2" t="s">
        <v>339</v>
      </c>
      <c r="J188" s="80">
        <f>'[2]Table S6'!J13</f>
        <v>0.11201237553464957</v>
      </c>
      <c r="K188" s="80">
        <f>'[2]Table S6'!J243</f>
        <v>0.17675950537962462</v>
      </c>
      <c r="L188" s="80">
        <f>'[2]Table S6'!J267</f>
        <v>0.14032019158137271</v>
      </c>
      <c r="M188" s="80">
        <f>'[2]Table S6'!J311</f>
        <v>0.11992762793514897</v>
      </c>
      <c r="N188" s="193">
        <f>'[2]Table S6'!J350</f>
        <v>8.0951825719165038E-2</v>
      </c>
      <c r="O188" s="80">
        <f>'[2]Table S6'!J392</f>
        <v>2.9132475412264634E-2</v>
      </c>
    </row>
    <row r="189" spans="9:15">
      <c r="I189" s="2" t="s">
        <v>340</v>
      </c>
      <c r="J189" s="80">
        <f>'[2]Table S6'!J21</f>
        <v>0.18453702964163149</v>
      </c>
      <c r="K189" s="80">
        <f>'[2]Table S6'!J244</f>
        <v>0.12653057151705777</v>
      </c>
      <c r="L189" s="80">
        <f>'[2]Table S6'!J268</f>
        <v>0.22788270540843886</v>
      </c>
      <c r="M189" s="80">
        <f>'[2]Table S6'!J312</f>
        <v>0.24170718045295647</v>
      </c>
      <c r="N189" s="193">
        <f>'[2]Table S6'!J351</f>
        <v>0.16716606307198545</v>
      </c>
      <c r="O189" s="80">
        <f>'[2]Table S6'!J393</f>
        <v>9.7480611081855323E-2</v>
      </c>
    </row>
    <row r="190" spans="9:15">
      <c r="I190" s="2" t="s">
        <v>341</v>
      </c>
      <c r="J190" s="80">
        <f>'[2]Table S6'!J31</f>
        <v>0.1262839811609589</v>
      </c>
      <c r="K190" s="80">
        <f>'[2]Table S6'!J245</f>
        <v>1.9371537912443025E-2</v>
      </c>
      <c r="L190" s="80">
        <f>'[2]Table S6'!J269</f>
        <v>9.7480569648371151E-2</v>
      </c>
      <c r="M190" s="80">
        <f>'[2]Table S6'!J313</f>
        <v>0.13233447940027571</v>
      </c>
      <c r="N190" s="193">
        <f>'[2]Table S6'!J352</f>
        <v>0.17735054773430639</v>
      </c>
      <c r="O190" s="80">
        <f>'[2]Table S6'!J394</f>
        <v>0.13473415290566446</v>
      </c>
    </row>
    <row r="191" spans="9:15">
      <c r="I191" s="2" t="s">
        <v>343</v>
      </c>
      <c r="J191" s="80">
        <f>'[2]Table S6'!J41</f>
        <v>7.677908841165032E-2</v>
      </c>
      <c r="K191" s="80">
        <f>'[2]Table S6'!J246</f>
        <v>7.9964267633033347E-3</v>
      </c>
      <c r="L191" s="80">
        <f>'[2]Table S6'!J270</f>
        <v>3.1372707257715848E-2</v>
      </c>
      <c r="M191" s="80">
        <f>'[2]Table S6'!J314</f>
        <v>7.3477988780499631E-2</v>
      </c>
      <c r="N191" s="193">
        <f>'[2]Table S6'!J353</f>
        <v>0.10728126674772945</v>
      </c>
      <c r="O191" s="80">
        <f>'[2]Table S6'!J395</f>
        <v>0.14631308427009423</v>
      </c>
    </row>
    <row r="192" spans="9:15">
      <c r="I192" s="2" t="s">
        <v>344</v>
      </c>
      <c r="J192" s="80">
        <f>'[2]Table S6'!J49</f>
        <v>0.1229424669190009</v>
      </c>
      <c r="K192" s="80">
        <f>'[2]Table S6'!J247</f>
        <v>5.4882386155778303E-3</v>
      </c>
      <c r="L192" s="80">
        <f>'[2]Table S6'!J271</f>
        <v>3.4484028643366534E-2</v>
      </c>
      <c r="M192" s="80">
        <f>'[2]Table S6'!J315</f>
        <v>3.3256820597872223E-2</v>
      </c>
      <c r="N192" s="193">
        <f>'[2]Table S6'!J354</f>
        <v>0.18981415955031891</v>
      </c>
      <c r="O192" s="80">
        <f>'[2]Table S6'!J396</f>
        <v>0.33080556348205026</v>
      </c>
    </row>
    <row r="193" spans="9:15">
      <c r="I193" s="96" t="s">
        <v>342</v>
      </c>
      <c r="J193" s="44">
        <f>'[2]Table S6'!H484</f>
        <v>48683.866456635631</v>
      </c>
      <c r="K193" s="44">
        <f>'[2]Table S6'!I484</f>
        <v>22715.98784048127</v>
      </c>
      <c r="L193" s="44">
        <f>'[2]Table S6'!J484</f>
        <v>32781.723270192961</v>
      </c>
      <c r="M193" s="44">
        <f>'[2]Table S6'!K484</f>
        <v>40375.631026923948</v>
      </c>
      <c r="N193" s="44">
        <f>'[2]Table S6'!L484</f>
        <v>62091.61886740521</v>
      </c>
      <c r="O193" s="44">
        <f>'[2]Table S6'!M484</f>
        <v>88298.215932213381</v>
      </c>
    </row>
    <row r="194" spans="9:15">
      <c r="I194" s="227" t="s">
        <v>586</v>
      </c>
      <c r="J194" s="179">
        <f>'[2]Table S6'!H486</f>
        <v>48242.5</v>
      </c>
      <c r="K194" s="179">
        <f>'[2]Table S6'!I486</f>
        <v>22500</v>
      </c>
      <c r="L194" s="179">
        <f>'[2]Table S6'!J486</f>
        <v>32500</v>
      </c>
      <c r="M194" s="179">
        <f>'[2]Table S6'!K486</f>
        <v>40000</v>
      </c>
      <c r="N194" s="179">
        <f>'[2]Table S6'!L486</f>
        <v>61500</v>
      </c>
      <c r="O194" s="179">
        <f>'[2]Table S6'!M486</f>
        <v>87500</v>
      </c>
    </row>
    <row r="196" spans="9:15">
      <c r="I196" s="2" t="s">
        <v>389</v>
      </c>
    </row>
    <row r="197" spans="9:15">
      <c r="I197" s="2" t="s">
        <v>390</v>
      </c>
    </row>
    <row r="198" spans="9:15">
      <c r="I198" s="2" t="s">
        <v>487</v>
      </c>
    </row>
    <row r="199" spans="9:15">
      <c r="I199" s="2" t="s">
        <v>587</v>
      </c>
    </row>
    <row r="200" spans="9:15">
      <c r="I200" s="2" t="s">
        <v>573</v>
      </c>
    </row>
  </sheetData>
  <phoneticPr fontId="2" type="noConversion"/>
  <printOptions horizontalCentered="1"/>
  <pageMargins left="0.75" right="0.5" top="1" bottom="0.5" header="0.5" footer="0.5"/>
  <pageSetup scale="3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5"/>
  <sheetViews>
    <sheetView zoomScale="110" zoomScaleNormal="110" workbookViewId="0">
      <selection activeCell="A3" sqref="A3"/>
    </sheetView>
  </sheetViews>
  <sheetFormatPr defaultColWidth="8.75" defaultRowHeight="15.75"/>
  <cols>
    <col min="1" max="1" width="8.5" style="104" customWidth="1"/>
    <col min="2" max="2" width="9.125" style="104" bestFit="1" customWidth="1"/>
    <col min="3" max="3" width="7.625" style="104" customWidth="1"/>
    <col min="4" max="4" width="6.75" style="104" customWidth="1"/>
    <col min="5" max="5" width="7.5" style="104" customWidth="1"/>
    <col min="6" max="6" width="6.75" style="104" customWidth="1"/>
    <col min="7" max="7" width="7.625" style="104" customWidth="1"/>
    <col min="8" max="8" width="6.75" style="104" customWidth="1"/>
    <col min="9" max="9" width="1.5" style="104" customWidth="1"/>
    <col min="10" max="10" width="6.75" style="104" customWidth="1"/>
    <col min="11" max="11" width="6.375" style="104" customWidth="1"/>
    <col min="12" max="12" width="1.5" style="104" customWidth="1"/>
    <col min="13" max="13" width="6.75" style="104" customWidth="1"/>
    <col min="14" max="14" width="6.375" style="104" customWidth="1"/>
    <col min="15" max="15" width="1.5" style="104" customWidth="1"/>
    <col min="16" max="16" width="6.75" style="104" customWidth="1"/>
    <col min="17" max="17" width="6.375" style="104" customWidth="1"/>
    <col min="18" max="18" width="1.5" style="104" customWidth="1"/>
    <col min="19" max="19" width="6.75" style="104" customWidth="1"/>
    <col min="20" max="20" width="6.375" style="104" customWidth="1"/>
    <col min="21" max="16384" width="8.75" style="104"/>
  </cols>
  <sheetData>
    <row r="1" spans="1:20">
      <c r="A1" s="228" t="s">
        <v>589</v>
      </c>
    </row>
    <row r="2" spans="1:20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181"/>
      <c r="L2" s="2"/>
      <c r="M2" s="2"/>
      <c r="N2" s="2"/>
      <c r="O2" s="2"/>
      <c r="P2" s="2"/>
      <c r="Q2" s="2"/>
      <c r="R2" s="2"/>
      <c r="S2" s="2"/>
      <c r="T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3"/>
      <c r="B4" s="4"/>
      <c r="C4" s="5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4"/>
      <c r="T4" s="4"/>
    </row>
    <row r="5" spans="1:20">
      <c r="A5" s="2"/>
      <c r="B5" s="2"/>
      <c r="C5" s="2"/>
      <c r="D5" s="2"/>
      <c r="E5" s="5" t="s">
        <v>3</v>
      </c>
      <c r="F5" s="5"/>
      <c r="G5" s="5"/>
      <c r="H5" s="5"/>
      <c r="I5" s="2"/>
      <c r="J5" s="5" t="s">
        <v>4</v>
      </c>
      <c r="K5" s="5"/>
      <c r="L5" s="5"/>
      <c r="M5" s="5"/>
      <c r="N5" s="5"/>
      <c r="O5" s="5"/>
      <c r="P5" s="5"/>
      <c r="Q5" s="5"/>
      <c r="R5" s="2"/>
      <c r="S5" s="2"/>
      <c r="T5" s="2"/>
    </row>
    <row r="6" spans="1:20" ht="18">
      <c r="A6" s="1" t="s">
        <v>5</v>
      </c>
      <c r="B6" s="2"/>
      <c r="C6" s="2"/>
      <c r="D6" s="2"/>
      <c r="E6" s="2"/>
      <c r="F6" s="2"/>
      <c r="G6" s="5" t="s">
        <v>6</v>
      </c>
      <c r="H6" s="5"/>
      <c r="I6" s="2"/>
      <c r="J6" s="7" t="s">
        <v>7</v>
      </c>
      <c r="K6" s="7"/>
      <c r="L6" s="2"/>
      <c r="M6" s="7" t="s">
        <v>8</v>
      </c>
      <c r="N6" s="7"/>
      <c r="O6" s="2"/>
      <c r="P6" s="7" t="s">
        <v>465</v>
      </c>
      <c r="Q6" s="7"/>
      <c r="R6" s="2"/>
      <c r="S6" s="5" t="s">
        <v>9</v>
      </c>
      <c r="T6" s="5"/>
    </row>
    <row r="7" spans="1:20">
      <c r="A7" s="8"/>
      <c r="B7" s="9" t="s">
        <v>10</v>
      </c>
      <c r="C7" s="9" t="s">
        <v>11</v>
      </c>
      <c r="D7" s="9" t="s">
        <v>12</v>
      </c>
      <c r="E7" s="9" t="s">
        <v>11</v>
      </c>
      <c r="F7" s="9" t="s">
        <v>12</v>
      </c>
      <c r="G7" s="9" t="s">
        <v>11</v>
      </c>
      <c r="H7" s="9" t="s">
        <v>12</v>
      </c>
      <c r="I7" s="8"/>
      <c r="J7" s="9" t="s">
        <v>11</v>
      </c>
      <c r="K7" s="9" t="s">
        <v>12</v>
      </c>
      <c r="L7" s="9"/>
      <c r="M7" s="9" t="s">
        <v>11</v>
      </c>
      <c r="N7" s="9" t="s">
        <v>12</v>
      </c>
      <c r="O7" s="9"/>
      <c r="P7" s="9" t="s">
        <v>11</v>
      </c>
      <c r="Q7" s="9" t="s">
        <v>12</v>
      </c>
      <c r="R7" s="9"/>
      <c r="S7" s="9" t="s">
        <v>11</v>
      </c>
      <c r="T7" s="9" t="s">
        <v>12</v>
      </c>
    </row>
    <row r="8" spans="1:20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10" t="s">
        <v>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>
      <c r="A10" s="1" t="s">
        <v>590</v>
      </c>
      <c r="B10" s="11">
        <f>'[2]HI-05'!C10</f>
        <v>320775</v>
      </c>
      <c r="C10" s="11">
        <f>'[2]HI-05'!D10</f>
        <v>292756</v>
      </c>
      <c r="D10" s="12">
        <f>'[2]HI-05'!E10</f>
        <v>91.3</v>
      </c>
      <c r="E10" s="11">
        <f>'[2]HI-05'!F10</f>
        <v>216952</v>
      </c>
      <c r="F10" s="12">
        <f>'[2]HI-05'!G10</f>
        <v>67.599999999999994</v>
      </c>
      <c r="G10" s="11">
        <f>'[2]HI-05'!H10</f>
        <v>176319</v>
      </c>
      <c r="H10" s="12">
        <f>'[2]HI-05'!I10</f>
        <v>55</v>
      </c>
      <c r="I10" s="2"/>
      <c r="J10" s="11">
        <f>'[2]HI-05'!P10</f>
        <v>66131</v>
      </c>
      <c r="K10" s="12">
        <f>'[2]HI-05'!Q10</f>
        <v>20.6</v>
      </c>
      <c r="L10" s="2"/>
      <c r="M10" s="11">
        <f>'[2]HI-05'!T10</f>
        <v>55473</v>
      </c>
      <c r="N10" s="12">
        <f>'[2]HI-05'!U10</f>
        <v>17.3</v>
      </c>
      <c r="O10" s="2"/>
      <c r="P10" s="11">
        <f>'[2]HI-05'!Z10</f>
        <v>7290</v>
      </c>
      <c r="Q10" s="12">
        <f>'[2]HI-05'!AA10</f>
        <v>2.2999999999999998</v>
      </c>
      <c r="R10" s="2"/>
      <c r="S10" s="11">
        <f>'[2]HI-05'!AB10</f>
        <v>28019</v>
      </c>
      <c r="T10" s="12">
        <f>'[2]HI-05'!AC10</f>
        <v>8.6999999999999993</v>
      </c>
    </row>
    <row r="11" spans="1:20">
      <c r="A11" s="1" t="s">
        <v>498</v>
      </c>
      <c r="B11" s="229">
        <v>318176</v>
      </c>
      <c r="C11" s="229">
        <v>290872</v>
      </c>
      <c r="D11" s="230">
        <v>91.4</v>
      </c>
      <c r="E11" s="229">
        <v>215859</v>
      </c>
      <c r="F11" s="230">
        <v>67.8</v>
      </c>
      <c r="G11" s="229">
        <v>173907</v>
      </c>
      <c r="H11" s="230">
        <v>54.7</v>
      </c>
      <c r="I11" s="181"/>
      <c r="J11" s="229">
        <v>66357</v>
      </c>
      <c r="K11" s="230">
        <v>20.9</v>
      </c>
      <c r="L11" s="181"/>
      <c r="M11" s="229">
        <v>54126</v>
      </c>
      <c r="N11" s="230">
        <v>17</v>
      </c>
      <c r="O11" s="181"/>
      <c r="P11" s="229">
        <v>7291</v>
      </c>
      <c r="Q11" s="230">
        <v>2.2999999999999998</v>
      </c>
      <c r="R11" s="181"/>
      <c r="S11" s="229">
        <v>27304</v>
      </c>
      <c r="T11" s="230">
        <v>8.6</v>
      </c>
    </row>
    <row r="12" spans="1:20">
      <c r="A12" s="1" t="s">
        <v>493</v>
      </c>
      <c r="B12" s="11">
        <v>316451</v>
      </c>
      <c r="C12" s="11">
        <v>286693</v>
      </c>
      <c r="D12" s="14">
        <v>90.6</v>
      </c>
      <c r="E12" s="11">
        <v>213514</v>
      </c>
      <c r="F12" s="14">
        <v>67.5</v>
      </c>
      <c r="G12" s="11">
        <v>172292</v>
      </c>
      <c r="H12" s="14">
        <v>54.4</v>
      </c>
      <c r="I12" s="2"/>
      <c r="J12" s="11">
        <v>64739</v>
      </c>
      <c r="K12" s="14">
        <v>20.5</v>
      </c>
      <c r="L12" s="2"/>
      <c r="M12" s="11">
        <v>52694</v>
      </c>
      <c r="N12" s="14">
        <v>16.7</v>
      </c>
      <c r="O12" s="2"/>
      <c r="P12" s="11">
        <v>7044</v>
      </c>
      <c r="Q12" s="14">
        <v>2.2000000000000002</v>
      </c>
      <c r="R12" s="2"/>
      <c r="S12" s="11">
        <v>29758</v>
      </c>
      <c r="T12" s="14">
        <v>9.4</v>
      </c>
    </row>
    <row r="13" spans="1:20">
      <c r="A13" s="1" t="s">
        <v>466</v>
      </c>
      <c r="B13" s="11">
        <v>313890</v>
      </c>
      <c r="C13" s="11">
        <v>277220</v>
      </c>
      <c r="D13" s="14">
        <v>88.3</v>
      </c>
      <c r="E13" s="11">
        <v>208333</v>
      </c>
      <c r="F13" s="14">
        <v>66.400000000000006</v>
      </c>
      <c r="G13" s="11">
        <v>170265</v>
      </c>
      <c r="H13" s="14">
        <v>54.2</v>
      </c>
      <c r="I13" s="2"/>
      <c r="J13" s="11">
        <v>60346</v>
      </c>
      <c r="K13" s="14">
        <v>19.2</v>
      </c>
      <c r="L13" s="2"/>
      <c r="M13" s="11">
        <v>51112</v>
      </c>
      <c r="N13" s="14">
        <v>16.3</v>
      </c>
      <c r="O13" s="2"/>
      <c r="P13" s="11">
        <v>6911</v>
      </c>
      <c r="Q13" s="14">
        <v>2.2000000000000002</v>
      </c>
      <c r="R13" s="2"/>
      <c r="S13" s="11">
        <v>36670</v>
      </c>
      <c r="T13" s="14">
        <v>11.7</v>
      </c>
    </row>
    <row r="14" spans="1:20" ht="18">
      <c r="A14" s="1" t="s">
        <v>467</v>
      </c>
      <c r="B14" s="11">
        <v>311158.09999999998</v>
      </c>
      <c r="C14" s="11">
        <v>265977.43</v>
      </c>
      <c r="D14" s="14">
        <v>85.479832999999999</v>
      </c>
      <c r="E14" s="11">
        <v>202390.91</v>
      </c>
      <c r="F14" s="14">
        <v>65.044397000000004</v>
      </c>
      <c r="G14" s="11">
        <v>168058.94</v>
      </c>
      <c r="H14" s="14">
        <v>54.010787999999998</v>
      </c>
      <c r="I14" s="2"/>
      <c r="J14" s="11">
        <v>55668.675999999999</v>
      </c>
      <c r="K14" s="14">
        <v>17.890801</v>
      </c>
      <c r="L14" s="2"/>
      <c r="M14" s="11">
        <v>49419.22</v>
      </c>
      <c r="N14" s="14">
        <v>15.882350000000001</v>
      </c>
      <c r="O14" s="2"/>
      <c r="P14" s="11">
        <v>6734.8850000000002</v>
      </c>
      <c r="Q14" s="14">
        <v>2.1644575000000001</v>
      </c>
      <c r="R14" s="2"/>
      <c r="S14" s="11">
        <v>45180.675000000003</v>
      </c>
      <c r="T14" s="14">
        <v>14.520167000000001</v>
      </c>
    </row>
    <row r="15" spans="1:20">
      <c r="A15" s="1" t="s">
        <v>446</v>
      </c>
      <c r="B15" s="11">
        <v>311116.15218999999</v>
      </c>
      <c r="C15" s="11">
        <v>263165.4682</v>
      </c>
      <c r="D15" s="14">
        <v>84.587529881999998</v>
      </c>
      <c r="E15" s="11">
        <v>198811.59242999999</v>
      </c>
      <c r="F15" s="14">
        <v>63.902690694</v>
      </c>
      <c r="G15" s="11">
        <v>170876.55997</v>
      </c>
      <c r="H15" s="14">
        <v>54.923718608999998</v>
      </c>
      <c r="I15" s="2"/>
      <c r="J15" s="11">
        <v>50902.888107999999</v>
      </c>
      <c r="K15" s="14">
        <v>16.361377494999999</v>
      </c>
      <c r="L15" s="2"/>
      <c r="M15" s="11">
        <v>48884.057050000003</v>
      </c>
      <c r="N15" s="14">
        <v>15.712478027</v>
      </c>
      <c r="O15" s="2"/>
      <c r="P15" s="11">
        <v>13701.935751999999</v>
      </c>
      <c r="Q15" s="14">
        <v>4.4041222726000004</v>
      </c>
      <c r="R15" s="2"/>
      <c r="S15" s="11">
        <v>47950.683987999997</v>
      </c>
      <c r="T15" s="14">
        <v>15.412470118</v>
      </c>
    </row>
    <row r="16" spans="1:20">
      <c r="A16" s="1" t="s">
        <v>447</v>
      </c>
      <c r="B16" s="11">
        <v>308827.24901000003</v>
      </c>
      <c r="C16" s="11">
        <v>260213.78646</v>
      </c>
      <c r="D16" s="14">
        <v>84.258687434999999</v>
      </c>
      <c r="E16" s="11">
        <v>197322.88062000001</v>
      </c>
      <c r="F16" s="14">
        <v>63.894258440999998</v>
      </c>
      <c r="G16" s="11">
        <v>170101.74791000001</v>
      </c>
      <c r="H16" s="14">
        <v>55.079902586000003</v>
      </c>
      <c r="I16" s="2"/>
      <c r="J16" s="11">
        <v>50834.829657000002</v>
      </c>
      <c r="K16" s="14">
        <v>16.460603725999999</v>
      </c>
      <c r="L16" s="2"/>
      <c r="M16" s="11">
        <v>46921.855584999998</v>
      </c>
      <c r="N16" s="14">
        <v>15.193560716</v>
      </c>
      <c r="O16" s="2"/>
      <c r="P16" s="11">
        <v>13711.760260999999</v>
      </c>
      <c r="Q16" s="14">
        <v>4.4399450840999997</v>
      </c>
      <c r="R16" s="2"/>
      <c r="S16" s="11">
        <v>48613.462550999997</v>
      </c>
      <c r="T16" s="14">
        <v>15.741312564999999</v>
      </c>
    </row>
    <row r="17" spans="1:20">
      <c r="A17" s="1" t="s">
        <v>448</v>
      </c>
      <c r="B17" s="11">
        <v>306109.64916399698</v>
      </c>
      <c r="C17" s="11">
        <v>256205.56809709701</v>
      </c>
      <c r="D17" s="14">
        <v>83.69731852517846</v>
      </c>
      <c r="E17" s="11">
        <v>195874.06594969914</v>
      </c>
      <c r="F17" s="14">
        <v>63.988203731781248</v>
      </c>
      <c r="G17" s="11">
        <v>169264.25414839992</v>
      </c>
      <c r="H17" s="14">
        <v>55.295301736051229</v>
      </c>
      <c r="I17" s="2"/>
      <c r="J17" s="11">
        <v>48580.103071800026</v>
      </c>
      <c r="K17" s="14">
        <v>15.870163911681676</v>
      </c>
      <c r="L17" s="2"/>
      <c r="M17" s="11">
        <v>44327.352051099711</v>
      </c>
      <c r="N17" s="14">
        <v>14.4808738215735</v>
      </c>
      <c r="O17" s="2"/>
      <c r="P17" s="11">
        <v>12847.932850700008</v>
      </c>
      <c r="Q17" s="14">
        <v>4.1971668929053543</v>
      </c>
      <c r="R17" s="2"/>
      <c r="S17" s="11">
        <v>49904.081066900108</v>
      </c>
      <c r="T17" s="14">
        <v>16.302681474821533</v>
      </c>
    </row>
    <row r="18" spans="1:20">
      <c r="A18" s="1" t="s">
        <v>449</v>
      </c>
      <c r="B18" s="11">
        <v>304280</v>
      </c>
      <c r="C18" s="11">
        <v>253606</v>
      </c>
      <c r="D18" s="2">
        <v>83.3</v>
      </c>
      <c r="E18" s="11">
        <v>194545</v>
      </c>
      <c r="F18" s="2">
        <v>63.9</v>
      </c>
      <c r="G18" s="11">
        <v>169689</v>
      </c>
      <c r="H18" s="2">
        <v>55.8</v>
      </c>
      <c r="I18" s="2"/>
      <c r="J18" s="11">
        <v>47758</v>
      </c>
      <c r="K18" s="2">
        <v>15.7</v>
      </c>
      <c r="L18" s="2"/>
      <c r="M18" s="11">
        <v>43440</v>
      </c>
      <c r="N18" s="2">
        <v>14.3</v>
      </c>
      <c r="O18" s="2"/>
      <c r="P18" s="11">
        <v>12412</v>
      </c>
      <c r="Q18" s="2">
        <v>4.0999999999999996</v>
      </c>
      <c r="R18" s="2"/>
      <c r="S18" s="11">
        <v>50674</v>
      </c>
      <c r="T18" s="2">
        <v>16.7</v>
      </c>
    </row>
    <row r="19" spans="1:20">
      <c r="A19" s="1" t="s">
        <v>450</v>
      </c>
      <c r="B19" s="11">
        <v>301483</v>
      </c>
      <c r="C19" s="11">
        <v>255143</v>
      </c>
      <c r="D19" s="2">
        <v>84.6</v>
      </c>
      <c r="E19" s="11">
        <v>200992</v>
      </c>
      <c r="F19" s="2">
        <v>66.7</v>
      </c>
      <c r="G19" s="11">
        <v>176332</v>
      </c>
      <c r="H19" s="2">
        <v>58.5</v>
      </c>
      <c r="I19" s="2"/>
      <c r="J19" s="11">
        <v>42641</v>
      </c>
      <c r="K19" s="2">
        <v>14.1</v>
      </c>
      <c r="L19" s="2"/>
      <c r="M19" s="11">
        <v>43029</v>
      </c>
      <c r="N19" s="2">
        <v>14.3</v>
      </c>
      <c r="O19" s="2"/>
      <c r="P19" s="11">
        <v>11560</v>
      </c>
      <c r="Q19" s="2">
        <v>3.8</v>
      </c>
      <c r="R19" s="2"/>
      <c r="S19" s="11">
        <v>46340</v>
      </c>
      <c r="T19" s="2">
        <v>15.4</v>
      </c>
    </row>
    <row r="20" spans="1:20">
      <c r="A20" s="1" t="s">
        <v>451</v>
      </c>
      <c r="B20" s="11">
        <v>299106</v>
      </c>
      <c r="C20" s="11">
        <v>253449</v>
      </c>
      <c r="D20" s="2">
        <v>84.7</v>
      </c>
      <c r="E20" s="11">
        <v>201991</v>
      </c>
      <c r="F20" s="2">
        <v>67.5</v>
      </c>
      <c r="G20" s="11">
        <v>177446</v>
      </c>
      <c r="H20" s="2">
        <v>59.3</v>
      </c>
      <c r="I20" s="2"/>
      <c r="J20" s="11">
        <v>39554</v>
      </c>
      <c r="K20" s="2">
        <v>13.2</v>
      </c>
      <c r="L20" s="2"/>
      <c r="M20" s="11">
        <v>41375</v>
      </c>
      <c r="N20" s="2">
        <v>13.8</v>
      </c>
      <c r="O20" s="2"/>
      <c r="P20" s="11">
        <v>10955</v>
      </c>
      <c r="Q20" s="2">
        <v>3.7</v>
      </c>
      <c r="R20" s="2"/>
      <c r="S20" s="11">
        <v>45657</v>
      </c>
      <c r="T20" s="2">
        <v>15.3</v>
      </c>
    </row>
    <row r="21" spans="1:20">
      <c r="A21" s="1" t="s">
        <v>452</v>
      </c>
      <c r="B21" s="11">
        <v>296824</v>
      </c>
      <c r="C21" s="11">
        <v>249829</v>
      </c>
      <c r="D21" s="2">
        <v>84.2</v>
      </c>
      <c r="E21" s="11">
        <v>201690</v>
      </c>
      <c r="F21" s="2">
        <v>67.900000000000006</v>
      </c>
      <c r="G21" s="11">
        <v>177152</v>
      </c>
      <c r="H21" s="2">
        <v>59.7</v>
      </c>
      <c r="I21" s="2"/>
      <c r="J21" s="11">
        <v>38281</v>
      </c>
      <c r="K21" s="2">
        <v>12.9</v>
      </c>
      <c r="L21" s="2"/>
      <c r="M21" s="11">
        <v>40343</v>
      </c>
      <c r="N21" s="2">
        <v>13.6</v>
      </c>
      <c r="O21" s="2"/>
      <c r="P21" s="11">
        <v>10547</v>
      </c>
      <c r="Q21" s="2">
        <v>3.6</v>
      </c>
      <c r="R21" s="2"/>
      <c r="S21" s="11">
        <v>46995</v>
      </c>
      <c r="T21" s="2">
        <v>15.8</v>
      </c>
    </row>
    <row r="22" spans="1:20">
      <c r="A22" s="1" t="s">
        <v>453</v>
      </c>
      <c r="B22" s="11">
        <v>293834</v>
      </c>
      <c r="C22" s="11">
        <v>247257</v>
      </c>
      <c r="D22" s="2">
        <v>84.1</v>
      </c>
      <c r="E22" s="11">
        <v>198901</v>
      </c>
      <c r="F22" s="2">
        <v>67.7</v>
      </c>
      <c r="G22" s="11">
        <v>174819</v>
      </c>
      <c r="H22" s="2">
        <v>59.5</v>
      </c>
      <c r="I22" s="2"/>
      <c r="J22" s="11">
        <v>38134</v>
      </c>
      <c r="K22" s="16">
        <v>13</v>
      </c>
      <c r="L22" s="2"/>
      <c r="M22" s="11">
        <v>40185</v>
      </c>
      <c r="N22" s="2">
        <v>13.7</v>
      </c>
      <c r="O22" s="2"/>
      <c r="P22" s="11">
        <v>11172</v>
      </c>
      <c r="Q22" s="2">
        <v>3.8</v>
      </c>
      <c r="R22" s="2"/>
      <c r="S22" s="11">
        <v>46577</v>
      </c>
      <c r="T22" s="2">
        <v>15.9</v>
      </c>
    </row>
    <row r="23" spans="1:20" ht="18">
      <c r="A23" s="1" t="s">
        <v>468</v>
      </c>
      <c r="B23" s="11">
        <v>291166</v>
      </c>
      <c r="C23" s="11">
        <v>245860</v>
      </c>
      <c r="D23" s="2">
        <v>84.4</v>
      </c>
      <c r="E23" s="11">
        <v>198658</v>
      </c>
      <c r="F23" s="2">
        <v>68.2</v>
      </c>
      <c r="G23" s="11">
        <v>174186</v>
      </c>
      <c r="H23" s="2">
        <v>59.8</v>
      </c>
      <c r="I23" s="2"/>
      <c r="J23" s="11">
        <v>37963</v>
      </c>
      <c r="K23" s="16">
        <v>13</v>
      </c>
      <c r="L23" s="2"/>
      <c r="M23" s="11">
        <v>39745</v>
      </c>
      <c r="N23" s="2">
        <v>13.7</v>
      </c>
      <c r="O23" s="2"/>
      <c r="P23" s="11">
        <v>10660</v>
      </c>
      <c r="Q23" s="2">
        <v>3.7</v>
      </c>
      <c r="R23" s="2"/>
      <c r="S23" s="11">
        <v>45306</v>
      </c>
      <c r="T23" s="2">
        <v>15.6</v>
      </c>
    </row>
    <row r="24" spans="1:20">
      <c r="A24" s="1" t="s">
        <v>454</v>
      </c>
      <c r="B24" s="11">
        <v>288280</v>
      </c>
      <c r="C24" s="11">
        <v>243320</v>
      </c>
      <c r="D24" s="2">
        <v>84.4</v>
      </c>
      <c r="E24" s="11">
        <v>197869</v>
      </c>
      <c r="F24" s="2">
        <v>68.599999999999994</v>
      </c>
      <c r="G24" s="11">
        <v>174020</v>
      </c>
      <c r="H24" s="2">
        <v>60.4</v>
      </c>
      <c r="I24" s="2"/>
      <c r="J24" s="11">
        <v>35647</v>
      </c>
      <c r="K24" s="2">
        <v>12.4</v>
      </c>
      <c r="L24" s="2"/>
      <c r="M24" s="11">
        <v>39456</v>
      </c>
      <c r="N24" s="2">
        <v>13.7</v>
      </c>
      <c r="O24" s="2"/>
      <c r="P24" s="11">
        <v>9979</v>
      </c>
      <c r="Q24" s="2">
        <v>3.5</v>
      </c>
      <c r="R24" s="2"/>
      <c r="S24" s="11">
        <v>44961</v>
      </c>
      <c r="T24" s="2">
        <v>15.6</v>
      </c>
    </row>
    <row r="25" spans="1:20">
      <c r="A25" s="1" t="s">
        <v>455</v>
      </c>
      <c r="B25" s="11">
        <v>285933</v>
      </c>
      <c r="C25" s="11">
        <v>242360</v>
      </c>
      <c r="D25" s="2">
        <v>84.8</v>
      </c>
      <c r="E25" s="11">
        <v>198973</v>
      </c>
      <c r="F25" s="2">
        <v>69.599999999999994</v>
      </c>
      <c r="G25" s="11">
        <v>175296</v>
      </c>
      <c r="H25" s="2">
        <v>61.3</v>
      </c>
      <c r="I25" s="2"/>
      <c r="J25" s="11">
        <v>33246</v>
      </c>
      <c r="K25" s="2">
        <v>11.6</v>
      </c>
      <c r="L25" s="2"/>
      <c r="M25" s="11">
        <v>38448</v>
      </c>
      <c r="N25" s="2">
        <v>13.4</v>
      </c>
      <c r="O25" s="2"/>
      <c r="P25" s="11">
        <v>10063</v>
      </c>
      <c r="Q25" s="2">
        <v>3.5</v>
      </c>
      <c r="R25" s="2"/>
      <c r="S25" s="11">
        <v>43574</v>
      </c>
      <c r="T25" s="2">
        <v>15.2</v>
      </c>
    </row>
    <row r="26" spans="1:20">
      <c r="A26" s="1" t="s">
        <v>456</v>
      </c>
      <c r="B26" s="11">
        <v>282082</v>
      </c>
      <c r="C26" s="11">
        <v>240875</v>
      </c>
      <c r="D26" s="12">
        <v>85.4</v>
      </c>
      <c r="E26" s="11">
        <v>199860</v>
      </c>
      <c r="F26" s="12">
        <v>70.900000000000006</v>
      </c>
      <c r="G26" s="11">
        <v>176551</v>
      </c>
      <c r="H26" s="12">
        <v>62.6</v>
      </c>
      <c r="I26" s="2"/>
      <c r="J26" s="11">
        <v>31601</v>
      </c>
      <c r="K26" s="12">
        <v>11.2</v>
      </c>
      <c r="L26" s="2"/>
      <c r="M26" s="11">
        <v>38043</v>
      </c>
      <c r="N26" s="12">
        <v>13.5</v>
      </c>
      <c r="O26" s="2"/>
      <c r="P26" s="11">
        <v>9552</v>
      </c>
      <c r="Q26" s="12">
        <v>3.4</v>
      </c>
      <c r="R26" s="2"/>
      <c r="S26" s="11">
        <v>41207</v>
      </c>
      <c r="T26" s="12">
        <v>14.6</v>
      </c>
    </row>
    <row r="27" spans="1:20" ht="18">
      <c r="A27" s="1" t="s">
        <v>469</v>
      </c>
      <c r="B27" s="11">
        <v>279517</v>
      </c>
      <c r="C27" s="11">
        <v>239714</v>
      </c>
      <c r="D27" s="12">
        <v>85.8</v>
      </c>
      <c r="E27" s="11">
        <v>201060</v>
      </c>
      <c r="F27" s="12">
        <v>71.900000000000006</v>
      </c>
      <c r="G27" s="11">
        <v>177848</v>
      </c>
      <c r="H27" s="12">
        <v>63.6</v>
      </c>
      <c r="I27" s="2"/>
      <c r="J27" s="11">
        <v>29533</v>
      </c>
      <c r="K27" s="12">
        <v>10.6</v>
      </c>
      <c r="L27" s="2"/>
      <c r="M27" s="11">
        <v>37740</v>
      </c>
      <c r="N27" s="12">
        <v>13.5</v>
      </c>
      <c r="O27" s="2"/>
      <c r="P27" s="11">
        <v>9099</v>
      </c>
      <c r="Q27" s="12">
        <v>3.3</v>
      </c>
      <c r="R27" s="2"/>
      <c r="S27" s="11">
        <v>39804</v>
      </c>
      <c r="T27" s="12">
        <v>14.2</v>
      </c>
    </row>
    <row r="28" spans="1:20" ht="18">
      <c r="A28" s="1" t="s">
        <v>470</v>
      </c>
      <c r="B28" s="11">
        <v>276804</v>
      </c>
      <c r="C28" s="11">
        <v>236576</v>
      </c>
      <c r="D28" s="12">
        <v>85.5</v>
      </c>
      <c r="E28" s="11">
        <v>198841</v>
      </c>
      <c r="F28" s="12">
        <v>71.8</v>
      </c>
      <c r="G28" s="11">
        <v>175101</v>
      </c>
      <c r="H28" s="12">
        <v>63.3</v>
      </c>
      <c r="I28" s="2"/>
      <c r="J28" s="11">
        <v>28506</v>
      </c>
      <c r="K28" s="12">
        <v>10.3</v>
      </c>
      <c r="L28" s="2"/>
      <c r="M28" s="11">
        <v>36923</v>
      </c>
      <c r="N28" s="12">
        <v>13.3</v>
      </c>
      <c r="O28" s="2"/>
      <c r="P28" s="11">
        <v>8648</v>
      </c>
      <c r="Q28" s="12">
        <v>3.1</v>
      </c>
      <c r="R28" s="2"/>
      <c r="S28" s="11">
        <v>40228</v>
      </c>
      <c r="T28" s="12">
        <v>14.5</v>
      </c>
    </row>
    <row r="29" spans="1:20">
      <c r="A29" s="1" t="s">
        <v>457</v>
      </c>
      <c r="B29" s="11">
        <v>274087</v>
      </c>
      <c r="C29" s="11">
        <v>231533</v>
      </c>
      <c r="D29" s="12">
        <v>84.5</v>
      </c>
      <c r="E29" s="11">
        <v>194599</v>
      </c>
      <c r="F29" s="12">
        <v>71</v>
      </c>
      <c r="G29" s="11">
        <v>172023</v>
      </c>
      <c r="H29" s="12">
        <v>62.8</v>
      </c>
      <c r="I29" s="2"/>
      <c r="J29" s="11">
        <v>27890</v>
      </c>
      <c r="K29" s="12">
        <v>10.199999999999999</v>
      </c>
      <c r="L29" s="2"/>
      <c r="M29" s="11">
        <v>36066</v>
      </c>
      <c r="N29" s="12">
        <v>13.2</v>
      </c>
      <c r="O29" s="2"/>
      <c r="P29" s="11">
        <v>8530</v>
      </c>
      <c r="Q29" s="12">
        <v>3.1</v>
      </c>
      <c r="R29" s="2"/>
      <c r="S29" s="11">
        <v>42554</v>
      </c>
      <c r="T29" s="12">
        <v>15.5</v>
      </c>
    </row>
    <row r="30" spans="1:20">
      <c r="A30" s="1" t="s">
        <v>458</v>
      </c>
      <c r="B30" s="11">
        <v>271743</v>
      </c>
      <c r="C30" s="11">
        <v>227462</v>
      </c>
      <c r="D30" s="12">
        <v>83.7</v>
      </c>
      <c r="E30" s="11">
        <v>190861</v>
      </c>
      <c r="F30" s="12">
        <v>70.2</v>
      </c>
      <c r="G30" s="11">
        <v>168576</v>
      </c>
      <c r="H30" s="12">
        <v>62</v>
      </c>
      <c r="I30" s="2"/>
      <c r="J30" s="11">
        <v>27854</v>
      </c>
      <c r="K30" s="12">
        <v>10.3</v>
      </c>
      <c r="L30" s="2"/>
      <c r="M30" s="11">
        <v>35887</v>
      </c>
      <c r="N30" s="12">
        <v>13.2</v>
      </c>
      <c r="O30" s="2"/>
      <c r="P30" s="11">
        <v>8747</v>
      </c>
      <c r="Q30" s="12">
        <v>3.2</v>
      </c>
      <c r="R30" s="2"/>
      <c r="S30" s="11">
        <v>44281</v>
      </c>
      <c r="T30" s="12">
        <v>16.3</v>
      </c>
    </row>
    <row r="31" spans="1:20" ht="18">
      <c r="A31" s="1" t="s">
        <v>459</v>
      </c>
      <c r="B31" s="11">
        <v>269094</v>
      </c>
      <c r="C31" s="11">
        <v>225646</v>
      </c>
      <c r="D31" s="12">
        <v>83.9</v>
      </c>
      <c r="E31" s="11">
        <v>188532</v>
      </c>
      <c r="F31" s="12">
        <v>70.099999999999994</v>
      </c>
      <c r="G31" s="11">
        <v>165091</v>
      </c>
      <c r="H31" s="12">
        <v>61.4</v>
      </c>
      <c r="I31" s="2"/>
      <c r="J31" s="11">
        <v>28956</v>
      </c>
      <c r="K31" s="12">
        <v>10.8</v>
      </c>
      <c r="L31" s="2"/>
      <c r="M31" s="11">
        <v>35590</v>
      </c>
      <c r="N31" s="12">
        <v>13.2</v>
      </c>
      <c r="O31" s="2"/>
      <c r="P31" s="11">
        <v>8527</v>
      </c>
      <c r="Q31" s="12">
        <v>3.2</v>
      </c>
      <c r="R31" s="2"/>
      <c r="S31" s="11">
        <v>43448</v>
      </c>
      <c r="T31" s="12">
        <v>16.100000000000001</v>
      </c>
    </row>
    <row r="32" spans="1:20">
      <c r="A32" s="1" t="s">
        <v>460</v>
      </c>
      <c r="B32" s="11">
        <v>266792</v>
      </c>
      <c r="C32" s="11">
        <v>225077</v>
      </c>
      <c r="D32" s="12">
        <v>84.4</v>
      </c>
      <c r="E32" s="11">
        <v>187395</v>
      </c>
      <c r="F32" s="12">
        <v>70.2</v>
      </c>
      <c r="G32" s="11">
        <v>163221</v>
      </c>
      <c r="H32" s="12">
        <v>61.2</v>
      </c>
      <c r="I32" s="2"/>
      <c r="J32" s="11">
        <v>31451</v>
      </c>
      <c r="K32" s="12">
        <v>11.8</v>
      </c>
      <c r="L32" s="2"/>
      <c r="M32" s="11">
        <v>35227</v>
      </c>
      <c r="N32" s="12">
        <v>13.2</v>
      </c>
      <c r="O32" s="2"/>
      <c r="P32" s="11">
        <v>8712</v>
      </c>
      <c r="Q32" s="12">
        <v>3.3</v>
      </c>
      <c r="R32" s="2"/>
      <c r="S32" s="11">
        <v>41716</v>
      </c>
      <c r="T32" s="12">
        <v>15.6</v>
      </c>
    </row>
    <row r="33" spans="1:20">
      <c r="A33" s="1" t="s">
        <v>461</v>
      </c>
      <c r="B33" s="11">
        <v>264314</v>
      </c>
      <c r="C33" s="11">
        <v>223733</v>
      </c>
      <c r="D33" s="12">
        <v>84.6</v>
      </c>
      <c r="E33" s="11">
        <v>185881</v>
      </c>
      <c r="F33" s="12">
        <v>70.3</v>
      </c>
      <c r="G33" s="11">
        <v>161453</v>
      </c>
      <c r="H33" s="12">
        <v>61.1</v>
      </c>
      <c r="I33" s="2"/>
      <c r="J33" s="11">
        <v>31877</v>
      </c>
      <c r="K33" s="12">
        <v>12.1</v>
      </c>
      <c r="L33" s="2"/>
      <c r="M33" s="11">
        <v>34655</v>
      </c>
      <c r="N33" s="12">
        <v>13.1</v>
      </c>
      <c r="O33" s="2"/>
      <c r="P33" s="11">
        <v>9375</v>
      </c>
      <c r="Q33" s="12">
        <v>3.5</v>
      </c>
      <c r="R33" s="2"/>
      <c r="S33" s="11">
        <v>40582</v>
      </c>
      <c r="T33" s="12">
        <v>15.4</v>
      </c>
    </row>
    <row r="34" spans="1:20" ht="18">
      <c r="A34" s="1" t="s">
        <v>462</v>
      </c>
      <c r="B34" s="11">
        <v>262105</v>
      </c>
      <c r="C34" s="11">
        <v>222387</v>
      </c>
      <c r="D34" s="12">
        <v>84.8</v>
      </c>
      <c r="E34" s="11">
        <v>184318</v>
      </c>
      <c r="F34" s="12">
        <v>70.3</v>
      </c>
      <c r="G34" s="11">
        <v>159634</v>
      </c>
      <c r="H34" s="12">
        <v>60.9</v>
      </c>
      <c r="I34" s="2"/>
      <c r="J34" s="11">
        <v>31645</v>
      </c>
      <c r="K34" s="12">
        <v>12.1</v>
      </c>
      <c r="L34" s="2"/>
      <c r="M34" s="11">
        <v>33901</v>
      </c>
      <c r="N34" s="12">
        <v>12.9</v>
      </c>
      <c r="O34" s="2"/>
      <c r="P34" s="11">
        <v>11165</v>
      </c>
      <c r="Q34" s="12">
        <v>4.3</v>
      </c>
      <c r="R34" s="2"/>
      <c r="S34" s="11">
        <v>39718</v>
      </c>
      <c r="T34" s="12">
        <v>15.2</v>
      </c>
    </row>
    <row r="35" spans="1:20" ht="18">
      <c r="A35" s="1" t="s">
        <v>471</v>
      </c>
      <c r="B35" s="11">
        <v>259753</v>
      </c>
      <c r="C35" s="11">
        <v>220040</v>
      </c>
      <c r="D35" s="12">
        <v>84.7</v>
      </c>
      <c r="E35" s="11">
        <v>182351</v>
      </c>
      <c r="F35" s="12">
        <v>70.2</v>
      </c>
      <c r="G35" s="11">
        <v>148318</v>
      </c>
      <c r="H35" s="12">
        <v>57.1</v>
      </c>
      <c r="I35" s="2"/>
      <c r="J35" s="11">
        <v>31749</v>
      </c>
      <c r="K35" s="12">
        <v>12.2</v>
      </c>
      <c r="L35" s="2"/>
      <c r="M35" s="11">
        <v>33097</v>
      </c>
      <c r="N35" s="12">
        <v>12.7</v>
      </c>
      <c r="O35" s="2"/>
      <c r="P35" s="11">
        <v>9560</v>
      </c>
      <c r="Q35" s="12">
        <v>3.7</v>
      </c>
      <c r="R35" s="2"/>
      <c r="S35" s="11">
        <v>39713</v>
      </c>
      <c r="T35" s="12">
        <v>15.3</v>
      </c>
    </row>
    <row r="36" spans="1:20" ht="18">
      <c r="A36" s="1" t="s">
        <v>472</v>
      </c>
      <c r="B36" s="11">
        <v>256830</v>
      </c>
      <c r="C36" s="11">
        <v>218189</v>
      </c>
      <c r="D36" s="12">
        <v>85</v>
      </c>
      <c r="E36" s="11">
        <v>181466</v>
      </c>
      <c r="F36" s="12">
        <v>70.7</v>
      </c>
      <c r="G36" s="11">
        <v>148796</v>
      </c>
      <c r="H36" s="12">
        <v>57.9</v>
      </c>
      <c r="I36" s="2"/>
      <c r="J36" s="11">
        <v>29416</v>
      </c>
      <c r="K36" s="12">
        <v>11.5</v>
      </c>
      <c r="L36" s="2"/>
      <c r="M36" s="11">
        <v>33230</v>
      </c>
      <c r="N36" s="12">
        <v>12.9</v>
      </c>
      <c r="O36" s="2"/>
      <c r="P36" s="11">
        <v>9510</v>
      </c>
      <c r="Q36" s="12">
        <v>3.7</v>
      </c>
      <c r="R36" s="2"/>
      <c r="S36" s="11">
        <v>38641</v>
      </c>
      <c r="T36" s="12">
        <v>15</v>
      </c>
    </row>
    <row r="37" spans="1:20">
      <c r="A37" s="1" t="s">
        <v>463</v>
      </c>
      <c r="B37" s="11">
        <v>251447</v>
      </c>
      <c r="C37" s="11">
        <v>216003</v>
      </c>
      <c r="D37" s="12">
        <v>85.9</v>
      </c>
      <c r="E37" s="11">
        <v>181375</v>
      </c>
      <c r="F37" s="12">
        <v>72.099999999999994</v>
      </c>
      <c r="G37" s="11">
        <v>150077</v>
      </c>
      <c r="H37" s="12">
        <v>59.7</v>
      </c>
      <c r="I37" s="2"/>
      <c r="J37" s="11">
        <v>26880</v>
      </c>
      <c r="K37" s="12">
        <v>10.7</v>
      </c>
      <c r="L37" s="2"/>
      <c r="M37" s="11">
        <v>32907</v>
      </c>
      <c r="N37" s="12">
        <v>13.1</v>
      </c>
      <c r="O37" s="2"/>
      <c r="P37" s="11">
        <v>9820</v>
      </c>
      <c r="Q37" s="12">
        <v>3.9</v>
      </c>
      <c r="R37" s="2"/>
      <c r="S37" s="11">
        <v>35445</v>
      </c>
      <c r="T37" s="12">
        <v>14.1</v>
      </c>
    </row>
    <row r="38" spans="1:20">
      <c r="A38" s="99" t="s">
        <v>464</v>
      </c>
      <c r="B38" s="11">
        <v>248886</v>
      </c>
      <c r="C38" s="11">
        <v>214167</v>
      </c>
      <c r="D38" s="12">
        <v>86.1</v>
      </c>
      <c r="E38" s="11">
        <v>182135</v>
      </c>
      <c r="F38" s="12">
        <v>73.2</v>
      </c>
      <c r="G38" s="11">
        <v>150215</v>
      </c>
      <c r="H38" s="12">
        <v>60.4</v>
      </c>
      <c r="I38" s="2"/>
      <c r="J38" s="11">
        <v>24261</v>
      </c>
      <c r="K38" s="12">
        <v>9.6999999999999993</v>
      </c>
      <c r="L38" s="2"/>
      <c r="M38" s="11">
        <v>32260</v>
      </c>
      <c r="N38" s="12">
        <v>13</v>
      </c>
      <c r="O38" s="2"/>
      <c r="P38" s="11">
        <v>9922</v>
      </c>
      <c r="Q38" s="12">
        <v>4</v>
      </c>
      <c r="R38" s="2"/>
      <c r="S38" s="11">
        <v>34719</v>
      </c>
      <c r="T38" s="12">
        <v>13.9</v>
      </c>
    </row>
    <row r="39" spans="1:20">
      <c r="A39" s="1"/>
      <c r="B39" s="11"/>
      <c r="C39" s="11"/>
      <c r="D39" s="12"/>
      <c r="E39" s="11"/>
      <c r="F39" s="12"/>
      <c r="G39" s="11"/>
      <c r="H39" s="12"/>
      <c r="I39" s="2"/>
      <c r="J39" s="11"/>
      <c r="K39" s="12"/>
      <c r="L39" s="2"/>
      <c r="M39" s="11"/>
      <c r="N39" s="12"/>
      <c r="O39" s="2"/>
      <c r="P39" s="11"/>
      <c r="Q39" s="12"/>
      <c r="R39" s="2"/>
      <c r="S39" s="11"/>
      <c r="T39" s="12"/>
    </row>
    <row r="40" spans="1:20">
      <c r="A40" s="10" t="s">
        <v>14</v>
      </c>
      <c r="B40" s="11"/>
      <c r="C40" s="11"/>
      <c r="D40" s="105"/>
      <c r="E40" s="11"/>
      <c r="F40" s="12"/>
      <c r="G40" s="11"/>
      <c r="H40" s="12"/>
      <c r="I40" s="2"/>
      <c r="J40" s="11"/>
      <c r="K40" s="12"/>
      <c r="L40" s="2"/>
      <c r="M40" s="11"/>
      <c r="N40" s="12"/>
      <c r="O40" s="2"/>
      <c r="P40" s="11"/>
      <c r="Q40" s="12"/>
      <c r="R40" s="2"/>
      <c r="S40" s="11"/>
      <c r="T40" s="106"/>
    </row>
    <row r="41" spans="1:20">
      <c r="A41" s="1" t="s">
        <v>590</v>
      </c>
      <c r="B41" s="11">
        <f>'[2]HI-05'!C15</f>
        <v>8902</v>
      </c>
      <c r="C41" s="11">
        <f>'[2]HI-05'!D15</f>
        <v>8214</v>
      </c>
      <c r="D41" s="12">
        <f>'[2]HI-05'!E15</f>
        <v>92.3</v>
      </c>
      <c r="E41" s="11">
        <f>'[2]HI-05'!F15</f>
        <v>6413</v>
      </c>
      <c r="F41" s="12">
        <f>'[2]HI-05'!G15</f>
        <v>72</v>
      </c>
      <c r="G41" s="11">
        <f>'[2]HI-05'!H15</f>
        <v>5523</v>
      </c>
      <c r="H41" s="12">
        <f>'[2]HI-05'!I15</f>
        <v>62</v>
      </c>
      <c r="I41" s="2"/>
      <c r="J41" s="11">
        <f>'[2]HI-05'!P15</f>
        <v>1530</v>
      </c>
      <c r="K41" s="12">
        <f>'[2]HI-05'!Q15</f>
        <v>17.2</v>
      </c>
      <c r="L41" s="2"/>
      <c r="M41" s="11">
        <f>'[2]HI-05'!T15</f>
        <v>1492</v>
      </c>
      <c r="N41" s="12">
        <f>'[2]HI-05'!U15</f>
        <v>16.8</v>
      </c>
      <c r="O41" s="2"/>
      <c r="P41" s="11">
        <f>'[2]HI-05'!Z15</f>
        <v>96</v>
      </c>
      <c r="Q41" s="12">
        <f>'[2]HI-05'!AA15</f>
        <v>1.1000000000000001</v>
      </c>
      <c r="R41" s="11"/>
      <c r="S41" s="11">
        <f>'[2]HI-05'!AB15</f>
        <v>688</v>
      </c>
      <c r="T41" s="12">
        <f>'[2]HI-05'!AC15</f>
        <v>7.7</v>
      </c>
    </row>
    <row r="42" spans="1:20">
      <c r="A42" s="1" t="s">
        <v>498</v>
      </c>
      <c r="B42" s="229">
        <v>8838</v>
      </c>
      <c r="C42" s="229">
        <v>8133</v>
      </c>
      <c r="D42" s="230">
        <v>92</v>
      </c>
      <c r="E42" s="229">
        <v>6388</v>
      </c>
      <c r="F42" s="230">
        <v>72.3</v>
      </c>
      <c r="G42" s="229">
        <v>5483</v>
      </c>
      <c r="H42" s="230">
        <v>62</v>
      </c>
      <c r="I42" s="181"/>
      <c r="J42" s="229">
        <v>1516</v>
      </c>
      <c r="K42" s="230">
        <v>17.2</v>
      </c>
      <c r="L42" s="181"/>
      <c r="M42" s="229">
        <v>1450</v>
      </c>
      <c r="N42" s="230">
        <v>16.399999999999999</v>
      </c>
      <c r="O42" s="181"/>
      <c r="P42" s="229">
        <v>94</v>
      </c>
      <c r="Q42" s="230">
        <v>1.1000000000000001</v>
      </c>
      <c r="R42" s="181"/>
      <c r="S42" s="229">
        <v>705</v>
      </c>
      <c r="T42" s="230">
        <v>8</v>
      </c>
    </row>
    <row r="43" spans="1:20">
      <c r="A43" s="1" t="s">
        <v>493</v>
      </c>
      <c r="B43" s="11">
        <v>8850</v>
      </c>
      <c r="C43" s="11">
        <v>8079</v>
      </c>
      <c r="D43" s="12">
        <v>91.3</v>
      </c>
      <c r="E43" s="11">
        <v>6307</v>
      </c>
      <c r="F43" s="12">
        <v>71.3</v>
      </c>
      <c r="G43" s="11">
        <v>5450</v>
      </c>
      <c r="H43" s="12">
        <v>61.6</v>
      </c>
      <c r="I43" s="2"/>
      <c r="J43" s="11">
        <v>1540</v>
      </c>
      <c r="K43" s="12">
        <v>17.399999999999999</v>
      </c>
      <c r="L43" s="2"/>
      <c r="M43" s="11">
        <v>1420</v>
      </c>
      <c r="N43" s="12">
        <v>16</v>
      </c>
      <c r="O43" s="2"/>
      <c r="P43" s="11">
        <v>92</v>
      </c>
      <c r="Q43" s="12">
        <v>1</v>
      </c>
      <c r="R43" s="2"/>
      <c r="S43" s="11">
        <v>771</v>
      </c>
      <c r="T43" s="12">
        <v>8.6999999999999993</v>
      </c>
    </row>
    <row r="44" spans="1:20">
      <c r="A44" s="1" t="s">
        <v>466</v>
      </c>
      <c r="B44" s="11">
        <v>8831</v>
      </c>
      <c r="C44" s="11">
        <v>7866</v>
      </c>
      <c r="D44" s="12">
        <v>89.1</v>
      </c>
      <c r="E44" s="11">
        <v>6258</v>
      </c>
      <c r="F44" s="12">
        <v>70.900000000000006</v>
      </c>
      <c r="G44" s="11">
        <v>5476</v>
      </c>
      <c r="H44" s="12">
        <v>62</v>
      </c>
      <c r="I44" s="2"/>
      <c r="J44" s="11">
        <v>1359</v>
      </c>
      <c r="K44" s="12">
        <v>15.4</v>
      </c>
      <c r="L44" s="2"/>
      <c r="M44" s="11">
        <v>1379</v>
      </c>
      <c r="N44" s="12">
        <v>15.6</v>
      </c>
      <c r="O44" s="2"/>
      <c r="P44" s="11">
        <v>93</v>
      </c>
      <c r="Q44" s="12">
        <v>1</v>
      </c>
      <c r="R44" s="2"/>
      <c r="S44" s="11">
        <v>965</v>
      </c>
      <c r="T44" s="12">
        <v>10.9</v>
      </c>
    </row>
    <row r="45" spans="1:20" ht="18">
      <c r="A45" s="1" t="s">
        <v>467</v>
      </c>
      <c r="B45" s="11">
        <v>8791.652</v>
      </c>
      <c r="C45" s="11">
        <v>7631.3580000000002</v>
      </c>
      <c r="D45" s="12">
        <v>86.802321000000006</v>
      </c>
      <c r="E45" s="11">
        <v>6155.5810000000001</v>
      </c>
      <c r="F45" s="12">
        <v>70.016204000000002</v>
      </c>
      <c r="G45" s="11">
        <v>5433.8040000000001</v>
      </c>
      <c r="H45" s="12">
        <v>61.806404999999998</v>
      </c>
      <c r="I45" s="2"/>
      <c r="J45" s="11">
        <v>1238.3679999999999</v>
      </c>
      <c r="K45" s="12">
        <v>14.085725999999999</v>
      </c>
      <c r="L45" s="2"/>
      <c r="M45" s="11">
        <v>1356.942</v>
      </c>
      <c r="N45" s="12">
        <v>15.434437000000001</v>
      </c>
      <c r="O45" s="2"/>
      <c r="P45" s="11">
        <v>95.158000000000001</v>
      </c>
      <c r="Q45" s="12">
        <v>1.0823677</v>
      </c>
      <c r="R45" s="2"/>
      <c r="S45" s="11">
        <v>1160.2940000000001</v>
      </c>
      <c r="T45" s="12">
        <v>13.197679000000001</v>
      </c>
    </row>
    <row r="46" spans="1:20">
      <c r="A46" s="1" t="s">
        <v>446</v>
      </c>
      <c r="B46" s="11">
        <v>8725.2159840000004</v>
      </c>
      <c r="C46" s="11">
        <v>7501.9999072999999</v>
      </c>
      <c r="D46" s="12">
        <v>85.980678542000007</v>
      </c>
      <c r="E46" s="11">
        <v>6180.7794880000001</v>
      </c>
      <c r="F46" s="12">
        <v>70.838125947999998</v>
      </c>
      <c r="G46" s="11">
        <v>5514.0025261999999</v>
      </c>
      <c r="H46" s="12">
        <v>63.196172292999997</v>
      </c>
      <c r="I46" s="2"/>
      <c r="J46" s="11">
        <v>1060.3835107</v>
      </c>
      <c r="K46" s="12">
        <v>12.153091828000001</v>
      </c>
      <c r="L46" s="2"/>
      <c r="M46" s="11">
        <v>1382.8056044</v>
      </c>
      <c r="N46" s="12">
        <v>15.848382515000001</v>
      </c>
      <c r="O46" s="2"/>
      <c r="P46" s="11">
        <v>169.9026983</v>
      </c>
      <c r="Q46" s="12">
        <v>1.9472606593999999</v>
      </c>
      <c r="R46" s="2"/>
      <c r="S46" s="11">
        <v>1223.2160767</v>
      </c>
      <c r="T46" s="12">
        <v>14.019321458</v>
      </c>
    </row>
    <row r="47" spans="1:20">
      <c r="A47" s="1" t="s">
        <v>447</v>
      </c>
      <c r="B47" s="11">
        <v>8651.9709531000008</v>
      </c>
      <c r="C47" s="11">
        <v>7316.3597484000002</v>
      </c>
      <c r="D47" s="12">
        <v>84.562925465999996</v>
      </c>
      <c r="E47" s="11">
        <v>5973.4323001000002</v>
      </c>
      <c r="F47" s="12">
        <v>69.041289348999996</v>
      </c>
      <c r="G47" s="11">
        <v>5287.2150406000001</v>
      </c>
      <c r="H47" s="12">
        <v>61.109949041999997</v>
      </c>
      <c r="I47" s="2"/>
      <c r="J47" s="11">
        <v>1079.7622506</v>
      </c>
      <c r="K47" s="12">
        <v>12.479956954</v>
      </c>
      <c r="L47" s="2"/>
      <c r="M47" s="11">
        <v>1301.4489096</v>
      </c>
      <c r="N47" s="12">
        <v>15.042224675</v>
      </c>
      <c r="O47" s="2"/>
      <c r="P47" s="11">
        <v>135.58957820000001</v>
      </c>
      <c r="Q47" s="12">
        <v>1.5671524897</v>
      </c>
      <c r="R47" s="2"/>
      <c r="S47" s="11">
        <v>1335.6112046999999</v>
      </c>
      <c r="T47" s="12">
        <v>15.437074534000001</v>
      </c>
    </row>
    <row r="48" spans="1:20">
      <c r="A48" s="1" t="s">
        <v>448</v>
      </c>
      <c r="B48" s="11">
        <v>8671.5713141000051</v>
      </c>
      <c r="C48" s="11">
        <v>7333.6207981000061</v>
      </c>
      <c r="D48" s="12">
        <v>84.570841113599712</v>
      </c>
      <c r="E48" s="11">
        <v>6046.0806575000088</v>
      </c>
      <c r="F48" s="12">
        <v>69.723011418577158</v>
      </c>
      <c r="G48" s="11">
        <v>5402.7569639000039</v>
      </c>
      <c r="H48" s="12">
        <v>62.304244158323442</v>
      </c>
      <c r="I48" s="2"/>
      <c r="J48" s="11">
        <v>1091.0159904000006</v>
      </c>
      <c r="K48" s="12">
        <v>12.581525895151261</v>
      </c>
      <c r="L48" s="2"/>
      <c r="M48" s="11">
        <v>1234.1566221000007</v>
      </c>
      <c r="N48" s="12">
        <v>14.232214409552945</v>
      </c>
      <c r="O48" s="2"/>
      <c r="P48" s="11">
        <v>66.15019629999999</v>
      </c>
      <c r="Q48" s="12">
        <v>0.76283978882165848</v>
      </c>
      <c r="R48" s="2"/>
      <c r="S48" s="11">
        <v>1337.9505159999997</v>
      </c>
      <c r="T48" s="12">
        <v>15.429158886400293</v>
      </c>
    </row>
    <row r="49" spans="1:20">
      <c r="A49" s="1" t="s">
        <v>449</v>
      </c>
      <c r="B49" s="11">
        <v>8680</v>
      </c>
      <c r="C49" s="11">
        <v>7309</v>
      </c>
      <c r="D49" s="12">
        <v>84.2</v>
      </c>
      <c r="E49" s="11">
        <v>6190</v>
      </c>
      <c r="F49" s="12">
        <v>71.3</v>
      </c>
      <c r="G49" s="11">
        <v>5671</v>
      </c>
      <c r="H49" s="12">
        <v>65.3</v>
      </c>
      <c r="I49" s="2"/>
      <c r="J49" s="11">
        <v>959</v>
      </c>
      <c r="K49" s="12">
        <v>11</v>
      </c>
      <c r="L49" s="2"/>
      <c r="M49" s="11">
        <v>1122</v>
      </c>
      <c r="N49" s="12">
        <v>12.9</v>
      </c>
      <c r="O49" s="2"/>
      <c r="P49" s="11">
        <v>73</v>
      </c>
      <c r="Q49" s="12">
        <v>0.8</v>
      </c>
      <c r="R49" s="2"/>
      <c r="S49" s="11">
        <v>1371</v>
      </c>
      <c r="T49" s="12">
        <v>15.8</v>
      </c>
    </row>
    <row r="50" spans="1:20">
      <c r="A50" s="1" t="s">
        <v>450</v>
      </c>
      <c r="B50" s="11">
        <v>8524</v>
      </c>
      <c r="C50" s="11">
        <v>7323</v>
      </c>
      <c r="D50" s="12">
        <v>85.9</v>
      </c>
      <c r="E50" s="11">
        <v>6201</v>
      </c>
      <c r="F50" s="12">
        <v>72.7</v>
      </c>
      <c r="G50" s="11">
        <v>5585</v>
      </c>
      <c r="H50" s="12">
        <v>65.5</v>
      </c>
      <c r="I50" s="2"/>
      <c r="J50" s="11">
        <v>836</v>
      </c>
      <c r="K50" s="12">
        <v>9.8000000000000007</v>
      </c>
      <c r="L50" s="2"/>
      <c r="M50" s="11">
        <v>1216</v>
      </c>
      <c r="N50" s="12">
        <v>14.3</v>
      </c>
      <c r="O50" s="2"/>
      <c r="P50" s="11">
        <v>140</v>
      </c>
      <c r="Q50" s="12">
        <v>1.6</v>
      </c>
      <c r="R50" s="2"/>
      <c r="S50" s="11">
        <v>1201</v>
      </c>
      <c r="T50" s="12">
        <v>14.1</v>
      </c>
    </row>
    <row r="51" spans="1:20">
      <c r="A51" s="1" t="s">
        <v>451</v>
      </c>
      <c r="B51" s="11">
        <v>8556</v>
      </c>
      <c r="C51" s="11">
        <v>7208</v>
      </c>
      <c r="D51" s="12">
        <v>84.2</v>
      </c>
      <c r="E51" s="11">
        <v>6104</v>
      </c>
      <c r="F51" s="12">
        <v>71.3</v>
      </c>
      <c r="G51" s="11">
        <v>5479</v>
      </c>
      <c r="H51" s="12">
        <v>64</v>
      </c>
      <c r="I51" s="2"/>
      <c r="J51" s="11">
        <v>715</v>
      </c>
      <c r="K51" s="12">
        <v>8.4</v>
      </c>
      <c r="L51" s="2"/>
      <c r="M51" s="11">
        <v>1191</v>
      </c>
      <c r="N51" s="12">
        <v>13.9</v>
      </c>
      <c r="O51" s="2"/>
      <c r="P51" s="11">
        <v>110</v>
      </c>
      <c r="Q51" s="12">
        <v>1.3</v>
      </c>
      <c r="R51" s="2"/>
      <c r="S51" s="11">
        <v>1348</v>
      </c>
      <c r="T51" s="12">
        <v>15.8</v>
      </c>
    </row>
    <row r="52" spans="1:20">
      <c r="A52" s="1" t="s">
        <v>452</v>
      </c>
      <c r="B52" s="11">
        <v>8660</v>
      </c>
      <c r="C52" s="11">
        <v>7319</v>
      </c>
      <c r="D52" s="12">
        <v>84.5</v>
      </c>
      <c r="E52" s="11">
        <v>6364</v>
      </c>
      <c r="F52" s="12">
        <v>73.5</v>
      </c>
      <c r="G52" s="11">
        <v>5848</v>
      </c>
      <c r="H52" s="12">
        <v>67.5</v>
      </c>
      <c r="I52" s="2"/>
      <c r="J52" s="11">
        <v>676</v>
      </c>
      <c r="K52" s="12">
        <v>7.8</v>
      </c>
      <c r="L52" s="2"/>
      <c r="M52" s="11">
        <v>1126</v>
      </c>
      <c r="N52" s="12">
        <v>13</v>
      </c>
      <c r="O52" s="2"/>
      <c r="P52" s="11">
        <v>85</v>
      </c>
      <c r="Q52" s="12">
        <v>1</v>
      </c>
      <c r="R52" s="2"/>
      <c r="S52" s="11">
        <v>1341</v>
      </c>
      <c r="T52" s="12">
        <v>15.5</v>
      </c>
    </row>
    <row r="53" spans="1:20">
      <c r="A53" s="1" t="s">
        <v>453</v>
      </c>
      <c r="B53" s="11">
        <v>8725</v>
      </c>
      <c r="C53" s="11">
        <v>7401</v>
      </c>
      <c r="D53" s="13">
        <v>84.8</v>
      </c>
      <c r="E53" s="11">
        <v>6471</v>
      </c>
      <c r="F53" s="2">
        <v>74.2</v>
      </c>
      <c r="G53" s="11">
        <v>5960</v>
      </c>
      <c r="H53" s="2">
        <v>68.3</v>
      </c>
      <c r="I53" s="2"/>
      <c r="J53" s="2">
        <v>669</v>
      </c>
      <c r="K53" s="2">
        <v>7.7</v>
      </c>
      <c r="L53" s="2"/>
      <c r="M53" s="11">
        <v>1108</v>
      </c>
      <c r="N53" s="2">
        <v>12.7</v>
      </c>
      <c r="O53" s="2"/>
      <c r="P53" s="2">
        <v>135</v>
      </c>
      <c r="Q53" s="2">
        <v>1.5</v>
      </c>
      <c r="R53" s="2"/>
      <c r="S53" s="11">
        <v>1324</v>
      </c>
      <c r="T53" s="13">
        <v>15.2</v>
      </c>
    </row>
    <row r="54" spans="1:20" ht="18">
      <c r="A54" s="1" t="s">
        <v>468</v>
      </c>
      <c r="B54" s="11">
        <v>8662</v>
      </c>
      <c r="C54" s="11">
        <v>7343</v>
      </c>
      <c r="D54" s="13">
        <v>84.7</v>
      </c>
      <c r="E54" s="11">
        <v>6425</v>
      </c>
      <c r="F54" s="2">
        <v>74.2</v>
      </c>
      <c r="G54" s="11">
        <v>5935</v>
      </c>
      <c r="H54" s="2">
        <v>68.5</v>
      </c>
      <c r="I54" s="2"/>
      <c r="J54" s="2">
        <v>712</v>
      </c>
      <c r="K54" s="2">
        <v>8.1999999999999993</v>
      </c>
      <c r="L54" s="2"/>
      <c r="M54" s="11">
        <v>1166</v>
      </c>
      <c r="N54" s="2">
        <v>13.5</v>
      </c>
      <c r="O54" s="2"/>
      <c r="P54" s="2">
        <v>132</v>
      </c>
      <c r="Q54" s="2">
        <v>1.5</v>
      </c>
      <c r="R54" s="2"/>
      <c r="S54" s="11">
        <v>1252</v>
      </c>
      <c r="T54" s="13">
        <v>14.5</v>
      </c>
    </row>
    <row r="55" spans="1:20">
      <c r="A55" s="1" t="s">
        <v>454</v>
      </c>
      <c r="B55" s="11">
        <v>8579</v>
      </c>
      <c r="C55" s="11">
        <v>7378</v>
      </c>
      <c r="D55" s="13">
        <v>86</v>
      </c>
      <c r="E55" s="11">
        <v>6368</v>
      </c>
      <c r="F55" s="2">
        <v>74.2</v>
      </c>
      <c r="G55" s="11">
        <v>5863</v>
      </c>
      <c r="H55" s="2">
        <v>68.3</v>
      </c>
      <c r="I55" s="2"/>
      <c r="J55" s="2">
        <v>712</v>
      </c>
      <c r="K55" s="2">
        <v>8.3000000000000007</v>
      </c>
      <c r="L55" s="2"/>
      <c r="M55" s="11">
        <v>1085</v>
      </c>
      <c r="N55" s="2">
        <v>12.6</v>
      </c>
      <c r="O55" s="2"/>
      <c r="P55" s="2">
        <v>124</v>
      </c>
      <c r="Q55" s="2">
        <v>1.4</v>
      </c>
      <c r="R55" s="2"/>
      <c r="S55" s="11">
        <v>1201</v>
      </c>
      <c r="T55" s="13">
        <v>14</v>
      </c>
    </row>
    <row r="56" spans="1:20">
      <c r="A56" s="1" t="s">
        <v>455</v>
      </c>
      <c r="B56" s="11">
        <v>8604</v>
      </c>
      <c r="C56" s="11">
        <v>7408</v>
      </c>
      <c r="D56" s="2">
        <v>86.1</v>
      </c>
      <c r="E56" s="11">
        <v>6378</v>
      </c>
      <c r="F56" s="2">
        <v>74.099999999999994</v>
      </c>
      <c r="G56" s="11">
        <v>5778</v>
      </c>
      <c r="H56" s="2">
        <v>67.099999999999994</v>
      </c>
      <c r="I56" s="2"/>
      <c r="J56" s="2">
        <v>789</v>
      </c>
      <c r="K56" s="2">
        <v>9.1999999999999993</v>
      </c>
      <c r="L56" s="2"/>
      <c r="M56" s="11">
        <v>1241</v>
      </c>
      <c r="N56" s="2">
        <v>14.4</v>
      </c>
      <c r="O56" s="2"/>
      <c r="P56" s="2">
        <v>106</v>
      </c>
      <c r="Q56" s="2">
        <v>1.2</v>
      </c>
      <c r="R56" s="2"/>
      <c r="S56" s="11">
        <v>1197</v>
      </c>
      <c r="T56" s="2">
        <v>13.9</v>
      </c>
    </row>
    <row r="57" spans="1:20">
      <c r="A57" s="1" t="s">
        <v>456</v>
      </c>
      <c r="B57" s="11">
        <v>8470</v>
      </c>
      <c r="C57" s="11">
        <v>7361</v>
      </c>
      <c r="D57" s="14">
        <v>86.9</v>
      </c>
      <c r="E57" s="11">
        <v>6390</v>
      </c>
      <c r="F57" s="14">
        <v>75.400000000000006</v>
      </c>
      <c r="G57" s="11">
        <v>5838</v>
      </c>
      <c r="H57" s="14">
        <v>68.900000000000006</v>
      </c>
      <c r="I57" s="2"/>
      <c r="J57" s="11">
        <v>675</v>
      </c>
      <c r="K57" s="14">
        <v>8</v>
      </c>
      <c r="L57" s="2"/>
      <c r="M57" s="11">
        <v>1363</v>
      </c>
      <c r="N57" s="14">
        <v>16.100000000000001</v>
      </c>
      <c r="O57" s="2"/>
      <c r="P57" s="11">
        <v>105</v>
      </c>
      <c r="Q57" s="14">
        <v>1.2</v>
      </c>
      <c r="R57" s="2"/>
      <c r="S57" s="11">
        <v>1109</v>
      </c>
      <c r="T57" s="14">
        <v>13.1</v>
      </c>
    </row>
    <row r="58" spans="1:20" ht="18">
      <c r="A58" s="1" t="s">
        <v>469</v>
      </c>
      <c r="B58" s="11">
        <v>8393</v>
      </c>
      <c r="C58" s="11">
        <v>7372</v>
      </c>
      <c r="D58" s="14">
        <v>87.8</v>
      </c>
      <c r="E58" s="11">
        <v>6538</v>
      </c>
      <c r="F58" s="14">
        <v>77.900000000000006</v>
      </c>
      <c r="G58" s="11">
        <v>5971</v>
      </c>
      <c r="H58" s="14">
        <v>71.099999999999994</v>
      </c>
      <c r="I58" s="2"/>
      <c r="J58" s="11">
        <v>628</v>
      </c>
      <c r="K58" s="14">
        <v>7.5</v>
      </c>
      <c r="L58" s="2"/>
      <c r="M58" s="11">
        <v>1246</v>
      </c>
      <c r="N58" s="14">
        <v>14.8</v>
      </c>
      <c r="O58" s="2"/>
      <c r="P58" s="11">
        <v>119</v>
      </c>
      <c r="Q58" s="14">
        <v>1.4</v>
      </c>
      <c r="R58" s="2"/>
      <c r="S58" s="11">
        <v>1021</v>
      </c>
      <c r="T58" s="14">
        <v>12.2</v>
      </c>
    </row>
    <row r="59" spans="1:20" ht="18">
      <c r="A59" s="1" t="s">
        <v>470</v>
      </c>
      <c r="B59" s="11">
        <v>8239</v>
      </c>
      <c r="C59" s="11">
        <v>7143</v>
      </c>
      <c r="D59" s="14">
        <v>88.1</v>
      </c>
      <c r="E59" s="11">
        <v>6373</v>
      </c>
      <c r="F59" s="14">
        <v>77.3</v>
      </c>
      <c r="G59" s="11">
        <v>5743</v>
      </c>
      <c r="H59" s="14">
        <v>69.7</v>
      </c>
      <c r="I59" s="2"/>
      <c r="J59" s="11">
        <v>624</v>
      </c>
      <c r="K59" s="14">
        <v>7.6</v>
      </c>
      <c r="L59" s="2"/>
      <c r="M59" s="11">
        <v>1123</v>
      </c>
      <c r="N59" s="14">
        <v>13.6</v>
      </c>
      <c r="O59" s="2"/>
      <c r="P59" s="11">
        <v>71</v>
      </c>
      <c r="Q59" s="14">
        <v>0.9</v>
      </c>
      <c r="R59" s="2"/>
      <c r="S59" s="11">
        <v>999</v>
      </c>
      <c r="T59" s="14">
        <v>12.1</v>
      </c>
    </row>
    <row r="60" spans="1:20">
      <c r="A60" s="1" t="s">
        <v>457</v>
      </c>
      <c r="B60" s="11">
        <v>8104</v>
      </c>
      <c r="C60" s="11">
        <v>7015</v>
      </c>
      <c r="D60" s="14">
        <v>86.6</v>
      </c>
      <c r="E60" s="11">
        <v>6171</v>
      </c>
      <c r="F60" s="14">
        <v>76.099999999999994</v>
      </c>
      <c r="G60" s="11">
        <v>5571</v>
      </c>
      <c r="H60" s="14">
        <v>68.7</v>
      </c>
      <c r="I60" s="2"/>
      <c r="J60" s="11">
        <v>604</v>
      </c>
      <c r="K60" s="14">
        <v>7.5</v>
      </c>
      <c r="L60" s="2"/>
      <c r="M60" s="11">
        <v>1089</v>
      </c>
      <c r="N60" s="14">
        <v>13.4</v>
      </c>
      <c r="O60" s="2"/>
      <c r="P60" s="11">
        <v>69</v>
      </c>
      <c r="Q60" s="14">
        <v>0.8</v>
      </c>
      <c r="R60" s="2"/>
      <c r="S60" s="11">
        <v>1090</v>
      </c>
      <c r="T60" s="14">
        <v>13.4</v>
      </c>
    </row>
    <row r="61" spans="1:20">
      <c r="A61" s="1" t="s">
        <v>458</v>
      </c>
      <c r="B61" s="11">
        <v>8092</v>
      </c>
      <c r="C61" s="11">
        <v>6763</v>
      </c>
      <c r="D61" s="14">
        <v>83.6</v>
      </c>
      <c r="E61" s="11">
        <v>5990</v>
      </c>
      <c r="F61" s="14">
        <v>74</v>
      </c>
      <c r="G61" s="11">
        <v>5331</v>
      </c>
      <c r="H61" s="14">
        <v>65.900000000000006</v>
      </c>
      <c r="I61" s="2"/>
      <c r="J61" s="11">
        <v>499</v>
      </c>
      <c r="K61" s="14">
        <v>6.2</v>
      </c>
      <c r="L61" s="2"/>
      <c r="M61" s="11">
        <v>933</v>
      </c>
      <c r="N61" s="14">
        <v>11.5</v>
      </c>
      <c r="O61" s="2"/>
      <c r="P61" s="11">
        <v>94</v>
      </c>
      <c r="Q61" s="14">
        <v>1.2</v>
      </c>
      <c r="R61" s="2"/>
      <c r="S61" s="11">
        <v>1329</v>
      </c>
      <c r="T61" s="14">
        <v>16.399999999999999</v>
      </c>
    </row>
    <row r="62" spans="1:20" ht="18">
      <c r="A62" s="1" t="s">
        <v>459</v>
      </c>
      <c r="B62" s="11">
        <v>7977</v>
      </c>
      <c r="C62" s="11">
        <v>6657</v>
      </c>
      <c r="D62" s="14">
        <v>83.5</v>
      </c>
      <c r="E62" s="11">
        <v>5873</v>
      </c>
      <c r="F62" s="14">
        <v>73.599999999999994</v>
      </c>
      <c r="G62" s="11">
        <v>5252</v>
      </c>
      <c r="H62" s="14">
        <v>65.8</v>
      </c>
      <c r="I62" s="2"/>
      <c r="J62" s="11">
        <v>626</v>
      </c>
      <c r="K62" s="14">
        <v>7.9</v>
      </c>
      <c r="L62" s="2"/>
      <c r="M62" s="11">
        <v>964</v>
      </c>
      <c r="N62" s="14">
        <v>12.1</v>
      </c>
      <c r="O62" s="2"/>
      <c r="P62" s="11">
        <v>87</v>
      </c>
      <c r="Q62" s="14">
        <v>1.1000000000000001</v>
      </c>
      <c r="R62" s="2"/>
      <c r="S62" s="11">
        <v>1320</v>
      </c>
      <c r="T62" s="14">
        <v>16.5</v>
      </c>
    </row>
    <row r="63" spans="1:20">
      <c r="A63" s="1" t="s">
        <v>460</v>
      </c>
      <c r="B63" s="11">
        <v>7863</v>
      </c>
      <c r="C63" s="11">
        <v>6546</v>
      </c>
      <c r="D63" s="14">
        <v>83.2</v>
      </c>
      <c r="E63" s="11">
        <v>5776</v>
      </c>
      <c r="F63" s="14">
        <v>73.5</v>
      </c>
      <c r="G63" s="11">
        <v>5132</v>
      </c>
      <c r="H63" s="14">
        <v>65.3</v>
      </c>
      <c r="I63" s="2"/>
      <c r="J63" s="11">
        <v>617</v>
      </c>
      <c r="K63" s="14">
        <v>7.8</v>
      </c>
      <c r="L63" s="2"/>
      <c r="M63" s="11">
        <v>1044</v>
      </c>
      <c r="N63" s="14">
        <v>13.3</v>
      </c>
      <c r="O63" s="2"/>
      <c r="P63" s="11">
        <v>146</v>
      </c>
      <c r="Q63" s="14">
        <v>1.9</v>
      </c>
      <c r="R63" s="2"/>
      <c r="S63" s="11">
        <v>1317</v>
      </c>
      <c r="T63" s="14">
        <v>16.8</v>
      </c>
    </row>
    <row r="64" spans="1:20">
      <c r="A64" s="1" t="s">
        <v>461</v>
      </c>
      <c r="B64" s="11">
        <v>7903</v>
      </c>
      <c r="C64" s="11">
        <v>6782</v>
      </c>
      <c r="D64" s="14">
        <v>85.8</v>
      </c>
      <c r="E64" s="11">
        <v>5972</v>
      </c>
      <c r="F64" s="14">
        <v>75.599999999999994</v>
      </c>
      <c r="G64" s="11">
        <v>5262</v>
      </c>
      <c r="H64" s="14">
        <v>66.599999999999994</v>
      </c>
      <c r="I64" s="2"/>
      <c r="J64" s="11">
        <v>560</v>
      </c>
      <c r="K64" s="14">
        <v>7.1</v>
      </c>
      <c r="L64" s="2"/>
      <c r="M64" s="11">
        <v>1103</v>
      </c>
      <c r="N64" s="14">
        <v>14</v>
      </c>
      <c r="O64" s="2"/>
      <c r="P64" s="11">
        <v>94</v>
      </c>
      <c r="Q64" s="14">
        <v>1.2</v>
      </c>
      <c r="R64" s="2"/>
      <c r="S64" s="11">
        <v>1121</v>
      </c>
      <c r="T64" s="14">
        <v>14.2</v>
      </c>
    </row>
    <row r="65" spans="1:20" ht="18">
      <c r="A65" s="1" t="s">
        <v>462</v>
      </c>
      <c r="B65" s="11">
        <v>7929</v>
      </c>
      <c r="C65" s="11">
        <v>6895</v>
      </c>
      <c r="D65" s="14">
        <v>87</v>
      </c>
      <c r="E65" s="11">
        <v>6006</v>
      </c>
      <c r="F65" s="14">
        <v>75.7</v>
      </c>
      <c r="G65" s="11">
        <v>5318</v>
      </c>
      <c r="H65" s="14">
        <v>67.099999999999994</v>
      </c>
      <c r="I65" s="2"/>
      <c r="J65" s="11">
        <v>680</v>
      </c>
      <c r="K65" s="14">
        <v>8.6</v>
      </c>
      <c r="L65" s="2"/>
      <c r="M65" s="11">
        <v>1013</v>
      </c>
      <c r="N65" s="14">
        <v>12.8</v>
      </c>
      <c r="O65" s="2"/>
      <c r="P65" s="11">
        <v>115</v>
      </c>
      <c r="Q65" s="14">
        <v>1.4</v>
      </c>
      <c r="R65" s="2"/>
      <c r="S65" s="11">
        <v>1034</v>
      </c>
      <c r="T65" s="14">
        <v>13</v>
      </c>
    </row>
    <row r="66" spans="1:20" ht="18">
      <c r="A66" s="1" t="s">
        <v>471</v>
      </c>
      <c r="B66" s="11">
        <v>7972</v>
      </c>
      <c r="C66" s="11">
        <v>6883</v>
      </c>
      <c r="D66" s="14">
        <v>86.3</v>
      </c>
      <c r="E66" s="11">
        <v>6025</v>
      </c>
      <c r="F66" s="14">
        <v>75.599999999999994</v>
      </c>
      <c r="G66" s="11">
        <v>4862</v>
      </c>
      <c r="H66" s="14">
        <v>61</v>
      </c>
      <c r="I66" s="2"/>
      <c r="J66" s="11">
        <v>765</v>
      </c>
      <c r="K66" s="14">
        <v>9.6</v>
      </c>
      <c r="L66" s="2"/>
      <c r="M66" s="11">
        <v>1040</v>
      </c>
      <c r="N66" s="14">
        <v>13</v>
      </c>
      <c r="O66" s="2"/>
      <c r="P66" s="11">
        <v>108</v>
      </c>
      <c r="Q66" s="14">
        <v>1.4</v>
      </c>
      <c r="R66" s="2"/>
      <c r="S66" s="11">
        <v>1089</v>
      </c>
      <c r="T66" s="14">
        <v>13.7</v>
      </c>
    </row>
    <row r="67" spans="1:20" ht="18">
      <c r="A67" s="1" t="s">
        <v>472</v>
      </c>
      <c r="B67" s="11">
        <v>7806</v>
      </c>
      <c r="C67" s="11">
        <v>6771</v>
      </c>
      <c r="D67" s="14">
        <v>86.7</v>
      </c>
      <c r="E67" s="11">
        <v>5930</v>
      </c>
      <c r="F67" s="14">
        <v>76</v>
      </c>
      <c r="G67" s="11">
        <v>5032</v>
      </c>
      <c r="H67" s="14">
        <v>64.5</v>
      </c>
      <c r="I67" s="2"/>
      <c r="J67" s="11">
        <v>606</v>
      </c>
      <c r="K67" s="14">
        <v>7.8</v>
      </c>
      <c r="L67" s="2"/>
      <c r="M67" s="11">
        <v>1034</v>
      </c>
      <c r="N67" s="14">
        <v>13.2</v>
      </c>
      <c r="O67" s="2"/>
      <c r="P67" s="11">
        <v>123</v>
      </c>
      <c r="Q67" s="14">
        <v>1.6</v>
      </c>
      <c r="R67" s="2"/>
      <c r="S67" s="11">
        <v>1035</v>
      </c>
      <c r="T67" s="14">
        <v>13.3</v>
      </c>
    </row>
    <row r="68" spans="1:20">
      <c r="A68" s="1" t="s">
        <v>463</v>
      </c>
      <c r="B68" s="11">
        <v>7738</v>
      </c>
      <c r="C68" s="11">
        <v>6901</v>
      </c>
      <c r="D68" s="14">
        <v>89.2</v>
      </c>
      <c r="E68" s="11">
        <v>6168</v>
      </c>
      <c r="F68" s="14">
        <v>79.7</v>
      </c>
      <c r="G68" s="11">
        <v>5360</v>
      </c>
      <c r="H68" s="14">
        <v>69.3</v>
      </c>
      <c r="I68" s="2"/>
      <c r="J68" s="11">
        <v>567</v>
      </c>
      <c r="K68" s="14">
        <v>7.3</v>
      </c>
      <c r="L68" s="2"/>
      <c r="M68" s="11">
        <v>1027</v>
      </c>
      <c r="N68" s="14">
        <v>13.3</v>
      </c>
      <c r="O68" s="2"/>
      <c r="P68" s="11">
        <v>104</v>
      </c>
      <c r="Q68" s="14">
        <v>1.3</v>
      </c>
      <c r="R68" s="2"/>
      <c r="S68" s="11">
        <v>838</v>
      </c>
      <c r="T68" s="14">
        <v>10.8</v>
      </c>
    </row>
    <row r="69" spans="1:20">
      <c r="A69" s="99" t="s">
        <v>464</v>
      </c>
      <c r="B69" s="11">
        <v>7747</v>
      </c>
      <c r="C69" s="11">
        <v>6974</v>
      </c>
      <c r="D69" s="14">
        <v>90</v>
      </c>
      <c r="E69" s="11">
        <v>6212</v>
      </c>
      <c r="F69" s="14">
        <v>80.2</v>
      </c>
      <c r="G69" s="11">
        <v>5233</v>
      </c>
      <c r="H69" s="14">
        <v>67.599999999999994</v>
      </c>
      <c r="I69" s="2"/>
      <c r="J69" s="2">
        <v>572</v>
      </c>
      <c r="K69" s="14">
        <v>7.4</v>
      </c>
      <c r="L69" s="2"/>
      <c r="M69" s="11">
        <v>1025</v>
      </c>
      <c r="N69" s="14">
        <v>13.2</v>
      </c>
      <c r="O69" s="2"/>
      <c r="P69" s="2">
        <v>86</v>
      </c>
      <c r="Q69" s="14">
        <v>1.1000000000000001</v>
      </c>
      <c r="R69" s="2"/>
      <c r="S69" s="2">
        <v>773</v>
      </c>
      <c r="T69" s="14">
        <v>10</v>
      </c>
    </row>
    <row r="70" spans="1:2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8">
      <c r="A71" s="2" t="s">
        <v>481</v>
      </c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8">
      <c r="A72" s="2" t="s">
        <v>473</v>
      </c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8">
      <c r="A73" s="2" t="s">
        <v>474</v>
      </c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8">
      <c r="A74" s="2" t="s">
        <v>475</v>
      </c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>
      <c r="A75" s="2" t="s">
        <v>15</v>
      </c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8">
      <c r="A76" s="2" t="s">
        <v>476</v>
      </c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>
      <c r="A77" s="2" t="s">
        <v>16</v>
      </c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>
      <c r="A78" s="2" t="s">
        <v>376</v>
      </c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8">
      <c r="A79" s="2" t="s">
        <v>477</v>
      </c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8">
      <c r="A80" s="2" t="s">
        <v>478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8">
      <c r="A81" s="2" t="s">
        <v>479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>
      <c r="A82" s="2" t="s">
        <v>18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8">
      <c r="A83" s="2" t="s">
        <v>480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>
      <c r="A84" s="17" t="s">
        <v>445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6" spans="1:20">
      <c r="A86" s="228" t="s">
        <v>591</v>
      </c>
    </row>
    <row r="87" spans="1:20">
      <c r="A87" s="1" t="s">
        <v>1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>
      <c r="A89" s="3"/>
      <c r="B89" s="4"/>
      <c r="C89" s="5" t="s">
        <v>2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6"/>
      <c r="S89" s="4"/>
      <c r="T89" s="4"/>
    </row>
    <row r="90" spans="1:20">
      <c r="A90" s="2"/>
      <c r="B90" s="2"/>
      <c r="C90" s="2"/>
      <c r="D90" s="2"/>
      <c r="E90" s="5" t="s">
        <v>3</v>
      </c>
      <c r="F90" s="5"/>
      <c r="G90" s="5"/>
      <c r="H90" s="5"/>
      <c r="I90" s="2"/>
      <c r="J90" s="5" t="s">
        <v>4</v>
      </c>
      <c r="K90" s="5"/>
      <c r="L90" s="5"/>
      <c r="M90" s="5"/>
      <c r="N90" s="5"/>
      <c r="O90" s="5"/>
      <c r="P90" s="5"/>
      <c r="Q90" s="5"/>
      <c r="R90" s="2"/>
      <c r="S90" s="2"/>
      <c r="T90" s="2"/>
    </row>
    <row r="91" spans="1:20" ht="18">
      <c r="A91" s="1" t="s">
        <v>5</v>
      </c>
      <c r="B91" s="2"/>
      <c r="C91" s="2"/>
      <c r="D91" s="2"/>
      <c r="E91" s="2"/>
      <c r="F91" s="2"/>
      <c r="G91" s="5" t="s">
        <v>6</v>
      </c>
      <c r="H91" s="5"/>
      <c r="I91" s="2"/>
      <c r="J91" s="7" t="s">
        <v>7</v>
      </c>
      <c r="K91" s="7"/>
      <c r="L91" s="2"/>
      <c r="M91" s="7" t="s">
        <v>8</v>
      </c>
      <c r="N91" s="7"/>
      <c r="O91" s="7" t="s">
        <v>465</v>
      </c>
      <c r="P91" s="7"/>
      <c r="Q91" s="7"/>
      <c r="R91" s="2"/>
      <c r="S91" s="5" t="s">
        <v>9</v>
      </c>
      <c r="T91" s="5"/>
    </row>
    <row r="92" spans="1:20">
      <c r="A92" s="8"/>
      <c r="B92" s="9" t="s">
        <v>10</v>
      </c>
      <c r="C92" s="9" t="s">
        <v>11</v>
      </c>
      <c r="D92" s="9" t="s">
        <v>12</v>
      </c>
      <c r="E92" s="9" t="s">
        <v>11</v>
      </c>
      <c r="F92" s="9" t="s">
        <v>12</v>
      </c>
      <c r="G92" s="9" t="s">
        <v>11</v>
      </c>
      <c r="H92" s="9" t="s">
        <v>12</v>
      </c>
      <c r="I92" s="8"/>
      <c r="J92" s="9" t="s">
        <v>11</v>
      </c>
      <c r="K92" s="9" t="s">
        <v>12</v>
      </c>
      <c r="L92" s="9"/>
      <c r="M92" s="9" t="s">
        <v>11</v>
      </c>
      <c r="N92" s="9" t="s">
        <v>12</v>
      </c>
      <c r="O92" s="9"/>
      <c r="P92" s="9" t="s">
        <v>11</v>
      </c>
      <c r="Q92" s="9" t="s">
        <v>12</v>
      </c>
      <c r="R92" s="9"/>
      <c r="S92" s="9" t="s">
        <v>11</v>
      </c>
      <c r="T92" s="9" t="s">
        <v>12</v>
      </c>
    </row>
    <row r="93" spans="1:2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>
      <c r="A94" s="10" t="s">
        <v>13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>
      <c r="A95" s="1" t="s">
        <v>590</v>
      </c>
      <c r="B95" s="11">
        <f>'[2]HI-05'!C12</f>
        <v>78075</v>
      </c>
      <c r="C95" s="11">
        <f>'[2]HI-05'!D12</f>
        <v>74151</v>
      </c>
      <c r="D95" s="12">
        <f>'[2]HI-05'!E12</f>
        <v>95</v>
      </c>
      <c r="E95" s="11">
        <f>'[2]HI-05'!F12</f>
        <v>46812</v>
      </c>
      <c r="F95" s="12">
        <f>'[2]HI-05'!G12</f>
        <v>60</v>
      </c>
      <c r="G95" s="11">
        <f>'[2]HI-05'!H12</f>
        <v>40583</v>
      </c>
      <c r="H95" s="12">
        <f>'[2]HI-05'!I12</f>
        <v>52</v>
      </c>
      <c r="I95" s="2"/>
      <c r="J95" s="11">
        <f>'[2]HI-05'!P12</f>
        <v>30132</v>
      </c>
      <c r="K95" s="12">
        <f>'[2]HI-05'!Q12</f>
        <v>38.6</v>
      </c>
      <c r="L95" s="2"/>
      <c r="M95" s="11">
        <f>'[2]HI-05'!T12</f>
        <v>520</v>
      </c>
      <c r="N95" s="12">
        <f>'[2]HI-05'!U12</f>
        <v>0.7</v>
      </c>
      <c r="O95" s="2"/>
      <c r="P95" s="11">
        <f>'[2]HI-05'!Z12</f>
        <v>96</v>
      </c>
      <c r="Q95" s="12">
        <f>'[2]HI-05'!AA12</f>
        <v>0.1</v>
      </c>
      <c r="R95" s="2"/>
      <c r="S95" s="11">
        <f>'[2]HI-05'!AB12</f>
        <v>3925</v>
      </c>
      <c r="T95" s="12">
        <f>'[2]HI-05'!AC12</f>
        <v>5</v>
      </c>
    </row>
    <row r="96" spans="1:20" ht="18">
      <c r="A96" s="231" t="s">
        <v>537</v>
      </c>
      <c r="B96" s="229">
        <v>78038</v>
      </c>
      <c r="C96" s="229">
        <v>74389</v>
      </c>
      <c r="D96" s="279">
        <v>95.3</v>
      </c>
      <c r="E96" s="229">
        <v>46658</v>
      </c>
      <c r="F96" s="230">
        <v>59.8</v>
      </c>
      <c r="G96" s="229">
        <v>40080</v>
      </c>
      <c r="H96" s="279">
        <v>51.4</v>
      </c>
      <c r="I96" s="181"/>
      <c r="J96" s="229">
        <v>30551</v>
      </c>
      <c r="K96" s="279">
        <v>39.1</v>
      </c>
      <c r="L96" s="181"/>
      <c r="M96" s="229">
        <v>495</v>
      </c>
      <c r="N96" s="279">
        <v>0.6</v>
      </c>
      <c r="O96" s="181"/>
      <c r="P96" s="229">
        <v>106</v>
      </c>
      <c r="Q96" s="279">
        <v>0.1</v>
      </c>
      <c r="R96" s="181"/>
      <c r="S96" s="229">
        <v>3649</v>
      </c>
      <c r="T96" s="279">
        <v>4.7</v>
      </c>
    </row>
    <row r="97" spans="1:20">
      <c r="A97" s="1" t="s">
        <v>493</v>
      </c>
      <c r="B97" s="11">
        <v>73492</v>
      </c>
      <c r="C97" s="11">
        <v>69958</v>
      </c>
      <c r="D97" s="12">
        <v>95.2</v>
      </c>
      <c r="E97" s="11">
        <v>43313</v>
      </c>
      <c r="F97" s="14">
        <v>58.9</v>
      </c>
      <c r="G97" s="11">
        <v>37344</v>
      </c>
      <c r="H97" s="12">
        <v>50.8</v>
      </c>
      <c r="I97" s="2"/>
      <c r="J97" s="11">
        <v>29213</v>
      </c>
      <c r="K97" s="12">
        <v>39.700000000000003</v>
      </c>
      <c r="L97" s="2"/>
      <c r="M97" s="11">
        <v>443</v>
      </c>
      <c r="N97" s="12">
        <v>0.6</v>
      </c>
      <c r="O97" s="2"/>
      <c r="P97" s="11">
        <v>86</v>
      </c>
      <c r="Q97" s="12">
        <v>0.1</v>
      </c>
      <c r="R97" s="2"/>
      <c r="S97" s="11">
        <v>3534</v>
      </c>
      <c r="T97" s="12">
        <v>4.8</v>
      </c>
    </row>
    <row r="98" spans="1:20">
      <c r="A98" s="1" t="s">
        <v>466</v>
      </c>
      <c r="B98" s="11">
        <v>73440</v>
      </c>
      <c r="C98" s="11">
        <v>69044</v>
      </c>
      <c r="D98" s="12">
        <v>94</v>
      </c>
      <c r="E98" s="11">
        <v>42978</v>
      </c>
      <c r="F98" s="14">
        <v>58.5</v>
      </c>
      <c r="G98" s="11">
        <v>37288</v>
      </c>
      <c r="H98" s="12">
        <v>50.8</v>
      </c>
      <c r="I98" s="2"/>
      <c r="J98" s="11">
        <v>28461</v>
      </c>
      <c r="K98" s="12">
        <v>38.799999999999997</v>
      </c>
      <c r="L98" s="2"/>
      <c r="M98" s="11">
        <v>434</v>
      </c>
      <c r="N98" s="12">
        <v>0.6</v>
      </c>
      <c r="O98" s="2"/>
      <c r="P98" s="11">
        <v>69</v>
      </c>
      <c r="Q98" s="12">
        <v>0.1</v>
      </c>
      <c r="R98" s="2"/>
      <c r="S98" s="11">
        <v>4397</v>
      </c>
      <c r="T98" s="12">
        <v>6</v>
      </c>
    </row>
    <row r="99" spans="1:20" ht="18">
      <c r="A99" s="1" t="s">
        <v>467</v>
      </c>
      <c r="B99" s="11">
        <v>73446.062000000005</v>
      </c>
      <c r="C99" s="11">
        <v>68211.73</v>
      </c>
      <c r="D99" s="12">
        <v>92.873230000000007</v>
      </c>
      <c r="E99" s="11">
        <v>42661.942999999999</v>
      </c>
      <c r="F99" s="14">
        <v>58.086086000000002</v>
      </c>
      <c r="G99" s="11">
        <v>37190.921999999999</v>
      </c>
      <c r="H99" s="12">
        <v>50.637053999999999</v>
      </c>
      <c r="I99" s="2"/>
      <c r="J99" s="11">
        <v>27856.31</v>
      </c>
      <c r="K99" s="12">
        <v>37.927574999999997</v>
      </c>
      <c r="L99" s="2"/>
      <c r="M99" s="11">
        <v>451.35700000000003</v>
      </c>
      <c r="N99" s="12">
        <v>0.61454209999999998</v>
      </c>
      <c r="O99" s="2"/>
      <c r="P99" s="11">
        <v>88.585999999999999</v>
      </c>
      <c r="Q99" s="12">
        <v>0.1206137</v>
      </c>
      <c r="R99" s="2"/>
      <c r="S99" s="11">
        <v>5234.3320000000003</v>
      </c>
      <c r="T99" s="12">
        <v>7.1267700999999999</v>
      </c>
    </row>
    <row r="100" spans="1:20">
      <c r="A100" s="1" t="s">
        <v>446</v>
      </c>
      <c r="B100" s="11">
        <v>74187.132540999999</v>
      </c>
      <c r="C100" s="11">
        <v>67601.266763000007</v>
      </c>
      <c r="D100" s="12">
        <v>91.122630634000004</v>
      </c>
      <c r="E100" s="11">
        <v>44585.994168999998</v>
      </c>
      <c r="F100" s="14">
        <v>60.099363113000003</v>
      </c>
      <c r="G100" s="11">
        <v>41095.386426999998</v>
      </c>
      <c r="H100" s="12">
        <v>55.394224063999999</v>
      </c>
      <c r="I100" s="2"/>
      <c r="J100" s="11">
        <v>26610.459459999998</v>
      </c>
      <c r="K100" s="12">
        <v>35.869373230000001</v>
      </c>
      <c r="L100" s="2"/>
      <c r="M100" s="11">
        <v>764.0208993</v>
      </c>
      <c r="N100" s="12">
        <v>1.0298563553</v>
      </c>
      <c r="O100" s="2"/>
      <c r="P100" s="11">
        <v>2595.3606421</v>
      </c>
      <c r="Q100" s="12">
        <v>3.4983973004000002</v>
      </c>
      <c r="R100" s="2"/>
      <c r="S100" s="11">
        <v>6585.8657780000003</v>
      </c>
      <c r="T100" s="12">
        <v>8.8773693664</v>
      </c>
    </row>
    <row r="101" spans="1:20">
      <c r="A101" s="1" t="s">
        <v>447</v>
      </c>
      <c r="B101" s="11">
        <v>74107.856862999994</v>
      </c>
      <c r="C101" s="11">
        <v>67143.400064999994</v>
      </c>
      <c r="D101" s="12">
        <v>90.602269324000005</v>
      </c>
      <c r="E101" s="11">
        <v>44047.172532999997</v>
      </c>
      <c r="F101" s="14">
        <v>59.436575820000002</v>
      </c>
      <c r="G101" s="11">
        <v>40561.081804000001</v>
      </c>
      <c r="H101" s="12">
        <v>54.732498712999998</v>
      </c>
      <c r="I101" s="2"/>
      <c r="J101" s="11">
        <v>26345.238415</v>
      </c>
      <c r="K101" s="12">
        <v>35.549858718999999</v>
      </c>
      <c r="L101" s="2"/>
      <c r="M101" s="11">
        <v>611.32287770000005</v>
      </c>
      <c r="N101" s="12">
        <v>0.82490967029999995</v>
      </c>
      <c r="O101" s="2"/>
      <c r="P101" s="11">
        <v>2585.5142427000001</v>
      </c>
      <c r="Q101" s="12">
        <v>3.4888530746000002</v>
      </c>
      <c r="R101" s="2"/>
      <c r="S101" s="11">
        <v>6964.4567974000001</v>
      </c>
      <c r="T101" s="12">
        <v>9.3977306756000001</v>
      </c>
    </row>
    <row r="102" spans="1:20">
      <c r="A102" s="1" t="s">
        <v>448</v>
      </c>
      <c r="B102" s="11">
        <v>74915.877962401122</v>
      </c>
      <c r="C102" s="11">
        <v>67609.189844001114</v>
      </c>
      <c r="D102" s="12">
        <v>90.246809732287858</v>
      </c>
      <c r="E102" s="11">
        <v>44620.035572800167</v>
      </c>
      <c r="F102" s="14">
        <v>59.560185085455622</v>
      </c>
      <c r="G102" s="11">
        <v>41082.920474000028</v>
      </c>
      <c r="H102" s="12">
        <v>54.83873591472662</v>
      </c>
      <c r="I102" s="2"/>
      <c r="J102" s="11">
        <v>26066.662769699935</v>
      </c>
      <c r="K102" s="12">
        <v>34.794576902352134</v>
      </c>
      <c r="L102" s="2"/>
      <c r="M102" s="11">
        <v>602.04133379999973</v>
      </c>
      <c r="N102" s="12">
        <v>0.80362314395107681</v>
      </c>
      <c r="O102" s="2"/>
      <c r="P102" s="11">
        <v>2460.9246781999973</v>
      </c>
      <c r="Q102" s="12">
        <v>3.2849173568186565</v>
      </c>
      <c r="R102" s="2"/>
      <c r="S102" s="11">
        <v>7306.6881184000067</v>
      </c>
      <c r="T102" s="12">
        <v>9.7531902677121352</v>
      </c>
    </row>
    <row r="103" spans="1:20">
      <c r="A103" s="1" t="s">
        <v>449</v>
      </c>
      <c r="B103" s="11">
        <v>75040</v>
      </c>
      <c r="C103" s="11">
        <v>67527</v>
      </c>
      <c r="D103" s="12">
        <v>90</v>
      </c>
      <c r="E103" s="11">
        <v>45288</v>
      </c>
      <c r="F103" s="2">
        <v>60.4</v>
      </c>
      <c r="G103" s="11">
        <v>41892</v>
      </c>
      <c r="H103" s="12">
        <v>55.8</v>
      </c>
      <c r="I103" s="2"/>
      <c r="J103" s="11">
        <v>25331</v>
      </c>
      <c r="K103" s="12">
        <v>33.799999999999997</v>
      </c>
      <c r="L103" s="2"/>
      <c r="M103" s="2">
        <v>543</v>
      </c>
      <c r="N103" s="12">
        <v>0.7</v>
      </c>
      <c r="O103" s="2"/>
      <c r="P103" s="11">
        <v>2365</v>
      </c>
      <c r="Q103" s="12">
        <v>3.2</v>
      </c>
      <c r="R103" s="2"/>
      <c r="S103" s="11">
        <v>7513</v>
      </c>
      <c r="T103" s="12">
        <v>10</v>
      </c>
    </row>
    <row r="104" spans="1:20">
      <c r="A104" s="1" t="s">
        <v>450</v>
      </c>
      <c r="B104" s="11">
        <v>74510</v>
      </c>
      <c r="C104" s="11">
        <v>67161</v>
      </c>
      <c r="D104" s="12">
        <v>90.1</v>
      </c>
      <c r="E104" s="11">
        <v>47282</v>
      </c>
      <c r="F104" s="2">
        <v>63.5</v>
      </c>
      <c r="G104" s="11">
        <v>43874</v>
      </c>
      <c r="H104" s="12">
        <v>58.9</v>
      </c>
      <c r="I104" s="2"/>
      <c r="J104" s="11">
        <v>22555</v>
      </c>
      <c r="K104" s="12">
        <v>30.3</v>
      </c>
      <c r="L104" s="2"/>
      <c r="M104" s="2">
        <v>623</v>
      </c>
      <c r="N104" s="12">
        <v>0.8</v>
      </c>
      <c r="O104" s="2"/>
      <c r="P104" s="11">
        <v>2241</v>
      </c>
      <c r="Q104" s="12">
        <v>3</v>
      </c>
      <c r="R104" s="2"/>
      <c r="S104" s="11">
        <v>7348</v>
      </c>
      <c r="T104" s="12">
        <v>9.9</v>
      </c>
    </row>
    <row r="105" spans="1:20">
      <c r="A105" s="1" t="s">
        <v>451</v>
      </c>
      <c r="B105" s="11">
        <v>74403</v>
      </c>
      <c r="C105" s="11">
        <v>66254</v>
      </c>
      <c r="D105" s="12">
        <v>89</v>
      </c>
      <c r="E105" s="11">
        <v>47750</v>
      </c>
      <c r="F105" s="2">
        <v>64.2</v>
      </c>
      <c r="G105" s="11">
        <v>44252</v>
      </c>
      <c r="H105" s="12">
        <v>59.5</v>
      </c>
      <c r="I105" s="2"/>
      <c r="J105" s="11">
        <v>20899</v>
      </c>
      <c r="K105" s="12">
        <v>28.1</v>
      </c>
      <c r="L105" s="2"/>
      <c r="M105" s="2">
        <v>518</v>
      </c>
      <c r="N105" s="12">
        <v>0.7</v>
      </c>
      <c r="O105" s="2"/>
      <c r="P105" s="11">
        <v>2101</v>
      </c>
      <c r="Q105" s="12">
        <v>2.8</v>
      </c>
      <c r="R105" s="2"/>
      <c r="S105" s="11">
        <v>8149</v>
      </c>
      <c r="T105" s="12">
        <v>11</v>
      </c>
    </row>
    <row r="106" spans="1:20">
      <c r="A106" s="1" t="s">
        <v>452</v>
      </c>
      <c r="B106" s="11">
        <v>74101</v>
      </c>
      <c r="C106" s="11">
        <v>65440</v>
      </c>
      <c r="D106" s="12">
        <v>88.3</v>
      </c>
      <c r="E106" s="11">
        <v>47906</v>
      </c>
      <c r="F106" s="2">
        <v>64.599999999999994</v>
      </c>
      <c r="G106" s="11">
        <v>44257</v>
      </c>
      <c r="H106" s="12">
        <v>59.7</v>
      </c>
      <c r="I106" s="2"/>
      <c r="J106" s="11">
        <v>20067</v>
      </c>
      <c r="K106" s="12">
        <v>27.1</v>
      </c>
      <c r="L106" s="2"/>
      <c r="M106" s="2">
        <v>411</v>
      </c>
      <c r="N106" s="12">
        <v>0.6</v>
      </c>
      <c r="O106" s="2"/>
      <c r="P106" s="11">
        <v>2058</v>
      </c>
      <c r="Q106" s="12">
        <v>2.8</v>
      </c>
      <c r="R106" s="2"/>
      <c r="S106" s="11">
        <v>8661</v>
      </c>
      <c r="T106" s="12">
        <v>11.7</v>
      </c>
    </row>
    <row r="107" spans="1:20">
      <c r="A107" s="1" t="s">
        <v>453</v>
      </c>
      <c r="B107" s="11">
        <v>73985</v>
      </c>
      <c r="C107" s="11">
        <v>65675</v>
      </c>
      <c r="D107" s="12">
        <v>88.8</v>
      </c>
      <c r="E107" s="11">
        <v>48395</v>
      </c>
      <c r="F107" s="2">
        <v>65.400000000000006</v>
      </c>
      <c r="G107" s="11">
        <v>44741</v>
      </c>
      <c r="H107" s="12">
        <v>60.5</v>
      </c>
      <c r="I107" s="2"/>
      <c r="J107" s="11">
        <v>19737</v>
      </c>
      <c r="K107" s="12">
        <v>26.7</v>
      </c>
      <c r="L107" s="2"/>
      <c r="M107" s="2">
        <v>543</v>
      </c>
      <c r="N107" s="12">
        <v>0.7</v>
      </c>
      <c r="O107" s="2"/>
      <c r="P107" s="11">
        <v>2262</v>
      </c>
      <c r="Q107" s="12">
        <v>3.1</v>
      </c>
      <c r="R107" s="2"/>
      <c r="S107" s="11">
        <v>8310</v>
      </c>
      <c r="T107" s="12">
        <v>11.2</v>
      </c>
    </row>
    <row r="108" spans="1:20" ht="18">
      <c r="A108" s="1" t="s">
        <v>468</v>
      </c>
      <c r="B108" s="11">
        <v>73791</v>
      </c>
      <c r="C108" s="11">
        <v>65553</v>
      </c>
      <c r="D108" s="12">
        <v>88.8</v>
      </c>
      <c r="E108" s="11">
        <v>48772</v>
      </c>
      <c r="F108" s="2">
        <v>66.099999999999994</v>
      </c>
      <c r="G108" s="11">
        <v>45041</v>
      </c>
      <c r="H108" s="12">
        <v>61</v>
      </c>
      <c r="I108" s="2"/>
      <c r="J108" s="11">
        <v>19921</v>
      </c>
      <c r="K108" s="12">
        <v>27</v>
      </c>
      <c r="L108" s="2"/>
      <c r="M108" s="2">
        <v>503</v>
      </c>
      <c r="N108" s="12">
        <v>0.7</v>
      </c>
      <c r="O108" s="2"/>
      <c r="P108" s="11">
        <v>2041</v>
      </c>
      <c r="Q108" s="12">
        <v>2.8</v>
      </c>
      <c r="R108" s="2"/>
      <c r="S108" s="11">
        <v>7949</v>
      </c>
      <c r="T108" s="12">
        <v>10.8</v>
      </c>
    </row>
    <row r="109" spans="1:20">
      <c r="A109" s="1" t="s">
        <v>454</v>
      </c>
      <c r="B109" s="11">
        <v>73580</v>
      </c>
      <c r="C109" s="11">
        <v>65207</v>
      </c>
      <c r="D109" s="12">
        <v>88.6</v>
      </c>
      <c r="E109" s="11">
        <v>48475</v>
      </c>
      <c r="F109" s="2">
        <v>65.900000000000006</v>
      </c>
      <c r="G109" s="11">
        <v>45004</v>
      </c>
      <c r="H109" s="12">
        <v>61.2</v>
      </c>
      <c r="I109" s="2"/>
      <c r="J109" s="11">
        <v>19392</v>
      </c>
      <c r="K109" s="12">
        <v>26.4</v>
      </c>
      <c r="L109" s="2"/>
      <c r="M109" s="2">
        <v>483</v>
      </c>
      <c r="N109" s="12">
        <v>0.7</v>
      </c>
      <c r="O109" s="2"/>
      <c r="P109" s="11">
        <v>2021</v>
      </c>
      <c r="Q109" s="12">
        <v>2.7</v>
      </c>
      <c r="R109" s="2"/>
      <c r="S109" s="11">
        <v>8373</v>
      </c>
      <c r="T109" s="12">
        <v>11.4</v>
      </c>
    </row>
    <row r="110" spans="1:20">
      <c r="A110" s="1" t="s">
        <v>455</v>
      </c>
      <c r="B110" s="11">
        <v>73312</v>
      </c>
      <c r="C110" s="11">
        <v>64781</v>
      </c>
      <c r="D110" s="12">
        <v>88.4</v>
      </c>
      <c r="E110" s="11">
        <v>49473</v>
      </c>
      <c r="F110" s="2">
        <v>67.5</v>
      </c>
      <c r="G110" s="11">
        <v>46182</v>
      </c>
      <c r="H110" s="12">
        <v>63</v>
      </c>
      <c r="I110" s="2"/>
      <c r="J110" s="11">
        <v>17526</v>
      </c>
      <c r="K110" s="12">
        <v>23.9</v>
      </c>
      <c r="L110" s="2"/>
      <c r="M110" s="2">
        <v>524</v>
      </c>
      <c r="N110" s="12">
        <v>0.7</v>
      </c>
      <c r="O110" s="2"/>
      <c r="P110" s="11">
        <v>2148</v>
      </c>
      <c r="Q110" s="12">
        <v>2.9</v>
      </c>
      <c r="R110" s="2"/>
      <c r="S110" s="11">
        <v>8531</v>
      </c>
      <c r="T110" s="12">
        <v>11.6</v>
      </c>
    </row>
    <row r="111" spans="1:20">
      <c r="A111" s="1" t="s">
        <v>456</v>
      </c>
      <c r="B111" s="11">
        <v>72628</v>
      </c>
      <c r="C111" s="11">
        <v>64118</v>
      </c>
      <c r="D111" s="12">
        <v>88.3</v>
      </c>
      <c r="E111" s="11">
        <v>49647</v>
      </c>
      <c r="F111" s="12">
        <v>68.400000000000006</v>
      </c>
      <c r="G111" s="11">
        <v>46439</v>
      </c>
      <c r="H111" s="12">
        <v>63.9</v>
      </c>
      <c r="I111" s="2"/>
      <c r="J111" s="11">
        <v>16502</v>
      </c>
      <c r="K111" s="12">
        <v>22.7</v>
      </c>
      <c r="L111" s="2"/>
      <c r="M111" s="11">
        <v>423</v>
      </c>
      <c r="N111" s="12">
        <v>0.6</v>
      </c>
      <c r="O111" s="2"/>
      <c r="P111" s="11">
        <v>2381</v>
      </c>
      <c r="Q111" s="12">
        <v>3.3</v>
      </c>
      <c r="R111" s="2"/>
      <c r="S111" s="11">
        <v>8509</v>
      </c>
      <c r="T111" s="12">
        <v>11.7</v>
      </c>
    </row>
    <row r="112" spans="1:20" ht="18">
      <c r="A112" s="1" t="s">
        <v>469</v>
      </c>
      <c r="B112" s="11">
        <v>72314</v>
      </c>
      <c r="C112" s="11">
        <v>63697</v>
      </c>
      <c r="D112" s="12">
        <v>88.1</v>
      </c>
      <c r="E112" s="11">
        <v>50499</v>
      </c>
      <c r="F112" s="12">
        <v>69.8</v>
      </c>
      <c r="G112" s="11">
        <v>47431</v>
      </c>
      <c r="H112" s="12">
        <v>65.599999999999994</v>
      </c>
      <c r="I112" s="2"/>
      <c r="J112" s="11">
        <v>15090</v>
      </c>
      <c r="K112" s="12">
        <v>20.9</v>
      </c>
      <c r="L112" s="2"/>
      <c r="M112" s="11">
        <v>518</v>
      </c>
      <c r="N112" s="12">
        <v>0.7</v>
      </c>
      <c r="O112" s="2"/>
      <c r="P112" s="11">
        <v>2563</v>
      </c>
      <c r="Q112" s="12">
        <v>3.5</v>
      </c>
      <c r="R112" s="2"/>
      <c r="S112" s="11">
        <v>8617</v>
      </c>
      <c r="T112" s="12">
        <v>11.9</v>
      </c>
    </row>
    <row r="113" spans="1:38" ht="18">
      <c r="A113" s="1" t="s">
        <v>470</v>
      </c>
      <c r="B113" s="11">
        <v>72281</v>
      </c>
      <c r="C113" s="11">
        <v>63180</v>
      </c>
      <c r="D113" s="12">
        <v>87.4</v>
      </c>
      <c r="E113" s="11">
        <v>50300</v>
      </c>
      <c r="F113" s="12">
        <v>69.599999999999994</v>
      </c>
      <c r="G113" s="11">
        <v>46834</v>
      </c>
      <c r="H113" s="12">
        <v>64.8</v>
      </c>
      <c r="I113" s="2"/>
      <c r="J113" s="11">
        <v>14697</v>
      </c>
      <c r="K113" s="12">
        <v>20.3</v>
      </c>
      <c r="L113" s="2"/>
      <c r="M113" s="11">
        <v>364</v>
      </c>
      <c r="N113" s="12">
        <v>0.5</v>
      </c>
      <c r="O113" s="2"/>
      <c r="P113" s="11">
        <v>2076</v>
      </c>
      <c r="Q113" s="12">
        <v>2.9</v>
      </c>
      <c r="R113" s="2"/>
      <c r="S113" s="11">
        <v>9285</v>
      </c>
      <c r="T113" s="12">
        <v>12.8</v>
      </c>
    </row>
    <row r="114" spans="1:38">
      <c r="A114" s="1" t="s">
        <v>457</v>
      </c>
      <c r="B114" s="11">
        <v>72325</v>
      </c>
      <c r="C114" s="11">
        <v>62302</v>
      </c>
      <c r="D114" s="12">
        <v>86.1</v>
      </c>
      <c r="E114" s="11">
        <v>49822</v>
      </c>
      <c r="F114" s="12">
        <v>68.900000000000006</v>
      </c>
      <c r="G114" s="11">
        <v>46594</v>
      </c>
      <c r="H114" s="12">
        <v>64.400000000000006</v>
      </c>
      <c r="I114" s="2"/>
      <c r="J114" s="11">
        <v>14479</v>
      </c>
      <c r="K114" s="12">
        <v>20</v>
      </c>
      <c r="L114" s="2"/>
      <c r="M114" s="11">
        <v>355</v>
      </c>
      <c r="N114" s="12">
        <v>0.5</v>
      </c>
      <c r="O114" s="2"/>
      <c r="P114" s="11">
        <v>2080</v>
      </c>
      <c r="Q114" s="12">
        <v>2.9</v>
      </c>
      <c r="R114" s="2"/>
      <c r="S114" s="11">
        <v>10023</v>
      </c>
      <c r="T114" s="12">
        <v>13.9</v>
      </c>
    </row>
    <row r="115" spans="1:38">
      <c r="A115" s="1" t="s">
        <v>458</v>
      </c>
      <c r="B115" s="11">
        <v>72022</v>
      </c>
      <c r="C115" s="11">
        <v>60949</v>
      </c>
      <c r="D115" s="12">
        <v>84.6</v>
      </c>
      <c r="E115" s="11">
        <v>48627</v>
      </c>
      <c r="F115" s="12">
        <v>67.5</v>
      </c>
      <c r="G115" s="11">
        <v>45593</v>
      </c>
      <c r="H115" s="12">
        <v>63.3</v>
      </c>
      <c r="I115" s="2"/>
      <c r="J115" s="11">
        <v>14274</v>
      </c>
      <c r="K115" s="12">
        <v>19.8</v>
      </c>
      <c r="L115" s="2"/>
      <c r="M115" s="11">
        <v>325</v>
      </c>
      <c r="N115" s="12">
        <v>0.5</v>
      </c>
      <c r="O115" s="2"/>
      <c r="P115" s="11">
        <v>2240</v>
      </c>
      <c r="Q115" s="12">
        <v>3.1</v>
      </c>
      <c r="R115" s="2"/>
      <c r="S115" s="11">
        <v>11073</v>
      </c>
      <c r="T115" s="12">
        <v>15.4</v>
      </c>
    </row>
    <row r="116" spans="1:38" ht="18">
      <c r="A116" s="1" t="s">
        <v>459</v>
      </c>
      <c r="B116" s="11">
        <v>71682</v>
      </c>
      <c r="C116" s="11">
        <v>60939</v>
      </c>
      <c r="D116" s="12">
        <v>85</v>
      </c>
      <c r="E116" s="11">
        <v>47968</v>
      </c>
      <c r="F116" s="12">
        <v>66.900000000000006</v>
      </c>
      <c r="G116" s="11">
        <v>44869</v>
      </c>
      <c r="H116" s="12">
        <v>62.6</v>
      </c>
      <c r="I116" s="2"/>
      <c r="J116" s="11">
        <v>14683</v>
      </c>
      <c r="K116" s="12">
        <v>20.5</v>
      </c>
      <c r="L116" s="2"/>
      <c r="M116" s="11">
        <v>395</v>
      </c>
      <c r="N116" s="12">
        <v>0.6</v>
      </c>
      <c r="O116" s="2"/>
      <c r="P116" s="11">
        <v>2163</v>
      </c>
      <c r="Q116" s="12">
        <v>3</v>
      </c>
      <c r="R116" s="2"/>
      <c r="S116" s="11">
        <v>10743</v>
      </c>
      <c r="T116" s="12">
        <v>15</v>
      </c>
    </row>
    <row r="117" spans="1:38">
      <c r="A117" s="1" t="s">
        <v>460</v>
      </c>
      <c r="B117" s="11">
        <v>71224</v>
      </c>
      <c r="C117" s="11">
        <v>60670</v>
      </c>
      <c r="D117" s="12">
        <v>85.2</v>
      </c>
      <c r="E117" s="11">
        <v>47219</v>
      </c>
      <c r="F117" s="12">
        <v>66.3</v>
      </c>
      <c r="G117" s="11">
        <v>44054</v>
      </c>
      <c r="H117" s="12">
        <v>61.9</v>
      </c>
      <c r="I117" s="2"/>
      <c r="J117" s="11">
        <v>15502</v>
      </c>
      <c r="K117" s="12">
        <v>21.8</v>
      </c>
      <c r="L117" s="2"/>
      <c r="M117" s="11">
        <v>484</v>
      </c>
      <c r="N117" s="12">
        <v>0.7</v>
      </c>
      <c r="O117" s="2"/>
      <c r="P117" s="11">
        <v>2291</v>
      </c>
      <c r="Q117" s="12">
        <v>3.2</v>
      </c>
      <c r="R117" s="2"/>
      <c r="S117" s="11">
        <v>10554</v>
      </c>
      <c r="T117" s="12">
        <v>14.8</v>
      </c>
    </row>
    <row r="118" spans="1:38">
      <c r="A118" s="1" t="s">
        <v>461</v>
      </c>
      <c r="B118" s="11">
        <v>71148</v>
      </c>
      <c r="C118" s="11">
        <v>61353</v>
      </c>
      <c r="D118" s="12">
        <v>86.2</v>
      </c>
      <c r="E118" s="11">
        <v>47021</v>
      </c>
      <c r="F118" s="12">
        <v>66.099999999999994</v>
      </c>
      <c r="G118" s="11">
        <v>43822</v>
      </c>
      <c r="H118" s="12">
        <v>61.6</v>
      </c>
      <c r="I118" s="2"/>
      <c r="J118" s="11">
        <v>16524</v>
      </c>
      <c r="K118" s="12">
        <v>23.2</v>
      </c>
      <c r="L118" s="2"/>
      <c r="M118" s="11">
        <v>348</v>
      </c>
      <c r="N118" s="12">
        <v>0.5</v>
      </c>
      <c r="O118" s="2"/>
      <c r="P118" s="11">
        <v>2336</v>
      </c>
      <c r="Q118" s="12">
        <v>3.3</v>
      </c>
      <c r="R118" s="2"/>
      <c r="S118" s="11">
        <v>9795</v>
      </c>
      <c r="T118" s="12">
        <v>13.8</v>
      </c>
    </row>
    <row r="119" spans="1:38" ht="18">
      <c r="A119" s="1" t="s">
        <v>462</v>
      </c>
      <c r="B119" s="11">
        <v>70509</v>
      </c>
      <c r="C119" s="11">
        <v>60505</v>
      </c>
      <c r="D119" s="12">
        <v>85.8</v>
      </c>
      <c r="E119" s="11">
        <v>46266</v>
      </c>
      <c r="F119" s="12">
        <v>65.599999999999994</v>
      </c>
      <c r="G119" s="11">
        <v>42966</v>
      </c>
      <c r="H119" s="12">
        <v>60.9</v>
      </c>
      <c r="I119" s="2"/>
      <c r="J119" s="11">
        <v>16132</v>
      </c>
      <c r="K119" s="12">
        <v>22.9</v>
      </c>
      <c r="L119" s="2"/>
      <c r="M119" s="11">
        <v>228</v>
      </c>
      <c r="N119" s="12">
        <v>0.3</v>
      </c>
      <c r="O119" s="2"/>
      <c r="P119" s="11">
        <v>2708</v>
      </c>
      <c r="Q119" s="12">
        <v>3.8</v>
      </c>
      <c r="R119" s="2"/>
      <c r="S119" s="11">
        <v>10003</v>
      </c>
      <c r="T119" s="12">
        <v>14.2</v>
      </c>
    </row>
    <row r="120" spans="1:38" ht="18">
      <c r="A120" s="1" t="s">
        <v>471</v>
      </c>
      <c r="B120" s="11">
        <v>69766</v>
      </c>
      <c r="C120" s="11">
        <v>60192</v>
      </c>
      <c r="D120" s="12">
        <v>86.3</v>
      </c>
      <c r="E120" s="11">
        <v>47017</v>
      </c>
      <c r="F120" s="12">
        <v>67.400000000000006</v>
      </c>
      <c r="G120" s="11">
        <v>39745</v>
      </c>
      <c r="H120" s="12">
        <v>57</v>
      </c>
      <c r="I120" s="2"/>
      <c r="J120" s="11">
        <v>16693</v>
      </c>
      <c r="K120" s="12">
        <v>23.9</v>
      </c>
      <c r="L120" s="2"/>
      <c r="M120" s="11">
        <v>48</v>
      </c>
      <c r="N120" s="12">
        <v>0.1</v>
      </c>
      <c r="O120" s="2"/>
      <c r="P120" s="11">
        <v>2307</v>
      </c>
      <c r="Q120" s="12">
        <v>3.3</v>
      </c>
      <c r="R120" s="2"/>
      <c r="S120" s="11">
        <v>9574</v>
      </c>
      <c r="T120" s="12">
        <v>13.7</v>
      </c>
    </row>
    <row r="121" spans="1:38" ht="18">
      <c r="A121" s="1" t="s">
        <v>472</v>
      </c>
      <c r="B121" s="11">
        <v>68720</v>
      </c>
      <c r="C121" s="11">
        <v>60005</v>
      </c>
      <c r="D121" s="12">
        <v>87.3</v>
      </c>
      <c r="E121" s="11">
        <v>47183</v>
      </c>
      <c r="F121" s="12">
        <v>68.7</v>
      </c>
      <c r="G121" s="11">
        <v>40382</v>
      </c>
      <c r="H121" s="12">
        <v>58.8</v>
      </c>
      <c r="I121" s="2"/>
      <c r="J121" s="11">
        <v>15109</v>
      </c>
      <c r="K121" s="12">
        <v>22</v>
      </c>
      <c r="L121" s="2"/>
      <c r="M121" s="11">
        <v>97</v>
      </c>
      <c r="N121" s="12">
        <v>0.1</v>
      </c>
      <c r="O121" s="2"/>
      <c r="P121" s="11">
        <v>2378</v>
      </c>
      <c r="Q121" s="12">
        <v>3.5</v>
      </c>
      <c r="R121" s="2"/>
      <c r="S121" s="11">
        <v>8716</v>
      </c>
      <c r="T121" s="12">
        <v>12.7</v>
      </c>
    </row>
    <row r="122" spans="1:38">
      <c r="A122" s="1" t="s">
        <v>463</v>
      </c>
      <c r="B122" s="11">
        <v>66173</v>
      </c>
      <c r="C122" s="11">
        <v>57794</v>
      </c>
      <c r="D122" s="12">
        <v>87.3</v>
      </c>
      <c r="E122" s="11">
        <v>46114</v>
      </c>
      <c r="F122" s="12">
        <v>69.7</v>
      </c>
      <c r="G122" s="11">
        <v>39683</v>
      </c>
      <c r="H122" s="12">
        <v>60</v>
      </c>
      <c r="I122" s="2"/>
      <c r="J122" s="11">
        <v>13514</v>
      </c>
      <c r="K122" s="12">
        <v>20.399999999999999</v>
      </c>
      <c r="L122" s="2"/>
      <c r="M122" s="11">
        <v>52</v>
      </c>
      <c r="N122" s="12">
        <v>0.1</v>
      </c>
      <c r="O122" s="2"/>
      <c r="P122" s="11">
        <v>2425</v>
      </c>
      <c r="Q122" s="12">
        <v>3.7</v>
      </c>
      <c r="R122" s="2"/>
      <c r="S122" s="11">
        <v>8379</v>
      </c>
      <c r="T122" s="12">
        <v>12.7</v>
      </c>
      <c r="U122" s="11"/>
      <c r="V122" s="12"/>
      <c r="W122" s="11"/>
      <c r="X122" s="12"/>
      <c r="Y122" s="11"/>
      <c r="Z122" s="12"/>
      <c r="AA122" s="2"/>
      <c r="AB122" s="11"/>
      <c r="AC122" s="12"/>
      <c r="AD122" s="2"/>
      <c r="AE122" s="11"/>
      <c r="AF122" s="12"/>
      <c r="AG122" s="2"/>
      <c r="AH122" s="11"/>
      <c r="AI122" s="12"/>
      <c r="AJ122" s="2"/>
      <c r="AK122" s="11"/>
      <c r="AL122" s="12"/>
    </row>
    <row r="123" spans="1:38">
      <c r="A123" s="99" t="s">
        <v>464</v>
      </c>
      <c r="B123" s="11">
        <v>65290</v>
      </c>
      <c r="C123" s="11">
        <v>56786</v>
      </c>
      <c r="D123" s="12">
        <v>87</v>
      </c>
      <c r="E123" s="11">
        <v>46436</v>
      </c>
      <c r="F123" s="12">
        <v>71.099999999999994</v>
      </c>
      <c r="G123" s="11">
        <v>39981</v>
      </c>
      <c r="H123" s="12">
        <v>61.2</v>
      </c>
      <c r="I123" s="2"/>
      <c r="J123" s="11">
        <v>12094</v>
      </c>
      <c r="K123" s="12">
        <v>18.5</v>
      </c>
      <c r="L123" s="2"/>
      <c r="M123" s="11">
        <v>88</v>
      </c>
      <c r="N123" s="12">
        <v>0.1</v>
      </c>
      <c r="O123" s="2"/>
      <c r="P123" s="11">
        <v>2408</v>
      </c>
      <c r="Q123" s="12">
        <v>3.7</v>
      </c>
      <c r="R123" s="2"/>
      <c r="S123" s="11">
        <v>8504</v>
      </c>
      <c r="T123" s="12">
        <v>13</v>
      </c>
      <c r="U123" s="11"/>
      <c r="V123" s="12"/>
      <c r="W123" s="11"/>
      <c r="X123" s="12"/>
      <c r="Y123" s="11"/>
      <c r="Z123" s="12"/>
      <c r="AA123" s="2"/>
      <c r="AB123" s="11"/>
      <c r="AC123" s="12"/>
      <c r="AD123" s="2"/>
      <c r="AE123" s="11"/>
      <c r="AF123" s="12"/>
      <c r="AG123" s="2"/>
      <c r="AH123" s="11"/>
      <c r="AI123" s="12"/>
      <c r="AJ123" s="2"/>
      <c r="AK123" s="11"/>
      <c r="AL123" s="12"/>
    </row>
    <row r="124" spans="1:38">
      <c r="A124" s="1"/>
      <c r="B124" s="11"/>
      <c r="C124" s="11"/>
      <c r="D124" s="12"/>
      <c r="E124" s="11"/>
      <c r="F124" s="12"/>
      <c r="G124" s="11"/>
      <c r="H124" s="12"/>
      <c r="I124" s="2"/>
      <c r="J124" s="11"/>
      <c r="K124" s="12"/>
      <c r="L124" s="2"/>
      <c r="M124" s="11"/>
      <c r="N124" s="12"/>
      <c r="O124" s="2"/>
      <c r="P124" s="11"/>
      <c r="Q124" s="12"/>
      <c r="R124" s="2"/>
      <c r="S124" s="11"/>
      <c r="T124" s="12"/>
    </row>
    <row r="125" spans="1:38">
      <c r="A125" s="10" t="s">
        <v>14</v>
      </c>
      <c r="B125" s="11"/>
      <c r="C125" s="11"/>
      <c r="D125" s="12"/>
      <c r="E125" s="11"/>
      <c r="F125" s="12"/>
      <c r="G125" s="11"/>
      <c r="H125" s="12"/>
      <c r="I125" s="2"/>
      <c r="J125" s="11"/>
      <c r="K125" s="12"/>
      <c r="L125" s="2"/>
      <c r="M125" s="11"/>
      <c r="N125" s="12"/>
      <c r="O125" s="2"/>
      <c r="P125" s="11"/>
      <c r="Q125" s="12"/>
      <c r="R125" s="2"/>
      <c r="S125" s="11"/>
      <c r="T125" s="12"/>
    </row>
    <row r="126" spans="1:38">
      <c r="A126" s="1" t="s">
        <v>590</v>
      </c>
      <c r="B126" s="11">
        <f>'[2]HI-05'!C17</f>
        <v>2094</v>
      </c>
      <c r="C126" s="11">
        <f>'[2]HI-05'!D17</f>
        <v>2015</v>
      </c>
      <c r="D126" s="12">
        <f>'[2]HI-05'!E17</f>
        <v>96.3</v>
      </c>
      <c r="E126" s="11">
        <f>'[2]HI-05'!F17</f>
        <v>1416</v>
      </c>
      <c r="F126" s="12">
        <f>'[2]HI-05'!G17</f>
        <v>67.599999999999994</v>
      </c>
      <c r="G126" s="11">
        <f>'[2]HI-05'!H17</f>
        <v>1279</v>
      </c>
      <c r="H126" s="12">
        <f>'[2]HI-05'!I17</f>
        <v>61.1</v>
      </c>
      <c r="I126" s="2"/>
      <c r="J126" s="11">
        <f>'[2]HI-05'!P17</f>
        <v>662</v>
      </c>
      <c r="K126" s="12">
        <f>'[2]HI-05'!Q17</f>
        <v>31.6</v>
      </c>
      <c r="L126" s="2"/>
      <c r="M126" s="11">
        <f>'[2]HI-05'!T17</f>
        <v>11</v>
      </c>
      <c r="N126" s="12">
        <f>'[2]HI-05'!U17</f>
        <v>0.5</v>
      </c>
      <c r="O126" s="2"/>
      <c r="P126" s="11" t="str">
        <f>'[2]HI-05'!Z17</f>
        <v>Z</v>
      </c>
      <c r="Q126" s="12" t="str">
        <f>'[2]HI-05'!AA17</f>
        <v>Z</v>
      </c>
      <c r="R126" s="2"/>
      <c r="S126" s="11">
        <f>'[2]HI-05'!AB17</f>
        <v>78</v>
      </c>
      <c r="T126" s="12">
        <f>'[2]HI-05'!AC17</f>
        <v>3.7</v>
      </c>
    </row>
    <row r="127" spans="1:38" ht="18">
      <c r="A127" s="231" t="s">
        <v>537</v>
      </c>
      <c r="B127" s="229">
        <v>2094</v>
      </c>
      <c r="C127" s="229">
        <v>2016</v>
      </c>
      <c r="D127" s="279">
        <v>96.3</v>
      </c>
      <c r="E127" s="229">
        <v>1411</v>
      </c>
      <c r="F127" s="279">
        <v>67.400000000000006</v>
      </c>
      <c r="G127" s="229">
        <v>1278</v>
      </c>
      <c r="H127" s="279">
        <v>61.1</v>
      </c>
      <c r="I127" s="181"/>
      <c r="J127" s="229">
        <v>663</v>
      </c>
      <c r="K127" s="279">
        <v>31.7</v>
      </c>
      <c r="L127" s="229"/>
      <c r="M127" s="229">
        <v>10</v>
      </c>
      <c r="N127" s="279">
        <v>0.5</v>
      </c>
      <c r="O127" s="181"/>
      <c r="P127" s="229">
        <v>1</v>
      </c>
      <c r="Q127" s="279">
        <v>0.1</v>
      </c>
      <c r="R127" s="181"/>
      <c r="S127" s="229">
        <v>78</v>
      </c>
      <c r="T127" s="279">
        <v>3.7</v>
      </c>
    </row>
    <row r="128" spans="1:38">
      <c r="A128" s="1" t="s">
        <v>493</v>
      </c>
      <c r="B128" s="11">
        <v>1994</v>
      </c>
      <c r="C128" s="11">
        <v>1919</v>
      </c>
      <c r="D128" s="12">
        <v>96.3</v>
      </c>
      <c r="E128" s="11">
        <v>1331</v>
      </c>
      <c r="F128" s="12">
        <v>66.7</v>
      </c>
      <c r="G128" s="11">
        <v>1215</v>
      </c>
      <c r="H128" s="12">
        <v>60.9</v>
      </c>
      <c r="I128" s="2"/>
      <c r="J128" s="11">
        <v>641</v>
      </c>
      <c r="K128" s="12">
        <v>32.1</v>
      </c>
      <c r="L128" s="2"/>
      <c r="M128" s="11">
        <v>13</v>
      </c>
      <c r="N128" s="12">
        <v>0.6</v>
      </c>
      <c r="O128" s="2"/>
      <c r="P128" s="11">
        <v>1</v>
      </c>
      <c r="Q128" s="12">
        <v>0.1</v>
      </c>
      <c r="R128" s="2"/>
      <c r="S128" s="11">
        <v>75</v>
      </c>
      <c r="T128" s="12">
        <v>3.7</v>
      </c>
    </row>
    <row r="129" spans="1:20">
      <c r="A129" s="1" t="s">
        <v>466</v>
      </c>
      <c r="B129" s="11">
        <v>2007</v>
      </c>
      <c r="C129" s="11">
        <v>1916</v>
      </c>
      <c r="D129" s="12">
        <v>95.4</v>
      </c>
      <c r="E129" s="11">
        <v>1338</v>
      </c>
      <c r="F129" s="12">
        <v>66.7</v>
      </c>
      <c r="G129" s="11">
        <v>1236</v>
      </c>
      <c r="H129" s="12">
        <v>61.6</v>
      </c>
      <c r="I129" s="2"/>
      <c r="J129" s="11">
        <v>620</v>
      </c>
      <c r="K129" s="12">
        <v>30.9</v>
      </c>
      <c r="L129" s="2"/>
      <c r="M129" s="11">
        <v>10</v>
      </c>
      <c r="N129" s="12">
        <v>0.5</v>
      </c>
      <c r="O129" s="2"/>
      <c r="P129" s="11">
        <v>1</v>
      </c>
      <c r="Q129" s="12">
        <v>0.1</v>
      </c>
      <c r="R129" s="2"/>
      <c r="S129" s="11">
        <v>92</v>
      </c>
      <c r="T129" s="12">
        <v>4.5999999999999996</v>
      </c>
    </row>
    <row r="130" spans="1:20" ht="18">
      <c r="A130" s="1" t="s">
        <v>467</v>
      </c>
      <c r="B130" s="11">
        <v>2017.712</v>
      </c>
      <c r="C130" s="11">
        <v>1905.595</v>
      </c>
      <c r="D130" s="12">
        <v>94.443359999999998</v>
      </c>
      <c r="E130" s="11">
        <v>1349.018</v>
      </c>
      <c r="F130" s="12">
        <v>66.858797999999993</v>
      </c>
      <c r="G130" s="11">
        <v>1239.3150000000001</v>
      </c>
      <c r="H130" s="12">
        <v>61.421799</v>
      </c>
      <c r="I130" s="2"/>
      <c r="J130" s="11">
        <v>600.37400000000002</v>
      </c>
      <c r="K130" s="12">
        <v>29.755188</v>
      </c>
      <c r="L130" s="2"/>
      <c r="M130" s="11">
        <v>9.3559999999999999</v>
      </c>
      <c r="N130" s="12">
        <v>0.46369349999999998</v>
      </c>
      <c r="O130" s="2"/>
      <c r="P130" s="11">
        <v>1.0189999999999999</v>
      </c>
      <c r="Q130" s="12">
        <v>5.0502699999999998E-2</v>
      </c>
      <c r="R130" s="2"/>
      <c r="S130" s="11">
        <v>112.117</v>
      </c>
      <c r="T130" s="12">
        <v>5.5566404</v>
      </c>
    </row>
    <row r="131" spans="1:20">
      <c r="A131" s="1" t="s">
        <v>446</v>
      </c>
      <c r="B131" s="11">
        <v>2030.8690646</v>
      </c>
      <c r="C131" s="11">
        <v>1918.0265823</v>
      </c>
      <c r="D131" s="12">
        <v>94.443635767999993</v>
      </c>
      <c r="E131" s="11">
        <v>1454.1002649</v>
      </c>
      <c r="F131" s="12">
        <v>71.599902240999995</v>
      </c>
      <c r="G131" s="11">
        <v>1379.1396471</v>
      </c>
      <c r="H131" s="12">
        <v>67.908841152999997</v>
      </c>
      <c r="J131" s="11">
        <v>499.09106759999997</v>
      </c>
      <c r="K131" s="12">
        <v>24.575245953</v>
      </c>
      <c r="M131" s="11">
        <v>30.960600299999999</v>
      </c>
      <c r="N131" s="12">
        <v>1.5245000693999999</v>
      </c>
      <c r="P131" s="11">
        <v>61.468590200000001</v>
      </c>
      <c r="Q131" s="12">
        <v>3.0267136012</v>
      </c>
      <c r="S131" s="11">
        <v>112.8424823</v>
      </c>
      <c r="T131" s="12">
        <v>5.5563642317999999</v>
      </c>
    </row>
    <row r="132" spans="1:20">
      <c r="A132" s="1" t="s">
        <v>447</v>
      </c>
      <c r="B132" s="11">
        <v>2030.0761580000001</v>
      </c>
      <c r="C132" s="11">
        <v>1840.2554113000001</v>
      </c>
      <c r="D132" s="12">
        <v>90.649575092999996</v>
      </c>
      <c r="E132" s="11">
        <v>1379.1569099000001</v>
      </c>
      <c r="F132" s="12">
        <v>67.936215321999995</v>
      </c>
      <c r="G132" s="11">
        <v>1277.1173160000001</v>
      </c>
      <c r="H132" s="12">
        <v>62.909822912999999</v>
      </c>
      <c r="J132" s="11">
        <v>536.20367880000003</v>
      </c>
      <c r="K132" s="12">
        <v>26.412983408999999</v>
      </c>
      <c r="M132" s="11">
        <v>30.550449700000001</v>
      </c>
      <c r="N132" s="12">
        <v>1.5048918032</v>
      </c>
      <c r="P132" s="11">
        <v>40.082167300000002</v>
      </c>
      <c r="Q132" s="12">
        <v>1.9744169273000001</v>
      </c>
      <c r="S132" s="11">
        <v>189.8207467</v>
      </c>
      <c r="T132" s="12">
        <v>9.3504249066000007</v>
      </c>
    </row>
    <row r="133" spans="1:20">
      <c r="A133" s="1" t="s">
        <v>448</v>
      </c>
      <c r="B133" s="11">
        <v>2050.7657480000012</v>
      </c>
      <c r="C133" s="11">
        <v>1862.5148382000013</v>
      </c>
      <c r="D133" s="12">
        <v>90.820457676183125</v>
      </c>
      <c r="E133" s="11">
        <v>1422.5208166000014</v>
      </c>
      <c r="F133" s="12">
        <v>69.365348918437292</v>
      </c>
      <c r="G133" s="11">
        <v>1339.8807714000009</v>
      </c>
      <c r="H133" s="12">
        <v>65.335632443964542</v>
      </c>
      <c r="J133" s="11">
        <v>597.48594040000035</v>
      </c>
      <c r="K133" s="12">
        <v>29.134772754162462</v>
      </c>
      <c r="M133" s="11">
        <v>8.848401299999999</v>
      </c>
      <c r="N133" s="12">
        <v>0.43146816298396623</v>
      </c>
      <c r="P133" s="11">
        <v>10.605366199999999</v>
      </c>
      <c r="Q133" s="12">
        <v>0.5171417657205768</v>
      </c>
      <c r="S133" s="11">
        <v>188.25090979999993</v>
      </c>
      <c r="T133" s="12">
        <v>9.1795423238168805</v>
      </c>
    </row>
    <row r="134" spans="1:20">
      <c r="A134" s="1" t="s">
        <v>449</v>
      </c>
      <c r="B134" s="11">
        <v>2071</v>
      </c>
      <c r="C134" s="11">
        <v>1881</v>
      </c>
      <c r="D134" s="12">
        <v>90.8</v>
      </c>
      <c r="E134" s="11">
        <v>1503</v>
      </c>
      <c r="F134" s="12">
        <v>72.5</v>
      </c>
      <c r="G134" s="11">
        <v>1453</v>
      </c>
      <c r="H134" s="12">
        <v>70.2</v>
      </c>
      <c r="J134" s="11">
        <v>480</v>
      </c>
      <c r="K134" s="12">
        <v>23.2</v>
      </c>
      <c r="M134" s="11">
        <v>0</v>
      </c>
      <c r="N134" s="12">
        <v>0</v>
      </c>
      <c r="P134" s="11">
        <v>10</v>
      </c>
      <c r="Q134" s="12">
        <v>0.5</v>
      </c>
      <c r="S134" s="11">
        <v>190</v>
      </c>
      <c r="T134" s="12">
        <v>9.1999999999999993</v>
      </c>
    </row>
    <row r="135" spans="1:20">
      <c r="A135" s="1" t="s">
        <v>450</v>
      </c>
      <c r="B135" s="11">
        <v>2044</v>
      </c>
      <c r="C135" s="11">
        <v>1814</v>
      </c>
      <c r="D135" s="12">
        <v>88.7</v>
      </c>
      <c r="E135" s="11">
        <v>1427</v>
      </c>
      <c r="F135" s="12">
        <v>69.8</v>
      </c>
      <c r="G135" s="11">
        <v>1348</v>
      </c>
      <c r="H135" s="12">
        <v>65.900000000000006</v>
      </c>
      <c r="I135" s="2"/>
      <c r="J135" s="11">
        <v>402</v>
      </c>
      <c r="K135" s="12">
        <v>19.7</v>
      </c>
      <c r="L135" s="2"/>
      <c r="M135" s="11">
        <v>27</v>
      </c>
      <c r="N135" s="12">
        <v>1.3</v>
      </c>
      <c r="O135" s="2"/>
      <c r="P135" s="11">
        <v>34</v>
      </c>
      <c r="Q135" s="12">
        <v>1.6</v>
      </c>
      <c r="R135" s="2"/>
      <c r="S135" s="11">
        <v>231</v>
      </c>
      <c r="T135" s="12">
        <v>11.3</v>
      </c>
    </row>
    <row r="136" spans="1:20">
      <c r="A136" s="1" t="s">
        <v>451</v>
      </c>
      <c r="B136" s="11">
        <v>2091</v>
      </c>
      <c r="C136" s="11">
        <v>1821</v>
      </c>
      <c r="D136" s="12">
        <v>87.1</v>
      </c>
      <c r="E136" s="11">
        <v>1524</v>
      </c>
      <c r="F136" s="12">
        <v>72.900000000000006</v>
      </c>
      <c r="G136" s="11">
        <v>1427</v>
      </c>
      <c r="H136" s="12">
        <v>68.3</v>
      </c>
      <c r="I136" s="2"/>
      <c r="J136" s="11">
        <v>331</v>
      </c>
      <c r="K136" s="12">
        <v>15.8</v>
      </c>
      <c r="L136" s="2"/>
      <c r="M136" s="11">
        <v>10</v>
      </c>
      <c r="N136" s="12">
        <v>0.5</v>
      </c>
      <c r="O136" s="2"/>
      <c r="P136" s="11">
        <v>15</v>
      </c>
      <c r="Q136" s="12">
        <v>0.7</v>
      </c>
      <c r="R136" s="2"/>
      <c r="S136" s="11">
        <v>270</v>
      </c>
      <c r="T136" s="12">
        <v>12.9</v>
      </c>
    </row>
    <row r="137" spans="1:20">
      <c r="A137" s="1" t="s">
        <v>452</v>
      </c>
      <c r="B137" s="11">
        <v>2088</v>
      </c>
      <c r="C137" s="11">
        <v>1810</v>
      </c>
      <c r="D137" s="12">
        <v>86.7</v>
      </c>
      <c r="E137" s="11">
        <v>1481</v>
      </c>
      <c r="F137" s="12">
        <v>70.900000000000006</v>
      </c>
      <c r="G137" s="11">
        <v>1441</v>
      </c>
      <c r="H137" s="12">
        <v>69</v>
      </c>
      <c r="I137" s="2"/>
      <c r="J137" s="11">
        <v>379</v>
      </c>
      <c r="K137" s="12">
        <v>18.2</v>
      </c>
      <c r="L137" s="2"/>
      <c r="M137" s="11">
        <v>14</v>
      </c>
      <c r="N137" s="12">
        <v>0.7</v>
      </c>
      <c r="O137" s="2"/>
      <c r="P137" s="11">
        <v>17</v>
      </c>
      <c r="Q137" s="12">
        <v>0.8</v>
      </c>
      <c r="R137" s="2"/>
      <c r="S137" s="11">
        <v>277</v>
      </c>
      <c r="T137" s="12">
        <v>13.3</v>
      </c>
    </row>
    <row r="138" spans="1:20">
      <c r="A138" s="1" t="s">
        <v>453</v>
      </c>
      <c r="B138" s="11">
        <v>2172</v>
      </c>
      <c r="C138" s="11">
        <v>1938</v>
      </c>
      <c r="D138" s="12">
        <v>89.2</v>
      </c>
      <c r="E138" s="11">
        <v>1627</v>
      </c>
      <c r="F138" s="12">
        <v>74.900000000000006</v>
      </c>
      <c r="G138" s="11">
        <v>1560</v>
      </c>
      <c r="H138" s="12">
        <v>71.900000000000006</v>
      </c>
      <c r="I138" s="2"/>
      <c r="J138" s="2">
        <v>369</v>
      </c>
      <c r="K138" s="12">
        <v>17</v>
      </c>
      <c r="L138" s="2"/>
      <c r="M138" s="2">
        <v>5</v>
      </c>
      <c r="N138" s="12">
        <v>0.2</v>
      </c>
      <c r="O138" s="2"/>
      <c r="P138" s="2">
        <v>19</v>
      </c>
      <c r="Q138" s="12">
        <v>0.9</v>
      </c>
      <c r="R138" s="2"/>
      <c r="S138" s="2">
        <v>234</v>
      </c>
      <c r="T138" s="12">
        <v>10.8</v>
      </c>
    </row>
    <row r="139" spans="1:20" ht="18">
      <c r="A139" s="1" t="s">
        <v>468</v>
      </c>
      <c r="B139" s="11">
        <v>2208</v>
      </c>
      <c r="C139" s="11">
        <v>1976</v>
      </c>
      <c r="D139" s="12">
        <v>89.5</v>
      </c>
      <c r="E139" s="11">
        <v>1695</v>
      </c>
      <c r="F139" s="12">
        <v>76.8</v>
      </c>
      <c r="G139" s="11">
        <v>1636</v>
      </c>
      <c r="H139" s="12">
        <v>74.099999999999994</v>
      </c>
      <c r="I139" s="2"/>
      <c r="J139" s="2">
        <v>361</v>
      </c>
      <c r="K139" s="12">
        <v>16.3</v>
      </c>
      <c r="L139" s="2"/>
      <c r="M139" s="2">
        <v>10</v>
      </c>
      <c r="N139" s="12">
        <v>0.5</v>
      </c>
      <c r="O139" s="2"/>
      <c r="P139" s="2">
        <v>8</v>
      </c>
      <c r="Q139" s="12">
        <v>0.4</v>
      </c>
      <c r="R139" s="2"/>
      <c r="S139" s="2">
        <v>232</v>
      </c>
      <c r="T139" s="12">
        <v>10.5</v>
      </c>
    </row>
    <row r="140" spans="1:20">
      <c r="A140" s="1" t="s">
        <v>454</v>
      </c>
      <c r="B140" s="11">
        <v>2157</v>
      </c>
      <c r="C140" s="11">
        <v>1921</v>
      </c>
      <c r="D140" s="12">
        <v>89</v>
      </c>
      <c r="E140" s="11">
        <v>1625</v>
      </c>
      <c r="F140" s="12">
        <v>75.3</v>
      </c>
      <c r="G140" s="11">
        <v>1579</v>
      </c>
      <c r="H140" s="12">
        <v>73.2</v>
      </c>
      <c r="I140" s="2"/>
      <c r="J140" s="2">
        <v>355</v>
      </c>
      <c r="K140" s="12">
        <v>16.5</v>
      </c>
      <c r="L140" s="2"/>
      <c r="M140" s="2">
        <v>8</v>
      </c>
      <c r="N140" s="12">
        <v>0.4</v>
      </c>
      <c r="O140" s="2"/>
      <c r="P140" s="2">
        <v>24</v>
      </c>
      <c r="Q140" s="12">
        <v>1.1000000000000001</v>
      </c>
      <c r="R140" s="2"/>
      <c r="S140" s="2">
        <v>237</v>
      </c>
      <c r="T140" s="12">
        <v>11</v>
      </c>
    </row>
    <row r="141" spans="1:20">
      <c r="A141" s="1" t="s">
        <v>455</v>
      </c>
      <c r="B141" s="11">
        <v>2153</v>
      </c>
      <c r="C141" s="11">
        <v>1944</v>
      </c>
      <c r="D141" s="12">
        <v>90.3</v>
      </c>
      <c r="E141" s="11">
        <v>1636</v>
      </c>
      <c r="F141" s="12">
        <v>76</v>
      </c>
      <c r="G141" s="11">
        <v>1576</v>
      </c>
      <c r="H141" s="12">
        <v>73.2</v>
      </c>
      <c r="I141" s="2"/>
      <c r="J141" s="2">
        <v>389</v>
      </c>
      <c r="K141" s="12">
        <v>18.100000000000001</v>
      </c>
      <c r="L141" s="2"/>
      <c r="M141" s="2">
        <v>28</v>
      </c>
      <c r="N141" s="12">
        <v>1.3</v>
      </c>
      <c r="O141" s="2"/>
      <c r="P141" s="2">
        <v>19</v>
      </c>
      <c r="Q141" s="12">
        <v>0.9</v>
      </c>
      <c r="R141" s="2"/>
      <c r="S141" s="2">
        <v>210</v>
      </c>
      <c r="T141" s="12">
        <v>9.6999999999999993</v>
      </c>
    </row>
    <row r="142" spans="1:20">
      <c r="A142" s="1" t="s">
        <v>456</v>
      </c>
      <c r="B142" s="11">
        <v>1880</v>
      </c>
      <c r="C142" s="11">
        <v>1665</v>
      </c>
      <c r="D142" s="12">
        <v>88.5</v>
      </c>
      <c r="E142" s="11">
        <v>1466</v>
      </c>
      <c r="F142" s="12">
        <v>78</v>
      </c>
      <c r="G142" s="11">
        <v>1419</v>
      </c>
      <c r="H142" s="12">
        <v>75.5</v>
      </c>
      <c r="I142" s="2"/>
      <c r="J142" s="11">
        <v>262</v>
      </c>
      <c r="K142" s="12">
        <v>13.9</v>
      </c>
      <c r="L142" s="2"/>
      <c r="M142" s="11">
        <v>25</v>
      </c>
      <c r="N142" s="12">
        <v>1.4</v>
      </c>
      <c r="O142" s="2"/>
      <c r="P142" s="11">
        <v>34</v>
      </c>
      <c r="Q142" s="12">
        <v>1.8</v>
      </c>
      <c r="R142" s="2"/>
      <c r="S142" s="11">
        <v>215</v>
      </c>
      <c r="T142" s="12">
        <v>11.5</v>
      </c>
    </row>
    <row r="143" spans="1:20" ht="18">
      <c r="A143" s="1" t="s">
        <v>469</v>
      </c>
      <c r="B143" s="11">
        <v>1992</v>
      </c>
      <c r="C143" s="11">
        <v>1820</v>
      </c>
      <c r="D143" s="12">
        <v>91.4</v>
      </c>
      <c r="E143" s="11">
        <v>1584</v>
      </c>
      <c r="F143" s="12">
        <v>79.599999999999994</v>
      </c>
      <c r="G143" s="11">
        <v>1529</v>
      </c>
      <c r="H143" s="12">
        <v>76.8</v>
      </c>
      <c r="I143" s="2"/>
      <c r="J143" s="11">
        <v>293</v>
      </c>
      <c r="K143" s="12">
        <v>14.7</v>
      </c>
      <c r="L143" s="2"/>
      <c r="M143" s="11">
        <v>9</v>
      </c>
      <c r="N143" s="12">
        <v>0.4</v>
      </c>
      <c r="O143" s="2"/>
      <c r="P143" s="11">
        <v>46</v>
      </c>
      <c r="Q143" s="12">
        <v>2.2999999999999998</v>
      </c>
      <c r="R143" s="2"/>
      <c r="S143" s="11">
        <v>171</v>
      </c>
      <c r="T143" s="12">
        <v>8.6</v>
      </c>
    </row>
    <row r="144" spans="1:20" ht="18">
      <c r="A144" s="1" t="s">
        <v>470</v>
      </c>
      <c r="B144" s="11">
        <v>1989</v>
      </c>
      <c r="C144" s="11">
        <v>1832</v>
      </c>
      <c r="D144" s="12">
        <v>92.1</v>
      </c>
      <c r="E144" s="11">
        <v>1601</v>
      </c>
      <c r="F144" s="12">
        <v>80.5</v>
      </c>
      <c r="G144" s="11">
        <v>1511</v>
      </c>
      <c r="H144" s="12">
        <v>76</v>
      </c>
      <c r="I144" s="2"/>
      <c r="J144" s="11">
        <v>300</v>
      </c>
      <c r="K144" s="12">
        <v>15.1</v>
      </c>
      <c r="L144" s="2"/>
      <c r="M144" s="11">
        <v>12</v>
      </c>
      <c r="N144" s="12">
        <v>0.6</v>
      </c>
      <c r="O144" s="2"/>
      <c r="P144" s="11">
        <v>4</v>
      </c>
      <c r="Q144" s="12">
        <v>0.2</v>
      </c>
      <c r="R144" s="2"/>
      <c r="S144" s="11">
        <v>157</v>
      </c>
      <c r="T144" s="12">
        <v>7.9</v>
      </c>
    </row>
    <row r="145" spans="1:20">
      <c r="A145" s="1" t="s">
        <v>457</v>
      </c>
      <c r="B145" s="11">
        <v>1993</v>
      </c>
      <c r="C145" s="11">
        <v>1797</v>
      </c>
      <c r="D145" s="12">
        <v>90.2</v>
      </c>
      <c r="E145" s="11">
        <v>1569</v>
      </c>
      <c r="F145" s="12">
        <v>78.7</v>
      </c>
      <c r="G145" s="11">
        <v>1479</v>
      </c>
      <c r="H145" s="12">
        <v>74.2</v>
      </c>
      <c r="I145" s="2"/>
      <c r="J145" s="11">
        <v>296</v>
      </c>
      <c r="K145" s="12">
        <v>14.8</v>
      </c>
      <c r="L145" s="2"/>
      <c r="M145" s="11">
        <v>12</v>
      </c>
      <c r="N145" s="12">
        <v>0.6</v>
      </c>
      <c r="O145" s="2"/>
      <c r="P145" s="11">
        <v>4</v>
      </c>
      <c r="Q145" s="12">
        <v>0.2</v>
      </c>
      <c r="R145" s="2"/>
      <c r="S145" s="11">
        <v>196</v>
      </c>
      <c r="T145" s="12">
        <v>9.8000000000000007</v>
      </c>
    </row>
    <row r="146" spans="1:20">
      <c r="A146" s="1" t="s">
        <v>458</v>
      </c>
      <c r="B146" s="11">
        <v>2039</v>
      </c>
      <c r="C146" s="11">
        <v>1766</v>
      </c>
      <c r="D146" s="12">
        <v>86.6</v>
      </c>
      <c r="E146" s="11">
        <v>1552</v>
      </c>
      <c r="F146" s="12">
        <v>76.099999999999994</v>
      </c>
      <c r="G146" s="11">
        <v>1434</v>
      </c>
      <c r="H146" s="12">
        <v>70.3</v>
      </c>
      <c r="I146" s="2"/>
      <c r="J146" s="11">
        <v>244</v>
      </c>
      <c r="K146" s="12">
        <v>11.9</v>
      </c>
      <c r="L146" s="2"/>
      <c r="M146" s="11">
        <v>3</v>
      </c>
      <c r="N146" s="12">
        <v>0.1</v>
      </c>
      <c r="O146" s="2"/>
      <c r="P146" s="11">
        <v>30</v>
      </c>
      <c r="Q146" s="12">
        <v>1.5</v>
      </c>
      <c r="R146" s="2"/>
      <c r="S146" s="11">
        <v>273</v>
      </c>
      <c r="T146" s="12">
        <v>13.4</v>
      </c>
    </row>
    <row r="147" spans="1:20" ht="18">
      <c r="A147" s="1" t="s">
        <v>459</v>
      </c>
      <c r="B147" s="11">
        <v>1969</v>
      </c>
      <c r="C147" s="11">
        <v>1672</v>
      </c>
      <c r="D147" s="12">
        <v>84.9</v>
      </c>
      <c r="E147" s="11">
        <v>1427</v>
      </c>
      <c r="F147" s="12">
        <v>72.5</v>
      </c>
      <c r="G147" s="11">
        <v>1365</v>
      </c>
      <c r="H147" s="12">
        <v>69.400000000000006</v>
      </c>
      <c r="I147" s="2"/>
      <c r="J147" s="11">
        <v>283</v>
      </c>
      <c r="K147" s="12">
        <v>14.4</v>
      </c>
      <c r="L147" s="2"/>
      <c r="M147" s="11">
        <v>2</v>
      </c>
      <c r="N147" s="12">
        <v>0.1</v>
      </c>
      <c r="O147" s="2"/>
      <c r="P147" s="11">
        <v>21</v>
      </c>
      <c r="Q147" s="12">
        <v>1.1000000000000001</v>
      </c>
      <c r="R147" s="2"/>
      <c r="S147" s="11">
        <v>297</v>
      </c>
      <c r="T147" s="12">
        <v>15.1</v>
      </c>
    </row>
    <row r="148" spans="1:20">
      <c r="A148" s="1" t="s">
        <v>460</v>
      </c>
      <c r="B148" s="11">
        <v>1874</v>
      </c>
      <c r="C148" s="11">
        <v>1525</v>
      </c>
      <c r="D148" s="12">
        <v>81.400000000000006</v>
      </c>
      <c r="E148" s="11">
        <v>1281</v>
      </c>
      <c r="F148" s="12">
        <v>68.400000000000006</v>
      </c>
      <c r="G148" s="11">
        <v>1216</v>
      </c>
      <c r="H148" s="12">
        <v>64.900000000000006</v>
      </c>
      <c r="I148" s="2"/>
      <c r="J148" s="11">
        <v>276</v>
      </c>
      <c r="K148" s="12">
        <v>14.7</v>
      </c>
      <c r="L148" s="2"/>
      <c r="M148" s="11">
        <v>9</v>
      </c>
      <c r="N148" s="12">
        <v>0.5</v>
      </c>
      <c r="O148" s="2"/>
      <c r="P148" s="11">
        <v>47</v>
      </c>
      <c r="Q148" s="12">
        <v>2.5</v>
      </c>
      <c r="R148" s="2"/>
      <c r="S148" s="11">
        <v>349</v>
      </c>
      <c r="T148" s="12">
        <v>18.600000000000001</v>
      </c>
    </row>
    <row r="149" spans="1:20">
      <c r="A149" s="1" t="s">
        <v>461</v>
      </c>
      <c r="B149" s="11">
        <v>1972</v>
      </c>
      <c r="C149" s="11">
        <v>1735</v>
      </c>
      <c r="D149" s="12">
        <v>88</v>
      </c>
      <c r="E149" s="11">
        <v>1514</v>
      </c>
      <c r="F149" s="12">
        <v>76.8</v>
      </c>
      <c r="G149" s="11">
        <v>1415</v>
      </c>
      <c r="H149" s="12">
        <v>71.8</v>
      </c>
      <c r="I149" s="2"/>
      <c r="J149" s="11">
        <v>255</v>
      </c>
      <c r="K149" s="12">
        <v>12.9</v>
      </c>
      <c r="L149" s="2"/>
      <c r="M149" s="11">
        <v>10</v>
      </c>
      <c r="N149" s="12">
        <v>0.5</v>
      </c>
      <c r="O149" s="2"/>
      <c r="P149" s="11">
        <v>22</v>
      </c>
      <c r="Q149" s="12">
        <v>1.1000000000000001</v>
      </c>
      <c r="R149" s="2"/>
      <c r="S149" s="11">
        <v>237</v>
      </c>
      <c r="T149" s="12">
        <v>12</v>
      </c>
    </row>
    <row r="150" spans="1:20" ht="18">
      <c r="A150" s="1" t="s">
        <v>462</v>
      </c>
      <c r="B150" s="11">
        <v>2064</v>
      </c>
      <c r="C150" s="11">
        <v>1840</v>
      </c>
      <c r="D150" s="12">
        <v>89.2</v>
      </c>
      <c r="E150" s="11">
        <v>1532</v>
      </c>
      <c r="F150" s="12">
        <v>74.2</v>
      </c>
      <c r="G150" s="11">
        <v>1444</v>
      </c>
      <c r="H150" s="12">
        <v>70</v>
      </c>
      <c r="I150" s="2"/>
      <c r="J150" s="11">
        <v>372</v>
      </c>
      <c r="K150" s="12">
        <v>18</v>
      </c>
      <c r="L150" s="2"/>
      <c r="M150" s="11">
        <v>9</v>
      </c>
      <c r="N150" s="12">
        <v>0.4</v>
      </c>
      <c r="O150" s="2"/>
      <c r="P150" s="11">
        <v>17</v>
      </c>
      <c r="Q150" s="12">
        <v>0.8</v>
      </c>
      <c r="R150" s="2"/>
      <c r="S150" s="11">
        <v>223</v>
      </c>
      <c r="T150" s="12">
        <v>10.8</v>
      </c>
    </row>
    <row r="151" spans="1:20" ht="18">
      <c r="A151" s="1" t="s">
        <v>471</v>
      </c>
      <c r="B151" s="11">
        <v>2000</v>
      </c>
      <c r="C151" s="11">
        <v>1771</v>
      </c>
      <c r="D151" s="12">
        <v>88.6</v>
      </c>
      <c r="E151" s="11">
        <v>1506</v>
      </c>
      <c r="F151" s="12">
        <v>75.3</v>
      </c>
      <c r="G151" s="11">
        <v>1248</v>
      </c>
      <c r="H151" s="12">
        <v>62.4</v>
      </c>
      <c r="I151" s="2"/>
      <c r="J151" s="11">
        <v>406</v>
      </c>
      <c r="K151" s="12">
        <v>20.3</v>
      </c>
      <c r="L151" s="2"/>
      <c r="M151" s="11">
        <v>4</v>
      </c>
      <c r="N151" s="12">
        <v>0.2</v>
      </c>
      <c r="O151" s="2"/>
      <c r="P151" s="11">
        <v>13</v>
      </c>
      <c r="Q151" s="12">
        <v>0.6</v>
      </c>
      <c r="R151" s="2"/>
      <c r="S151" s="11">
        <v>229</v>
      </c>
      <c r="T151" s="12">
        <v>11.4</v>
      </c>
    </row>
    <row r="152" spans="1:20" ht="18">
      <c r="A152" s="1" t="s">
        <v>472</v>
      </c>
      <c r="B152" s="11">
        <v>1920</v>
      </c>
      <c r="C152" s="11">
        <v>1720</v>
      </c>
      <c r="D152" s="12">
        <v>89.6</v>
      </c>
      <c r="E152" s="11">
        <v>1468</v>
      </c>
      <c r="F152" s="12">
        <v>76.5</v>
      </c>
      <c r="G152" s="11">
        <v>1303</v>
      </c>
      <c r="H152" s="12">
        <v>67.8</v>
      </c>
      <c r="I152" s="2"/>
      <c r="J152" s="11">
        <v>288</v>
      </c>
      <c r="K152" s="12">
        <v>15</v>
      </c>
      <c r="L152" s="2"/>
      <c r="M152" s="11">
        <v>3</v>
      </c>
      <c r="N152" s="12">
        <v>0.2</v>
      </c>
      <c r="O152" s="2"/>
      <c r="P152" s="11">
        <v>25</v>
      </c>
      <c r="Q152" s="12">
        <v>1.3</v>
      </c>
      <c r="R152" s="2"/>
      <c r="S152" s="11">
        <v>200</v>
      </c>
      <c r="T152" s="12">
        <v>10.4</v>
      </c>
    </row>
    <row r="153" spans="1:20">
      <c r="A153" s="1" t="s">
        <v>463</v>
      </c>
      <c r="B153" s="11">
        <v>1870</v>
      </c>
      <c r="C153" s="11">
        <v>1700</v>
      </c>
      <c r="D153" s="12">
        <v>90.9</v>
      </c>
      <c r="E153" s="11">
        <v>1471</v>
      </c>
      <c r="F153" s="12">
        <v>78.7</v>
      </c>
      <c r="G153" s="11">
        <v>1350</v>
      </c>
      <c r="H153" s="12">
        <v>72.2</v>
      </c>
      <c r="I153" s="2"/>
      <c r="J153" s="11">
        <v>271</v>
      </c>
      <c r="K153" s="12">
        <v>14.5</v>
      </c>
      <c r="L153" s="2"/>
      <c r="M153" s="11">
        <v>1</v>
      </c>
      <c r="N153" s="12">
        <v>0.1</v>
      </c>
      <c r="O153" s="2"/>
      <c r="P153" s="11">
        <v>18</v>
      </c>
      <c r="Q153" s="12">
        <v>0.9</v>
      </c>
      <c r="R153" s="2"/>
      <c r="S153" s="11">
        <v>170</v>
      </c>
      <c r="T153" s="12">
        <v>9.1</v>
      </c>
    </row>
    <row r="154" spans="1:20">
      <c r="A154" s="99" t="s">
        <v>464</v>
      </c>
      <c r="B154" s="11">
        <v>1871</v>
      </c>
      <c r="C154" s="11">
        <v>1712</v>
      </c>
      <c r="D154" s="12">
        <v>91.5</v>
      </c>
      <c r="E154" s="11">
        <v>1491</v>
      </c>
      <c r="F154" s="12">
        <v>79.7</v>
      </c>
      <c r="G154" s="11">
        <v>1334</v>
      </c>
      <c r="H154" s="12">
        <v>71.3</v>
      </c>
      <c r="I154" s="2"/>
      <c r="J154" s="2">
        <v>276</v>
      </c>
      <c r="K154" s="12">
        <v>14.8</v>
      </c>
      <c r="L154" s="2"/>
      <c r="M154" s="15" t="s">
        <v>17</v>
      </c>
      <c r="N154" s="284" t="s">
        <v>17</v>
      </c>
      <c r="O154" s="2"/>
      <c r="P154" s="2">
        <v>10</v>
      </c>
      <c r="Q154" s="12">
        <v>0.6</v>
      </c>
      <c r="R154" s="2"/>
      <c r="S154" s="2">
        <v>160</v>
      </c>
      <c r="T154" s="12">
        <v>8.5</v>
      </c>
    </row>
    <row r="155" spans="1:20">
      <c r="A155" s="2"/>
      <c r="B155" s="2"/>
      <c r="C155" s="2"/>
      <c r="D155" s="12"/>
      <c r="E155" s="2"/>
      <c r="F155" s="12"/>
      <c r="G155" s="2"/>
      <c r="H155" s="12"/>
      <c r="I155" s="2"/>
      <c r="J155" s="2"/>
      <c r="K155" s="12"/>
      <c r="L155" s="2"/>
      <c r="M155" s="2"/>
      <c r="N155" s="12"/>
      <c r="O155" s="2"/>
      <c r="P155" s="2"/>
      <c r="Q155" s="12"/>
      <c r="R155" s="2"/>
      <c r="S155" s="2"/>
      <c r="T155" s="12"/>
    </row>
    <row r="156" spans="1:20" ht="18">
      <c r="A156" s="2" t="s">
        <v>481</v>
      </c>
      <c r="B156" s="2"/>
      <c r="C156" s="2"/>
      <c r="D156" s="12"/>
      <c r="E156" s="2"/>
      <c r="F156" s="12"/>
      <c r="G156" s="2"/>
      <c r="H156" s="12"/>
      <c r="I156" s="2"/>
      <c r="J156" s="2"/>
      <c r="K156" s="12"/>
      <c r="L156" s="2"/>
      <c r="M156" s="2"/>
      <c r="N156" s="12"/>
      <c r="O156" s="2"/>
      <c r="P156" s="2"/>
      <c r="Q156" s="12"/>
      <c r="R156" s="2"/>
      <c r="S156" s="2"/>
      <c r="T156" s="12"/>
    </row>
    <row r="157" spans="1:20" ht="18">
      <c r="A157" s="2" t="s">
        <v>473</v>
      </c>
      <c r="B157" s="2"/>
      <c r="C157" s="2"/>
      <c r="D157" s="12"/>
      <c r="E157" s="2"/>
      <c r="F157" s="12"/>
      <c r="G157" s="2"/>
      <c r="H157" s="12"/>
      <c r="I157" s="2"/>
      <c r="J157" s="2"/>
      <c r="K157" s="12"/>
      <c r="L157" s="2"/>
      <c r="M157" s="2"/>
      <c r="N157" s="12"/>
      <c r="O157" s="2"/>
      <c r="P157" s="2"/>
      <c r="Q157" s="12"/>
      <c r="R157" s="2"/>
      <c r="S157" s="2"/>
      <c r="T157" s="12"/>
    </row>
    <row r="158" spans="1:20" ht="18">
      <c r="A158" s="2" t="s">
        <v>474</v>
      </c>
      <c r="B158" s="2"/>
      <c r="C158" s="2"/>
      <c r="D158" s="12"/>
      <c r="E158" s="2"/>
      <c r="F158" s="12"/>
      <c r="G158" s="2"/>
      <c r="H158" s="12"/>
      <c r="I158" s="2"/>
      <c r="J158" s="2"/>
      <c r="K158" s="12"/>
      <c r="L158" s="2"/>
      <c r="M158" s="2"/>
      <c r="N158" s="12"/>
      <c r="O158" s="2"/>
      <c r="P158" s="2"/>
      <c r="Q158" s="12"/>
      <c r="R158" s="2"/>
      <c r="S158" s="2"/>
      <c r="T158" s="12"/>
    </row>
    <row r="159" spans="1:20" ht="18">
      <c r="A159" s="2" t="s">
        <v>475</v>
      </c>
      <c r="B159" s="2"/>
      <c r="C159" s="2"/>
      <c r="D159" s="12"/>
      <c r="E159" s="2"/>
      <c r="F159" s="12"/>
      <c r="G159" s="2"/>
      <c r="H159" s="12"/>
      <c r="I159" s="2"/>
      <c r="J159" s="2"/>
      <c r="K159" s="12"/>
      <c r="L159" s="2"/>
      <c r="M159" s="2"/>
      <c r="N159" s="12"/>
      <c r="O159" s="2"/>
      <c r="P159" s="2"/>
      <c r="Q159" s="12"/>
      <c r="R159" s="2"/>
      <c r="S159" s="2"/>
      <c r="T159" s="12"/>
    </row>
    <row r="160" spans="1:20">
      <c r="A160" s="2" t="s">
        <v>15</v>
      </c>
      <c r="B160" s="2"/>
      <c r="C160" s="2"/>
      <c r="D160" s="12"/>
      <c r="E160" s="2"/>
      <c r="F160" s="12"/>
      <c r="G160" s="2"/>
      <c r="H160" s="12"/>
      <c r="I160" s="2"/>
      <c r="J160" s="2"/>
      <c r="K160" s="12"/>
      <c r="L160" s="2"/>
      <c r="M160" s="2"/>
      <c r="N160" s="12"/>
      <c r="O160" s="2"/>
      <c r="P160" s="2"/>
      <c r="Q160" s="12"/>
      <c r="R160" s="2"/>
      <c r="S160" s="2"/>
      <c r="T160" s="12"/>
    </row>
    <row r="161" spans="1:20" ht="18">
      <c r="A161" s="2" t="s">
        <v>476</v>
      </c>
      <c r="B161" s="2"/>
      <c r="C161" s="2"/>
      <c r="D161" s="12"/>
      <c r="E161" s="2"/>
      <c r="F161" s="12"/>
      <c r="G161" s="2"/>
      <c r="H161" s="12"/>
      <c r="I161" s="2"/>
      <c r="J161" s="2"/>
      <c r="K161" s="12"/>
      <c r="L161" s="2"/>
      <c r="M161" s="2"/>
      <c r="N161" s="12"/>
      <c r="O161" s="2"/>
      <c r="P161" s="2"/>
      <c r="Q161" s="12"/>
      <c r="R161" s="2"/>
      <c r="S161" s="2"/>
      <c r="T161" s="12"/>
    </row>
    <row r="162" spans="1:20">
      <c r="A162" s="2" t="s">
        <v>16</v>
      </c>
      <c r="B162" s="2"/>
      <c r="C162" s="2"/>
      <c r="D162" s="12"/>
      <c r="E162" s="2"/>
      <c r="F162" s="12"/>
      <c r="G162" s="2"/>
      <c r="H162" s="12"/>
      <c r="I162" s="2"/>
      <c r="J162" s="2"/>
      <c r="K162" s="12"/>
      <c r="L162" s="2"/>
      <c r="M162" s="2"/>
      <c r="N162" s="12"/>
      <c r="O162" s="2"/>
      <c r="P162" s="2"/>
      <c r="Q162" s="12"/>
      <c r="R162" s="2"/>
      <c r="S162" s="2"/>
      <c r="T162" s="12"/>
    </row>
    <row r="163" spans="1:20">
      <c r="A163" s="2" t="s">
        <v>376</v>
      </c>
      <c r="B163" s="2"/>
      <c r="C163" s="2"/>
      <c r="D163" s="12"/>
      <c r="E163" s="2"/>
      <c r="F163" s="12"/>
      <c r="G163" s="2"/>
      <c r="H163" s="12"/>
      <c r="I163" s="2"/>
      <c r="J163" s="2"/>
      <c r="K163" s="12"/>
      <c r="L163" s="2"/>
      <c r="M163" s="2"/>
      <c r="N163" s="12"/>
      <c r="O163" s="2"/>
      <c r="P163" s="2"/>
      <c r="Q163" s="12"/>
      <c r="R163" s="2"/>
      <c r="S163" s="2"/>
      <c r="T163" s="12"/>
    </row>
    <row r="164" spans="1:20" ht="18">
      <c r="A164" s="2" t="s">
        <v>477</v>
      </c>
      <c r="B164" s="2"/>
      <c r="C164" s="2"/>
      <c r="D164" s="12"/>
      <c r="E164" s="2"/>
      <c r="F164" s="12"/>
      <c r="G164" s="2"/>
      <c r="H164" s="12"/>
      <c r="I164" s="2"/>
      <c r="J164" s="2"/>
      <c r="K164" s="12"/>
      <c r="L164" s="2"/>
      <c r="M164" s="2"/>
      <c r="N164" s="12"/>
      <c r="O164" s="2"/>
      <c r="P164" s="2"/>
      <c r="Q164" s="12"/>
      <c r="R164" s="2"/>
      <c r="S164" s="2"/>
      <c r="T164" s="12"/>
    </row>
    <row r="165" spans="1:20" ht="18">
      <c r="A165" s="2" t="s">
        <v>478</v>
      </c>
      <c r="B165" s="2"/>
      <c r="C165" s="2"/>
      <c r="D165" s="12"/>
      <c r="E165" s="2"/>
      <c r="F165" s="12"/>
      <c r="G165" s="2"/>
      <c r="H165" s="12"/>
      <c r="I165" s="2"/>
      <c r="J165" s="2"/>
      <c r="K165" s="12"/>
      <c r="L165" s="2"/>
      <c r="M165" s="2"/>
      <c r="N165" s="12"/>
      <c r="O165" s="2"/>
      <c r="P165" s="2"/>
      <c r="Q165" s="12"/>
      <c r="R165" s="2"/>
      <c r="S165" s="2"/>
      <c r="T165" s="12"/>
    </row>
    <row r="166" spans="1:20" ht="18">
      <c r="A166" s="2" t="s">
        <v>479</v>
      </c>
      <c r="B166" s="2"/>
      <c r="C166" s="2"/>
      <c r="D166" s="12"/>
      <c r="E166" s="2"/>
      <c r="F166" s="12"/>
      <c r="G166" s="2"/>
      <c r="H166" s="12"/>
      <c r="I166" s="2"/>
      <c r="J166" s="2"/>
      <c r="K166" s="12"/>
      <c r="L166" s="2"/>
      <c r="M166" s="2"/>
      <c r="N166" s="12"/>
      <c r="O166" s="2"/>
      <c r="P166" s="2"/>
      <c r="Q166" s="12"/>
      <c r="R166" s="2"/>
      <c r="S166" s="2"/>
      <c r="T166" s="12"/>
    </row>
    <row r="167" spans="1:20">
      <c r="A167" s="2" t="s">
        <v>18</v>
      </c>
      <c r="B167" s="2"/>
      <c r="C167" s="2"/>
      <c r="D167" s="12"/>
      <c r="E167" s="2"/>
      <c r="F167" s="12"/>
      <c r="G167" s="2"/>
      <c r="H167" s="12"/>
      <c r="I167" s="2"/>
      <c r="J167" s="2"/>
      <c r="K167" s="12"/>
      <c r="L167" s="2"/>
      <c r="M167" s="2"/>
      <c r="N167" s="12"/>
      <c r="O167" s="2"/>
      <c r="P167" s="2"/>
      <c r="Q167" s="12"/>
      <c r="R167" s="2"/>
      <c r="S167" s="2"/>
      <c r="T167" s="12"/>
    </row>
    <row r="168" spans="1:20" ht="18">
      <c r="A168" s="2" t="s">
        <v>480</v>
      </c>
      <c r="B168" s="2"/>
      <c r="C168" s="2"/>
      <c r="D168" s="12"/>
      <c r="E168" s="2"/>
      <c r="F168" s="12"/>
      <c r="G168" s="2"/>
      <c r="H168" s="12"/>
      <c r="I168" s="2"/>
      <c r="J168" s="2"/>
      <c r="K168" s="12"/>
      <c r="L168" s="2"/>
      <c r="M168" s="2"/>
      <c r="N168" s="12"/>
      <c r="O168" s="2"/>
      <c r="P168" s="2"/>
      <c r="Q168" s="12"/>
      <c r="R168" s="2"/>
      <c r="S168" s="2"/>
      <c r="T168" s="12"/>
    </row>
    <row r="169" spans="1:20">
      <c r="A169" s="17" t="s">
        <v>445</v>
      </c>
      <c r="B169" s="2"/>
      <c r="C169" s="2"/>
      <c r="D169" s="12"/>
      <c r="E169" s="2"/>
      <c r="F169" s="12"/>
      <c r="G169" s="2"/>
      <c r="H169" s="12"/>
      <c r="I169" s="2"/>
      <c r="J169" s="2"/>
      <c r="K169" s="12"/>
      <c r="L169" s="2"/>
      <c r="M169" s="2"/>
      <c r="N169" s="12"/>
      <c r="O169" s="2"/>
      <c r="P169" s="2"/>
      <c r="Q169" s="12"/>
      <c r="R169" s="2"/>
      <c r="S169" s="2"/>
      <c r="T169" s="12"/>
    </row>
    <row r="170" spans="1:20" ht="18">
      <c r="A170" s="231" t="s">
        <v>538</v>
      </c>
      <c r="D170" s="280"/>
      <c r="F170" s="280"/>
      <c r="H170" s="280"/>
      <c r="K170" s="280"/>
      <c r="N170" s="280"/>
      <c r="Q170" s="280"/>
      <c r="T170" s="280"/>
    </row>
    <row r="171" spans="1:20" ht="18">
      <c r="A171" s="231"/>
      <c r="D171" s="280"/>
      <c r="F171" s="280"/>
      <c r="H171" s="280"/>
      <c r="K171" s="280"/>
      <c r="N171" s="280"/>
      <c r="Q171" s="280"/>
      <c r="T171" s="280"/>
    </row>
    <row r="172" spans="1:20">
      <c r="A172" s="228" t="s">
        <v>592</v>
      </c>
      <c r="D172" s="280"/>
      <c r="F172" s="280"/>
      <c r="H172" s="280"/>
      <c r="K172" s="280"/>
      <c r="N172" s="280"/>
      <c r="Q172" s="280"/>
      <c r="T172" s="280"/>
    </row>
    <row r="173" spans="1:20">
      <c r="A173" s="1" t="s">
        <v>1</v>
      </c>
      <c r="B173" s="2"/>
      <c r="C173" s="2"/>
      <c r="D173" s="12"/>
      <c r="E173" s="2"/>
      <c r="F173" s="12"/>
      <c r="G173" s="2"/>
      <c r="H173" s="12"/>
      <c r="I173" s="2"/>
      <c r="J173" s="2"/>
      <c r="K173" s="12"/>
      <c r="L173" s="2"/>
      <c r="M173" s="2"/>
      <c r="N173" s="12"/>
      <c r="O173" s="2"/>
      <c r="P173" s="2"/>
      <c r="Q173" s="12"/>
      <c r="R173" s="2"/>
      <c r="S173" s="2"/>
      <c r="T173" s="12"/>
    </row>
    <row r="174" spans="1:20">
      <c r="A174" s="1"/>
      <c r="B174" s="2"/>
      <c r="C174" s="2"/>
      <c r="D174" s="12"/>
      <c r="E174" s="2"/>
      <c r="F174" s="12"/>
      <c r="G174" s="2"/>
      <c r="H174" s="12"/>
      <c r="I174" s="2"/>
      <c r="J174" s="2"/>
      <c r="K174" s="12"/>
      <c r="L174" s="2"/>
      <c r="M174" s="2"/>
      <c r="N174" s="12"/>
      <c r="O174" s="2"/>
      <c r="P174" s="2"/>
      <c r="Q174" s="12"/>
      <c r="R174" s="2"/>
      <c r="S174" s="2"/>
      <c r="T174" s="12"/>
    </row>
    <row r="175" spans="1:20">
      <c r="A175" s="3"/>
      <c r="B175" s="4"/>
      <c r="C175" s="5" t="s">
        <v>2</v>
      </c>
      <c r="D175" s="281"/>
      <c r="E175" s="5"/>
      <c r="F175" s="281"/>
      <c r="G175" s="5"/>
      <c r="H175" s="281"/>
      <c r="I175" s="5"/>
      <c r="J175" s="5"/>
      <c r="K175" s="281"/>
      <c r="L175" s="5"/>
      <c r="M175" s="5"/>
      <c r="N175" s="281"/>
      <c r="O175" s="5"/>
      <c r="P175" s="5"/>
      <c r="Q175" s="281"/>
      <c r="R175" s="6"/>
      <c r="S175" s="4"/>
      <c r="T175" s="285"/>
    </row>
    <row r="176" spans="1:20">
      <c r="A176" s="2"/>
      <c r="B176" s="2"/>
      <c r="C176" s="2"/>
      <c r="D176" s="12"/>
      <c r="E176" s="5" t="s">
        <v>3</v>
      </c>
      <c r="F176" s="281"/>
      <c r="G176" s="5"/>
      <c r="H176" s="281"/>
      <c r="I176" s="2"/>
      <c r="J176" s="5" t="s">
        <v>4</v>
      </c>
      <c r="K176" s="281"/>
      <c r="L176" s="5"/>
      <c r="M176" s="5"/>
      <c r="N176" s="281"/>
      <c r="O176" s="5"/>
      <c r="P176" s="5"/>
      <c r="Q176" s="281"/>
      <c r="R176" s="2"/>
      <c r="S176" s="2"/>
      <c r="T176" s="12"/>
    </row>
    <row r="177" spans="1:20" ht="18">
      <c r="A177" s="1" t="s">
        <v>5</v>
      </c>
      <c r="B177" s="2"/>
      <c r="C177" s="2"/>
      <c r="D177" s="12"/>
      <c r="E177" s="2"/>
      <c r="F177" s="12"/>
      <c r="G177" s="5" t="s">
        <v>6</v>
      </c>
      <c r="H177" s="281"/>
      <c r="I177" s="2"/>
      <c r="J177" s="7" t="s">
        <v>7</v>
      </c>
      <c r="K177" s="283"/>
      <c r="L177" s="2"/>
      <c r="M177" s="7" t="s">
        <v>8</v>
      </c>
      <c r="N177" s="283"/>
      <c r="O177" s="2"/>
      <c r="P177" s="7" t="s">
        <v>465</v>
      </c>
      <c r="Q177" s="283"/>
      <c r="R177" s="2"/>
      <c r="S177" s="5" t="s">
        <v>9</v>
      </c>
      <c r="T177" s="281"/>
    </row>
    <row r="178" spans="1:20">
      <c r="A178" s="8"/>
      <c r="B178" s="9" t="s">
        <v>10</v>
      </c>
      <c r="C178" s="9" t="s">
        <v>11</v>
      </c>
      <c r="D178" s="282" t="s">
        <v>12</v>
      </c>
      <c r="E178" s="9" t="s">
        <v>11</v>
      </c>
      <c r="F178" s="282" t="s">
        <v>12</v>
      </c>
      <c r="G178" s="9" t="s">
        <v>11</v>
      </c>
      <c r="H178" s="282" t="s">
        <v>12</v>
      </c>
      <c r="I178" s="8"/>
      <c r="J178" s="9" t="s">
        <v>11</v>
      </c>
      <c r="K178" s="282" t="s">
        <v>12</v>
      </c>
      <c r="L178" s="9"/>
      <c r="M178" s="9" t="s">
        <v>11</v>
      </c>
      <c r="N178" s="282" t="s">
        <v>12</v>
      </c>
      <c r="O178" s="9"/>
      <c r="P178" s="9" t="s">
        <v>11</v>
      </c>
      <c r="Q178" s="282" t="s">
        <v>12</v>
      </c>
      <c r="R178" s="9"/>
      <c r="S178" s="9" t="s">
        <v>11</v>
      </c>
      <c r="T178" s="282" t="s">
        <v>12</v>
      </c>
    </row>
    <row r="179" spans="1:20">
      <c r="A179" s="2"/>
      <c r="B179" s="2"/>
      <c r="C179" s="2"/>
      <c r="D179" s="12"/>
      <c r="E179" s="2"/>
      <c r="F179" s="12"/>
      <c r="G179" s="2"/>
      <c r="H179" s="12"/>
      <c r="I179" s="2"/>
      <c r="J179" s="2"/>
      <c r="K179" s="12"/>
      <c r="L179" s="2"/>
      <c r="M179" s="2"/>
      <c r="N179" s="12"/>
      <c r="O179" s="2"/>
      <c r="P179" s="2"/>
      <c r="Q179" s="12"/>
      <c r="R179" s="2"/>
      <c r="S179" s="2"/>
      <c r="T179" s="12"/>
    </row>
    <row r="180" spans="1:20">
      <c r="A180" s="10" t="s">
        <v>13</v>
      </c>
      <c r="B180" s="2"/>
      <c r="C180" s="2"/>
      <c r="D180" s="12"/>
      <c r="E180" s="2"/>
      <c r="F180" s="12"/>
      <c r="G180" s="2"/>
      <c r="H180" s="12"/>
      <c r="I180" s="2"/>
      <c r="J180" s="2"/>
      <c r="K180" s="12"/>
      <c r="L180" s="2"/>
      <c r="M180" s="2"/>
      <c r="N180" s="12"/>
      <c r="O180" s="2"/>
      <c r="P180" s="2"/>
      <c r="Q180" s="12"/>
      <c r="R180" s="2"/>
      <c r="S180" s="2"/>
      <c r="T180" s="12"/>
    </row>
    <row r="181" spans="1:20">
      <c r="A181" s="1" t="s">
        <v>590</v>
      </c>
      <c r="B181" s="11">
        <f>'[2]HI-05'!C11</f>
        <v>271275</v>
      </c>
      <c r="C181" s="11">
        <f>'[2]HI-05'!D11</f>
        <v>243641</v>
      </c>
      <c r="D181" s="12">
        <f>'[2]HI-05'!E11</f>
        <v>89.8</v>
      </c>
      <c r="E181" s="11">
        <f>'[2]HI-05'!F11</f>
        <v>187459</v>
      </c>
      <c r="F181" s="12">
        <f>'[2]HI-05'!G11</f>
        <v>69.099999999999994</v>
      </c>
      <c r="G181" s="11">
        <f>'[2]HI-05'!H11</f>
        <v>160428</v>
      </c>
      <c r="H181" s="12">
        <f>'[2]HI-05'!I11</f>
        <v>59.1</v>
      </c>
      <c r="I181" s="2"/>
      <c r="J181" s="11">
        <f>'[2]HI-05'!P11</f>
        <v>59301</v>
      </c>
      <c r="K181" s="12">
        <f>'[2]HI-05'!Q11</f>
        <v>21.9</v>
      </c>
      <c r="L181" s="2"/>
      <c r="M181" s="11">
        <f>'[2]HI-05'!T11</f>
        <v>8023</v>
      </c>
      <c r="N181" s="12">
        <f>'[2]HI-05'!U11</f>
        <v>3</v>
      </c>
      <c r="O181" s="2"/>
      <c r="P181" s="11">
        <f>'[2]HI-05'!Z11</f>
        <v>3322</v>
      </c>
      <c r="Q181" s="12">
        <f>'[2]HI-05'!AA11</f>
        <v>1.2</v>
      </c>
      <c r="R181" s="2"/>
      <c r="S181" s="11">
        <f>'[2]HI-05'!AB11</f>
        <v>27633</v>
      </c>
      <c r="T181" s="12">
        <f>'[2]HI-05'!AC11</f>
        <v>10.199999999999999</v>
      </c>
    </row>
    <row r="182" spans="1:20">
      <c r="A182" s="1" t="s">
        <v>498</v>
      </c>
      <c r="B182" s="229">
        <v>270270</v>
      </c>
      <c r="C182" s="229">
        <v>243339</v>
      </c>
      <c r="D182" s="279">
        <v>90</v>
      </c>
      <c r="E182" s="229">
        <v>186868</v>
      </c>
      <c r="F182" s="279">
        <v>69.099999999999994</v>
      </c>
      <c r="G182" s="229">
        <v>158246</v>
      </c>
      <c r="H182" s="279">
        <v>58.6</v>
      </c>
      <c r="I182" s="181"/>
      <c r="J182" s="229">
        <v>59679</v>
      </c>
      <c r="K182" s="279">
        <v>22.1</v>
      </c>
      <c r="L182" s="181"/>
      <c r="M182" s="229">
        <v>8111</v>
      </c>
      <c r="N182" s="279">
        <v>3</v>
      </c>
      <c r="O182" s="181"/>
      <c r="P182" s="229">
        <v>3329</v>
      </c>
      <c r="Q182" s="279">
        <v>1.2</v>
      </c>
      <c r="R182" s="181"/>
      <c r="S182" s="229">
        <v>26932</v>
      </c>
      <c r="T182" s="279">
        <v>10</v>
      </c>
    </row>
    <row r="183" spans="1:20">
      <c r="A183" s="1" t="s">
        <v>493</v>
      </c>
      <c r="B183" s="11">
        <v>270014</v>
      </c>
      <c r="C183" s="11">
        <v>240648</v>
      </c>
      <c r="D183" s="12">
        <v>89.1</v>
      </c>
      <c r="E183" s="11">
        <v>185094</v>
      </c>
      <c r="F183" s="12">
        <v>68.5</v>
      </c>
      <c r="G183" s="11">
        <v>156877</v>
      </c>
      <c r="H183" s="12">
        <v>58.1</v>
      </c>
      <c r="I183" s="2"/>
      <c r="J183" s="11">
        <v>58359</v>
      </c>
      <c r="K183" s="12">
        <v>21.6</v>
      </c>
      <c r="L183" s="2"/>
      <c r="M183" s="11">
        <v>8082</v>
      </c>
      <c r="N183" s="12">
        <v>3</v>
      </c>
      <c r="O183" s="2"/>
      <c r="P183" s="11">
        <v>3218</v>
      </c>
      <c r="Q183" s="12">
        <v>1.2</v>
      </c>
      <c r="R183" s="2"/>
      <c r="S183" s="11">
        <v>29366</v>
      </c>
      <c r="T183" s="12">
        <v>10.9</v>
      </c>
    </row>
    <row r="184" spans="1:20">
      <c r="A184" s="1" t="s">
        <v>466</v>
      </c>
      <c r="B184" s="11">
        <v>268977</v>
      </c>
      <c r="C184" s="11">
        <v>232731</v>
      </c>
      <c r="D184" s="12">
        <v>86.5</v>
      </c>
      <c r="E184" s="11">
        <v>180764</v>
      </c>
      <c r="F184" s="12">
        <v>67.2</v>
      </c>
      <c r="G184" s="11">
        <v>154990</v>
      </c>
      <c r="H184" s="12">
        <v>57.6</v>
      </c>
      <c r="I184" s="2"/>
      <c r="J184" s="11">
        <v>54173</v>
      </c>
      <c r="K184" s="12">
        <v>20.100000000000001</v>
      </c>
      <c r="L184" s="2"/>
      <c r="M184" s="11">
        <v>7937</v>
      </c>
      <c r="N184" s="12">
        <v>3</v>
      </c>
      <c r="O184" s="2"/>
      <c r="P184" s="11">
        <v>3236</v>
      </c>
      <c r="Q184" s="12">
        <v>1.2</v>
      </c>
      <c r="R184" s="2"/>
      <c r="S184" s="11">
        <v>36247</v>
      </c>
      <c r="T184" s="12">
        <v>13.5</v>
      </c>
    </row>
    <row r="185" spans="1:20" ht="18">
      <c r="A185" s="1" t="s">
        <v>467</v>
      </c>
      <c r="B185" s="11">
        <v>267804.46999999997</v>
      </c>
      <c r="C185" s="11">
        <v>223069.46</v>
      </c>
      <c r="D185" s="12">
        <v>83.295642999999998</v>
      </c>
      <c r="E185" s="11">
        <v>175253.98</v>
      </c>
      <c r="F185" s="12">
        <v>65.441021000000006</v>
      </c>
      <c r="G185" s="11">
        <v>152888.23000000001</v>
      </c>
      <c r="H185" s="12">
        <v>57.089500000000001</v>
      </c>
      <c r="I185" s="2"/>
      <c r="J185" s="11">
        <v>49667.22</v>
      </c>
      <c r="K185" s="12">
        <v>18.546075999999999</v>
      </c>
      <c r="L185" s="2"/>
      <c r="M185" s="11">
        <v>7734.5789999999997</v>
      </c>
      <c r="N185" s="12">
        <v>2.8881440999999999</v>
      </c>
      <c r="O185" s="2"/>
      <c r="P185" s="11">
        <v>3243.0659999999998</v>
      </c>
      <c r="Q185" s="12">
        <v>1.2109828</v>
      </c>
      <c r="R185" s="2"/>
      <c r="S185" s="11">
        <v>44735.014000000003</v>
      </c>
      <c r="T185" s="12">
        <v>16.704357000000002</v>
      </c>
    </row>
    <row r="186" spans="1:20">
      <c r="A186" s="1" t="s">
        <v>446</v>
      </c>
      <c r="B186" s="11">
        <v>267828.71846</v>
      </c>
      <c r="C186" s="11">
        <v>220517.20670000001</v>
      </c>
      <c r="D186" s="12">
        <v>82.335161056000004</v>
      </c>
      <c r="E186" s="11">
        <v>174637.38183999999</v>
      </c>
      <c r="F186" s="12">
        <v>65.204875279999996</v>
      </c>
      <c r="G186" s="11">
        <v>156494.03427</v>
      </c>
      <c r="H186" s="12">
        <v>58.430639986999999</v>
      </c>
      <c r="I186" s="2"/>
      <c r="J186" s="11">
        <v>47278.999751000003</v>
      </c>
      <c r="K186" s="12">
        <v>17.652699838</v>
      </c>
      <c r="L186" s="2"/>
      <c r="M186" s="11">
        <v>8817.3469963999996</v>
      </c>
      <c r="N186" s="12">
        <v>3.2921589018000001</v>
      </c>
      <c r="O186" s="2"/>
      <c r="P186" s="11">
        <v>9939.4609514999993</v>
      </c>
      <c r="Q186" s="12">
        <v>3.7111259048999998</v>
      </c>
      <c r="R186" s="2"/>
      <c r="S186" s="11">
        <v>47311.511763000002</v>
      </c>
      <c r="T186" s="12">
        <v>17.664838944</v>
      </c>
    </row>
    <row r="187" spans="1:20">
      <c r="A187" s="1" t="s">
        <v>447</v>
      </c>
      <c r="B187" s="11">
        <v>267320.49894000002</v>
      </c>
      <c r="C187" s="11">
        <v>219397.08059</v>
      </c>
      <c r="D187" s="12">
        <v>82.072673612000003</v>
      </c>
      <c r="E187" s="11">
        <v>173225.24587000001</v>
      </c>
      <c r="F187" s="12">
        <v>64.800584526999998</v>
      </c>
      <c r="G187" s="11">
        <v>155964.62805999999</v>
      </c>
      <c r="H187" s="12">
        <v>58.343684334999999</v>
      </c>
      <c r="I187" s="2"/>
      <c r="J187" s="11">
        <v>46951.405891000002</v>
      </c>
      <c r="K187" s="12">
        <v>17.563713249999999</v>
      </c>
      <c r="L187" s="2"/>
      <c r="M187" s="11">
        <v>8425.4772279999997</v>
      </c>
      <c r="N187" s="12">
        <v>3.1518260894000001</v>
      </c>
      <c r="O187" s="2"/>
      <c r="P187" s="11">
        <v>9895.6538956999993</v>
      </c>
      <c r="Q187" s="12">
        <v>3.7017938896999998</v>
      </c>
      <c r="R187" s="2"/>
      <c r="S187" s="11">
        <v>47923.418346999999</v>
      </c>
      <c r="T187" s="12">
        <v>17.927326388000001</v>
      </c>
    </row>
    <row r="188" spans="1:20">
      <c r="A188" s="1" t="s">
        <v>448</v>
      </c>
      <c r="B188" s="11">
        <v>266930.91606389731</v>
      </c>
      <c r="C188" s="11">
        <v>217818.84689739699</v>
      </c>
      <c r="D188" s="12">
        <v>81.60120607582833</v>
      </c>
      <c r="E188" s="11">
        <v>173206.49039839944</v>
      </c>
      <c r="F188" s="12">
        <v>64.888133960825158</v>
      </c>
      <c r="G188" s="11">
        <v>156536.3363826999</v>
      </c>
      <c r="H188" s="12">
        <v>58.64301471367542</v>
      </c>
      <c r="I188" s="2"/>
      <c r="J188" s="11">
        <v>44993.446981500019</v>
      </c>
      <c r="K188" s="12">
        <v>16.855839572636686</v>
      </c>
      <c r="L188" s="2"/>
      <c r="M188" s="11">
        <v>7870.4077872999978</v>
      </c>
      <c r="N188" s="12">
        <v>2.9484811663464257</v>
      </c>
      <c r="O188" s="2"/>
      <c r="P188" s="11">
        <v>9666.1175478000114</v>
      </c>
      <c r="Q188" s="12">
        <v>3.6212057000868936</v>
      </c>
      <c r="R188" s="2"/>
      <c r="S188" s="11">
        <v>49112.069166500107</v>
      </c>
      <c r="T188" s="12">
        <v>18.398793924171667</v>
      </c>
    </row>
    <row r="189" spans="1:20">
      <c r="A189" s="1" t="s">
        <v>449</v>
      </c>
      <c r="B189" s="11">
        <v>265667</v>
      </c>
      <c r="C189" s="11">
        <v>215669</v>
      </c>
      <c r="D189" s="12">
        <v>81.2</v>
      </c>
      <c r="E189" s="11">
        <v>172131</v>
      </c>
      <c r="F189" s="12">
        <v>64.8</v>
      </c>
      <c r="G189" s="11">
        <v>156543</v>
      </c>
      <c r="H189" s="12">
        <v>58.9</v>
      </c>
      <c r="I189" s="2"/>
      <c r="J189" s="11">
        <v>44109</v>
      </c>
      <c r="K189" s="12">
        <v>16.600000000000001</v>
      </c>
      <c r="L189" s="2"/>
      <c r="M189" s="11">
        <v>7339</v>
      </c>
      <c r="N189" s="12">
        <v>2.8</v>
      </c>
      <c r="O189" s="2"/>
      <c r="P189" s="11">
        <v>9200</v>
      </c>
      <c r="Q189" s="12">
        <v>3.5</v>
      </c>
      <c r="R189" s="2"/>
      <c r="S189" s="11">
        <v>49998</v>
      </c>
      <c r="T189" s="12">
        <v>18.8</v>
      </c>
    </row>
    <row r="190" spans="1:20">
      <c r="A190" s="1" t="s">
        <v>450</v>
      </c>
      <c r="B190" s="11">
        <v>263695</v>
      </c>
      <c r="C190" s="11">
        <v>218002</v>
      </c>
      <c r="D190" s="12">
        <v>82.7</v>
      </c>
      <c r="E190" s="11">
        <v>178705</v>
      </c>
      <c r="F190" s="12">
        <v>67.8</v>
      </c>
      <c r="G190" s="11">
        <v>163119</v>
      </c>
      <c r="H190" s="12">
        <v>61.9</v>
      </c>
      <c r="I190" s="2"/>
      <c r="J190" s="11">
        <v>39213</v>
      </c>
      <c r="K190" s="12">
        <v>14.9</v>
      </c>
      <c r="L190" s="2"/>
      <c r="M190" s="11">
        <v>7725</v>
      </c>
      <c r="N190" s="12">
        <v>2.9</v>
      </c>
      <c r="O190" s="2"/>
      <c r="P190" s="11">
        <v>8740</v>
      </c>
      <c r="Q190" s="12">
        <v>3.3</v>
      </c>
      <c r="R190" s="2"/>
      <c r="S190" s="11">
        <v>45693</v>
      </c>
      <c r="T190" s="12">
        <v>17.3</v>
      </c>
    </row>
    <row r="191" spans="1:20">
      <c r="A191" s="1" t="s">
        <v>451</v>
      </c>
      <c r="B191" s="11">
        <v>262316</v>
      </c>
      <c r="C191" s="11">
        <v>217345</v>
      </c>
      <c r="D191" s="12">
        <v>82.9</v>
      </c>
      <c r="E191" s="11">
        <v>180785</v>
      </c>
      <c r="F191" s="12">
        <v>68.900000000000006</v>
      </c>
      <c r="G191" s="11">
        <v>164888</v>
      </c>
      <c r="H191" s="12">
        <v>62.9</v>
      </c>
      <c r="I191" s="2"/>
      <c r="J191" s="11">
        <v>36291</v>
      </c>
      <c r="K191" s="12">
        <v>13.8</v>
      </c>
      <c r="L191" s="2"/>
      <c r="M191" s="11">
        <v>7097</v>
      </c>
      <c r="N191" s="12">
        <v>2.7</v>
      </c>
      <c r="O191" s="2"/>
      <c r="P191" s="11">
        <v>8351</v>
      </c>
      <c r="Q191" s="12">
        <v>3.2</v>
      </c>
      <c r="R191" s="2"/>
      <c r="S191" s="11">
        <v>44971</v>
      </c>
      <c r="T191" s="12">
        <v>17.100000000000001</v>
      </c>
    </row>
    <row r="192" spans="1:20">
      <c r="A192" s="1" t="s">
        <v>452</v>
      </c>
      <c r="B192" s="11">
        <v>260789</v>
      </c>
      <c r="C192" s="11">
        <v>214336</v>
      </c>
      <c r="D192" s="12">
        <v>82.2</v>
      </c>
      <c r="E192" s="11">
        <v>179787</v>
      </c>
      <c r="F192" s="12">
        <v>68.900000000000006</v>
      </c>
      <c r="G192" s="11">
        <v>164066</v>
      </c>
      <c r="H192" s="12">
        <v>62.9</v>
      </c>
      <c r="I192" s="2"/>
      <c r="J192" s="11">
        <v>34917</v>
      </c>
      <c r="K192" s="12">
        <v>13.4</v>
      </c>
      <c r="L192" s="2"/>
      <c r="M192" s="11">
        <v>6538</v>
      </c>
      <c r="N192" s="12">
        <v>2.5</v>
      </c>
      <c r="O192" s="2"/>
      <c r="P192" s="11">
        <v>7865</v>
      </c>
      <c r="Q192" s="12">
        <v>3</v>
      </c>
      <c r="R192" s="2"/>
      <c r="S192" s="11">
        <v>46453</v>
      </c>
      <c r="T192" s="12">
        <v>17.8</v>
      </c>
    </row>
    <row r="193" spans="1:20">
      <c r="A193" s="1" t="s">
        <v>453</v>
      </c>
      <c r="B193" s="11">
        <v>258330</v>
      </c>
      <c r="C193" s="11">
        <v>212111</v>
      </c>
      <c r="D193" s="12">
        <v>82.1</v>
      </c>
      <c r="E193" s="11">
        <v>177823</v>
      </c>
      <c r="F193" s="12">
        <v>68.8</v>
      </c>
      <c r="G193" s="11">
        <v>162153</v>
      </c>
      <c r="H193" s="12">
        <v>62.8</v>
      </c>
      <c r="I193" s="2"/>
      <c r="J193" s="11">
        <v>34737</v>
      </c>
      <c r="K193" s="12">
        <v>13.4</v>
      </c>
      <c r="L193" s="2"/>
      <c r="M193" s="11">
        <v>6458</v>
      </c>
      <c r="N193" s="12">
        <v>2.5</v>
      </c>
      <c r="O193" s="2"/>
      <c r="P193" s="11">
        <v>8561</v>
      </c>
      <c r="Q193" s="12">
        <v>3.3</v>
      </c>
      <c r="R193" s="2"/>
      <c r="S193" s="11">
        <v>46118</v>
      </c>
      <c r="T193" s="12">
        <v>17.899999999999999</v>
      </c>
    </row>
    <row r="194" spans="1:20" ht="18">
      <c r="A194" s="1" t="s">
        <v>468</v>
      </c>
      <c r="B194" s="11">
        <v>255957</v>
      </c>
      <c r="C194" s="11">
        <v>211143</v>
      </c>
      <c r="D194" s="12">
        <v>82.5</v>
      </c>
      <c r="E194" s="11">
        <v>177514</v>
      </c>
      <c r="F194" s="12">
        <v>69.400000000000006</v>
      </c>
      <c r="G194" s="11">
        <v>161797</v>
      </c>
      <c r="H194" s="12">
        <v>63.2</v>
      </c>
      <c r="I194" s="2"/>
      <c r="J194" s="11">
        <v>34628</v>
      </c>
      <c r="K194" s="12">
        <v>13.5</v>
      </c>
      <c r="L194" s="2"/>
      <c r="M194" s="11">
        <v>6287</v>
      </c>
      <c r="N194" s="12">
        <v>2.5</v>
      </c>
      <c r="O194" s="2"/>
      <c r="P194" s="11">
        <v>8156</v>
      </c>
      <c r="Q194" s="12">
        <v>3.2</v>
      </c>
      <c r="R194" s="2"/>
      <c r="S194" s="11">
        <v>44813</v>
      </c>
      <c r="T194" s="12">
        <v>17.5</v>
      </c>
    </row>
    <row r="195" spans="1:20">
      <c r="A195" s="1" t="s">
        <v>454</v>
      </c>
      <c r="B195" s="11">
        <v>253621</v>
      </c>
      <c r="C195" s="11">
        <v>208947</v>
      </c>
      <c r="D195" s="12">
        <v>82.4</v>
      </c>
      <c r="E195" s="11">
        <v>176710</v>
      </c>
      <c r="F195" s="12">
        <v>69.7</v>
      </c>
      <c r="G195" s="11">
        <v>161817</v>
      </c>
      <c r="H195" s="12">
        <v>63.8</v>
      </c>
      <c r="I195" s="2"/>
      <c r="J195" s="11">
        <v>32457</v>
      </c>
      <c r="K195" s="12">
        <v>12.8</v>
      </c>
      <c r="L195" s="2"/>
      <c r="M195" s="11">
        <v>6199</v>
      </c>
      <c r="N195" s="12">
        <v>2.4</v>
      </c>
      <c r="O195" s="2"/>
      <c r="P195" s="11">
        <v>7773</v>
      </c>
      <c r="Q195" s="12">
        <v>3.1</v>
      </c>
      <c r="R195" s="2"/>
      <c r="S195" s="11">
        <v>44675</v>
      </c>
      <c r="T195" s="12">
        <v>17.600000000000001</v>
      </c>
    </row>
    <row r="196" spans="1:20">
      <c r="A196" s="1" t="s">
        <v>455</v>
      </c>
      <c r="B196" s="11">
        <v>251700</v>
      </c>
      <c r="C196" s="11">
        <v>208384</v>
      </c>
      <c r="D196" s="12">
        <v>82.8</v>
      </c>
      <c r="E196" s="11">
        <v>178287</v>
      </c>
      <c r="F196" s="12">
        <v>70.8</v>
      </c>
      <c r="G196" s="11">
        <v>163713</v>
      </c>
      <c r="H196" s="12">
        <v>65</v>
      </c>
      <c r="I196" s="2"/>
      <c r="J196" s="11">
        <v>29963</v>
      </c>
      <c r="K196" s="12">
        <v>11.9</v>
      </c>
      <c r="L196" s="2"/>
      <c r="M196" s="11">
        <v>5818</v>
      </c>
      <c r="N196" s="12">
        <v>2.2999999999999998</v>
      </c>
      <c r="O196" s="2"/>
      <c r="P196" s="11">
        <v>7804</v>
      </c>
      <c r="Q196" s="12">
        <v>3.1</v>
      </c>
      <c r="R196" s="2"/>
      <c r="S196" s="11">
        <v>43316</v>
      </c>
      <c r="T196" s="12">
        <v>17.2</v>
      </c>
    </row>
    <row r="197" spans="1:20">
      <c r="A197" s="1" t="s">
        <v>456</v>
      </c>
      <c r="B197" s="11">
        <v>248312</v>
      </c>
      <c r="C197" s="11">
        <v>207377</v>
      </c>
      <c r="D197" s="12">
        <v>83.5</v>
      </c>
      <c r="E197" s="11">
        <v>179108</v>
      </c>
      <c r="F197" s="12">
        <v>72.099999999999994</v>
      </c>
      <c r="G197" s="11">
        <v>164906</v>
      </c>
      <c r="H197" s="12">
        <v>66.400000000000006</v>
      </c>
      <c r="I197" s="2"/>
      <c r="J197" s="11">
        <v>28330</v>
      </c>
      <c r="K197" s="12">
        <v>11.4</v>
      </c>
      <c r="L197" s="2"/>
      <c r="M197" s="11">
        <v>5585</v>
      </c>
      <c r="N197" s="12">
        <v>2.2000000000000002</v>
      </c>
      <c r="O197" s="2"/>
      <c r="P197" s="11">
        <v>7396</v>
      </c>
      <c r="Q197" s="12">
        <v>3</v>
      </c>
      <c r="R197" s="2"/>
      <c r="S197" s="11">
        <v>40935</v>
      </c>
      <c r="T197" s="12">
        <v>16.5</v>
      </c>
    </row>
    <row r="198" spans="1:20" ht="18">
      <c r="A198" s="1" t="s">
        <v>469</v>
      </c>
      <c r="B198" s="11">
        <v>245952</v>
      </c>
      <c r="C198" s="11">
        <v>206399</v>
      </c>
      <c r="D198" s="12">
        <v>83.9</v>
      </c>
      <c r="E198" s="11">
        <v>180359</v>
      </c>
      <c r="F198" s="12">
        <v>73.3</v>
      </c>
      <c r="G198" s="11">
        <v>166569</v>
      </c>
      <c r="H198" s="12">
        <v>67.7</v>
      </c>
      <c r="I198" s="2"/>
      <c r="J198" s="11">
        <v>26195</v>
      </c>
      <c r="K198" s="12">
        <v>10.7</v>
      </c>
      <c r="L198" s="2"/>
      <c r="M198" s="11">
        <v>5451</v>
      </c>
      <c r="N198" s="12">
        <v>2.2000000000000002</v>
      </c>
      <c r="O198" s="2"/>
      <c r="P198" s="11">
        <v>7689</v>
      </c>
      <c r="Q198" s="12">
        <v>3.1</v>
      </c>
      <c r="R198" s="2"/>
      <c r="S198" s="11">
        <v>39552</v>
      </c>
      <c r="T198" s="12">
        <v>16.100000000000001</v>
      </c>
    </row>
    <row r="199" spans="1:20" ht="18">
      <c r="A199" s="1" t="s">
        <v>470</v>
      </c>
      <c r="B199" s="11">
        <v>243427</v>
      </c>
      <c r="C199" s="11">
        <v>203466</v>
      </c>
      <c r="D199" s="12">
        <v>83.6</v>
      </c>
      <c r="E199" s="11">
        <v>178044</v>
      </c>
      <c r="F199" s="12">
        <v>73.099999999999994</v>
      </c>
      <c r="G199" s="11">
        <v>163517</v>
      </c>
      <c r="H199" s="12">
        <v>67.2</v>
      </c>
      <c r="I199" s="2"/>
      <c r="J199" s="11">
        <v>25549</v>
      </c>
      <c r="K199" s="12">
        <v>10.5</v>
      </c>
      <c r="L199" s="2"/>
      <c r="M199" s="11">
        <v>4918</v>
      </c>
      <c r="N199" s="12">
        <v>2</v>
      </c>
      <c r="O199" s="2"/>
      <c r="P199" s="11">
        <v>7391</v>
      </c>
      <c r="Q199" s="12">
        <v>3</v>
      </c>
      <c r="R199" s="2"/>
      <c r="S199" s="11">
        <v>39960</v>
      </c>
      <c r="T199" s="12">
        <v>16.399999999999999</v>
      </c>
    </row>
    <row r="200" spans="1:20">
      <c r="A200" s="1" t="s">
        <v>457</v>
      </c>
      <c r="B200" s="11">
        <v>241466</v>
      </c>
      <c r="C200" s="11">
        <v>199334</v>
      </c>
      <c r="D200" s="12">
        <v>82.6</v>
      </c>
      <c r="E200" s="11">
        <v>174545</v>
      </c>
      <c r="F200" s="12">
        <v>72.3</v>
      </c>
      <c r="G200" s="11">
        <v>160854</v>
      </c>
      <c r="H200" s="12">
        <v>66.599999999999994</v>
      </c>
      <c r="I200" s="2"/>
      <c r="J200" s="11">
        <v>24973</v>
      </c>
      <c r="K200" s="12">
        <v>10.3</v>
      </c>
      <c r="L200" s="2"/>
      <c r="M200" s="11">
        <v>4835</v>
      </c>
      <c r="N200" s="12">
        <v>2</v>
      </c>
      <c r="O200" s="2"/>
      <c r="P200" s="11">
        <v>7297</v>
      </c>
      <c r="Q200" s="12">
        <v>3</v>
      </c>
      <c r="R200" s="2"/>
      <c r="S200" s="11">
        <v>42131</v>
      </c>
      <c r="T200" s="12">
        <v>17.399999999999999</v>
      </c>
    </row>
    <row r="201" spans="1:20">
      <c r="A201" s="1" t="s">
        <v>458</v>
      </c>
      <c r="B201" s="11">
        <v>239348</v>
      </c>
      <c r="C201" s="11">
        <v>195426</v>
      </c>
      <c r="D201" s="12">
        <v>81.599999999999994</v>
      </c>
      <c r="E201" s="11">
        <v>170690</v>
      </c>
      <c r="F201" s="12">
        <v>71.3</v>
      </c>
      <c r="G201" s="11">
        <v>157426</v>
      </c>
      <c r="H201" s="12">
        <v>65.8</v>
      </c>
      <c r="I201" s="2"/>
      <c r="J201" s="11">
        <v>24893</v>
      </c>
      <c r="K201" s="12">
        <v>10.4</v>
      </c>
      <c r="L201" s="2"/>
      <c r="M201" s="11">
        <v>4801</v>
      </c>
      <c r="N201" s="12">
        <v>2</v>
      </c>
      <c r="O201" s="2"/>
      <c r="P201" s="11">
        <v>7561</v>
      </c>
      <c r="Q201" s="12">
        <v>3.2</v>
      </c>
      <c r="R201" s="2"/>
      <c r="S201" s="11">
        <v>43923</v>
      </c>
      <c r="T201" s="12">
        <v>18.399999999999999</v>
      </c>
    </row>
    <row r="202" spans="1:20" ht="18">
      <c r="A202" s="1" t="s">
        <v>459</v>
      </c>
      <c r="B202" s="11">
        <v>237011</v>
      </c>
      <c r="C202" s="11">
        <v>193897</v>
      </c>
      <c r="D202" s="12">
        <v>81.8</v>
      </c>
      <c r="E202" s="11">
        <v>167845</v>
      </c>
      <c r="F202" s="12">
        <v>70.8</v>
      </c>
      <c r="G202" s="11">
        <v>154128</v>
      </c>
      <c r="H202" s="12">
        <v>65</v>
      </c>
      <c r="I202" s="2"/>
      <c r="J202" s="11">
        <v>26055</v>
      </c>
      <c r="K202" s="12">
        <v>11</v>
      </c>
      <c r="L202" s="2"/>
      <c r="M202" s="11">
        <v>4720</v>
      </c>
      <c r="N202" s="12">
        <v>2</v>
      </c>
      <c r="O202" s="2"/>
      <c r="P202" s="11">
        <v>7403</v>
      </c>
      <c r="Q202" s="12">
        <v>3.1</v>
      </c>
      <c r="R202" s="2"/>
      <c r="S202" s="11">
        <v>43115</v>
      </c>
      <c r="T202" s="12">
        <v>18.2</v>
      </c>
    </row>
    <row r="203" spans="1:20">
      <c r="A203" s="1" t="s">
        <v>460</v>
      </c>
      <c r="B203" s="11">
        <v>234915</v>
      </c>
      <c r="C203" s="11">
        <v>193536</v>
      </c>
      <c r="D203" s="12">
        <v>82.4</v>
      </c>
      <c r="E203" s="11">
        <v>166171</v>
      </c>
      <c r="F203" s="12">
        <v>70.7</v>
      </c>
      <c r="G203" s="11">
        <v>152273</v>
      </c>
      <c r="H203" s="12">
        <v>64.8</v>
      </c>
      <c r="I203" s="2"/>
      <c r="J203" s="11">
        <v>28235</v>
      </c>
      <c r="K203" s="12">
        <v>12</v>
      </c>
      <c r="L203" s="2"/>
      <c r="M203" s="11">
        <v>4610</v>
      </c>
      <c r="N203" s="12">
        <v>2</v>
      </c>
      <c r="O203" s="2"/>
      <c r="P203" s="11">
        <v>7714</v>
      </c>
      <c r="Q203" s="12">
        <v>3.3</v>
      </c>
      <c r="R203" s="2"/>
      <c r="S203" s="11">
        <v>41379</v>
      </c>
      <c r="T203" s="12">
        <v>17.600000000000001</v>
      </c>
    </row>
    <row r="204" spans="1:20">
      <c r="A204" s="1" t="s">
        <v>461</v>
      </c>
      <c r="B204" s="11">
        <v>232656</v>
      </c>
      <c r="C204" s="11">
        <v>192374</v>
      </c>
      <c r="D204" s="12">
        <v>82.7</v>
      </c>
      <c r="E204" s="11">
        <v>164127</v>
      </c>
      <c r="F204" s="12">
        <v>70.5</v>
      </c>
      <c r="G204" s="11">
        <v>150316</v>
      </c>
      <c r="H204" s="12">
        <v>64.599999999999994</v>
      </c>
      <c r="I204" s="2"/>
      <c r="J204" s="11">
        <v>29057</v>
      </c>
      <c r="K204" s="12">
        <v>12.5</v>
      </c>
      <c r="L204" s="2"/>
      <c r="M204" s="11">
        <v>4134</v>
      </c>
      <c r="N204" s="12">
        <v>1.8</v>
      </c>
      <c r="O204" s="2"/>
      <c r="P204" s="11">
        <v>8224</v>
      </c>
      <c r="Q204" s="12">
        <v>3.5</v>
      </c>
      <c r="R204" s="2"/>
      <c r="S204" s="11">
        <v>40281</v>
      </c>
      <c r="T204" s="12">
        <v>17.3</v>
      </c>
    </row>
    <row r="205" spans="1:20" ht="18">
      <c r="A205" s="1" t="s">
        <v>462</v>
      </c>
      <c r="B205" s="11">
        <v>230838</v>
      </c>
      <c r="C205" s="11">
        <v>191409</v>
      </c>
      <c r="D205" s="12">
        <v>82.9</v>
      </c>
      <c r="E205" s="11">
        <v>163059</v>
      </c>
      <c r="F205" s="12">
        <v>70.599999999999994</v>
      </c>
      <c r="G205" s="11">
        <v>148564</v>
      </c>
      <c r="H205" s="12">
        <v>64.400000000000006</v>
      </c>
      <c r="I205" s="2"/>
      <c r="J205" s="11">
        <v>28770</v>
      </c>
      <c r="K205" s="12">
        <v>12.5</v>
      </c>
      <c r="L205" s="2"/>
      <c r="M205" s="11">
        <v>3724</v>
      </c>
      <c r="N205" s="12">
        <v>1.6</v>
      </c>
      <c r="O205" s="2"/>
      <c r="P205" s="11">
        <v>9615</v>
      </c>
      <c r="Q205" s="12">
        <v>4.2</v>
      </c>
      <c r="R205" s="2"/>
      <c r="S205" s="11">
        <v>39428</v>
      </c>
      <c r="T205" s="12">
        <v>17.100000000000001</v>
      </c>
    </row>
    <row r="206" spans="1:20" ht="18">
      <c r="A206" s="1" t="s">
        <v>471</v>
      </c>
      <c r="B206" s="11">
        <v>228973</v>
      </c>
      <c r="C206" s="11">
        <v>189624</v>
      </c>
      <c r="D206" s="12">
        <v>82.8</v>
      </c>
      <c r="E206" s="11">
        <v>162026</v>
      </c>
      <c r="F206" s="12">
        <v>70.8</v>
      </c>
      <c r="G206" s="11">
        <v>138371</v>
      </c>
      <c r="H206" s="12">
        <v>60.4</v>
      </c>
      <c r="I206" s="2"/>
      <c r="J206" s="11">
        <v>29040</v>
      </c>
      <c r="K206" s="12">
        <v>12.7</v>
      </c>
      <c r="L206" s="2"/>
      <c r="M206" s="11">
        <v>3707</v>
      </c>
      <c r="N206" s="12">
        <v>1.6</v>
      </c>
      <c r="O206" s="2"/>
      <c r="P206" s="11">
        <v>8352</v>
      </c>
      <c r="Q206" s="12">
        <v>3.6</v>
      </c>
      <c r="R206" s="2"/>
      <c r="S206" s="11">
        <v>39349</v>
      </c>
      <c r="T206" s="12">
        <v>17.2</v>
      </c>
    </row>
    <row r="207" spans="1:20" ht="18">
      <c r="A207" s="1" t="s">
        <v>472</v>
      </c>
      <c r="B207" s="11">
        <v>226399</v>
      </c>
      <c r="C207" s="11">
        <v>188107</v>
      </c>
      <c r="D207" s="12">
        <v>83.1</v>
      </c>
      <c r="E207" s="11">
        <v>160822</v>
      </c>
      <c r="F207" s="12">
        <v>71</v>
      </c>
      <c r="G207" s="11">
        <v>138852</v>
      </c>
      <c r="H207" s="12">
        <v>61.3</v>
      </c>
      <c r="I207" s="2"/>
      <c r="J207" s="11">
        <v>26547</v>
      </c>
      <c r="K207" s="12">
        <v>11.7</v>
      </c>
      <c r="L207" s="2"/>
      <c r="M207" s="11">
        <v>3940</v>
      </c>
      <c r="N207" s="12">
        <v>1.7</v>
      </c>
      <c r="O207" s="2"/>
      <c r="P207" s="11">
        <v>8347</v>
      </c>
      <c r="Q207" s="12">
        <v>3.7</v>
      </c>
      <c r="R207" s="2"/>
      <c r="S207" s="11">
        <v>38292</v>
      </c>
      <c r="T207" s="12">
        <v>16.899999999999999</v>
      </c>
    </row>
    <row r="208" spans="1:20">
      <c r="A208" s="1" t="s">
        <v>463</v>
      </c>
      <c r="B208" s="11">
        <v>220857</v>
      </c>
      <c r="C208" s="11">
        <v>185702</v>
      </c>
      <c r="D208" s="12">
        <v>84.1</v>
      </c>
      <c r="E208" s="11">
        <v>160660</v>
      </c>
      <c r="F208" s="12">
        <v>72.7</v>
      </c>
      <c r="G208" s="11">
        <v>139963</v>
      </c>
      <c r="H208" s="12">
        <v>63.4</v>
      </c>
      <c r="I208" s="2"/>
      <c r="J208" s="11">
        <v>23989</v>
      </c>
      <c r="K208" s="12">
        <v>10.9</v>
      </c>
      <c r="L208" s="2"/>
      <c r="M208" s="11">
        <v>3529</v>
      </c>
      <c r="N208" s="12">
        <v>1.6</v>
      </c>
      <c r="O208" s="2"/>
      <c r="P208" s="11">
        <v>8642</v>
      </c>
      <c r="Q208" s="12">
        <v>3.9</v>
      </c>
      <c r="R208" s="2"/>
      <c r="S208" s="11">
        <v>35156</v>
      </c>
      <c r="T208" s="12">
        <v>15.9</v>
      </c>
    </row>
    <row r="209" spans="1:38">
      <c r="A209" s="99" t="s">
        <v>464</v>
      </c>
      <c r="B209" s="11">
        <v>218793</v>
      </c>
      <c r="C209" s="11">
        <v>184351</v>
      </c>
      <c r="D209" s="12">
        <v>84.3</v>
      </c>
      <c r="E209" s="11">
        <v>161569</v>
      </c>
      <c r="F209" s="12">
        <v>73.8</v>
      </c>
      <c r="G209" s="11">
        <v>140213</v>
      </c>
      <c r="H209" s="12">
        <v>64.099999999999994</v>
      </c>
      <c r="I209" s="2"/>
      <c r="J209" s="11">
        <v>21679</v>
      </c>
      <c r="K209" s="12">
        <v>9.9</v>
      </c>
      <c r="L209" s="2"/>
      <c r="M209" s="11">
        <v>3465</v>
      </c>
      <c r="N209" s="12">
        <v>1.6</v>
      </c>
      <c r="O209" s="2"/>
      <c r="P209" s="11">
        <v>8771</v>
      </c>
      <c r="Q209" s="12">
        <v>4</v>
      </c>
      <c r="R209" s="2"/>
      <c r="S209" s="11">
        <v>34443</v>
      </c>
      <c r="T209" s="12">
        <v>15.7</v>
      </c>
      <c r="U209" s="11"/>
      <c r="V209" s="12"/>
      <c r="W209" s="11"/>
      <c r="X209" s="12"/>
      <c r="Y209" s="11"/>
      <c r="Z209" s="12"/>
      <c r="AA209" s="2"/>
      <c r="AB209" s="11"/>
      <c r="AC209" s="12"/>
      <c r="AD209" s="2"/>
      <c r="AE209" s="11"/>
      <c r="AF209" s="12"/>
      <c r="AG209" s="2"/>
      <c r="AH209" s="11"/>
      <c r="AI209" s="12"/>
      <c r="AJ209" s="2"/>
      <c r="AK209" s="11"/>
      <c r="AL209" s="12"/>
    </row>
    <row r="210" spans="1:38">
      <c r="A210" s="1"/>
      <c r="B210" s="11"/>
      <c r="C210" s="11"/>
      <c r="D210" s="12"/>
      <c r="E210" s="11"/>
      <c r="F210" s="12"/>
      <c r="G210" s="11"/>
      <c r="H210" s="12"/>
      <c r="I210" s="2"/>
      <c r="J210" s="11"/>
      <c r="K210" s="12"/>
      <c r="L210" s="2"/>
      <c r="M210" s="11"/>
      <c r="N210" s="12"/>
      <c r="O210" s="2"/>
      <c r="P210" s="11"/>
      <c r="Q210" s="12"/>
      <c r="R210" s="2"/>
      <c r="S210" s="11"/>
      <c r="T210" s="12"/>
    </row>
    <row r="211" spans="1:38">
      <c r="A211" s="10" t="s">
        <v>14</v>
      </c>
      <c r="B211" s="11"/>
      <c r="C211" s="11"/>
      <c r="D211" s="12"/>
      <c r="E211" s="11"/>
      <c r="F211" s="12"/>
      <c r="G211" s="11"/>
      <c r="H211" s="12"/>
      <c r="I211" s="2"/>
      <c r="J211" s="11"/>
      <c r="K211" s="12"/>
      <c r="L211" s="2"/>
      <c r="M211" s="11"/>
      <c r="N211" s="12"/>
      <c r="O211" s="2"/>
      <c r="P211" s="11"/>
      <c r="Q211" s="12"/>
      <c r="R211" s="2"/>
      <c r="S211" s="11"/>
      <c r="T211" s="12"/>
    </row>
    <row r="212" spans="1:38">
      <c r="A212" s="1" t="s">
        <v>590</v>
      </c>
      <c r="B212" s="11">
        <f>'[2]HI-05'!C16</f>
        <v>7525</v>
      </c>
      <c r="C212" s="11">
        <f>'[2]HI-05'!D16</f>
        <v>6851</v>
      </c>
      <c r="D212" s="12">
        <f>'[2]HI-05'!E16</f>
        <v>91</v>
      </c>
      <c r="E212" s="11">
        <f>'[2]HI-05'!F16</f>
        <v>5574</v>
      </c>
      <c r="F212" s="12">
        <f>'[2]HI-05'!G16</f>
        <v>74.099999999999994</v>
      </c>
      <c r="G212" s="11">
        <f>'[2]HI-05'!H16</f>
        <v>4979</v>
      </c>
      <c r="H212" s="12">
        <f>'[2]HI-05'!I16</f>
        <v>66.2</v>
      </c>
      <c r="I212" s="2"/>
      <c r="J212" s="11">
        <f>'[2]HI-05'!P16</f>
        <v>1357</v>
      </c>
      <c r="K212" s="12">
        <f>'[2]HI-05'!Q16</f>
        <v>18</v>
      </c>
      <c r="L212" s="2"/>
      <c r="M212" s="11">
        <f>'[2]HI-05'!T16</f>
        <v>187</v>
      </c>
      <c r="N212" s="12">
        <f>'[2]HI-05'!U16</f>
        <v>2.5</v>
      </c>
      <c r="O212" s="2"/>
      <c r="P212" s="11">
        <f>'[2]HI-05'!Z16</f>
        <v>32</v>
      </c>
      <c r="Q212" s="12">
        <f>'[2]HI-05'!AA16</f>
        <v>0.4</v>
      </c>
      <c r="R212" s="2"/>
      <c r="S212" s="11">
        <f>'[2]HI-05'!AB16</f>
        <v>674</v>
      </c>
      <c r="T212" s="12">
        <f>'[2]HI-05'!AC16</f>
        <v>9</v>
      </c>
    </row>
    <row r="213" spans="1:38">
      <c r="A213" s="1" t="s">
        <v>498</v>
      </c>
      <c r="B213" s="229">
        <v>7505</v>
      </c>
      <c r="C213" s="229">
        <v>6817</v>
      </c>
      <c r="D213" s="279">
        <v>90.8</v>
      </c>
      <c r="E213" s="229">
        <v>5547</v>
      </c>
      <c r="F213" s="279">
        <v>73.900000000000006</v>
      </c>
      <c r="G213" s="229">
        <v>4952</v>
      </c>
      <c r="H213" s="279">
        <v>66</v>
      </c>
      <c r="I213" s="181"/>
      <c r="J213" s="229">
        <v>1351</v>
      </c>
      <c r="K213" s="279">
        <v>18</v>
      </c>
      <c r="L213" s="181"/>
      <c r="M213" s="229">
        <v>183</v>
      </c>
      <c r="N213" s="279">
        <v>2.4</v>
      </c>
      <c r="O213" s="181"/>
      <c r="P213" s="229">
        <v>30</v>
      </c>
      <c r="Q213" s="279">
        <v>0.4</v>
      </c>
      <c r="R213" s="181"/>
      <c r="S213" s="229">
        <v>688</v>
      </c>
      <c r="T213" s="279">
        <v>9.1999999999999993</v>
      </c>
    </row>
    <row r="214" spans="1:38">
      <c r="A214" s="1" t="s">
        <v>493</v>
      </c>
      <c r="B214" s="11">
        <v>7547</v>
      </c>
      <c r="C214" s="11">
        <v>6793</v>
      </c>
      <c r="D214" s="12">
        <v>90</v>
      </c>
      <c r="E214" s="11">
        <v>5496</v>
      </c>
      <c r="F214" s="12">
        <v>72.8</v>
      </c>
      <c r="G214" s="11">
        <v>4936</v>
      </c>
      <c r="H214" s="12">
        <v>65.400000000000006</v>
      </c>
      <c r="J214" s="11">
        <v>1374</v>
      </c>
      <c r="K214" s="12">
        <v>18.2</v>
      </c>
      <c r="M214" s="11">
        <v>182</v>
      </c>
      <c r="N214" s="12">
        <v>2.4</v>
      </c>
      <c r="P214" s="11">
        <v>32</v>
      </c>
      <c r="Q214" s="12">
        <v>0.4</v>
      </c>
      <c r="S214" s="11">
        <v>754</v>
      </c>
      <c r="T214" s="12">
        <v>10</v>
      </c>
    </row>
    <row r="215" spans="1:38">
      <c r="A215" s="1" t="s">
        <v>466</v>
      </c>
      <c r="B215" s="11">
        <v>7559</v>
      </c>
      <c r="C215" s="11">
        <v>6610</v>
      </c>
      <c r="D215" s="12">
        <v>87.4</v>
      </c>
      <c r="E215" s="11">
        <v>5452</v>
      </c>
      <c r="F215" s="12">
        <v>72.099999999999994</v>
      </c>
      <c r="G215" s="11">
        <v>4956</v>
      </c>
      <c r="H215" s="12">
        <v>65.599999999999994</v>
      </c>
      <c r="J215" s="11">
        <v>1207</v>
      </c>
      <c r="K215" s="12">
        <v>16</v>
      </c>
      <c r="M215" s="11">
        <v>173</v>
      </c>
      <c r="N215" s="12">
        <v>2.2999999999999998</v>
      </c>
      <c r="P215" s="11">
        <v>33</v>
      </c>
      <c r="Q215" s="12">
        <v>0.4</v>
      </c>
      <c r="S215" s="11">
        <v>949</v>
      </c>
      <c r="T215" s="12">
        <v>12.6</v>
      </c>
    </row>
    <row r="216" spans="1:38" ht="18">
      <c r="A216" s="1" t="s">
        <v>467</v>
      </c>
      <c r="B216" s="11">
        <v>7546.549</v>
      </c>
      <c r="C216" s="11">
        <v>6405.7389999999996</v>
      </c>
      <c r="D216" s="12">
        <v>84.883024000000006</v>
      </c>
      <c r="E216" s="11">
        <v>5367.9830000000002</v>
      </c>
      <c r="F216" s="12">
        <v>71.131625999999997</v>
      </c>
      <c r="G216" s="11">
        <v>4922.5569999999998</v>
      </c>
      <c r="H216" s="12">
        <v>65.229246000000003</v>
      </c>
      <c r="J216" s="11">
        <v>1082.6849999999999</v>
      </c>
      <c r="K216" s="12">
        <v>14.346755999999999</v>
      </c>
      <c r="M216" s="11">
        <v>177.828</v>
      </c>
      <c r="N216" s="12">
        <v>2.3564148</v>
      </c>
      <c r="P216" s="11">
        <v>33.512</v>
      </c>
      <c r="Q216" s="12">
        <v>0.44407049999999998</v>
      </c>
      <c r="S216" s="11">
        <v>1140.81</v>
      </c>
      <c r="T216" s="12">
        <v>15.116975999999999</v>
      </c>
    </row>
    <row r="217" spans="1:38">
      <c r="A217" s="1" t="s">
        <v>446</v>
      </c>
      <c r="B217" s="11">
        <v>7451.2472426000004</v>
      </c>
      <c r="C217" s="11">
        <v>6262.5670092999999</v>
      </c>
      <c r="D217" s="12">
        <v>84.047231361000001</v>
      </c>
      <c r="E217" s="11">
        <v>5376.1130915000003</v>
      </c>
      <c r="F217" s="12">
        <v>72.150512746000004</v>
      </c>
      <c r="G217" s="11">
        <v>5017.5196478999997</v>
      </c>
      <c r="H217" s="12">
        <v>67.337983623</v>
      </c>
      <c r="J217" s="11">
        <v>986.46492060000003</v>
      </c>
      <c r="K217" s="12">
        <v>13.238923478</v>
      </c>
      <c r="M217" s="11">
        <v>239.3076327</v>
      </c>
      <c r="N217" s="12">
        <v>3.2116453112999999</v>
      </c>
      <c r="P217" s="11">
        <v>130.7365796</v>
      </c>
      <c r="Q217" s="12">
        <v>1.7545596776000001</v>
      </c>
      <c r="S217" s="11">
        <v>1188.6802333000001</v>
      </c>
      <c r="T217" s="12">
        <v>15.952768639</v>
      </c>
    </row>
    <row r="218" spans="1:38">
      <c r="A218" s="1" t="s">
        <v>447</v>
      </c>
      <c r="B218" s="11">
        <v>7438.8798526</v>
      </c>
      <c r="C218" s="11">
        <v>6126.0579881000003</v>
      </c>
      <c r="D218" s="12">
        <v>82.351887777000002</v>
      </c>
      <c r="E218" s="11">
        <v>5200.5480373</v>
      </c>
      <c r="F218" s="12">
        <v>69.910364736999995</v>
      </c>
      <c r="G218" s="11">
        <v>4812.2939519000001</v>
      </c>
      <c r="H218" s="12">
        <v>64.691110050000006</v>
      </c>
      <c r="J218" s="11">
        <v>1005.1619082</v>
      </c>
      <c r="K218" s="12">
        <v>13.512275075</v>
      </c>
      <c r="M218" s="11">
        <v>213.02161709999999</v>
      </c>
      <c r="N218" s="12">
        <v>2.8636249183000002</v>
      </c>
      <c r="P218" s="11">
        <v>117.61383549999999</v>
      </c>
      <c r="Q218" s="12">
        <v>1.5810691640000001</v>
      </c>
      <c r="S218" s="11">
        <v>1312.8218644999999</v>
      </c>
      <c r="T218" s="12">
        <v>17.648112222999998</v>
      </c>
    </row>
    <row r="219" spans="1:38">
      <c r="A219" s="1" t="s">
        <v>448</v>
      </c>
      <c r="B219" s="11">
        <v>7555.4454170000045</v>
      </c>
      <c r="C219" s="11">
        <v>6241.0145488000053</v>
      </c>
      <c r="D219" s="12">
        <v>82.602867261240661</v>
      </c>
      <c r="E219" s="11">
        <v>5358.7469382000081</v>
      </c>
      <c r="F219" s="12">
        <v>70.92562572343715</v>
      </c>
      <c r="G219" s="11">
        <v>4950.7039334000037</v>
      </c>
      <c r="H219" s="12">
        <v>65.524977816142439</v>
      </c>
      <c r="J219" s="11">
        <v>1021.2419038000005</v>
      </c>
      <c r="K219" s="12">
        <v>13.516633996219099</v>
      </c>
      <c r="M219" s="11">
        <v>216.37242670000015</v>
      </c>
      <c r="N219" s="12">
        <v>2.8637944523185221</v>
      </c>
      <c r="P219" s="11">
        <v>46.373001999999993</v>
      </c>
      <c r="Q219" s="12">
        <v>0.61376926760213479</v>
      </c>
      <c r="S219" s="11">
        <v>1314.4308681999996</v>
      </c>
      <c r="T219" s="12">
        <v>17.397132738759336</v>
      </c>
    </row>
    <row r="220" spans="1:38">
      <c r="A220" s="1" t="s">
        <v>449</v>
      </c>
      <c r="B220" s="11">
        <v>7616</v>
      </c>
      <c r="C220" s="11">
        <v>6272</v>
      </c>
      <c r="D220" s="12">
        <v>82.3</v>
      </c>
      <c r="E220" s="11">
        <v>5500</v>
      </c>
      <c r="F220" s="12">
        <v>72.2</v>
      </c>
      <c r="G220" s="11">
        <v>5211</v>
      </c>
      <c r="H220" s="12">
        <v>68.400000000000006</v>
      </c>
      <c r="J220" s="11">
        <v>892</v>
      </c>
      <c r="K220" s="12">
        <v>11.7</v>
      </c>
      <c r="M220" s="11">
        <v>166</v>
      </c>
      <c r="N220" s="12">
        <v>2.2000000000000002</v>
      </c>
      <c r="P220" s="11">
        <v>57</v>
      </c>
      <c r="Q220" s="12">
        <v>0.7</v>
      </c>
      <c r="S220" s="11">
        <v>1345</v>
      </c>
      <c r="T220" s="12">
        <v>17.7</v>
      </c>
    </row>
    <row r="221" spans="1:38">
      <c r="A221" s="1" t="s">
        <v>450</v>
      </c>
      <c r="B221" s="11">
        <v>7430</v>
      </c>
      <c r="C221" s="11">
        <v>6243</v>
      </c>
      <c r="D221" s="12">
        <v>84</v>
      </c>
      <c r="E221" s="11">
        <v>5478</v>
      </c>
      <c r="F221" s="12">
        <v>73.7</v>
      </c>
      <c r="G221" s="11">
        <v>5145</v>
      </c>
      <c r="H221" s="12">
        <v>69.2</v>
      </c>
      <c r="I221" s="2"/>
      <c r="J221" s="11">
        <v>756</v>
      </c>
      <c r="K221" s="12">
        <v>10.199999999999999</v>
      </c>
      <c r="L221" s="2"/>
      <c r="M221" s="11">
        <v>217</v>
      </c>
      <c r="N221" s="12">
        <v>2.9</v>
      </c>
      <c r="O221" s="2"/>
      <c r="P221" s="11">
        <v>121</v>
      </c>
      <c r="Q221" s="12">
        <v>1.6</v>
      </c>
      <c r="R221" s="2"/>
      <c r="S221" s="11">
        <v>1187</v>
      </c>
      <c r="T221" s="12">
        <v>16</v>
      </c>
    </row>
    <row r="222" spans="1:38">
      <c r="A222" s="1" t="s">
        <v>451</v>
      </c>
      <c r="B222" s="11">
        <v>7449</v>
      </c>
      <c r="C222" s="11">
        <v>6120</v>
      </c>
      <c r="D222" s="12">
        <v>82.2</v>
      </c>
      <c r="E222" s="11">
        <v>5462</v>
      </c>
      <c r="F222" s="12">
        <v>73.3</v>
      </c>
      <c r="G222" s="11">
        <v>5072</v>
      </c>
      <c r="H222" s="12">
        <v>68.099999999999994</v>
      </c>
      <c r="I222" s="2"/>
      <c r="J222" s="11">
        <v>638</v>
      </c>
      <c r="K222" s="12">
        <v>8.6</v>
      </c>
      <c r="L222" s="2"/>
      <c r="M222" s="11">
        <v>175</v>
      </c>
      <c r="N222" s="12">
        <v>2.2999999999999998</v>
      </c>
      <c r="O222" s="2"/>
      <c r="P222" s="11">
        <v>69</v>
      </c>
      <c r="Q222" s="12">
        <v>0.9</v>
      </c>
      <c r="R222" s="2"/>
      <c r="S222" s="11">
        <v>1329</v>
      </c>
      <c r="T222" s="12">
        <v>17.8</v>
      </c>
    </row>
    <row r="223" spans="1:38">
      <c r="A223" s="1" t="s">
        <v>452</v>
      </c>
      <c r="B223" s="11">
        <v>7552</v>
      </c>
      <c r="C223" s="11">
        <v>6242</v>
      </c>
      <c r="D223" s="12">
        <v>82.7</v>
      </c>
      <c r="E223" s="11">
        <v>5629</v>
      </c>
      <c r="F223" s="12">
        <v>74.5</v>
      </c>
      <c r="G223" s="11">
        <v>5388</v>
      </c>
      <c r="H223" s="12">
        <v>71.3</v>
      </c>
      <c r="I223" s="2"/>
      <c r="J223" s="11">
        <v>608</v>
      </c>
      <c r="K223" s="12">
        <v>8.1</v>
      </c>
      <c r="L223" s="2"/>
      <c r="M223" s="11">
        <v>137</v>
      </c>
      <c r="N223" s="12">
        <v>1.8</v>
      </c>
      <c r="O223" s="2"/>
      <c r="P223" s="11">
        <v>58</v>
      </c>
      <c r="Q223" s="12">
        <v>0.8</v>
      </c>
      <c r="R223" s="2"/>
      <c r="S223" s="11">
        <v>1310</v>
      </c>
      <c r="T223" s="12">
        <v>17.3</v>
      </c>
    </row>
    <row r="224" spans="1:38">
      <c r="A224" s="1" t="s">
        <v>453</v>
      </c>
      <c r="B224" s="11">
        <v>7654</v>
      </c>
      <c r="C224" s="11">
        <v>6363</v>
      </c>
      <c r="D224" s="12">
        <v>83.1</v>
      </c>
      <c r="E224" s="11">
        <v>5793</v>
      </c>
      <c r="F224" s="12">
        <v>75.7</v>
      </c>
      <c r="G224" s="11">
        <v>5516</v>
      </c>
      <c r="H224" s="12">
        <v>72.099999999999994</v>
      </c>
      <c r="I224" s="2"/>
      <c r="J224" s="11">
        <v>595</v>
      </c>
      <c r="K224" s="12">
        <v>7.8</v>
      </c>
      <c r="L224" s="2"/>
      <c r="M224" s="11">
        <v>138</v>
      </c>
      <c r="N224" s="12">
        <v>1.8</v>
      </c>
      <c r="O224" s="2"/>
      <c r="P224" s="11">
        <v>86</v>
      </c>
      <c r="Q224" s="12">
        <v>1.1000000000000001</v>
      </c>
      <c r="R224" s="2"/>
      <c r="S224" s="11">
        <v>1291</v>
      </c>
      <c r="T224" s="12">
        <v>16.899999999999999</v>
      </c>
    </row>
    <row r="225" spans="1:20" ht="18">
      <c r="A225" s="1" t="s">
        <v>468</v>
      </c>
      <c r="B225" s="11">
        <v>7609</v>
      </c>
      <c r="C225" s="11">
        <v>6376</v>
      </c>
      <c r="D225" s="12">
        <v>83.8</v>
      </c>
      <c r="E225" s="11">
        <v>5771</v>
      </c>
      <c r="F225" s="12">
        <v>75.8</v>
      </c>
      <c r="G225" s="11">
        <v>5531</v>
      </c>
      <c r="H225" s="12">
        <v>72.7</v>
      </c>
      <c r="I225" s="2"/>
      <c r="J225" s="11">
        <v>627</v>
      </c>
      <c r="K225" s="12">
        <v>8.1999999999999993</v>
      </c>
      <c r="L225" s="2"/>
      <c r="M225" s="11">
        <v>180</v>
      </c>
      <c r="N225" s="12">
        <v>2.4</v>
      </c>
      <c r="O225" s="2"/>
      <c r="P225" s="11">
        <v>88</v>
      </c>
      <c r="Q225" s="12">
        <v>1.2</v>
      </c>
      <c r="R225" s="2"/>
      <c r="S225" s="11">
        <v>1234</v>
      </c>
      <c r="T225" s="12">
        <v>16.2</v>
      </c>
    </row>
    <row r="226" spans="1:20">
      <c r="A226" s="1" t="s">
        <v>454</v>
      </c>
      <c r="B226" s="11">
        <v>7562</v>
      </c>
      <c r="C226" s="11">
        <v>6371</v>
      </c>
      <c r="D226" s="12">
        <v>84.2</v>
      </c>
      <c r="E226" s="11">
        <v>5770</v>
      </c>
      <c r="F226" s="12">
        <v>76.3</v>
      </c>
      <c r="G226" s="11">
        <v>5476</v>
      </c>
      <c r="H226" s="12">
        <v>72.400000000000006</v>
      </c>
      <c r="I226" s="2"/>
      <c r="J226" s="2">
        <v>623</v>
      </c>
      <c r="K226" s="12">
        <v>8.1999999999999993</v>
      </c>
      <c r="L226" s="2"/>
      <c r="M226" s="2">
        <v>117</v>
      </c>
      <c r="N226" s="12">
        <v>1.5</v>
      </c>
      <c r="O226" s="2"/>
      <c r="P226" s="2">
        <v>85</v>
      </c>
      <c r="Q226" s="12">
        <v>1.1000000000000001</v>
      </c>
      <c r="R226" s="2"/>
      <c r="S226" s="11">
        <v>1191</v>
      </c>
      <c r="T226" s="12">
        <v>15.8</v>
      </c>
    </row>
    <row r="227" spans="1:20">
      <c r="A227" s="1" t="s">
        <v>455</v>
      </c>
      <c r="B227" s="11">
        <v>7470</v>
      </c>
      <c r="C227" s="11">
        <v>6289</v>
      </c>
      <c r="D227" s="12">
        <v>84.2</v>
      </c>
      <c r="E227" s="11">
        <v>5640</v>
      </c>
      <c r="F227" s="12">
        <v>75.5</v>
      </c>
      <c r="G227" s="11">
        <v>5387</v>
      </c>
      <c r="H227" s="12">
        <v>72.099999999999994</v>
      </c>
      <c r="I227" s="2"/>
      <c r="J227" s="2">
        <v>713</v>
      </c>
      <c r="K227" s="12">
        <v>9.5</v>
      </c>
      <c r="L227" s="2"/>
      <c r="M227" s="2">
        <v>154</v>
      </c>
      <c r="N227" s="12">
        <v>2.1</v>
      </c>
      <c r="O227" s="2"/>
      <c r="P227" s="2">
        <v>68</v>
      </c>
      <c r="Q227" s="12">
        <v>0.9</v>
      </c>
      <c r="R227" s="2"/>
      <c r="S227" s="11">
        <v>1181</v>
      </c>
      <c r="T227" s="12">
        <v>15.8</v>
      </c>
    </row>
    <row r="228" spans="1:20">
      <c r="A228" s="1" t="s">
        <v>456</v>
      </c>
      <c r="B228" s="11">
        <v>7266</v>
      </c>
      <c r="C228" s="11">
        <v>6166</v>
      </c>
      <c r="D228" s="12">
        <v>84.9</v>
      </c>
      <c r="E228" s="11">
        <v>5610</v>
      </c>
      <c r="F228" s="12">
        <v>77.2</v>
      </c>
      <c r="G228" s="11">
        <v>5386</v>
      </c>
      <c r="H228" s="12">
        <v>74.099999999999994</v>
      </c>
      <c r="I228" s="2"/>
      <c r="J228" s="11">
        <v>593</v>
      </c>
      <c r="K228" s="12">
        <v>8.1999999999999993</v>
      </c>
      <c r="L228" s="2"/>
      <c r="M228" s="11">
        <v>194</v>
      </c>
      <c r="N228" s="12">
        <v>2.7</v>
      </c>
      <c r="O228" s="2"/>
      <c r="P228" s="11">
        <v>91</v>
      </c>
      <c r="Q228" s="12">
        <v>1.2</v>
      </c>
      <c r="R228" s="2"/>
      <c r="S228" s="11">
        <v>1100</v>
      </c>
      <c r="T228" s="12">
        <v>15.1</v>
      </c>
    </row>
    <row r="229" spans="1:20" ht="18">
      <c r="A229" s="1" t="s">
        <v>469</v>
      </c>
      <c r="B229" s="11">
        <v>7246</v>
      </c>
      <c r="C229" s="11">
        <v>6231</v>
      </c>
      <c r="D229" s="12">
        <v>86</v>
      </c>
      <c r="E229" s="11">
        <v>5743</v>
      </c>
      <c r="F229" s="12">
        <v>79.3</v>
      </c>
      <c r="G229" s="11">
        <v>5511</v>
      </c>
      <c r="H229" s="12">
        <v>76.099999999999994</v>
      </c>
      <c r="I229" s="2"/>
      <c r="J229" s="11">
        <v>534</v>
      </c>
      <c r="K229" s="12">
        <v>7.4</v>
      </c>
      <c r="L229" s="2"/>
      <c r="M229" s="11">
        <v>135</v>
      </c>
      <c r="N229" s="12">
        <v>1.9</v>
      </c>
      <c r="O229" s="2"/>
      <c r="P229" s="11">
        <v>107</v>
      </c>
      <c r="Q229" s="12">
        <v>1.5</v>
      </c>
      <c r="R229" s="2"/>
      <c r="S229" s="11">
        <v>1015</v>
      </c>
      <c r="T229" s="12">
        <v>14</v>
      </c>
    </row>
    <row r="230" spans="1:20" ht="18">
      <c r="A230" s="1" t="s">
        <v>470</v>
      </c>
      <c r="B230" s="11">
        <v>7169</v>
      </c>
      <c r="C230" s="11">
        <v>6190</v>
      </c>
      <c r="D230" s="12">
        <v>86.3</v>
      </c>
      <c r="E230" s="11">
        <v>5715</v>
      </c>
      <c r="F230" s="12">
        <v>79.7</v>
      </c>
      <c r="G230" s="11">
        <v>5363</v>
      </c>
      <c r="H230" s="12">
        <v>74.8</v>
      </c>
      <c r="I230" s="2"/>
      <c r="J230" s="11">
        <v>535</v>
      </c>
      <c r="K230" s="12">
        <v>7.5</v>
      </c>
      <c r="L230" s="2"/>
      <c r="M230" s="11">
        <v>122</v>
      </c>
      <c r="N230" s="12">
        <v>1.7</v>
      </c>
      <c r="O230" s="2"/>
      <c r="P230" s="11">
        <v>57</v>
      </c>
      <c r="Q230" s="12">
        <v>0.8</v>
      </c>
      <c r="R230" s="2"/>
      <c r="S230" s="11">
        <v>979</v>
      </c>
      <c r="T230" s="12">
        <v>13.7</v>
      </c>
    </row>
    <row r="231" spans="1:20">
      <c r="A231" s="1" t="s">
        <v>457</v>
      </c>
      <c r="B231" s="11">
        <v>7063</v>
      </c>
      <c r="C231" s="11">
        <v>6004</v>
      </c>
      <c r="D231" s="12">
        <v>85</v>
      </c>
      <c r="E231" s="11">
        <v>5549</v>
      </c>
      <c r="F231" s="12">
        <v>78.599999999999994</v>
      </c>
      <c r="G231" s="11">
        <v>5208</v>
      </c>
      <c r="H231" s="12">
        <v>73.7</v>
      </c>
      <c r="I231" s="2"/>
      <c r="J231" s="11">
        <v>516</v>
      </c>
      <c r="K231" s="12">
        <v>7.3</v>
      </c>
      <c r="L231" s="2"/>
      <c r="M231" s="11">
        <v>121</v>
      </c>
      <c r="N231" s="12">
        <v>1.7</v>
      </c>
      <c r="O231" s="2"/>
      <c r="P231" s="11">
        <v>56</v>
      </c>
      <c r="Q231" s="12">
        <v>0.8</v>
      </c>
      <c r="R231" s="2"/>
      <c r="S231" s="11">
        <v>1059</v>
      </c>
      <c r="T231" s="12">
        <v>15</v>
      </c>
    </row>
    <row r="232" spans="1:20">
      <c r="A232" s="1" t="s">
        <v>458</v>
      </c>
      <c r="B232" s="11">
        <v>7212</v>
      </c>
      <c r="C232" s="11">
        <v>5915</v>
      </c>
      <c r="D232" s="12">
        <v>82</v>
      </c>
      <c r="E232" s="11">
        <v>5474</v>
      </c>
      <c r="F232" s="12">
        <v>75.900000000000006</v>
      </c>
      <c r="G232" s="11">
        <v>5067</v>
      </c>
      <c r="H232" s="12">
        <v>70.3</v>
      </c>
      <c r="I232" s="2"/>
      <c r="J232" s="11">
        <v>435</v>
      </c>
      <c r="K232" s="12">
        <v>6</v>
      </c>
      <c r="L232" s="2"/>
      <c r="M232" s="11">
        <v>117</v>
      </c>
      <c r="N232" s="12">
        <v>1.6</v>
      </c>
      <c r="O232" s="2"/>
      <c r="P232" s="11">
        <v>78</v>
      </c>
      <c r="Q232" s="12">
        <v>1.1000000000000001</v>
      </c>
      <c r="R232" s="2"/>
      <c r="S232" s="11">
        <v>1297</v>
      </c>
      <c r="T232" s="12">
        <v>18</v>
      </c>
    </row>
    <row r="233" spans="1:20" ht="18">
      <c r="A233" s="1" t="s">
        <v>459</v>
      </c>
      <c r="B233" s="11">
        <v>7065</v>
      </c>
      <c r="C233" s="11">
        <v>5764</v>
      </c>
      <c r="D233" s="12">
        <v>81.599999999999994</v>
      </c>
      <c r="E233" s="11">
        <v>5264</v>
      </c>
      <c r="F233" s="12">
        <v>74.5</v>
      </c>
      <c r="G233" s="11">
        <v>4932</v>
      </c>
      <c r="H233" s="12">
        <v>69.8</v>
      </c>
      <c r="I233" s="2"/>
      <c r="J233" s="11">
        <v>551</v>
      </c>
      <c r="K233" s="12">
        <v>7.8</v>
      </c>
      <c r="L233" s="2"/>
      <c r="M233" s="11">
        <v>105</v>
      </c>
      <c r="N233" s="12">
        <v>1.5</v>
      </c>
      <c r="O233" s="2"/>
      <c r="P233" s="11">
        <v>73</v>
      </c>
      <c r="Q233" s="12">
        <v>1</v>
      </c>
      <c r="R233" s="2"/>
      <c r="S233" s="11">
        <v>1301</v>
      </c>
      <c r="T233" s="12">
        <v>18.399999999999999</v>
      </c>
    </row>
    <row r="234" spans="1:20">
      <c r="A234" s="1" t="s">
        <v>460</v>
      </c>
      <c r="B234" s="11">
        <v>6846</v>
      </c>
      <c r="C234" s="11">
        <v>5541</v>
      </c>
      <c r="D234" s="12">
        <v>80.900000000000006</v>
      </c>
      <c r="E234" s="11">
        <v>5039</v>
      </c>
      <c r="F234" s="12">
        <v>73.599999999999994</v>
      </c>
      <c r="G234" s="11">
        <v>4712</v>
      </c>
      <c r="H234" s="12">
        <v>68.8</v>
      </c>
      <c r="I234" s="2"/>
      <c r="J234" s="11">
        <v>537</v>
      </c>
      <c r="K234" s="12">
        <v>7.8</v>
      </c>
      <c r="L234" s="2"/>
      <c r="M234" s="11">
        <v>91</v>
      </c>
      <c r="N234" s="12">
        <v>1.3</v>
      </c>
      <c r="O234" s="2"/>
      <c r="P234" s="11">
        <v>129</v>
      </c>
      <c r="Q234" s="12">
        <v>1.9</v>
      </c>
      <c r="R234" s="2"/>
      <c r="S234" s="11">
        <v>1306</v>
      </c>
      <c r="T234" s="12">
        <v>19.100000000000001</v>
      </c>
    </row>
    <row r="235" spans="1:20">
      <c r="A235" s="1" t="s">
        <v>461</v>
      </c>
      <c r="B235" s="11">
        <v>6846</v>
      </c>
      <c r="C235" s="11">
        <v>5739</v>
      </c>
      <c r="D235" s="12">
        <v>83.8</v>
      </c>
      <c r="E235" s="11">
        <v>5244</v>
      </c>
      <c r="F235" s="12">
        <v>76.599999999999994</v>
      </c>
      <c r="G235" s="11">
        <v>4857</v>
      </c>
      <c r="H235" s="12">
        <v>70.900000000000006</v>
      </c>
      <c r="I235" s="2"/>
      <c r="J235" s="11">
        <v>513</v>
      </c>
      <c r="K235" s="12">
        <v>7.5</v>
      </c>
      <c r="L235" s="2"/>
      <c r="M235" s="11">
        <v>103</v>
      </c>
      <c r="N235" s="12">
        <v>1.5</v>
      </c>
      <c r="O235" s="2"/>
      <c r="P235" s="11">
        <v>79</v>
      </c>
      <c r="Q235" s="12">
        <v>1.2</v>
      </c>
      <c r="R235" s="2"/>
      <c r="S235" s="11">
        <v>1107</v>
      </c>
      <c r="T235" s="12">
        <v>16.2</v>
      </c>
    </row>
    <row r="236" spans="1:20" ht="18">
      <c r="A236" s="1" t="s">
        <v>462</v>
      </c>
      <c r="B236" s="11">
        <v>6979</v>
      </c>
      <c r="C236" s="11">
        <v>5954</v>
      </c>
      <c r="D236" s="12">
        <v>85.3</v>
      </c>
      <c r="E236" s="11">
        <v>5353</v>
      </c>
      <c r="F236" s="12">
        <v>76.7</v>
      </c>
      <c r="G236" s="11">
        <v>4953</v>
      </c>
      <c r="H236" s="12">
        <v>71</v>
      </c>
      <c r="I236" s="2"/>
      <c r="J236" s="11">
        <v>634</v>
      </c>
      <c r="K236" s="12">
        <v>9.1</v>
      </c>
      <c r="L236" s="2"/>
      <c r="M236" s="11">
        <v>106</v>
      </c>
      <c r="N236" s="12">
        <v>1.5</v>
      </c>
      <c r="O236" s="2"/>
      <c r="P236" s="11">
        <v>92</v>
      </c>
      <c r="Q236" s="12">
        <v>1.3</v>
      </c>
      <c r="R236" s="2"/>
      <c r="S236" s="11">
        <v>1024</v>
      </c>
      <c r="T236" s="12">
        <v>14.7</v>
      </c>
    </row>
    <row r="237" spans="1:20" ht="18">
      <c r="A237" s="1" t="s">
        <v>471</v>
      </c>
      <c r="B237" s="11">
        <v>6969</v>
      </c>
      <c r="C237" s="11">
        <v>5892</v>
      </c>
      <c r="D237" s="12">
        <v>84.5</v>
      </c>
      <c r="E237" s="11">
        <v>5331</v>
      </c>
      <c r="F237" s="12">
        <v>76.5</v>
      </c>
      <c r="G237" s="11">
        <v>4501</v>
      </c>
      <c r="H237" s="12">
        <v>64.599999999999994</v>
      </c>
      <c r="I237" s="2"/>
      <c r="J237" s="11">
        <v>702</v>
      </c>
      <c r="K237" s="12">
        <v>10.1</v>
      </c>
      <c r="L237" s="2"/>
      <c r="M237" s="11">
        <v>88</v>
      </c>
      <c r="N237" s="12">
        <v>1.3</v>
      </c>
      <c r="O237" s="2"/>
      <c r="P237" s="11">
        <v>78</v>
      </c>
      <c r="Q237" s="12">
        <v>1.1000000000000001</v>
      </c>
      <c r="R237" s="2"/>
      <c r="S237" s="11">
        <v>1077</v>
      </c>
      <c r="T237" s="12">
        <v>15.5</v>
      </c>
    </row>
    <row r="238" spans="1:20" ht="18">
      <c r="A238" s="1" t="s">
        <v>472</v>
      </c>
      <c r="B238" s="11">
        <v>6823</v>
      </c>
      <c r="C238" s="11">
        <v>5797</v>
      </c>
      <c r="D238" s="12">
        <v>85</v>
      </c>
      <c r="E238" s="11">
        <v>5262</v>
      </c>
      <c r="F238" s="12">
        <v>77.099999999999994</v>
      </c>
      <c r="G238" s="11">
        <v>4672</v>
      </c>
      <c r="H238" s="12">
        <v>68.5</v>
      </c>
      <c r="I238" s="2"/>
      <c r="J238" s="11">
        <v>539</v>
      </c>
      <c r="K238" s="14">
        <v>7.9</v>
      </c>
      <c r="L238" s="2"/>
      <c r="M238" s="11">
        <v>99</v>
      </c>
      <c r="N238" s="14">
        <v>1.5</v>
      </c>
      <c r="O238" s="2"/>
      <c r="P238" s="11">
        <v>107</v>
      </c>
      <c r="Q238" s="14">
        <v>1.6</v>
      </c>
      <c r="R238" s="2"/>
      <c r="S238" s="11">
        <v>1026</v>
      </c>
      <c r="T238" s="14">
        <v>15</v>
      </c>
    </row>
    <row r="239" spans="1:20">
      <c r="A239" s="1" t="s">
        <v>463</v>
      </c>
      <c r="B239" s="11">
        <v>6746</v>
      </c>
      <c r="C239" s="11">
        <v>5918</v>
      </c>
      <c r="D239" s="12">
        <v>87.7</v>
      </c>
      <c r="E239" s="11">
        <v>5470</v>
      </c>
      <c r="F239" s="12">
        <v>81.099999999999994</v>
      </c>
      <c r="G239" s="11">
        <v>4978</v>
      </c>
      <c r="H239" s="12">
        <v>73.8</v>
      </c>
      <c r="I239" s="2"/>
      <c r="J239" s="11">
        <v>481</v>
      </c>
      <c r="K239" s="14">
        <v>7.1</v>
      </c>
      <c r="L239" s="2"/>
      <c r="M239" s="11">
        <v>90</v>
      </c>
      <c r="N239" s="14">
        <v>1.3</v>
      </c>
      <c r="O239" s="2"/>
      <c r="P239" s="11">
        <v>96</v>
      </c>
      <c r="Q239" s="14">
        <v>1.4</v>
      </c>
      <c r="R239" s="2"/>
      <c r="S239" s="11">
        <v>828</v>
      </c>
      <c r="T239" s="14">
        <v>12.3</v>
      </c>
    </row>
    <row r="240" spans="1:20">
      <c r="A240" s="99" t="s">
        <v>464</v>
      </c>
      <c r="B240" s="11">
        <v>6745</v>
      </c>
      <c r="C240" s="11">
        <v>5980</v>
      </c>
      <c r="D240" s="12">
        <v>88.7</v>
      </c>
      <c r="E240" s="11">
        <v>5532</v>
      </c>
      <c r="F240" s="12">
        <v>82</v>
      </c>
      <c r="G240" s="11">
        <v>4894</v>
      </c>
      <c r="H240" s="12">
        <v>72.599999999999994</v>
      </c>
      <c r="I240" s="2"/>
      <c r="J240" s="2">
        <v>500</v>
      </c>
      <c r="K240" s="14">
        <v>7.4</v>
      </c>
      <c r="L240" s="2"/>
      <c r="M240" s="11">
        <v>72</v>
      </c>
      <c r="N240" s="14">
        <v>1.1000000000000001</v>
      </c>
      <c r="O240" s="2"/>
      <c r="P240" s="2">
        <v>75</v>
      </c>
      <c r="Q240" s="14">
        <v>1.1000000000000001</v>
      </c>
      <c r="R240" s="2"/>
      <c r="S240" s="2">
        <v>765</v>
      </c>
      <c r="T240" s="14">
        <v>11.3</v>
      </c>
    </row>
    <row r="241" spans="1:20">
      <c r="A241" s="2"/>
      <c r="B241" s="2"/>
      <c r="C241" s="2"/>
      <c r="D241" s="2"/>
      <c r="E241" s="2"/>
      <c r="F241" s="12"/>
      <c r="G241" s="2"/>
      <c r="H241" s="1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8">
      <c r="A242" s="2" t="s">
        <v>481</v>
      </c>
      <c r="B242" s="2"/>
      <c r="C242" s="2"/>
      <c r="D242" s="2"/>
      <c r="E242" s="2"/>
      <c r="F242" s="12"/>
      <c r="G242" s="2"/>
      <c r="H242" s="1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8">
      <c r="A243" s="2" t="s">
        <v>473</v>
      </c>
      <c r="B243" s="2"/>
      <c r="C243" s="2"/>
      <c r="D243" s="2"/>
      <c r="E243" s="2"/>
      <c r="F243" s="12"/>
      <c r="G243" s="2"/>
      <c r="H243" s="1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8">
      <c r="A244" s="2" t="s">
        <v>474</v>
      </c>
      <c r="B244" s="2"/>
      <c r="C244" s="2"/>
      <c r="D244" s="2"/>
      <c r="E244" s="2"/>
      <c r="F244" s="12"/>
      <c r="G244" s="2"/>
      <c r="H244" s="1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8">
      <c r="A245" s="2" t="s">
        <v>475</v>
      </c>
      <c r="B245" s="2"/>
      <c r="C245" s="2"/>
      <c r="D245" s="2"/>
      <c r="E245" s="2"/>
      <c r="F245" s="12"/>
      <c r="G245" s="2"/>
      <c r="H245" s="1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>
      <c r="A246" s="2" t="s">
        <v>15</v>
      </c>
      <c r="B246" s="2"/>
      <c r="C246" s="2"/>
      <c r="D246" s="2"/>
      <c r="E246" s="2"/>
      <c r="F246" s="12"/>
      <c r="G246" s="2"/>
      <c r="H246" s="1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8">
      <c r="A247" s="2" t="s">
        <v>476</v>
      </c>
      <c r="B247" s="2"/>
      <c r="C247" s="2"/>
      <c r="D247" s="2"/>
      <c r="E247" s="2"/>
      <c r="F247" s="12"/>
      <c r="G247" s="2"/>
      <c r="H247" s="1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>
      <c r="A248" s="2" t="s">
        <v>16</v>
      </c>
      <c r="B248" s="2"/>
      <c r="C248" s="2"/>
      <c r="D248" s="2"/>
      <c r="E248" s="2"/>
      <c r="F248" s="12"/>
      <c r="G248" s="2"/>
      <c r="H248" s="1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>
      <c r="A249" s="2" t="s">
        <v>376</v>
      </c>
      <c r="B249" s="2"/>
      <c r="C249" s="2"/>
      <c r="D249" s="2"/>
      <c r="E249" s="2"/>
      <c r="F249" s="12"/>
      <c r="G249" s="2"/>
      <c r="H249" s="1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8">
      <c r="A250" s="2" t="s">
        <v>477</v>
      </c>
      <c r="B250" s="2"/>
      <c r="C250" s="2"/>
      <c r="D250" s="2"/>
      <c r="E250" s="2"/>
      <c r="F250" s="12"/>
      <c r="G250" s="2"/>
      <c r="H250" s="1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8">
      <c r="A251" s="2" t="s">
        <v>478</v>
      </c>
      <c r="B251" s="2"/>
      <c r="C251" s="2"/>
      <c r="D251" s="2"/>
      <c r="E251" s="2"/>
      <c r="F251" s="12"/>
      <c r="G251" s="2"/>
      <c r="H251" s="1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8">
      <c r="A252" s="2" t="s">
        <v>479</v>
      </c>
      <c r="B252" s="2"/>
      <c r="C252" s="2"/>
      <c r="D252" s="2"/>
      <c r="E252" s="2"/>
      <c r="F252" s="12"/>
      <c r="G252" s="2"/>
      <c r="H252" s="1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>
      <c r="A253" s="2" t="s">
        <v>18</v>
      </c>
      <c r="B253" s="2"/>
      <c r="C253" s="2"/>
      <c r="D253" s="2"/>
      <c r="E253" s="2"/>
      <c r="F253" s="2"/>
      <c r="G253" s="2"/>
      <c r="H253" s="1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8">
      <c r="A254" s="2" t="s">
        <v>480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>
      <c r="A255" s="17" t="s">
        <v>445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</sheetData>
  <phoneticPr fontId="2" type="noConversion"/>
  <printOptions horizontalCentered="1"/>
  <pageMargins left="0.6" right="0.4" top="0.7" bottom="0.4" header="0.5" footer="0.5"/>
  <pageSetup scale="58" orientation="landscape" r:id="rId1"/>
  <headerFooter alignWithMargins="0"/>
  <rowBreaks count="1" manualBreakCount="1"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TOC</vt:lpstr>
      <vt:lpstr>T1-T6</vt:lpstr>
      <vt:lpstr>T7-T10</vt:lpstr>
      <vt:lpstr>T11-S4</vt:lpstr>
      <vt:lpstr>S5-S7</vt:lpstr>
      <vt:lpstr>HI</vt:lpstr>
      <vt:lpstr>'T11-S4'!Print_Area</vt:lpstr>
      <vt:lpstr>'T1-T6'!Print_Area</vt:lpstr>
      <vt:lpstr>'T7-T10'!Print_Area</vt:lpstr>
    </vt:vector>
  </TitlesOfParts>
  <Company>NJ Dept. of Labor &amp; Workforce Dev.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Daqing</dc:creator>
  <cp:lastModifiedBy>Administrator</cp:lastModifiedBy>
  <cp:lastPrinted>2017-10-25T19:40:58Z</cp:lastPrinted>
  <dcterms:created xsi:type="dcterms:W3CDTF">2006-09-19T20:03:24Z</dcterms:created>
  <dcterms:modified xsi:type="dcterms:W3CDTF">2019-03-08T15:31:59Z</dcterms:modified>
</cp:coreProperties>
</file>